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28.10.72\fvn$\03.Khối sản xuất\01.Nhà máy VinFast Hải Phòng\04.Xưởng lắp ráp kim loại - cơ khí NMHP\01. Lắp ráp kim loại\5.LOGISTIC\III. Internal\III. Kho P part\6. BC Daily NVL\"/>
    </mc:Choice>
  </mc:AlternateContent>
  <xr:revisionPtr revIDLastSave="0" documentId="13_ncr:1_{E91E5A43-CFFA-492C-9A5D-02D38598D9DD}" xr6:coauthVersionLast="47" xr6:coauthVersionMax="47" xr10:uidLastSave="{00000000-0000-0000-0000-000000000000}"/>
  <bookViews>
    <workbookView xWindow="-120" yWindow="-120" windowWidth="20730" windowHeight="11040" xr2:uid="{4ABCD6A8-9B84-4BE9-8F5A-3322158E7675}"/>
  </bookViews>
  <sheets>
    <sheet name="Tình trạng cấp NVL" sheetId="1" r:id="rId1"/>
    <sheet name="Kết quả cấp NVL" sheetId="4" r:id="rId2"/>
  </sheets>
  <externalReferences>
    <externalReference r:id="rId3"/>
    <externalReference r:id="rId4"/>
  </externalReferences>
  <definedNames>
    <definedName name="\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Y">#REF!</definedName>
    <definedName name="\z">#REF!</definedName>
    <definedName name="_">#REF!</definedName>
    <definedName name="_?" hidden="1">{#N/A,#N/A,TRUE,"??"}</definedName>
    <definedName name="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_" hidden="1">#REF!</definedName>
    <definedName name="__?" hidden="1">{#N/A,#N/A,TRUE,"??"}</definedName>
    <definedName name="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__" hidden="1">#REF!</definedName>
    <definedName name="____" hidden="1">#REF!</definedName>
    <definedName name="____?" hidden="1">{#N/A,#N/A,TRUE,"??"}</definedName>
    <definedName name="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____" hidden="1">#REF!</definedName>
    <definedName name="_____?" hidden="1">{#N/A,#N/A,TRUE,"??"}</definedName>
    <definedName name="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_____?" hidden="1">{#N/A,#N/A,TRUE,"??"}</definedName>
    <definedName name="_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______?" hidden="1">{#N/A,#N/A,TRUE,"??"}</definedName>
    <definedName name="__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________________________a1" hidden="1">{"'Sheet1'!$L$16"}</definedName>
    <definedName name="________________________Goi8" hidden="1">{"'Sheet1'!$L$16"}</definedName>
    <definedName name="________________________SCL4" hidden="1">{"'Sheet1'!$L$16"}</definedName>
    <definedName name="_______________________a1" hidden="1">{"'Sheet1'!$L$16"}</definedName>
    <definedName name="_______________________Goi8" hidden="1">{"'Sheet1'!$L$16"}</definedName>
    <definedName name="_______________________SCL4" hidden="1">{"'Sheet1'!$L$16"}</definedName>
    <definedName name="______________________a1" hidden="1">{"'Sheet1'!$L$16"}</definedName>
    <definedName name="______________________Goi8" hidden="1">{"'Sheet1'!$L$16"}</definedName>
    <definedName name="______________________SCL4" hidden="1">{"'Sheet1'!$L$16"}</definedName>
    <definedName name="_____________________a1" hidden="1">{"'Sheet1'!$L$16"}</definedName>
    <definedName name="_____________________CN1" hidden="1">{"'Sheet1'!$L$16"}</definedName>
    <definedName name="_____________________Goi8" hidden="1">{"'Sheet1'!$L$16"}</definedName>
    <definedName name="_____________________SCL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a1" hidden="1">{"'Sheet1'!$L$16"}</definedName>
    <definedName name="___________________a1_1" hidden="1">{"'Sheet1'!$L$16"}</definedName>
    <definedName name="___________________BG12" hidden="1">{"'Sheet1'!$L$16"}</definedName>
    <definedName name="___________________CN1" hidden="1">{"'Sheet1'!$L$16"}</definedName>
    <definedName name="___________________Goi8" hidden="1">{"'Sheet1'!$L$16"}</definedName>
    <definedName name="___________________Goi8_1" hidden="1">{"'Sheet1'!$L$16"}</definedName>
    <definedName name="___________________SCL4" hidden="1">{"'Sheet1'!$L$16"}</definedName>
    <definedName name="___________________SCL4_1" hidden="1">{"'Sheet1'!$L$16"}</definedName>
    <definedName name="__________________a1" hidden="1">{"'Sheet1'!$L$16"}</definedName>
    <definedName name="__________________BG12" hidden="1">{"'Sheet1'!$L$16"}</definedName>
    <definedName name="__________________Goi8" hidden="1">{"'Sheet1'!$L$16"}</definedName>
    <definedName name="__________________SCL4" hidden="1">{"'Sheet1'!$L$16"}</definedName>
    <definedName name="_________________a1" hidden="1">{"'Sheet1'!$L$16"}</definedName>
    <definedName name="_________________a1_1" hidden="1">{"'Sheet1'!$L$16"}</definedName>
    <definedName name="_________________CN1" hidden="1">{"'Sheet1'!$L$16"}</definedName>
    <definedName name="_________________Goi8" hidden="1">{"'Sheet1'!$L$16"}</definedName>
    <definedName name="_________________Goi8_1" hidden="1">{"'Sheet1'!$L$16"}</definedName>
    <definedName name="_________________SCL4" hidden="1">{"'Sheet1'!$L$16"}</definedName>
    <definedName name="_________________SCL4_1" hidden="1">{"'Sheet1'!$L$16"}</definedName>
    <definedName name="________________a1" hidden="1">{"'Sheet1'!$L$16"}</definedName>
    <definedName name="________________BG12" hidden="1">{"'Sheet1'!$L$16"}</definedName>
    <definedName name="________________CN1" hidden="1">{"'Sheet1'!$L$16"}</definedName>
    <definedName name="________________Goi8" hidden="1">{"'Sheet1'!$L$16"}</definedName>
    <definedName name="________________SCL4" hidden="1">{"'Sheet1'!$L$16"}</definedName>
    <definedName name="_______________a1" hidden="1">{"'Sheet1'!$L$16"}</definedName>
    <definedName name="_______________BG12" hidden="1">{"'Sheet1'!$L$16"}</definedName>
    <definedName name="_______________CN1" hidden="1">{"'Sheet1'!$L$16"}</definedName>
    <definedName name="_______________Goi8" hidden="1">{"'Sheet1'!$L$16"}</definedName>
    <definedName name="_______________PA3" hidden="1">{"'Sheet1'!$L$16"}</definedName>
    <definedName name="_______________SCL4" hidden="1">{"'Sheet1'!$L$16"}</definedName>
    <definedName name="_______________xlfn.BAHTTEXT" hidden="1">#NAME?</definedName>
    <definedName name="______________a1" hidden="1">{"'Sheet1'!$L$16"}</definedName>
    <definedName name="______________a1_1" hidden="1">{"'Sheet1'!$L$16"}</definedName>
    <definedName name="______________BG12" hidden="1">{"'Sheet1'!$L$16"}</definedName>
    <definedName name="______________CN1" hidden="1">{"'Sheet1'!$L$16"}</definedName>
    <definedName name="______________FEB97">#REF!</definedName>
    <definedName name="______________GEN97">#REF!</definedName>
    <definedName name="______________Goi8" hidden="1">{"'Sheet1'!$L$16"}</definedName>
    <definedName name="______________Goi8_1" hidden="1">{"'Sheet1'!$L$16"}</definedName>
    <definedName name="______________SCL4" hidden="1">{"'Sheet1'!$L$16"}</definedName>
    <definedName name="______________SCL4_1" hidden="1">{"'Sheet1'!$L$16"}</definedName>
    <definedName name="______________xlfn.BAHTTEXT" hidden="1">#NAME?</definedName>
    <definedName name="_____________a1" hidden="1">{"'Sheet1'!$L$16"}</definedName>
    <definedName name="_____________a1_1" hidden="1">{"'Sheet1'!$L$16"}</definedName>
    <definedName name="_____________BG12" hidden="1">{"'Sheet1'!$L$16"}</definedName>
    <definedName name="_____________CN1" hidden="1">{"'Sheet1'!$L$16"}</definedName>
    <definedName name="_____________FEB97">#REF!</definedName>
    <definedName name="_____________GEN97">#REF!</definedName>
    <definedName name="_____________Goi8" hidden="1">{"'Sheet1'!$L$16"}</definedName>
    <definedName name="_____________Goi8_1" hidden="1">{"'Sheet1'!$L$16"}</definedName>
    <definedName name="_____________PA3" hidden="1">{"'Sheet1'!$L$16"}</definedName>
    <definedName name="_____________SCL4" hidden="1">{"'Sheet1'!$L$16"}</definedName>
    <definedName name="_____________SCL4_1" hidden="1">{"'Sheet1'!$L$16"}</definedName>
    <definedName name="_____________xlfn.BAHTTEXT" hidden="1">#NAME?</definedName>
    <definedName name="____________a1" hidden="1">{"'Sheet1'!$L$16"}</definedName>
    <definedName name="____________a1_1" hidden="1">{"'Sheet1'!$L$16"}</definedName>
    <definedName name="____________BG12" hidden="1">{"'Sheet1'!$L$16"}</definedName>
    <definedName name="____________CN1" hidden="1">{"'Sheet1'!$L$16"}</definedName>
    <definedName name="____________Goi8" hidden="1">{"'Sheet1'!$L$16"}</definedName>
    <definedName name="____________Goi8_1" hidden="1">{"'Sheet1'!$L$16"}</definedName>
    <definedName name="____________SCL4" hidden="1">{"'Sheet1'!$L$16"}</definedName>
    <definedName name="____________SCL4_1" hidden="1">{"'Sheet1'!$L$16"}</definedName>
    <definedName name="____________xlfn.BAHTTEXT" hidden="1">#NAME?</definedName>
    <definedName name="___________a1" hidden="1">{"'Sheet1'!$L$16"}</definedName>
    <definedName name="___________a1_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BG12" hidden="1">{"'Sheet1'!$L$16"}</definedName>
    <definedName name="___________CN1" hidden="1">{"'Sheet1'!$L$16"}</definedName>
    <definedName name="___________Goi8" hidden="1">{"'Sheet1'!$L$16"}</definedName>
    <definedName name="___________Goi8_1" hidden="1">{"'Sheet1'!$L$16"}</definedName>
    <definedName name="___________NSO2" hidden="1">{"'Sheet1'!$L$16"}</definedName>
    <definedName name="___________PA3" hidden="1">{"'Sheet1'!$L$16"}</definedName>
    <definedName name="___________SCL4" hidden="1">{"'Sheet1'!$L$16"}</definedName>
    <definedName name="___________SCL4_1" hidden="1">{"'Sheet1'!$L$16"}</definedName>
    <definedName name="___________T01" hidden="1">#REF!</definedName>
    <definedName name="___________xlfn.BAHTTEXT" hidden="1">#NAME?</definedName>
    <definedName name="__________a1" hidden="1">{"'Sheet1'!$L$16"}</definedName>
    <definedName name="__________a1_1" hidden="1">{"'Sheet1'!$L$16"}</definedName>
    <definedName name="__________BG12" hidden="1">{"'Sheet1'!$L$16"}</definedName>
    <definedName name="__________CN1" hidden="1">{"'Sheet1'!$L$16"}</definedName>
    <definedName name="__________f5" hidden="1">{"'Sheet1'!$L$16"}</definedName>
    <definedName name="__________Goi8" hidden="1">{"'Sheet1'!$L$16"}</definedName>
    <definedName name="__________Goi8_1" hidden="1">{"'Sheet1'!$L$16"}</definedName>
    <definedName name="__________NSO2" hidden="1">{"'Sheet1'!$L$16"}</definedName>
    <definedName name="__________SCL4" hidden="1">{"'Sheet1'!$L$16"}</definedName>
    <definedName name="__________SCL4_1" hidden="1">{"'Sheet1'!$L$16"}</definedName>
    <definedName name="__________T01" hidden="1">#REF!</definedName>
    <definedName name="__________xlfn.BAHTTEXT" hidden="1">#NAME?</definedName>
    <definedName name="_________a1" hidden="1">{"'Sheet1'!$L$16"}</definedName>
    <definedName name="_________a1_1" hidden="1">{"'Sheet1'!$L$16"}</definedName>
    <definedName name="_________a10" hidden="1">{"'Sheet1'!$L$16"}</definedName>
    <definedName name="_________a11" hidden="1">{"'Sheet1'!$L$16"}</definedName>
    <definedName name="_________a12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a4" hidden="1">{"'Sheet1'!$L$16"}</definedName>
    <definedName name="_________a5" hidden="1">{"'Sheet1'!$L$16"}</definedName>
    <definedName name="_________a7" hidden="1">{"'Sheet1'!$L$16"}</definedName>
    <definedName name="_________a8" hidden="1">{"'Sheet1'!$L$16"}</definedName>
    <definedName name="_________a9" hidden="1">{"'Sheet1'!$L$16"}</definedName>
    <definedName name="_________BG12" hidden="1">{"'Sheet1'!$L$16"}</definedName>
    <definedName name="_________CN1" hidden="1">{"'Sheet1'!$L$16"}</definedName>
    <definedName name="_________f5" hidden="1">{"'Sheet1'!$L$16"}</definedName>
    <definedName name="_________FEB97">#REF!</definedName>
    <definedName name="_________GEN97">#REF!</definedName>
    <definedName name="_________Goi8" hidden="1">{"'Sheet1'!$L$16"}</definedName>
    <definedName name="_________Goi8_1" hidden="1">{"'Sheet1'!$L$16"}</definedName>
    <definedName name="_________NSO2" hidden="1">{"'Sheet1'!$L$16"}</definedName>
    <definedName name="_________PA3" hidden="1">{"'Sheet1'!$L$16"}</definedName>
    <definedName name="_________Sat6" hidden="1">#REF!</definedName>
    <definedName name="_________SCL4" hidden="1">{"'Sheet1'!$L$16"}</definedName>
    <definedName name="_________SCL4_1" hidden="1">{"'Sheet1'!$L$16"}</definedName>
    <definedName name="_________T01" hidden="1">#REF!</definedName>
    <definedName name="_________xlfn.BAHTTEXT" hidden="1">#NAME?</definedName>
    <definedName name="________a1" hidden="1">{"'Sheet1'!$L$16"}</definedName>
    <definedName name="________a1_1" hidden="1">{"'Sheet1'!$L$16"}</definedName>
    <definedName name="________a10" hidden="1">{"'Sheet1'!$L$16"}</definedName>
    <definedName name="________a11" hidden="1">{"'Sheet1'!$L$16"}</definedName>
    <definedName name="________a12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a4" hidden="1">{"'Sheet1'!$L$16"}</definedName>
    <definedName name="________a5" hidden="1">{"'Sheet1'!$L$16"}</definedName>
    <definedName name="________a7" hidden="1">{"'Sheet1'!$L$16"}</definedName>
    <definedName name="________a8" hidden="1">{"'Sheet1'!$L$16"}</definedName>
    <definedName name="________a9" hidden="1">{"'Sheet1'!$L$16"}</definedName>
    <definedName name="_______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BG12" hidden="1">{"'Sheet1'!$L$16"}</definedName>
    <definedName name="________CN1" hidden="1">{"'Sheet1'!$L$16"}</definedName>
    <definedName name="________f5" hidden="1">{"'Sheet1'!$L$16"}</definedName>
    <definedName name="________Goi8" hidden="1">{"'Sheet1'!$L$16"}</definedName>
    <definedName name="________Goi8_1" hidden="1">{"'Sheet1'!$L$16"}</definedName>
    <definedName name="________INT2" hidden="1">{#N/A,#N/A,TRUE,"일정"}</definedName>
    <definedName name="________key1" hidden="1">#REF!</definedName>
    <definedName name="________NSO2" hidden="1">{"'Sheet1'!$L$16"}</definedName>
    <definedName name="_______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PA3" hidden="1">{"'Sheet1'!$L$16"}</definedName>
    <definedName name="_______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QUY4" hidden="1">{"'Sheet1'!$L$16"}</definedName>
    <definedName name="________SCL4" hidden="1">{"'Sheet1'!$L$16"}</definedName>
    <definedName name="________SCL4_1" hidden="1">{"'Sheet1'!$L$16"}</definedName>
    <definedName name="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01" hidden="1">#REF!</definedName>
    <definedName name="________Tir1" hidden="1">{#N/A,#N/A,TRUE,"일정"}</definedName>
    <definedName name="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xlfn.BAHTTEXT" hidden="1">#NAME?</definedName>
    <definedName name="_______a1" hidden="1">{"'Sheet1'!$L$16"}</definedName>
    <definedName name="_______a1_1" hidden="1">{"'Sheet1'!$L$16"}</definedName>
    <definedName name="_______a10" hidden="1">{"'Sheet1'!$L$16"}</definedName>
    <definedName name="_______a11" hidden="1">{"'Sheet1'!$L$16"}</definedName>
    <definedName name="_______a12" hidden="1">{"'Monthly 1997'!$A$3:$S$89"}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a4" hidden="1">{"'Sheet1'!$L$16"}</definedName>
    <definedName name="_______a5" hidden="1">{"'Sheet1'!$L$16"}</definedName>
    <definedName name="_______a7" hidden="1">{"'Sheet1'!$L$16"}</definedName>
    <definedName name="_______a8" hidden="1">{"'Sheet1'!$L$16"}</definedName>
    <definedName name="_______a9" hidden="1">{"'Sheet1'!$L$16"}</definedName>
    <definedName name="______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BG12" hidden="1">{"'Sheet1'!$L$16"}</definedName>
    <definedName name="_______CD2" hidden="1">{"'Sheet1'!$L$16"}</definedName>
    <definedName name="_______CN1" hidden="1">{"'Sheet1'!$L$16"}</definedName>
    <definedName name="_______d1500" hidden="1">{"'Sheet1'!$L$16"}</definedName>
    <definedName name="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f5" hidden="1">{"'Sheet1'!$L$16"}</definedName>
    <definedName name="_______Goi8" hidden="1">{"'Sheet1'!$L$16"}</definedName>
    <definedName name="_______Goi8_1" hidden="1">{"'Sheet1'!$L$16"}</definedName>
    <definedName name="_______INT2" hidden="1">{#N/A,#N/A,TRUE,"일정"}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key2" hidden="1">#REF!</definedName>
    <definedName name="_______M2" hidden="1">{"'Sheet1'!$L$16"}</definedName>
    <definedName name="_______NSO2" hidden="1">{"'Sheet1'!$L$16"}</definedName>
    <definedName name="______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PA3" hidden="1">{"'Sheet1'!$L$16"}</definedName>
    <definedName name="______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QUY4" hidden="1">{"'Sheet1'!$L$16"}</definedName>
    <definedName name="_______SCL4" hidden="1">{"'Sheet1'!$L$16"}</definedName>
    <definedName name="_______SCL4_1" hidden="1">{"'Sheet1'!$L$16"}</definedName>
    <definedName name="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01" hidden="1">#REF!</definedName>
    <definedName name="_______T1" hidden="1">{"'Sheet1'!$L$16"}</definedName>
    <definedName name="_______Tir1" hidden="1">{#N/A,#N/A,TRUE,"일정"}</definedName>
    <definedName name="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V2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xlfn.BAHTTEXT" hidden="1">#NAME?</definedName>
    <definedName name="______a1" hidden="1">{"'Sheet1'!$L$16"}</definedName>
    <definedName name="______a1_1" hidden="1">{"'Sheet1'!$L$16"}</definedName>
    <definedName name="______a10" hidden="1">{"'Sheet1'!$L$16"}</definedName>
    <definedName name="______a11" hidden="1">{"'Sheet1'!$L$16"}</definedName>
    <definedName name="______a12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a4" hidden="1">{"'Sheet1'!$L$16"}</definedName>
    <definedName name="______a5" hidden="1">{"'Sheet1'!$L$16"}</definedName>
    <definedName name="______a7" hidden="1">{"'Sheet1'!$L$16"}</definedName>
    <definedName name="______a8" hidden="1">{"'Sheet1'!$L$16"}</definedName>
    <definedName name="______a9" hidden="1">{"'Sheet1'!$L$16"}</definedName>
    <definedName name="_____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BG12" hidden="1">{"'Sheet1'!$L$16"}</definedName>
    <definedName name="______CD2" hidden="1">{"'Sheet1'!$L$16"}</definedName>
    <definedName name="______CN1" hidden="1">{"'Sheet1'!$L$16"}</definedName>
    <definedName name="______d1500" hidden="1">{"'Sheet1'!$L$16"}</definedName>
    <definedName name="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f5" hidden="1">{"'Sheet1'!$L$16"}</definedName>
    <definedName name="______FAB4" hidden="1">#REF!</definedName>
    <definedName name="______Goi8" hidden="1">{"'Sheet1'!$L$16"}</definedName>
    <definedName name="______Goi8_1" hidden="1">{"'Sheet1'!$L$16"}</definedName>
    <definedName name="______INT2" hidden="1">{#N/A,#N/A,TRUE,"일정"}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key1" hidden="1">#REF!</definedName>
    <definedName name="______M2" hidden="1">{"'Sheet1'!$L$16"}</definedName>
    <definedName name="______NSO2" hidden="1">{"'Sheet1'!$L$16"}</definedName>
    <definedName name="_____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PA3" hidden="1">{"'Sheet1'!$L$16"}</definedName>
    <definedName name="_____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QUY4" hidden="1">{"'Sheet1'!$L$16"}</definedName>
    <definedName name="______SCL4" hidden="1">{"'Sheet1'!$L$16"}</definedName>
    <definedName name="______SCL4_1" hidden="1">{"'Sheet1'!$L$16"}</definedName>
    <definedName name="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01" hidden="1">#N/A</definedName>
    <definedName name="______T1" hidden="1">{"'Sheet1'!$L$16"}</definedName>
    <definedName name="______Tir1" hidden="1">{#N/A,#N/A,TRUE,"일정"}</definedName>
    <definedName name="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V2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xlfn.BAHTTEXT" hidden="1">#NAME?</definedName>
    <definedName name="_____a1" hidden="1">{"'Sheet1'!$L$16"}</definedName>
    <definedName name="_____a1_1" hidden="1">{"'Sheet1'!$L$16"}</definedName>
    <definedName name="_____a10" hidden="1">{"'Sheet1'!$L$16"}</definedName>
    <definedName name="_____a11" hidden="1">{"'Sheet1'!$L$16"}</definedName>
    <definedName name="_____a12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a4" hidden="1">{"'Sheet1'!$L$16"}</definedName>
    <definedName name="_____a5" hidden="1">{"'Sheet1'!$L$16"}</definedName>
    <definedName name="_____a7" hidden="1">{"'Sheet1'!$L$16"}</definedName>
    <definedName name="_____a8" hidden="1">{"'Sheet1'!$L$16"}</definedName>
    <definedName name="_____a9" hidden="1">{"'Sheet1'!$L$16"}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f5" hidden="1">{"'Sheet1'!$L$16"}</definedName>
    <definedName name="_____Goi8" hidden="1">{"'Sheet1'!$L$16"}</definedName>
    <definedName name="_____Goi8_1" hidden="1">{"'Sheet1'!$L$16"}</definedName>
    <definedName name="_____INT2" hidden="1">{#N/A,#N/A,TRUE,"일정"}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key2" hidden="1">#REF!</definedName>
    <definedName name="_____Lan1" hidden="1">{"'Sheet1'!$L$16"}</definedName>
    <definedName name="_____Lan2" hidden="1">{"'Sheet1'!$L$16"}</definedName>
    <definedName name="_____LAN3" hidden="1">{"'Sheet1'!$L$16"}</definedName>
    <definedName name="_____ld2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QUY4" hidden="1">{"'Sheet1'!$L$16"}</definedName>
    <definedName name="_____SCL4" hidden="1">{"'Sheet1'!$L$16"}</definedName>
    <definedName name="_____SCL4_1" hidden="1">{"'Sheet1'!$L$16"}</definedName>
    <definedName name="_____T01" hidden="1">#N/A</definedName>
    <definedName name="_____T1" hidden="1">{"'Sheet1'!$L$16"}</definedName>
    <definedName name="_____tt3" hidden="1">{"'Sheet1'!$L$16"}</definedName>
    <definedName name="_____tu4" hidden="1">{"'Sheet1'!$L$16"}</definedName>
    <definedName name="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V2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xlfn.BAHTTEXT" hidden="1">#NAME?</definedName>
    <definedName name="____a1" hidden="1">{"'Sheet1'!$L$16"}</definedName>
    <definedName name="____a1_1" hidden="1">{"'Sheet1'!$L$16"}</definedName>
    <definedName name="____a10" hidden="1">{"'Sheet1'!$L$16"}</definedName>
    <definedName name="____a11" hidden="1">{"'Sheet1'!$L$16"}</definedName>
    <definedName name="____a12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a5" hidden="1">{"'Sheet1'!$L$16"}</definedName>
    <definedName name="____a7" hidden="1">{"'Sheet1'!$L$16"}</definedName>
    <definedName name="____a8" hidden="1">{"'Sheet1'!$L$16"}</definedName>
    <definedName name="____a9" hidden="1">{"'Sheet1'!$L$16"}</definedName>
    <definedName name="___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G12" hidden="1">{"'Sheet1'!$L$16"}</definedName>
    <definedName name="____CD2" hidden="1">{"'Sheet1'!$L$16"}</definedName>
    <definedName name="____CN1" hidden="1">{"'Sheet1'!$L$16"}</definedName>
    <definedName name="____d1500" hidden="1">{"'Sheet1'!$L$16"}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F1" hidden="1">{"'Sheet1'!$L$16"}</definedName>
    <definedName name="____f5" hidden="1">{"'Sheet1'!$L$16"}</definedName>
    <definedName name="____FAB4" hidden="1">#REF!</definedName>
    <definedName name="____Goi8" hidden="1">{"'Sheet1'!$L$16"}</definedName>
    <definedName name="____Goi8_1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INT2" hidden="1">{#N/A,#N/A,TRUE,"일정"}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ey2" hidden="1">#REF!</definedName>
    <definedName name="____Lan1" hidden="1">{"'Sheet1'!$L$16"}</definedName>
    <definedName name="____Lan2" hidden="1">{"'Sheet1'!$L$16"}</definedName>
    <definedName name="____LAN3" hidden="1">{"'Sheet1'!$L$16"}</definedName>
    <definedName name="____ld2" hidden="1">{"'Sheet1'!$L$16"}</definedName>
    <definedName name="____M2" hidden="1">{"'Sheet1'!$L$16"}</definedName>
    <definedName name="____MCC3" hidden="1">{#N/A,#N/A,FALSE,"CCTV"}</definedName>
    <definedName name="____NSO2" hidden="1">{"'Sheet1'!$L$16"}</definedName>
    <definedName name="___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PA3" hidden="1">{"'Sheet1'!$L$16"}</definedName>
    <definedName name="____PP08" hidden="1">#REF!</definedName>
    <definedName name="____PP09" hidden="1">#REF!</definedName>
    <definedName name="___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UY4" hidden="1">{"'Sheet1'!$L$16"}</definedName>
    <definedName name="____SA1">#N/A</definedName>
    <definedName name="____SA2">#N/A</definedName>
    <definedName name="____SA4">#N/A</definedName>
    <definedName name="____SCL4" hidden="1">{"'Sheet1'!$L$16"}</definedName>
    <definedName name="____SCL4_1" hidden="1">{"'Sheet1'!$L$16"}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01" hidden="1">#N/A</definedName>
    <definedName name="____T1" hidden="1">{"'Sheet1'!$L$16"}</definedName>
    <definedName name="____T10" hidden="1">{"'Sheet1'!$L$16"}</definedName>
    <definedName name="____Tir1" hidden="1">{#N/A,#N/A,TRUE,"일정"}</definedName>
    <definedName name="____TM2" hidden="1">{"'Sheet1'!$L$16"}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t3" hidden="1">{"'Sheet1'!$L$16"}</definedName>
    <definedName name="____tu4" hidden="1">{"'Sheet1'!$L$16"}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xlfn.BAHTTEXT" hidden="1">#NAME?</definedName>
    <definedName name="___a1" hidden="1">{"'Sheet1'!$L$16"}</definedName>
    <definedName name="___a1_1" hidden="1">{"'Sheet1'!$L$16"}</definedName>
    <definedName name="___a10" hidden="1">{"'Sheet1'!$L$16"}</definedName>
    <definedName name="___a11" hidden="1">{"'Sheet1'!$L$16"}</definedName>
    <definedName name="___a12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a5" hidden="1">{"'Sheet1'!$L$16"}</definedName>
    <definedName name="___a7" hidden="1">{"'Sheet1'!$L$16"}</definedName>
    <definedName name="___a8" hidden="1">{"'Sheet1'!$L$16"}</definedName>
    <definedName name="___a9" hidden="1">{"'Sheet1'!$L$16"}</definedName>
    <definedName name="__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BG12" hidden="1">{"'Sheet1'!$L$16"}</definedName>
    <definedName name="___CD2" hidden="1">{"'Sheet1'!$L$16"}</definedName>
    <definedName name="___CN1" hidden="1">{"'Sheet1'!$L$16"}</definedName>
    <definedName name="___Coc39" hidden="1">{"'Sheet1'!$L$16"}</definedName>
    <definedName name="___Cty501" hidden="1">{"'Sheet1'!$L$16"}</definedName>
    <definedName name="___d1500" hidden="1">{"'Sheet1'!$L$16"}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ot2" hidden="1">{"'Sheet1'!$L$16"}</definedName>
    <definedName name="___f5" hidden="1">{"'Sheet1'!$L$16"}</definedName>
    <definedName name="___FAB4" hidden="1">#REF!</definedName>
    <definedName name="___feb02">#REF!</definedName>
    <definedName name="___FEB97">#REF!</definedName>
    <definedName name="___GEN01">#REF!</definedName>
    <definedName name="___GEN97">#REF!</definedName>
    <definedName name="___Goi8" hidden="1">{"'Sheet1'!$L$16"}</definedName>
    <definedName name="___Goi8_1" hidden="1">{"'Sheet1'!$L$16"}</definedName>
    <definedName name="___h1" hidden="1">{"'TDTGT (theo Dphuong)'!$A$4:$F$75"}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7" hidden="1">{"'Sheet1'!$L$16"}</definedName>
    <definedName name="___INT2" hidden="1">{#N/A,#N/A,TRUE,"일정"}</definedName>
    <definedName name="___key1" hidden="1">#REF!</definedName>
    <definedName name="___key2" hidden="1">#REF!</definedName>
    <definedName name="___KM34" hidden="1">{"'Sheet1'!$L$16"}</definedName>
    <definedName name="___km51" hidden="1">{"'Sheet1'!$L$16"}</definedName>
    <definedName name="___Lan1" hidden="1">{"'Sheet1'!$L$16"}</definedName>
    <definedName name="___Lan2" hidden="1">{"'Sheet1'!$L$16"}</definedName>
    <definedName name="___LAN3" hidden="1">{"'Sheet1'!$L$16"}</definedName>
    <definedName name="___ld2" hidden="1">{"'Sheet1'!$L$16"}</definedName>
    <definedName name="___lk2" hidden="1">{"'Sheet1'!$L$16"}</definedName>
    <definedName name="___M2" hidden="1">{"'Sheet1'!$L$16"}</definedName>
    <definedName name="___mar03">#REF!</definedName>
    <definedName name="___MCC3" hidden="1">{#N/A,#N/A,FALSE,"CCTV"}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P08" hidden="1">#REF!</definedName>
    <definedName name="___PP09" hidden="1">#REF!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UY4" hidden="1">{"'Sheet1'!$L$16"}</definedName>
    <definedName name="___SCL4" hidden="1">{"'Sheet1'!$L$16"}</definedName>
    <definedName name="___SCL4_1" hidden="1">{"'Sheet1'!$L$16"}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01" hidden="1">#REF!</definedName>
    <definedName name="___T04" hidden="1">{#N/A,#N/A,FALSE,"CCTV"}</definedName>
    <definedName name="___T1" hidden="1">{"'Sheet1'!$L$16"}</definedName>
    <definedName name="___T10" hidden="1">{"'Sheet1'!$L$16"}</definedName>
    <definedName name="___T3" hidden="1">{"'Sheet1'!$L$16"}</definedName>
    <definedName name="___td1" hidden="1">{"'Sheet1'!$L$16"}</definedName>
    <definedName name="___thinkcelliUMAAAAAAAAEAAAALeNG7GGeWk.PgAjpAmx_Mw" hidden="1">#REF!</definedName>
    <definedName name="___tt3" hidden="1">{"'Sheet1'!$L$16"}</definedName>
    <definedName name="___xlcn.WorksheetConnection_Sheet12CE1" hidden="1">#REF!</definedName>
    <definedName name="___xlcn.WorksheetConnection_Sheet1AB11" hidden="1">#REF!</definedName>
    <definedName name="___xlfn.BAHTTEXT" hidden="1">#NAME?</definedName>
    <definedName name="__1__123Graph_AHORES_EXTRES" hidden="1">#REF!</definedName>
    <definedName name="__1_123Grap" hidden="1">#REF!</definedName>
    <definedName name="__10__123Graph_BTOTAL_DIRECTOS" hidden="1">#REF!</definedName>
    <definedName name="__10_123Graph_C商" hidden="1">#REF!</definedName>
    <definedName name="__11__123Graph_D4X4W_G" hidden="1">#REF!</definedName>
    <definedName name="__11__123Graph_LBL_AINTR_DIR" hidden="1">#REF!</definedName>
    <definedName name="__12__123Graph_LBL_AINTR_MECN" hidden="1">#REF!</definedName>
    <definedName name="__12_123Graph_D乗" hidden="1">#REF!</definedName>
    <definedName name="__123Graph_A" hidden="1">#REF!</definedName>
    <definedName name="__123Graph_A120.CGM" hidden="1">#REF!</definedName>
    <definedName name="__123Graph_A150.CGM" hidden="1">#REF!</definedName>
    <definedName name="__123Graph_A180.CGM" hidden="1">#REF!</definedName>
    <definedName name="__123Graph_A210.CGM" hidden="1">#REF!</definedName>
    <definedName name="__123Graph_A240.CGM" hidden="1">#REF!</definedName>
    <definedName name="__123Graph_A270.CGM" hidden="1">#REF!</definedName>
    <definedName name="__123Graph_A300.CGM" hidden="1">#REF!</definedName>
    <definedName name="__123Graph_A4X2" hidden="1">#REF!</definedName>
    <definedName name="__123Graph_A4X4" hidden="1">#REF!</definedName>
    <definedName name="__123Graph_A4X4･4X2" hidden="1">#REF!</definedName>
    <definedName name="__123Graph_A60.CGN" hidden="1">#REF!</definedName>
    <definedName name="__123Graph_A90.CGM" hidden="1">#REF!</definedName>
    <definedName name="__123Graph_AABSENTISME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URRENT" hidden="1">#REF!</definedName>
    <definedName name="__123Graph_ADAILYRTE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INTRABSENT" hidden="1">#REF!</definedName>
    <definedName name="__123Graph_AINTREXTRES" hidden="1">#REF!</definedName>
    <definedName name="__123Graph_AMAKE" hidden="1">#REF!</definedName>
    <definedName name="__123Graph_AMECANIZACION" hidden="1">#REF!</definedName>
    <definedName name="__123Graph_AMONTAJES" hidden="1">#REF!</definedName>
    <definedName name="__123Graph_APRINCIPAL" hidden="1">#REF!</definedName>
    <definedName name="__123Graph_ARISK" hidden="1">#REF!</definedName>
    <definedName name="__123Graph_ASTMENTHALPY" hidden="1">#REF!</definedName>
    <definedName name="__123Graph_AVAN" hidden="1">#REF!</definedName>
    <definedName name="__123Graph_Aｸﾞﾗﾌ集用" hidden="1">#REF!</definedName>
    <definedName name="__123Graph_A乗用車保有" hidden="1">#REF!</definedName>
    <definedName name="__123Graph_A全体" hidden="1">#REF!</definedName>
    <definedName name="__123Graph_A全体折線" hidden="1">#REF!</definedName>
    <definedName name="__123Graph_A商用車" hidden="1">#REF!</definedName>
    <definedName name="__123Graph_A商用車保有" hidden="1">#REF!</definedName>
    <definedName name="__123Graph_B" hidden="1">#REF!</definedName>
    <definedName name="__123Graph_B120.CGM" hidden="1">#REF!</definedName>
    <definedName name="__123Graph_B150.CGM" hidden="1">#REF!</definedName>
    <definedName name="__123Graph_B180.CGM" hidden="1">#REF!</definedName>
    <definedName name="__123Graph_B210.CGM" hidden="1">#REF!</definedName>
    <definedName name="__123Graph_B240.CGM" hidden="1">#REF!</definedName>
    <definedName name="__123Graph_B270.CGM" hidden="1">#REF!</definedName>
    <definedName name="__123Graph_B300.CGM" hidden="1">#REF!</definedName>
    <definedName name="__123Graph_B4X2" hidden="1">#REF!</definedName>
    <definedName name="__123Graph_B4X4" hidden="1">#REF!</definedName>
    <definedName name="__123Graph_B4X4･4X2" hidden="1">#REF!</definedName>
    <definedName name="__123Graph_B60.CGN" hidden="1">#REF!</definedName>
    <definedName name="__123Graph_B90.CGM" hidden="1">#REF!</definedName>
    <definedName name="__123Graph_BABSENTISME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BDAILYRTE" hidden="1">#REF!</definedName>
    <definedName name="__123Graph_BMAKE" hidden="1">#REF!</definedName>
    <definedName name="__123Graph_BMECANIZACION" hidden="1">#REF!</definedName>
    <definedName name="__123Graph_BMONTAJES" hidden="1">#REF!</definedName>
    <definedName name="__123Graph_BRISK" hidden="1">#REF!</definedName>
    <definedName name="__123Graph_BVAN" hidden="1">#REF!</definedName>
    <definedName name="__123Graph_Bｸﾞﾗﾌ集用" hidden="1">#REF!</definedName>
    <definedName name="__123Graph_B乗用車" hidden="1">#REF!</definedName>
    <definedName name="__123Graph_B乗用車保有" hidden="1">#REF!</definedName>
    <definedName name="__123Graph_B全体" hidden="1">#REF!</definedName>
    <definedName name="__123Graph_B全体折線" hidden="1">#REF!</definedName>
    <definedName name="__123Graph_B商用車" hidden="1">#REF!</definedName>
    <definedName name="__123Graph_B商用車保有" hidden="1">#REF!</definedName>
    <definedName name="__123Graph_B総市場" hidden="1">#REF!</definedName>
    <definedName name="__123Graph_C" hidden="1">#REF!</definedName>
    <definedName name="__123Graph_C4X2" hidden="1">#REF!</definedName>
    <definedName name="__123Graph_C4X4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CDAILYRTE" hidden="1">#REF!</definedName>
    <definedName name="__123Graph_CMAKE" hidden="1">#REF!</definedName>
    <definedName name="__123Graph_CVAN" hidden="1">#REF!</definedName>
    <definedName name="__123Graph_C乗用車" hidden="1">#REF!</definedName>
    <definedName name="__123Graph_C乗用車保有" hidden="1">#REF!</definedName>
    <definedName name="__123Graph_C全体" hidden="1">#REF!</definedName>
    <definedName name="__123Graph_C全体折線" hidden="1">#REF!</definedName>
    <definedName name="__123Graph_C商用車" hidden="1">#REF!</definedName>
    <definedName name="__123Graph_D" hidden="1">#REF!</definedName>
    <definedName name="__123Graph_D4X2" hidden="1">#REF!</definedName>
    <definedName name="__123Graph_D4X4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DDAILYRTE" hidden="1">#REF!</definedName>
    <definedName name="__123Graph_DMAKE" hidden="1">#REF!</definedName>
    <definedName name="__123Graph_DVAN" hidden="1">#REF!</definedName>
    <definedName name="__123Graph_D乗用車" hidden="1">#REF!</definedName>
    <definedName name="__123Graph_D乗用車保有" hidden="1">#REF!</definedName>
    <definedName name="__123Graph_D全体折線" hidden="1">#REF!</definedName>
    <definedName name="__123Graph_D商用車" hidden="1">#REF!</definedName>
    <definedName name="__123Graph_D総市場" hidden="1">#REF!</definedName>
    <definedName name="__123Graph_E" hidden="1">#REF!</definedName>
    <definedName name="__123Graph_E4X2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EDAILYRTE" hidden="1">#REF!</definedName>
    <definedName name="__123Graph_EGRAPH2" hidden="1">#REF!</definedName>
    <definedName name="__123Graph_EGRAPH3" hidden="1">#REF!</definedName>
    <definedName name="__123Graph_EGRAPH4" hidden="1">#REF!</definedName>
    <definedName name="__123Graph_EMAKE" hidden="1">#REF!</definedName>
    <definedName name="__123Graph_EVAN" hidden="1">#REF!</definedName>
    <definedName name="__123Graph_E乗用車" hidden="1">#REF!</definedName>
    <definedName name="__123Graph_E全体折線" hidden="1">#REF!</definedName>
    <definedName name="__123Graph_E商用車" hidden="1">#REF!</definedName>
    <definedName name="__123Graph_F" hidden="1">#REF!</definedName>
    <definedName name="__123Graph_F4X2" hidden="1">#REF!</definedName>
    <definedName name="__123Graph_FCURRENT" hidden="1">#REF!</definedName>
    <definedName name="__123Graph_FDAILYRTE" hidden="1">#REF!</definedName>
    <definedName name="__123Graph_F全体折線" hidden="1">#REF!</definedName>
    <definedName name="__123Graph_LBL_A" hidden="1">#REF!</definedName>
    <definedName name="__123Graph_LBL_A120.CGM" hidden="1">#REF!</definedName>
    <definedName name="__123Graph_LBL_A150.CGM" hidden="1">#REF!</definedName>
    <definedName name="__123Graph_LBL_A180.CGM" hidden="1">#REF!</definedName>
    <definedName name="__123Graph_LBL_A210.CGM" hidden="1">#REF!</definedName>
    <definedName name="__123Graph_LBL_A240.CGM" hidden="1">#REF!</definedName>
    <definedName name="__123Graph_LBL_A270.CGM" hidden="1">#REF!</definedName>
    <definedName name="__123Graph_LBL_A300.CGM" hidden="1">#REF!</definedName>
    <definedName name="__123Graph_LBL_A60.CGN" hidden="1">#REF!</definedName>
    <definedName name="__123Graph_LBL_A90.CGM" hidden="1">#REF!</definedName>
    <definedName name="__123Graph_LBL_ACHART3" hidden="1">#REF!</definedName>
    <definedName name="__123Graph_LBL_AGRAPH2" hidden="1">#REF!</definedName>
    <definedName name="__123Graph_LBL_AGRAPH3" hidden="1">#REF!</definedName>
    <definedName name="__123Graph_LBL_AGRAPH4" hidden="1">#REF!</definedName>
    <definedName name="__123Graph_LBL_AINTRABSENT" hidden="1">#REF!</definedName>
    <definedName name="__123Graph_LBL_AINTREXTRES" hidden="1">#REF!</definedName>
    <definedName name="__123Graph_LBL_APRINCIPAL" hidden="1">#REF!</definedName>
    <definedName name="__123Graph_LBL_A商用車保有" hidden="1">#REF!</definedName>
    <definedName name="__123Graph_LBL_BABSENTISME" hidden="1">#REF!</definedName>
    <definedName name="__123Graph_LBL_BMECANIZACION" hidden="1">#REF!</definedName>
    <definedName name="__123Graph_LBL_BMONTAJES" hidden="1">#REF!</definedName>
    <definedName name="__123Graph_LBL_B商用車保有" hidden="1">#REF!</definedName>
    <definedName name="__123Graph_X" hidden="1">#REF!</definedName>
    <definedName name="__123Graph_X120.CGM" hidden="1">#REF!</definedName>
    <definedName name="__123Graph_X150.CGM" hidden="1">#REF!</definedName>
    <definedName name="__123Graph_X180.CGM" hidden="1">#REF!</definedName>
    <definedName name="__123Graph_X210.CGM" hidden="1">#REF!</definedName>
    <definedName name="__123Graph_X240.CGM" hidden="1">#REF!</definedName>
    <definedName name="__123Graph_X270.CGM" hidden="1">#REF!</definedName>
    <definedName name="__123Graph_X300.CGM" hidden="1">#REF!</definedName>
    <definedName name="__123Graph_X4X2" hidden="1">#REF!</definedName>
    <definedName name="__123Graph_X4X4" hidden="1">#REF!</definedName>
    <definedName name="__123Graph_X4X4･4X2" hidden="1">#REF!</definedName>
    <definedName name="__123Graph_X60.CGN" hidden="1">#REF!</definedName>
    <definedName name="__123Graph_X90.CGM" hidden="1">#REF!</definedName>
    <definedName name="__123Graph_XABSENTISME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URRENT" hidden="1">#REF!</definedName>
    <definedName name="__123Graph_XDAILYRTE" hidden="1">#REF!</definedName>
    <definedName name="__123Graph_XGRAPH3" hidden="1">#REF!</definedName>
    <definedName name="__123Graph_XGRAPH4" hidden="1">#REF!</definedName>
    <definedName name="__123Graph_XINTRABSENT" hidden="1">#REF!</definedName>
    <definedName name="__123Graph_XINTREXTRES" hidden="1">#REF!</definedName>
    <definedName name="__123Graph_XMAKE" hidden="1">#REF!</definedName>
    <definedName name="__123Graph_XMECANIZACION" hidden="1">#REF!</definedName>
    <definedName name="__123Graph_XMONTAJES" hidden="1">#REF!</definedName>
    <definedName name="__123Graph_XVAN" hidden="1">#REF!</definedName>
    <definedName name="__123Graph_Xｸﾞﾗﾌ集用" hidden="1">#REF!</definedName>
    <definedName name="__123Graph_X乗用車" hidden="1">#REF!</definedName>
    <definedName name="__123Graph_X乗用車保有" hidden="1">#REF!</definedName>
    <definedName name="__123Graph_X全体" hidden="1">#REF!</definedName>
    <definedName name="__123Graph_X全体折線" hidden="1">#REF!</definedName>
    <definedName name="__123Graph_X商用車" hidden="1">#REF!</definedName>
    <definedName name="__123Graph_X商用車保有" hidden="1">#REF!</definedName>
    <definedName name="__123Graph_X総市場" hidden="1">#REF!</definedName>
    <definedName name="__13__123Graph_LBL_AINTR_MONT" hidden="1">#REF!</definedName>
    <definedName name="__13_123Graph_D商" hidden="1">#REF!</definedName>
    <definedName name="__14__123Graph_LBL_AINTR_PINT" hidden="1">#REF!</definedName>
    <definedName name="__14_123Graph_D総" hidden="1">#REF!</definedName>
    <definedName name="__15__123Graph_LBL_BHORES_EXTRES" hidden="1">#REF!</definedName>
    <definedName name="__15_123Graph_E乗" hidden="1">#REF!</definedName>
    <definedName name="__16__123Graph_LBL_BSOLDA_PINTURA" hidden="1">#REF!</definedName>
    <definedName name="__16_123Graph_E商" hidden="1">#REF!</definedName>
    <definedName name="__17__123Graph_LBL_BTOTAL_DIRECTOS" hidden="1">#REF!</definedName>
    <definedName name="__17__123Graph_X4X4W_G" hidden="1">#REF!</definedName>
    <definedName name="__18__123Graph_XHORES_EXTRES" hidden="1">#REF!</definedName>
    <definedName name="__18_123Graph_X乗" hidden="1">#REF!</definedName>
    <definedName name="__19__123Graph_XINTR_DIR" hidden="1">#REF!</definedName>
    <definedName name="__19_123Graph_X商" hidden="1">#REF!</definedName>
    <definedName name="__2__123Graph_A4X4W_G" hidden="1">#REF!</definedName>
    <definedName name="__2__123Graph_AINTR_DIR" hidden="1">#REF!</definedName>
    <definedName name="__20__123Graph_XINTR_MECN" hidden="1">#REF!</definedName>
    <definedName name="__20_123Graph_X総" hidden="1">#REF!</definedName>
    <definedName name="__21__123Graph_XINTR_MONT" hidden="1">#REF!</definedName>
    <definedName name="__21_0__123Grap" hidden="1">#REF!</definedName>
    <definedName name="__22__123Graph_XINTR_PINT" hidden="1">#REF!</definedName>
    <definedName name="__22_0__123Graph_A商" hidden="1">#REF!</definedName>
    <definedName name="__23__123Graph_XSOLDA_PINTURA" hidden="1">#REF!</definedName>
    <definedName name="__23_0__123Graph_B乗" hidden="1">#REF!</definedName>
    <definedName name="__24__123Graph_XTOTAL_DIRECTOS" hidden="1">#REF!</definedName>
    <definedName name="__24_0__123Graph_B商" hidden="1">#REF!</definedName>
    <definedName name="__25_0__123Graph_B総" hidden="1">#REF!</definedName>
    <definedName name="__26_0__123Graph_C乗" hidden="1">#REF!</definedName>
    <definedName name="__27_0__123Graph_C商" hidden="1">#REF!</definedName>
    <definedName name="__28_0__123Graph_D乗" hidden="1">#REF!</definedName>
    <definedName name="__29_0__123Graph_D商" hidden="1">#REF!</definedName>
    <definedName name="__2M_Fenster_.Datensatz_einfügen">#REF!</definedName>
    <definedName name="__3__123Graph_AINTR_MECN" hidden="1">#REF!</definedName>
    <definedName name="__3_123Graph_A商" hidden="1">#REF!</definedName>
    <definedName name="__30_0__123Graph_D総" hidden="1">#REF!</definedName>
    <definedName name="__31_0__123Graph_E乗" hidden="1">#REF!</definedName>
    <definedName name="__32_0__123Graph_E商" hidden="1">#REF!</definedName>
    <definedName name="__33_0__123Graph_X乗" hidden="1">#REF!</definedName>
    <definedName name="__34_0__123Graph_X商" hidden="1">#REF!</definedName>
    <definedName name="__35_0__123Graph_X総" hidden="1">#REF!</definedName>
    <definedName name="__4__123Graph_AINTR_MONT" hidden="1">#REF!</definedName>
    <definedName name="__4__123Graph_B4X4W_G" hidden="1">#REF!</definedName>
    <definedName name="__5__123Graph_AINTR_PINT" hidden="1">#REF!</definedName>
    <definedName name="__5_123Graph_B乗" hidden="1">#REF!</definedName>
    <definedName name="__6__123Graph_ASOLDA_PINTURA" hidden="1">#REF!</definedName>
    <definedName name="__6_123Graph_B商" hidden="1">#REF!</definedName>
    <definedName name="__7__123Graph_ATOTAL_DIRECTOS" hidden="1">#REF!</definedName>
    <definedName name="__7_123Graph_B総" hidden="1">#REF!</definedName>
    <definedName name="__8__123Graph_BHORES_EXTRES" hidden="1">#REF!</definedName>
    <definedName name="__8__123Graph_C4X4W_G" hidden="1">#REF!</definedName>
    <definedName name="__9__123Graph_BSOLDA_PINTURA" hidden="1">#REF!</definedName>
    <definedName name="__9_123Graph_C乗" hidden="1">#REF!</definedName>
    <definedName name="__a1" hidden="1">{"'Sheet1'!$L$16"}</definedName>
    <definedName name="__a1_1" hidden="1">{"'Sheet1'!$L$16"}</definedName>
    <definedName name="__a10" hidden="1">{"'Sheet1'!$L$16"}</definedName>
    <definedName name="__a11" hidden="1">{"'Sheet1'!$L$16"}</definedName>
    <definedName name="__a12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4" hidden="1">{"TAG1AGMS",#N/A,FALSE,"TAG 1A"}</definedName>
    <definedName name="__a15" hidden="1">{"weichwaren",#N/A,FALSE,"Liste 1";"hartwaren",#N/A,FALSE,"Liste 1";"food",#N/A,FALSE,"Liste 1";"fleisch",#N/A,FALSE,"Liste 1"}</definedName>
    <definedName name="__a16" hidden="1">{"weichwaren",#N/A,FALSE,"Liste 1";"hartwaren",#N/A,FALSE,"Liste 1";"food",#N/A,FALSE,"Liste 1";"fleisch",#N/A,FALSE,"Liste 1"}</definedName>
    <definedName name="__a17" hidden="1">{"TAG1AGMS",#N/A,FALSE,"TAG 1A"}</definedName>
    <definedName name="__a18" hidden="1">{"Tages_D",#N/A,FALSE,"Tagesbericht";"Tages_PL",#N/A,FALSE,"Tagesbericht"}</definedName>
    <definedName name="__a19" hidden="1">{"fleisch",#N/A,FALSE,"WG HK";"food",#N/A,FALSE,"WG HK";"hartwaren",#N/A,FALSE,"WG HK";"weichwaren",#N/A,FALSE,"WG HK"}</definedName>
    <definedName name="__a2" hidden="1">{"'Sheet1'!$L$16"}</definedName>
    <definedName name="__a3" hidden="1">{"'Sheet1'!$L$16"}</definedName>
    <definedName name="__a33" hidden="1">{"fleisch",#N/A,FALSE,"WG HK";"food",#N/A,FALSE,"WG HK";"hartwaren",#N/A,FALSE,"WG HK";"weichwaren",#N/A,FALSE,"WG HK"}</definedName>
    <definedName name="__a4" hidden="1">{"'Sheet1'!$L$16"}</definedName>
    <definedName name="__a5" hidden="1">{"'Sheet1'!$L$16"}</definedName>
    <definedName name="__a55" hidden="1">{"Tages_D",#N/A,FALSE,"Tagesbericht";"Tages_PL",#N/A,FALSE,"Tagesbericht"}</definedName>
    <definedName name="__a66" hidden="1">{"TAG1AGMS",#N/A,FALSE,"TAG 1A"}</definedName>
    <definedName name="__a7" hidden="1">{"'Sheet1'!$L$16"}</definedName>
    <definedName name="__a8" hidden="1">{"'Sheet1'!$L$16"}</definedName>
    <definedName name="__a9" hidden="1">{"'Sheet1'!$L$16"}</definedName>
    <definedName name="__aa22" hidden="1">{"Tages_D",#N/A,FALSE,"Tagesbericht";"Tages_PL",#N/A,FALSE,"Tagesbericht"}</definedName>
    <definedName name="__add1">#REF!</definedName>
    <definedName name="_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8" hidden="1">{"Tages_D",#N/A,FALSE,"Tagesbericht";"Tages_PL",#N/A,FALSE,"Tagesbericht"}</definedName>
    <definedName name="__b19" hidden="1">{"Tages_D",#N/A,FALSE,"Tagesbericht";"Tages_PL",#N/A,FALSE,"Tagesbericht"}</definedName>
    <definedName name="__bac3">12413</definedName>
    <definedName name="__bac4">13529</definedName>
    <definedName name="__bac5">15483</definedName>
    <definedName name="__BG12" hidden="1">{"'Sheet1'!$L$16"}</definedName>
    <definedName name="__bookmark_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__BRZ42">#REF!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D2" hidden="1">{"'Sheet1'!$L$16"}</definedName>
    <definedName name="__CN1" hidden="1">{"'Sheet1'!$L$16"}</definedName>
    <definedName name="__Coc39" hidden="1">{"'Sheet1'!$L$16"}</definedName>
    <definedName name="__Cty501" hidden="1">{"'Sheet1'!$L$16"}</definedName>
    <definedName name="__d1500" hidden="1">{"'Sheet1'!$L$16"}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ot2" hidden="1">{"'Sheet1'!$L$16"}</definedName>
    <definedName name="__dt1" hidden="1">{"'Sheet1'!$L$16"}</definedName>
    <definedName name="__E1200" hidden="1">{"'Sheet1'!$L$16"}</definedName>
    <definedName name="__f5" hidden="1">{"'Sheet1'!$L$16"}</definedName>
    <definedName name="__FAB4" hidden="1">#REF!</definedName>
    <definedName name="__Fam2">#REF!</definedName>
    <definedName name="__FDS_HYPERLINK_TOGGLE_STATE__" hidden="1">"ON"</definedName>
    <definedName name="__FDS_UNIQUE_RANGE_ID_GENERATOR_COUNTER" hidden="1">1</definedName>
    <definedName name="__FDS_USED_FOR_REUSING_RANGE_IDS_RECYCLE" hidden="1">{531,127,157,473,54,109,529,339,416,90,502,272,463,532,378,250,184,377,228,71,147,435,525,295,528,207,503,504,505,506,507,509,512,513,514,515,516,517,518,519,520,521,522,523,524,526,468,470,469,471,491,464,466,465,467,472,494,495,496,497,498,499,500,501,479,480,481,482,483,484,487,488,489,490,454,455,457,458,459,460,461,462,424,350,142,140,146,148,58,150,14,121,144,124,474,475,476,477,478,436,437,438,439,440,441,442,443,444,445,446,447,448,450,453,101,15,105,220,417,418,419,420,422,423,425,426,427,428,429,432,430,431,433,434,398,399,400,401,402,403,404,405,406,407,408,409,410,411,412,413,414,415,380,381,382,383,384,385,386,387,388,389,390,391,67,392,69,374,375,376,397,341,342,343,344,345,346,347,348,349,351,352,353,354,355,356,357,358,379,152,119,100,333,332,334,340,98,81,83,85,393,394,395,396,87,89,273,275,276,277,278,279,280,281,282,283,284,285,286,287,288,289,290,291,294,251,252,253,254,257,258,259,260,261,262,263,264,265,266,267,268,269,270,271,229,230,231,232,233,234,235,238,239,240,241,242,243,244,245,246,247,248,249,208,209,210,211,212,213,214,215,216,217,218,219,222,223,224,225,226,227,185,188,189,190,191,186,193,196,187,192,194,195,197,198,199,200,204,205,206,159,167,168,165,166,170,171,172,173,174,175,176,177,178,179,180,181,182,183,164,141,143,149,151,153,154,155,160,162,163,156,129,161,122,123,125,130,131,132,133,134,135,136,138,139,145,110,158,103,104,106,111,112,113,114,115,117,118,120,126,128,527,533,508,510,511,492,493,485,486,79,449,451,452,7,80,84,86,92,93,94,95,96,97,99,102,107,108,70,72,65,66,68,73,74,76,77,78,82,88,331,59,60,61,62,63,64,56,34,36,37,38,39,40,41,42,43,44,45,46,47,48,49,50,51,52,53,55}</definedName>
    <definedName name="__feb02">#REF!</definedName>
    <definedName name="__FEB97">#REF!</definedName>
    <definedName name="__FPMExcelClient_CellBasedFunctionStatus" hidden="1">"2_2_2_2_2"</definedName>
    <definedName name="__GEN01">#REF!</definedName>
    <definedName name="__GEN97">#REF!</definedName>
    <definedName name="__Goi8" hidden="1">{"'Sheet1'!$L$16"}</definedName>
    <definedName name="__Goi8_1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2" hidden="1">{#N/A,#N/A,TRUE,"일정"}</definedName>
    <definedName name="__IntlFixup" hidden="1">TRUE</definedName>
    <definedName name="__IntlFixupTable" hidden="1">#REF!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ey1" hidden="1">#REF!</definedName>
    <definedName name="__key2" hidden="1">#REF!</definedName>
    <definedName name="__KKK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KM34" hidden="1">{"'Sheet1'!$L$16"}</definedName>
    <definedName name="__km51" hidden="1">{"'Sheet1'!$L$16"}</definedName>
    <definedName name="__Lan1" hidden="1">{"'Sheet1'!$L$16"}</definedName>
    <definedName name="__Lan2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LL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M2" hidden="1">{"'Sheet1'!$L$16"}</definedName>
    <definedName name="__M36" hidden="1">{"'Sheet1'!$L$16"}</definedName>
    <definedName name="__m4" hidden="1">{"'Sheet1'!$L$16"}</definedName>
    <definedName name="__mar03">#REF!</definedName>
    <definedName name="__May07" hidden="1">{"'TDTGT (theo Dphuong)'!$A$4:$F$75"}</definedName>
    <definedName name="__MCC3" hidden="1">{#N/A,#N/A,FALSE,"CCTV"}</definedName>
    <definedName name="__me04">#REF!</definedName>
    <definedName name="__MMT6" hidden="1">{"REVISED",#N/A,FALSE,"Sheet1"}</definedName>
    <definedName name="__MTC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MTC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MTC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NOT13" hidden="1">#REF!</definedName>
    <definedName name="__NOT14" hidden="1">#REF!</definedName>
    <definedName name="__NOT15" hidden="1">#REF!</definedName>
    <definedName name="__NOT16" hidden="1">#REF!</definedName>
    <definedName name="__NOT17" hidden="1">#REF!</definedName>
    <definedName name="__NOT18" hidden="1">#REF!</definedName>
    <definedName name="__NOT19" hidden="1">#REF!</definedName>
    <definedName name="__NOT20" hidden="1">#REF!</definedName>
    <definedName name="__NOT22" hidden="1">#REF!</definedName>
    <definedName name="__NOT23" hidden="1">#REF!</definedName>
    <definedName name="__NOT24" hidden="1">#REF!</definedName>
    <definedName name="__NOT25" hidden="1">#REF!</definedName>
    <definedName name="__NOT26" hidden="1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op1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__op2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__p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_PA3" hidden="1">{"'Sheet1'!$L$16"}</definedName>
    <definedName name="__PAG1">#REF!</definedName>
    <definedName name="__PAG2">#REF!</definedName>
    <definedName name="__PAG3">#REF!</definedName>
    <definedName name="__PAG4">#REF!</definedName>
    <definedName name="__pag5">#REF!</definedName>
    <definedName name="__pag6">#REF!</definedName>
    <definedName name="__PAG7">#REF!</definedName>
    <definedName name="__PAG8">#REF!</definedName>
    <definedName name="__PG1">#REF!</definedName>
    <definedName name="__PG2">#REF!</definedName>
    <definedName name="__PG3">#REF!</definedName>
    <definedName name="__PG4">#REF!</definedName>
    <definedName name="__PP08" hidden="1">#REF!</definedName>
    <definedName name="__PP09" hidden="1">#REF!</definedName>
    <definedName name="_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ro04">#REF!</definedName>
    <definedName name="__pro1">#REF!</definedName>
    <definedName name="__PU7" hidden="1">{#N/A,#N/A,TRUE,"일정"}</definedName>
    <definedName name="__qa1">#REF!</definedName>
    <definedName name="__qp04">#REF!</definedName>
    <definedName name="__QUY4" hidden="1">{"'Sheet1'!$L$16"}</definedName>
    <definedName name="__rep1">#REF!</definedName>
    <definedName name="__SA1">#N/A</definedName>
    <definedName name="__SA2">#N/A</definedName>
    <definedName name="__SA4">#N/A</definedName>
    <definedName name="__SB22" hidden="1">{"'Sheet1'!$L$16"}</definedName>
    <definedName name="__sc1701">#REF!</definedName>
    <definedName name="__sc1702">#REF!</definedName>
    <definedName name="__sc1703">#REF!</definedName>
    <definedName name="__sc1704">#REF!</definedName>
    <definedName name="__sc1705">#REF!</definedName>
    <definedName name="__sc1706">#REF!</definedName>
    <definedName name="__sc1707">#REF!</definedName>
    <definedName name="__sc1708">#REF!</definedName>
    <definedName name="__sc1709">#REF!</definedName>
    <definedName name="__sc1710">#REF!</definedName>
    <definedName name="__SCL4" hidden="1">{"'Sheet1'!$L$16"}</definedName>
    <definedName name="__SCL4_1" hidden="1">{"'Sheet1'!$L$16"}</definedName>
    <definedName name="__SCOOTERMARKET" hidden="1">#REF!</definedName>
    <definedName name="__SH1701">#REF!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S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01" hidden="1">#REF!</definedName>
    <definedName name="__T04" hidden="1">{#N/A,#N/A,FALSE,"CCTV"}</definedName>
    <definedName name="__t1" hidden="1">{"'Sheet1'!$L$16"}</definedName>
    <definedName name="__T10" hidden="1">{"'Sheet1'!$L$16"}</definedName>
    <definedName name="__t112" hidden="1">{#N/A,#N/A,FALSE,"Chi tiÆt"}</definedName>
    <definedName name="__T2" hidden="1">{"'Sheet1'!$L$16"}</definedName>
    <definedName name="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3" hidden="1">{"'Sheet1'!$L$16"}</definedName>
    <definedName name="__t9" hidden="1">{#N/A,#N/A,FALSE,"Chi tiÆt"}</definedName>
    <definedName name="__tb1">#REF!</definedName>
    <definedName name="__tb2">#REF!</definedName>
    <definedName name="__td1" hidden="1">{"'Sheet1'!$L$16"}</definedName>
    <definedName name="__tha1" hidden="1">{"'Sheet1'!$L$16"}</definedName>
    <definedName name="__Tir1" hidden="1">{#N/A,#N/A,TRUE,"일정"}</definedName>
    <definedName name="__TIR2" hidden="1">{#N/A,#N/A,TRUE,"일정"}</definedName>
    <definedName name="__TIR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K211" hidden="1">{"'Sheet1'!$L$16"}</definedName>
    <definedName name="__TM2" hidden="1">{"'Sheet1'!$L$16"}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S2004" hidden="1">{"'Sheet1'!$L$16"}</definedName>
    <definedName name="__tt3" hidden="1">{"'Sheet1'!$L$16"}</definedName>
    <definedName name="__tu4" hidden="1">{"'Sheet1'!$L$16"}</definedName>
    <definedName name="__u18" hidden="1">{"Tages_D",#N/A,FALSE,"Tagesbericht";"Tages_PL",#N/A,FALSE,"Tagesbericht"}</definedName>
    <definedName name="__u20" hidden="1">{"fleisch",#N/A,FALSE,"WG HK";"food",#N/A,FALSE,"WG HK";"hartwaren",#N/A,FALSE,"WG HK";"weichwaren",#N/A,FALSE,"WG HK"}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LP2" hidden="1">{"'Sheet1'!$L$16"}</definedName>
    <definedName name="__VT675" hidden="1">{"Offgrid",#N/A,FALSE,"OFFGRID";"Region",#N/A,FALSE,"REGION";"Offgrid -2",#N/A,FALSE,"OFFGRID";"WTP",#N/A,FALSE,"WTP";"WTP -2",#N/A,FALSE,"WTP";"Project",#N/A,FALSE,"PROJECT";"Summary -2",#N/A,FALSE,"SUMMARY"}</definedName>
    <definedName name="__VT676" hidden="1">{"Offgrid",#N/A,FALSE,"OFFGRID";"Region",#N/A,FALSE,"REGION";"Offgrid -2",#N/A,FALSE,"OFFGRID";"WTP",#N/A,FALSE,"WTP";"WTP -2",#N/A,FALSE,"WTP";"Project",#N/A,FALSE,"PROJECT";"Summary -2",#N/A,FALSE,"SUMMARY"}</definedName>
    <definedName name="__VT677" hidden="1">{"Offgrid",#N/A,FALSE,"OFFGRID";"Region",#N/A,FALSE,"REGION";"Offgrid -2",#N/A,FALSE,"OFFGRID";"WTP",#N/A,FALSE,"WTP";"WTP -2",#N/A,FALSE,"WTP";"Project",#N/A,FALSE,"PROJECT";"Summary -2",#N/A,FALSE,"SUMMARY"}</definedName>
    <definedName name="__VT678" hidden="1">{"Offgrid",#N/A,FALSE,"OFFGRID";"Region",#N/A,FALSE,"REGION";"Offgrid -2",#N/A,FALSE,"OFFGRID";"WTP",#N/A,FALSE,"WTP";"WTP -2",#N/A,FALSE,"WTP";"Project",#N/A,FALSE,"PROJECT";"Summary -2",#N/A,FALSE,"SUMMARY"}</definedName>
    <definedName name="__VT679" hidden="1">{"Offgrid",#N/A,FALSE,"OFFGRID";"Region",#N/A,FALSE,"REGION";"Offgrid -2",#N/A,FALSE,"OFFGRID";"WTP",#N/A,FALSE,"WTP";"WTP -2",#N/A,FALSE,"WTP";"Project",#N/A,FALSE,"PROJECT";"Summary -2",#N/A,FALSE,"SUMMARY"}</definedName>
    <definedName name="__VTQ1" hidden="1">{"'Sheet1'!$L$16"}</definedName>
    <definedName name="__WW2" hidden="1">{"'Sheet1'!$L$16"}</definedName>
    <definedName name="__XG2" hidden="1">{#N/A,#N/A,FALSE,"단축1";#N/A,#N/A,FALSE,"단축2";#N/A,#N/A,FALSE,"단축3";#N/A,#N/A,FALSE,"장축";#N/A,#N/A,FALSE,"4WD"}</definedName>
    <definedName name="__xlcn.WorksheetConnection_Sheet12CE1" hidden="1">#REF!</definedName>
    <definedName name="__xlcn.WorksheetConnection_Sheet1AB11" hidden="1">#REF!</definedName>
    <definedName name="__xlfn.BAHTTEXT" hidden="1">#NAME?</definedName>
    <definedName name="__xlfn.RTD" hidden="1">#NAME?</definedName>
    <definedName name="__xlnm.Print_Titles_1">#REF!</definedName>
    <definedName name="__zz1">#REF!</definedName>
    <definedName name="_022B_">#REF!</definedName>
    <definedName name="_022B_Read">#REF!</definedName>
    <definedName name="_022B_Write">#REF!</definedName>
    <definedName name="_0268_">#REF!</definedName>
    <definedName name="_0269_">#REF!</definedName>
    <definedName name="_026A_">#REF!</definedName>
    <definedName name="_0514__Transmission_Assembly_Traceability_Number_Write">#REF!</definedName>
    <definedName name="_073">"DIEU CHINH"</definedName>
    <definedName name="_1">#REF!</definedName>
    <definedName name="_1._Zeile">#REF!</definedName>
    <definedName name="_1.1_____PURPOSE">#REF!</definedName>
    <definedName name="_1.2_____SCOPE">#REF!</definedName>
    <definedName name="_1.3______DEFINITIONS__ACRONYMS_AND_ABBREVIATIONS">#REF!</definedName>
    <definedName name="_1.4_____REFERENCES">#REF!</definedName>
    <definedName name="_1_">#REF!</definedName>
    <definedName name="_1_???" hidden="1">#REF!</definedName>
    <definedName name="_1_______0__123Grap" hidden="1">#REF!</definedName>
    <definedName name="_1___0__123Grap" hidden="1">#REF!</definedName>
    <definedName name="_1___123Graph_ACHART_3" hidden="1">#REF!</definedName>
    <definedName name="_1__123Graph_A????_1" hidden="1">#REF!</definedName>
    <definedName name="_1__123Graph_ACHART_1A" hidden="1">#REF!</definedName>
    <definedName name="_1__123Graph_AHORES_EXTRES" hidden="1">#REF!</definedName>
    <definedName name="_1__123Graph_Aｸﾞﾗﾌ_1" hidden="1">#REF!</definedName>
    <definedName name="_1__FDSAUDITLINK__" hidden="1">{"fdsup://IBCentral/FAT Viewer?action=UPDATE&amp;creator=factset&amp;DOC_NAME=fat:reuters_annual_source_window.fat&amp;display_string=Audit&amp;DYN_ARGS=TRUE&amp;VAR:ID1=85450210&amp;VAR:RCODE=SCEX&amp;VAR:SDATE=20091299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_0__123Grap" hidden="1">#REF!</definedName>
    <definedName name="_1_0_F" hidden="1">#REF!</definedName>
    <definedName name="_1_123Grap" hidden="1">#REF!</definedName>
    <definedName name="_10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10_______0__123Graph_D総" hidden="1">#REF!</definedName>
    <definedName name="_10___123Graph_ECHART_4" hidden="1">#REF!</definedName>
    <definedName name="_10__123Graph_AINTR_DIR" hidden="1">#REF!</definedName>
    <definedName name="_10__123Graph_AINTR_PINT" hidden="1">#REF!</definedName>
    <definedName name="_10__123Graph_Aｸﾞﾗﾌ_2" hidden="1">#REF!</definedName>
    <definedName name="_10__123Graph_Aｸﾞﾗﾌ_5" hidden="1">#REF!</definedName>
    <definedName name="_10__123Graph_BTOTAL_DIRECTOS" hidden="1">#REF!</definedName>
    <definedName name="_10__123Graph_Xｸﾞﾗﾌ_5" hidden="1">#REF!</definedName>
    <definedName name="_10__FDSAUDITLINK__" hidden="1">{"fdsup://directions/FAT Viewer?action=UPDATE&amp;creator=factSet&amp;DYN_ARGS=true&amp;DOC_NAME=FAT:RGQ_ENTRPR_VAL_MV_SOURCE_WINDOW.FAT&amp;VAR:ID1=MAG-PL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10_0__123Grap" hidden="1">#REF!</definedName>
    <definedName name="_10_0_0_F" hidden="1">#REF!</definedName>
    <definedName name="_10_123Graph_C商" hidden="1">#REF!</definedName>
    <definedName name="_100">#REF!</definedName>
    <definedName name="_100__123Graph_XINTR_MECN" hidden="1">#REF!</definedName>
    <definedName name="_100__123Graph_Xｸﾞﾗﾌ_3" hidden="1">#REF!</definedName>
    <definedName name="_100__FDSAUDITLINK__" hidden="1">{"fdsup://directions/FAT Viewer?action=UPDATE&amp;creator=factSet&amp;DYN_ARGS=true&amp;DOC_NAME=FAT:RGQ_ENTRPR_VAL_MV_SOURCE_WINDOW.FAT&amp;VAR:ID1=AERG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00_0__123Graph_E乗" hidden="1">#REF!</definedName>
    <definedName name="_101__FDSAUDITLINK__" hidden="1">{"fdsup://directions/FAT Viewer?action=UPDATE&amp;creator=factSet&amp;DYN_ARGS=true&amp;DOC_NAME=FAT:RGQ_ENTRPR_VAL_MV_SOURCE_WINDOW.FAT&amp;VAR:ID1=SYP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01_0__123Graph_E乗" hidden="1">#REF!</definedName>
    <definedName name="_102__FDSAUDITLINK__" hidden="1">{"fdsup://directions/FAT Viewer?action=UPDATE&amp;creator=factSet&amp;DYN_ARGS=true&amp;DOC_NAME=FAT:RGQ_ENTRPR_VAL_MV_SOURCE_WINDOW.FAT&amp;VAR:ID1=SYP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02_0__123Graph_E乗" hidden="1">#REF!</definedName>
    <definedName name="_103__123Graph_X????_4" hidden="1">#REF!</definedName>
    <definedName name="_103__123Graph_Xｸﾞﾗﾌ_5" hidden="1">#REF!</definedName>
    <definedName name="_103__FDSAUDITLINK__" hidden="1">{"fdsup://directions/FAT Viewer?action=UPDATE&amp;creator=factSet&amp;DYN_ARGS=true&amp;DOC_NAME=FAT:RGQ_ENTRPR_VAL_MV_SOURCE_WINDOW.FAT&amp;VAR:ID1=DRCO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03_0__123Graph_E乗" hidden="1">#REF!</definedName>
    <definedName name="_104__FDSAUDITLINK__" hidden="1">{"fdsup://directions/FAT Viewer?action=UPDATE&amp;creator=factSet&amp;DYN_ARGS=true&amp;DOC_NAME=FAT:RGQ_ENTRPR_VAL_MV_SOURCE_WINDOW.FAT&amp;VAR:ID1=DRCO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04_0__123Graph_E乗" hidden="1">#REF!</definedName>
    <definedName name="_105__123Graph_XINTR_MONT" hidden="1">#REF!</definedName>
    <definedName name="_105__FDSAUDITLINK__" hidden="1">{"fdsup://directions/FAT Viewer?action=UPDATE&amp;creator=factSet&amp;DYN_ARGS=true&amp;DOC_NAME=FAT:RGQ_ENTRPR_VAL_MV_SOURCE_WINDOW.FAT&amp;VAR:ID1=KVHI&amp;VAR:SDATE=20100721&amp;VAR:FDATE=20100630&amp;VAR:FREQ=DAILY&amp;VAR:RELITEM=&amp;VAR:CURRENCY=&amp;VAR:DB_TYPE=&amp;VAR:UNITS=M&amp;VAR:SHS_OUT_TY","PE=&amp;window=popup&amp;width=535&amp;height=425&amp;START_MAXIMIZED=FALSE&amp;Y=120"}</definedName>
    <definedName name="_105_0__123Graph_E商" hidden="1">#REF!</definedName>
    <definedName name="_106__123Graph_Xｸﾞﾗﾌ_4" hidden="1">#REF!</definedName>
    <definedName name="_106__FDSAUDITLINK__" hidden="1">{"fdsup://directions/FAT Viewer?action=UPDATE&amp;creator=factSet&amp;DYN_ARGS=true&amp;DOC_NAME=FAT:RGQ_ENTRPR_VAL_MV_SOURCE_WINDOW.FAT&amp;VAR:ID1=KVHI&amp;VAR:SDATE=20100721&amp;VAR:FDATE=20100630&amp;VAR:FREQ=DAILY&amp;VAR:RELITEM=&amp;VAR:CURRENCY=&amp;VAR:DB_TYPE=&amp;VAR:UNITS=M&amp;VAR:SHS_OUT_TY","PE=&amp;window=popup&amp;width=535&amp;height=425&amp;START_MAXIMIZED=FALSE&amp;Y=120"}</definedName>
    <definedName name="_106_0__123Graph_E商" hidden="1">#REF!</definedName>
    <definedName name="_107__FDSAUDITLINK__" hidden="1">{"fdsup://directions/FAT Viewer?action=UPDATE&amp;creator=factSet&amp;DYN_ARGS=true&amp;DOC_NAME=FAT:RGQ_ENTRPR_VAL_MV_SOURCE_WINDOW.FAT&amp;VAR:ID1=FRP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07_0__123Graph_E商" hidden="1">#REF!</definedName>
    <definedName name="_108__123Graph_EGRAPHIQUE_16" hidden="1">#REF!</definedName>
    <definedName name="_108__123Graph_X????_5" hidden="1">#REF!</definedName>
    <definedName name="_108__FDSAUDITLINK__" hidden="1">{"fdsup://directions/FAT Viewer?action=UPDATE&amp;creator=factSet&amp;DYN_ARGS=true&amp;DOC_NAME=FAT:RGQ_ENTRPR_VAL_MV_SOURCE_WINDOW.FAT&amp;VAR:ID1=FRP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08_0__123Graph_E商" hidden="1">#REF!</definedName>
    <definedName name="_109__FDSAUDITLINK__" hidden="1">{"fdsup://directions/FAT Viewer?action=UPDATE&amp;creator=factSet&amp;DYN_ARGS=true&amp;DOC_NAME=FAT:RGQ_ENTRPR_VAL_MV_SOURCE_WINDOW.FAT&amp;VAR:ID1=ISY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09_0__123Graph_E商" hidden="1">#REF!</definedName>
    <definedName name="_10M_Fenster_.Datensatz_einfügen">#REF!</definedName>
    <definedName name="_10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1_?" hidden="1">{#N/A,#N/A,TRUE,"??"}</definedName>
    <definedName name="_11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1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11_______0__123Graph_E乗" hidden="1">#REF!</definedName>
    <definedName name="_11___123Graph_FCHART_3" hidden="1">#REF!</definedName>
    <definedName name="_11__123Graph_Aｸﾞﾗﾌ_3" hidden="1">#REF!</definedName>
    <definedName name="_11__123Graph_D4X4W_G" hidden="1">#REF!</definedName>
    <definedName name="_11__123Graph_LBL_AINTR_DIR" hidden="1">#REF!</definedName>
    <definedName name="_11__123Graph_X????_1" hidden="1">#REF!</definedName>
    <definedName name="_11__FDSAUDITLINK__" hidden="1">{"fdsup://directions/FAT Viewer?action=UPDATE&amp;creator=factSet&amp;DYN_ARGS=true&amp;DOC_NAME=FAT:RGQ_ENTRPR_VAL_MV_SOURCE_WINDOW.FAT&amp;VAR:ID1=HRX-CA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110__123Graph_XINTR_PINT" hidden="1">#REF!</definedName>
    <definedName name="_110__FDSAUDITLINK__" hidden="1">{"fdsup://directions/FAT Viewer?action=UPDATE&amp;creator=factSet&amp;DYN_ARGS=true&amp;DOC_NAME=FAT:RGQ_ENTRPR_VAL_MV_SOURCE_WINDOW.FAT&amp;VAR:ID1=ISY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10_0__123Graph_E商" hidden="1">#REF!</definedName>
    <definedName name="_111__FDSAUDITLINK__" hidden="1">{"fdsup://directions/FAT Viewer?action=UPDATE&amp;creator=factSet&amp;DYN_ARGS=true&amp;DOC_NAME=FAT:RGQ_ENTRPR_VAL_MV_SOURCE_WINDOW.FAT&amp;VAR:ID1=VSE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11_0__123Graph_X乗" hidden="1">#REF!</definedName>
    <definedName name="_112__123Graph_Xｸﾞﾗﾌ_5" hidden="1">#REF!</definedName>
    <definedName name="_112__FDSAUDITLINK__" hidden="1">{"fdsup://directions/FAT Viewer?action=UPDATE&amp;creator=factSet&amp;DYN_ARGS=true&amp;DOC_NAME=FAT:RGQ_ENTRPR_VAL_MV_SOURCE_WINDOW.FAT&amp;VAR:ID1=VSE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12_0__123Graph_X乗" hidden="1">#REF!</definedName>
    <definedName name="_113__FDSAUDITLINK__" hidden="1">{"fdsup://directions/FAT Viewer?action=UPDATE&amp;creator=factSet&amp;DYN_ARGS=true&amp;DOC_NAME=FAT:RGQ_ENTRPR_VAL_MV_SOURCE_WINDOW.FAT&amp;VAR:ID1=ATRO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13_0__123Graph_X乗" hidden="1">#REF!</definedName>
    <definedName name="_114__FDSAUDITLINK__" hidden="1">{"fdsup://directions/FAT Viewer?action=UPDATE&amp;creator=factSet&amp;DYN_ARGS=true&amp;DOC_NAME=FAT:RGQ_ENTRPR_VAL_MV_SOURCE_WINDOW.FAT&amp;VAR:ID1=ATRO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14_0__123Graph_X乗" hidden="1">#REF!</definedName>
    <definedName name="_115__123Graph_XSOLDA_PINTURA" hidden="1">#REF!</definedName>
    <definedName name="_115__FDSAUDITLINK__" hidden="1">{"fdsup://directions/FAT Viewer?action=UPDATE&amp;creator=factSet&amp;DYN_ARGS=true&amp;DOC_NAME=FAT:RGQ_ENTRPR_VAL_MV_SOURCE_WINDOW.FAT&amp;VAR:ID1=TAS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15_0__123Graph_X乗" hidden="1">#REF!</definedName>
    <definedName name="_116__123Graph_Xｸﾞﾗﾌ_1" hidden="1">#REF!</definedName>
    <definedName name="_116__FDSAUDITLINK__" hidden="1">{"fdsup://directions/FAT Viewer?action=UPDATE&amp;creator=factSet&amp;DYN_ARGS=true&amp;DOC_NAME=FAT:RGQ_ENTRPR_VAL_MV_SOURCE_WINDOW.FAT&amp;VAR:ID1=TAS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16_0__123Graph_X乗" hidden="1">#REF!</definedName>
    <definedName name="_117__FDSAUDITLINK__" hidden="1">{"fdsup://directions/FAT Viewer?action=UPDATE&amp;creator=factSet&amp;DYN_ARGS=true&amp;DOC_NAME=FAT:RGQ_ENTRPR_VAL_MV_SOURCE_WINDOW.FAT&amp;VAR:ID1=HRLY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117_0__123Graph_X商" hidden="1">#REF!</definedName>
    <definedName name="_117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8__FDSAUDITLINK__" hidden="1">{"fdsup://directions/FAT Viewer?action=UPDATE&amp;creator=factSet&amp;DYN_ARGS=true&amp;DOC_NAME=FAT:RGQ_ENTRPR_VAL_MV_SOURCE_WINDOW.FAT&amp;VAR:ID1=HRLY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118_0__123Graph_X商" hidden="1">#REF!</definedName>
    <definedName name="_118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19__FDSAUDITLINK__" hidden="1">{"fdsup://directions/FAT Viewer?action=UPDATE&amp;creator=factSet&amp;DYN_ARGS=true&amp;DOC_NAME=FAT:RGQ_ENTRPR_VAL_MV_SOURCE_WINDOW.FAT&amp;VAR:ID1=DCO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19_0__123Graph_X商" hidden="1">#REF!</definedName>
    <definedName name="_119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M_Fenster_.Datensatz_einfügen">#REF!</definedName>
    <definedName name="_11M_Fenster_.KSBASISDATEN">#REF!</definedName>
    <definedName name="_11P3_" hidden="1">{#N/A,#N/A,FALSE,"特殊室（ＢＱ表）"}</definedName>
    <definedName name="_12_?" hidden="1">{#N/A,#N/A,TRUE,"??"}</definedName>
    <definedName name="_12_______0__123Graph_E商" hidden="1">#REF!</definedName>
    <definedName name="_12___123Graph_FCHART_4" hidden="1">#REF!</definedName>
    <definedName name="_12__123Graph_A????_2" hidden="1">#REF!</definedName>
    <definedName name="_12__123Graph_AGRAPHIQUE_1" hidden="1">#REF!</definedName>
    <definedName name="_12__123Graph_ASOLDA_PINTURA" hidden="1">#REF!</definedName>
    <definedName name="_12__123Graph_Aｸﾞﾗﾌ_4" hidden="1">#REF!</definedName>
    <definedName name="_12__123Graph_LBL_AINTR_MECN" hidden="1">#REF!</definedName>
    <definedName name="_12__123Graph_X????_2" hidden="1">#REF!</definedName>
    <definedName name="_12__FDSAUDITLINK__" hidden="1">{"fdsup://directions/FAT Viewer?action=UPDATE&amp;creator=factSet&amp;DYN_ARGS=true&amp;DOC_NAME=FAT:RGQ_ENTRPR_VAL_MV_SOURCE_WINDOW.FAT&amp;VAR:ID1=HRX-CA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12_123Graph_D乗" hidden="1">#REF!</definedName>
    <definedName name="_120__123Graph_FGRAPHIQUE_1" hidden="1">#REF!</definedName>
    <definedName name="_120__123Graph_XTOTAL_DIRECTOS" hidden="1">#REF!</definedName>
    <definedName name="_120__FDSAUDITLINK__" hidden="1">{"fdsup://directions/FAT Viewer?action=UPDATE&amp;creator=factSet&amp;DYN_ARGS=true&amp;DOC_NAME=FAT:RGQ_ENTRPR_VAL_MV_SOURCE_WINDOW.FAT&amp;VAR:ID1=DCO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20_0__123Graph_X商" hidden="1">#REF!</definedName>
    <definedName name="_121__FDSAUDITLINK__" hidden="1">{"fdsup://directions/FAT Viewer?action=UPDATE&amp;creator=factSet&amp;DYN_ARGS=true&amp;DOC_NAME=FAT:RGQ_ENTRPR_VAL_MV_SOURCE_WINDOW.FAT&amp;VAR:ID1=LB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121_0__123Graph_X商" hidden="1">#REF!</definedName>
    <definedName name="_121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22__FDSAUDITLINK__" hidden="1">{"fdsup://directions/FAT Viewer?action=UPDATE&amp;creator=factSet&amp;DYN_ARGS=true&amp;DOC_NAME=FAT:RGQ_ENTRPR_VAL_MV_SOURCE_WINDOW.FAT&amp;VAR:ID1=LB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122_0__123Graph_X商" hidden="1">#REF!</definedName>
    <definedName name="_123__FDSAUDITLINK__" hidden="1">{"fdsup://directions/FAT Viewer?action=UPDATE&amp;creator=factSet&amp;DYN_ARGS=true&amp;DOC_NAME=FAT:RGQ_ENTRPR_VAL_MV_SOURCE_WINDOW.FAT&amp;VAR:ID1=ANE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23_0__123Graph_X総" hidden="1">#REF!</definedName>
    <definedName name="_123456a" hidden="1">#REF!</definedName>
    <definedName name="_123Graph_A300.CGM" hidden="1">#REF!</definedName>
    <definedName name="＿123Graph_D" hidden="1">#REF!</definedName>
    <definedName name="_123Graph_E" hidden="1">#REF!</definedName>
    <definedName name="_123Graph_F" hidden="1">#REF!</definedName>
    <definedName name="_124__123Graph_Xｸﾞﾗﾌ_2" hidden="1">#REF!</definedName>
    <definedName name="_124__FDSAUDITLINK__" hidden="1">{"fdsup://directions/FAT Viewer?action=UPDATE&amp;creator=factSet&amp;DYN_ARGS=true&amp;DOC_NAME=FAT:RGQ_ENTRPR_VAL_MV_SOURCE_WINDOW.FAT&amp;VAR:ID1=ANE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24_0__123Graph_X総" hidden="1">#REF!</definedName>
    <definedName name="_124Graph" hidden="1">#REF!</definedName>
    <definedName name="_125__FDSAUDITLINK__" hidden="1">{"fdsup://directions/FAT Viewer?action=UPDATE&amp;creator=factSet&amp;DYN_ARGS=true&amp;DOC_NAME=FAT:RGQ_ENTRPR_VAL_MV_SOURCE_WINDOW.FAT&amp;VAR:ID1=HW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25_0__123Graph_X総" hidden="1">#REF!</definedName>
    <definedName name="_126__FDSAUDITLINK__" hidden="1">{"fdsup://directions/FAT Viewer?action=UPDATE&amp;creator=factSet&amp;DYN_ARGS=true&amp;DOC_NAME=FAT:RGQ_ENTRPR_VAL_MV_SOURCE_WINDOW.FAT&amp;VAR:ID1=HW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26_0__123Graph_X総" hidden="1">#REF!</definedName>
    <definedName name="_127__FDSAUDITLINK__" hidden="1">{"fdsup://directions/FAT Viewer?action=UPDATE&amp;creator=factSet&amp;DYN_ARGS=true&amp;DOC_NAME=FAT:RGQ_ENTRPR_VAL_MV_SOURCE_WINDOW.FAT&amp;VAR:ID1=SAT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27_0__123Graph_X総" hidden="1">#REF!</definedName>
    <definedName name="_128__FDSAUDITLINK__" hidden="1">{"fdsup://directions/FAT Viewer?action=UPDATE&amp;creator=factSet&amp;DYN_ARGS=true&amp;DOC_NAME=FAT:RGQ_ENTRPR_VAL_MV_SOURCE_WINDOW.FAT&amp;VAR:ID1=SAT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28_0__123Graph_X総" hidden="1">#REF!</definedName>
    <definedName name="_129__FDSAUDITLINK__" hidden="1">{"fdsup://directions/FAT Viewer?action=UPDATE&amp;creator=factSet&amp;DYN_ARGS=true&amp;DOC_NAME=FAT:RGQ_ENTRPR_VAL_MV_SOURCE_WINDOW.FAT&amp;VAR:ID1=LMIA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2M_Fenster_.Datensatz_einfügen">#REF!</definedName>
    <definedName name="_12M_Fenster_.KSBASISDATEN">#REF!</definedName>
    <definedName name="_13">#REF!</definedName>
    <definedName name="_13_?" hidden="1">{#N/A,#N/A,TRUE,"??"}</definedName>
    <definedName name="_13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13_______0__123Graph_X乗" hidden="1">#REF!</definedName>
    <definedName name="_13___123Graph_XCHART_4" hidden="1">#REF!</definedName>
    <definedName name="_13__123Graph_Aｸﾞﾗﾌ_5" hidden="1">#REF!</definedName>
    <definedName name="_13__123Graph_LBL_AINTR_MONT" hidden="1">#REF!</definedName>
    <definedName name="_13__123Graph_X????_3" hidden="1">#REF!</definedName>
    <definedName name="_13__FDSAUDITLINK__" hidden="1">{"fdsup://directions/FAT Viewer?action=UPDATE&amp;creator=factSet&amp;DYN_ARGS=true&amp;DOC_NAME=FAT:RGQ_ENTRPR_VAL_MV_SOURCE_WINDOW.FAT&amp;VAR:ID1=SAAB.B-SE&amp;VAR:SDATE=20100721&amp;VAR:FDATE=20100630&amp;VAR:FREQ=DAILY&amp;VAR:RELITEM=&amp;VAR:CURRENCY=&amp;VAR:DB_TYPE=&amp;VAR:UNITS=M&amp;VAR:SHS_O","UT_TYPE=&amp;window=popup&amp;width=535&amp;height=425&amp;START_MAXIMIZED=FALSE&amp;Y=120"}</definedName>
    <definedName name="_13_0__123Grap" hidden="1">#REF!</definedName>
    <definedName name="_13_123Graph_D商" hidden="1">#REF!</definedName>
    <definedName name="_130__FDSAUDITLINK__" hidden="1">{"fdsup://directions/FAT Viewer?action=UPDATE&amp;creator=factSet&amp;DYN_ARGS=true&amp;DOC_NAME=FAT:RGQ_ENTRPR_VAL_MV_SOURCE_WINDOW.FAT&amp;VAR:ID1=LMIA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31__FDSAUDITLINK__" hidden="1">{"fdsup://directions/FAT Viewer?action=UPDATE&amp;creator=factSet&amp;DYN_ARGS=true&amp;DOC_NAME=FAT:RGQ_ENTRPR_VAL_MV_SOURCE_WINDOW.FAT&amp;VAR:ID1=ICX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32__123Graph_XGRAPHIQUE_1" hidden="1">#REF!</definedName>
    <definedName name="_132__123Graph_Xｸﾞﾗﾌ_3" hidden="1">#REF!</definedName>
    <definedName name="_132__FDSAUDITLINK__" hidden="1">{"fdsup://directions/FAT Viewer?action=UPDATE&amp;creator=factSet&amp;DYN_ARGS=true&amp;DOC_NAME=FAT:RGQ_ENTRPR_VAL_MV_SOURCE_WINDOW.FAT&amp;VAR:ID1=ICX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33__FDSAUDITLINK__" hidden="1">{"fdsup://directions/FAT Viewer?action=UPDATE&amp;creator=factSet&amp;DYN_ARGS=true&amp;DOC_NAME=FAT:RGQ_ENTRPR_VAL_MV_SOURCE_WINDOW.FAT&amp;VAR:ID1=CRD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34__FDSAUDITLINK__" hidden="1">{"fdsup://directions/FAT Viewer?action=UPDATE&amp;creator=factSet&amp;DYN_ARGS=true&amp;DOC_NAME=FAT:RGQ_ENTRPR_VAL_MV_SOURCE_WINDOW.FAT&amp;VAR:ID1=CRD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35__FDSAUDITLINK__" hidden="1">{"fdsup://directions/FAT Viewer?action=UPDATE&amp;creator=factSet&amp;DYN_ARGS=true&amp;DOC_NAME=FAT:RGQ_ENTRPR_VAL_MV_SOURCE_WINDOW.FAT&amp;VAR:ID1=AVAV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136__FDSAUDITLINK__" hidden="1">{"fdsup://directions/FAT Viewer?action=UPDATE&amp;creator=factSet&amp;DYN_ARGS=true&amp;DOC_NAME=FAT:RGQ_ENTRPR_VAL_MV_SOURCE_WINDOW.FAT&amp;VAR:ID1=AVAV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137__FDSAUDITLINK__" hidden="1">{"fdsup://directions/FAT Viewer?action=UPDATE&amp;creator=factSet&amp;DYN_ARGS=true&amp;DOC_NAME=FAT:RGQ_ENTRPR_VAL_MV_SOURCE_WINDOW.FAT&amp;VAR:ID1=IRB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38__FDSAUDITLINK__" hidden="1">{"fdsup://directions/FAT Viewer?action=UPDATE&amp;creator=factSet&amp;DYN_ARGS=true&amp;DOC_NAME=FAT:RGQ_ENTRPR_VAL_MV_SOURCE_WINDOW.FAT&amp;VAR:ID1=IRB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39__FDSAUDITLINK__" hidden="1">{"fdsup://directions/FAT Viewer?action=UPDATE&amp;creator=factSet&amp;DYN_ARGS=true&amp;DOC_NAME=FAT:RGQ_ENTRPR_VAL_MV_SOURCE_WINDOW.FAT&amp;VAR:ID1=LDSH&amp;VAR:SDATE=20100721&amp;VAR:FDATE=20100630&amp;VAR:FREQ=DAILY&amp;VAR:RELITEM=&amp;VAR:CURRENCY=&amp;VAR:DB_TYPE=&amp;VAR:UNITS=M&amp;VAR:SHS_OUT_TY","PE=&amp;window=popup&amp;width=535&amp;height=425&amp;START_MAXIMIZED=FALSE&amp;Y=120"}</definedName>
    <definedName name="_1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3M_Fenster_.Datensatz_einfügen">#REF!</definedName>
    <definedName name="_13M_Fenster_.KSBASISDATEN">#REF!</definedName>
    <definedName name="_14">#REF!</definedName>
    <definedName name="_14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4_______0__123Graph_X商" hidden="1">#REF!</definedName>
    <definedName name="_14__123Graph_ACHART_3" hidden="1">#REF!</definedName>
    <definedName name="_14__123Graph_ATOTAL_DIRECTOS" hidden="1">#REF!</definedName>
    <definedName name="_14__123Graph_LBL_AINTR_PINT" hidden="1">#REF!</definedName>
    <definedName name="_14__123Graph_X????_1" hidden="1">#REF!</definedName>
    <definedName name="_14__123Graph_X????_4" hidden="1">#REF!</definedName>
    <definedName name="_14__FDSAUDITLINK__" hidden="1">{"fdsup://directions/FAT Viewer?action=UPDATE&amp;creator=factSet&amp;DYN_ARGS=true&amp;DOC_NAME=FAT:RGQ_ENTRPR_VAL_MV_SOURCE_WINDOW.FAT&amp;VAR:ID1=SAAB.B-SE&amp;VAR:SDATE=20100721&amp;VAR:FDATE=20100630&amp;VAR:FREQ=DAILY&amp;VAR:RELITEM=&amp;VAR:CURRENCY=&amp;VAR:DB_TYPE=&amp;VAR:UNITS=M&amp;VAR:SHS_O","UT_TYPE=&amp;window=popup&amp;width=535&amp;height=425&amp;START_MAXIMIZED=FALSE&amp;Y=120"}</definedName>
    <definedName name="_14_123Graph_D総" hidden="1">#REF!</definedName>
    <definedName name="_140__123Graph_Xｸﾞﾗﾌ_4" hidden="1">#REF!</definedName>
    <definedName name="_140__FDSAUDITLINK__" hidden="1">{"fdsup://directions/FAT Viewer?action=UPDATE&amp;creator=factSet&amp;DYN_ARGS=true&amp;DOC_NAME=FAT:RGQ_ENTRPR_VAL_MV_SOURCE_WINDOW.FAT&amp;VAR:ID1=LDSH&amp;VAR:SDATE=20100721&amp;VAR:FDATE=20100630&amp;VAR:FREQ=DAILY&amp;VAR:RELITEM=&amp;VAR:CURRENCY=&amp;VAR:DB_TYPE=&amp;VAR:UNITS=M&amp;VAR:SHS_OUT_TY","PE=&amp;window=popup&amp;width=535&amp;height=425&amp;START_MAXIMIZED=FALSE&amp;Y=120"}</definedName>
    <definedName name="_140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41__FDSAUDITLINK__" hidden="1">{"fdsup://directions/FAT Viewer?action=UPDATE&amp;creator=factSet&amp;DYN_ARGS=true&amp;DOC_NAME=FAT:RGQ_ENTRPR_VAL_MV_SOURCE_WINDOW.FAT&amp;VAR:ID1=ASE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42__FDSAUDITLINK__" hidden="1">{"fdsup://directions/FAT Viewer?action=UPDATE&amp;creator=factSet&amp;DYN_ARGS=true&amp;DOC_NAME=FAT:RGQ_ENTRPR_VAL_MV_SOURCE_WINDOW.FAT&amp;VAR:ID1=ASE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43__FDSAUDITLINK__" hidden="1">{"fdsup://directions/FAT Viewer?action=UPDATE&amp;creator=factSet&amp;DYN_ARGS=true&amp;DOC_NAME=FAT:RGQ_ENTRPR_VAL_MV_SOURCE_WINDOW.FAT&amp;VAR:ID1=GY&amp;VAR:SDATE=20100721&amp;VAR:FDATE=20100528&amp;VAR:FREQ=DAILY&amp;VAR:RELITEM=&amp;VAR:CURRENCY=&amp;VAR:DB_TYPE=&amp;VAR:UNITS=M&amp;VAR:SHS_OUT_TYPE","=&amp;window=popup&amp;width=535&amp;height=425&amp;START_MAXIMIZED=FALSE&amp;Y=120"}</definedName>
    <definedName name="_144__123Graph_XGRAPHIQUE_16" hidden="1">#REF!</definedName>
    <definedName name="_144__FDSAUDITLINK__" hidden="1">{"fdsup://directions/FAT Viewer?action=UPDATE&amp;creator=factSet&amp;DYN_ARGS=true&amp;DOC_NAME=FAT:RGQ_ENTRPR_VAL_MV_SOURCE_WINDOW.FAT&amp;VAR:ID1=GY&amp;VAR:SDATE=20100721&amp;VAR:FDATE=20100528&amp;VAR:FREQ=DAILY&amp;VAR:RELITEM=&amp;VAR:CURRENCY=&amp;VAR:DB_TYPE=&amp;VAR:UNITS=M&amp;VAR:SHS_OUT_TYPE","=&amp;window=popup&amp;width=535&amp;height=425&amp;START_MAXIMIZED=FALSE&amp;Y=120"}</definedName>
    <definedName name="_145__FDSAUDITLINK__" hidden="1">{"fdsup://directions/FAT Viewer?action=UPDATE&amp;creator=factSet&amp;DYN_ARGS=true&amp;DOC_NAME=FAT:RGQ_ENTRPR_VAL_MV_SOURCE_WINDOW.FAT&amp;VAR:ID1=ICF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46__FDSAUDITLINK__" hidden="1">{"fdsup://directions/FAT Viewer?action=UPDATE&amp;creator=factSet&amp;DYN_ARGS=true&amp;DOC_NAME=FAT:RGQ_ENTRPR_VAL_MV_SOURCE_WINDOW.FAT&amp;VAR:ID1=ICF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47__FDSAUDITLINK__" hidden="1">{"fdsup://directions/FAT Viewer?action=UPDATE&amp;creator=factSet&amp;DYN_ARGS=true&amp;DOC_NAME=FAT:RGQ_ENTRPR_VAL_MV_SOURCE_WINDOW.FAT&amp;VAR:ID1=KAM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48__123Graph_Xｸﾞﾗﾌ_5" hidden="1">#REF!</definedName>
    <definedName name="_148__FDSAUDITLINK__" hidden="1">{"fdsup://directions/FAT Viewer?action=UPDATE&amp;creator=factSet&amp;DYN_ARGS=true&amp;DOC_NAME=FAT:RGQ_ENTRPR_VAL_MV_SOURCE_WINDOW.FAT&amp;VAR:ID1=KAM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49__FDSAUDITLINK__" hidden="1">{"fdsup://directions/FAT Viewer?action=UPDATE&amp;creator=factSet&amp;DYN_ARGS=true&amp;DOC_NAME=FAT:RGQ_ENTRPR_VAL_MV_SOURCE_WINDOW.FAT&amp;VAR:ID1=ORB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1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4M_Fenster_.Datensatz_einfügen">#REF!</definedName>
    <definedName name="_14M_Fenster_.KSBASISDATEN">#REF!</definedName>
    <definedName name="_15">#REF!</definedName>
    <definedName name="_15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5_______0__123Graph_X総" hidden="1">#REF!</definedName>
    <definedName name="_15__123Graph_ACHART_4" hidden="1">#REF!</definedName>
    <definedName name="_15__123Graph_AINTR_MECN" hidden="1">#REF!</definedName>
    <definedName name="_15__123Graph_LBL_BHORES_EXTRES" hidden="1">#REF!</definedName>
    <definedName name="_15__123Graph_X????_2" hidden="1">#REF!</definedName>
    <definedName name="_15__123Graph_X????_5" hidden="1">#REF!</definedName>
    <definedName name="_15__FDSAUDITLINK__" hidden="1">{"fdsup://directions/FAT Viewer?action=UPDATE&amp;creator=factSet&amp;DYN_ARGS=true&amp;DOC_NAME=FAT:RGQ_ENTRPR_VAL_MV_SOURCE_WINDOW.FAT&amp;VAR:ID1=ESLT-IL&amp;VAR:SDATE=20100721&amp;VAR:FDATE=20100331&amp;VAR:FREQ=DAILY&amp;VAR:RELITEM=&amp;VAR:CURRENCY=&amp;VAR:DB_TYPE=&amp;VAR:UNITS=M&amp;VAR:SHS_OUT","_TYPE=&amp;window=popup&amp;width=535&amp;height=425&amp;START_MAXIMIZED=FALSE&amp;Y=120"}</definedName>
    <definedName name="_15_0__123Grap" hidden="1">#REF!</definedName>
    <definedName name="_15_123Grap" hidden="1">#REF!</definedName>
    <definedName name="_15_123Graph_E乗" hidden="1">#REF!</definedName>
    <definedName name="_15_2_0_Parse" hidden="1">#REF!</definedName>
    <definedName name="_150__FDSAUDITLINK__" hidden="1">{"fdsup://directions/FAT Viewer?action=UPDATE&amp;creator=factSet&amp;DYN_ARGS=true&amp;DOC_NAME=FAT:RGQ_ENTRPR_VAL_MV_SOURCE_WINDOW.FAT&amp;VAR:ID1=ORB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151__FDSAUDITLINK__" hidden="1">{"fdsup://directions/FAT Viewer?action=UPDATE&amp;creator=factSet&amp;DYN_ARGS=true&amp;DOC_NAME=FAT:RGQ_ENTRPR_VAL_MV_SOURCE_WINDOW.FAT&amp;VAR:ID1=CUB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52__FDSAUDITLINK__" hidden="1">{"fdsup://directions/FAT Viewer?action=UPDATE&amp;creator=factSet&amp;DYN_ARGS=true&amp;DOC_NAME=FAT:RGQ_ENTRPR_VAL_MV_SOURCE_WINDOW.FAT&amp;VAR:ID1=CUB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53__FDSAUDITLINK__" hidden="1">{"fdsup://directions/FAT Viewer?action=UPDATE&amp;creator=factSet&amp;DYN_ARGS=true&amp;DOC_NAME=FAT:RGQ_ENTRPR_VAL_MV_SOURCE_WINDOW.FAT&amp;VAR:ID1=AIR&amp;VAR:SDATE=20100721&amp;VAR:FDATE=20100528&amp;VAR:FREQ=DAILY&amp;VAR:RELITEM=&amp;VAR:CURRENCY=&amp;VAR:DB_TYPE=&amp;VAR:UNITS=M&amp;VAR:SHS_OUT_TYP","E=&amp;window=popup&amp;width=535&amp;height=425&amp;START_MAXIMIZED=FALSE&amp;Y=120"}</definedName>
    <definedName name="_154__FDSAUDITLINK__" hidden="1">{"fdsup://directions/FAT Viewer?action=UPDATE&amp;creator=factSet&amp;DYN_ARGS=true&amp;DOC_NAME=FAT:RGQ_ENTRPR_VAL_MV_SOURCE_WINDOW.FAT&amp;VAR:ID1=AIR&amp;VAR:SDATE=20100721&amp;VAR:FDATE=20100528&amp;VAR:FREQ=DAILY&amp;VAR:RELITEM=&amp;VAR:CURRENCY=&amp;VAR:DB_TYPE=&amp;VAR:UNITS=M&amp;VAR:SHS_OUT_TYP","E=&amp;window=popup&amp;width=535&amp;height=425&amp;START_MAXIMIZED=FALSE&amp;Y=120"}</definedName>
    <definedName name="_155__FDSAUDITLINK__" hidden="1">{"fdsup://directions/FAT Viewer?action=UPDATE&amp;creator=factSet&amp;DYN_ARGS=true&amp;DOC_NAME=FAT:RGQ_ENTRPR_VAL_MV_SOURCE_WINDOW.FAT&amp;VAR:ID1=ESE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56__FDSAUDITLINK__" hidden="1">{"fdsup://directions/FAT Viewer?action=UPDATE&amp;creator=factSet&amp;DYN_ARGS=true&amp;DOC_NAME=FAT:RGQ_ENTRPR_VAL_MV_SOURCE_WINDOW.FAT&amp;VAR:ID1=ESE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57__FDSAUDITLINK__" hidden="1">{"fdsup://directions/FAT Viewer?action=UPDATE&amp;creator=factSet&amp;DYN_ARGS=true&amp;DOC_NAME=FAT:RGQ_ENTRPR_VAL_MV_SOURCE_WINDOW.FAT&amp;VAR:ID1=GEOY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58__FDSAUDITLINK__" hidden="1">{"fdsup://directions/FAT Viewer?action=UPDATE&amp;creator=factSet&amp;DYN_ARGS=true&amp;DOC_NAME=FAT:RGQ_ENTRPR_VAL_MV_SOURCE_WINDOW.FAT&amp;VAR:ID1=GEOY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59__FDSAUDITLINK__" hidden="1">{"fdsup://directions/FAT Viewer?action=UPDATE&amp;creator=factSet&amp;DYN_ARGS=true&amp;DOC_NAME=FAT:RGQ_ENTRPR_VAL_MV_SOURCE_WINDOW.FAT&amp;VAR:ID1=SRX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5a12_" hidden="1">{"'Monthly 1997'!$A$3:$S$89"}</definedName>
    <definedName name="_1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5M_Fenster_.KSBASISDATEN">#REF!</definedName>
    <definedName name="_16">#REF!</definedName>
    <definedName name="_16_____123Graph_A4X4W_G" hidden="1">#REF!</definedName>
    <definedName name="_16__123Graph_A4X4W_G" hidden="1">#REF!</definedName>
    <definedName name="_16__123Graph_BCHART_3" hidden="1">#REF!</definedName>
    <definedName name="_16__123Graph_BHORES_EXTRES" hidden="1">#REF!</definedName>
    <definedName name="_16__123Graph_LBL_BSOLDA_PINTURA" hidden="1">#REF!</definedName>
    <definedName name="_16__123Graph_X????_3" hidden="1">#REF!</definedName>
    <definedName name="_16__123Graph_Xｸﾞﾗﾌ_1" hidden="1">#REF!</definedName>
    <definedName name="_16__FDSAUDITLINK__" hidden="1">{"fdsup://directions/FAT Viewer?action=UPDATE&amp;creator=factSet&amp;DYN_ARGS=true&amp;DOC_NAME=FAT:RGQ_ENTRPR_VAL_MV_SOURCE_WINDOW.FAT&amp;VAR:ID1=ESLT-IL&amp;VAR:SDATE=20100721&amp;VAR:FDATE=20100331&amp;VAR:FREQ=DAILY&amp;VAR:RELITEM=&amp;VAR:CURRENCY=&amp;VAR:DB_TYPE=&amp;VAR:UNITS=M&amp;VAR:SHS_OUT","_TYPE=&amp;window=popup&amp;width=535&amp;height=425&amp;START_MAXIMIZED=FALSE&amp;Y=120"}</definedName>
    <definedName name="_16_123Grap" hidden="1">#REF!</definedName>
    <definedName name="_16_123Graph_E商" hidden="1">#REF!</definedName>
    <definedName name="_160__FDSAUDITLINK__" hidden="1">{"fdsup://directions/FAT Viewer?action=UPDATE&amp;creator=factSet&amp;DYN_ARGS=true&amp;DOC_NAME=FAT:RGQ_ENTRPR_VAL_MV_SOURCE_WINDOW.FAT&amp;VAR:ID1=SRX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61__FDSAUDITLINK__" hidden="1">{"fdsup://directions/FAT Viewer?action=UPDATE&amp;creator=factSet&amp;DYN_ARGS=true&amp;DOC_NAME=FAT:RGQ_ENTRPR_VAL_MV_SOURCE_WINDOW.FAT&amp;VAR:ID1=B&amp;VAR:SDATE=20100721&amp;VAR:FDATE=20100331&amp;VAR:FREQ=DAILY&amp;VAR:RELITEM=&amp;VAR:CURRENCY=&amp;VAR:DB_TYPE=&amp;VAR:UNITS=M&amp;VAR:SHS_OUT_TYPE=","&amp;window=popup&amp;width=535&amp;height=425&amp;START_MAXIMIZED=FALSE&amp;Y=120"}</definedName>
    <definedName name="_162__FDSAUDITLINK__" hidden="1">{"fdsup://directions/FAT Viewer?action=UPDATE&amp;creator=factSet&amp;DYN_ARGS=true&amp;DOC_NAME=FAT:RGQ_ENTRPR_VAL_MV_SOURCE_WINDOW.FAT&amp;VAR:ID1=B&amp;VAR:SDATE=20100721&amp;VAR:FDATE=20100331&amp;VAR:FREQ=DAILY&amp;VAR:RELITEM=&amp;VAR:CURRENCY=&amp;VAR:DB_TYPE=&amp;VAR:UNITS=M&amp;VAR:SHS_OUT_TYPE=","&amp;window=popup&amp;width=535&amp;height=425&amp;START_MAXIMIZED=FALSE&amp;Y=120"}</definedName>
    <definedName name="_163__FDSAUDITLINK__" hidden="1">{"fdsup://directions/FAT Viewer?action=UPDATE&amp;creator=factSet&amp;DYN_ARGS=true&amp;DOC_NAME=FAT:RGQ_ENTRPR_VAL_MV_SOURCE_WINDOW.FAT&amp;VAR:ID1=LORL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64__FDSAUDITLINK__" hidden="1">{"fdsup://directions/FAT Viewer?action=UPDATE&amp;creator=factSet&amp;DYN_ARGS=true&amp;DOC_NAME=FAT:RGQ_ENTRPR_VAL_MV_SOURCE_WINDOW.FAT&amp;VAR:ID1=LORL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65__FDSAUDITLINK__" hidden="1">{"fdsup://directions/FAT Viewer?action=UPDATE&amp;creator=factSet&amp;DYN_ARGS=true&amp;DOC_NAME=FAT:RGQ_ENTRPR_VAL_MV_SOURCE_WINDOW.FAT&amp;VAR:ID1=DCP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66__FDSAUDITLINK__" hidden="1">{"fdsup://directions/FAT Viewer?action=UPDATE&amp;creator=factSet&amp;DYN_ARGS=true&amp;DOC_NAME=FAT:RGQ_ENTRPR_VAL_MV_SOURCE_WINDOW.FAT&amp;VAR:ID1=DCP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67__FDSAUDITLINK__" hidden="1">{"fdsup://directions/FAT Viewer?action=UPDATE&amp;creator=factSet&amp;DYN_ARGS=true&amp;DOC_NAME=FAT:RGQ_ENTRPR_VAL_MV_SOURCE_WINDOW.FAT&amp;VAR:ID1=TGI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68__FDSAUDITLINK__" hidden="1">{"fdsup://directions/FAT Viewer?action=UPDATE&amp;creator=factSet&amp;DYN_ARGS=true&amp;DOC_NAME=FAT:RGQ_ENTRPR_VAL_MV_SOURCE_WINDOW.FAT&amp;VAR:ID1=TGI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69__FDSAUDITLINK__" hidden="1">{"fdsup://directions/FAT Viewer?action=UPDATE&amp;creator=factSet&amp;DYN_ARGS=true&amp;DOC_NAME=FAT:RGQ_ENTRPR_VAL_MV_SOURCE_WINDOW.FAT&amp;VAR:ID1=MAN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6M_Fenster_.KSBASISDATEN">#REF!</definedName>
    <definedName name="_17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7_____123Graph_B4X4W_G" hidden="1">#REF!</definedName>
    <definedName name="_17__123Graph_A????_1" hidden="1">#REF!</definedName>
    <definedName name="_17__123Graph_A????_3" hidden="1">#REF!</definedName>
    <definedName name="_17__123Graph_BCHART_4" hidden="1">#REF!</definedName>
    <definedName name="_17__123Graph_LBL_BTOTAL_DIRECTOS" hidden="1">#REF!</definedName>
    <definedName name="_17__123Graph_X????_4" hidden="1">#REF!</definedName>
    <definedName name="_17__123Graph_X4X4W_G" hidden="1">#REF!</definedName>
    <definedName name="_17__123Graph_Xｸﾞﾗﾌ_2" hidden="1">#REF!</definedName>
    <definedName name="_17__FDSAUDITLINK__" hidden="1">{"fdsup://directions/FAT Viewer?action=UPDATE&amp;creator=factSet&amp;DYN_ARGS=true&amp;DOC_NAME=FAT:RGQ_ENTRPR_VAL_MV_SOURCE_WINDOW.FAT&amp;VAR:ID1=CAE-CA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17_123Graph_A商" hidden="1">#REF!</definedName>
    <definedName name="_170__FDSAUDITLINK__" hidden="1">{"fdsup://directions/FAT Viewer?action=UPDATE&amp;creator=factSet&amp;DYN_ARGS=true&amp;DOC_NAME=FAT:RGQ_ENTRPR_VAL_MV_SOURCE_WINDOW.FAT&amp;VAR:ID1=MAN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71__FDSAUDITLINK__" hidden="1">{"fdsup://directions/FAT Viewer?action=UPDATE&amp;creator=factSet&amp;DYN_ARGS=true&amp;DOC_NAME=FAT:RGQ_ENTRPR_VAL_MV_SOURCE_WINDOW.FAT&amp;VAR:ID1=TDY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72__FDSAUDITLINK__" hidden="1">{"fdsup://directions/FAT Viewer?action=UPDATE&amp;creator=factSet&amp;DYN_ARGS=true&amp;DOC_NAME=FAT:RGQ_ENTRPR_VAL_MV_SOURCE_WINDOW.FAT&amp;VAR:ID1=TDY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73__FDSAUDITLINK__" hidden="1">{"fdsup://directions/FAT Viewer?action=UPDATE&amp;creator=factSet&amp;DYN_ARGS=true&amp;DOC_NAME=FAT:RGQ_ENTRPR_VAL_MV_SOURCE_WINDOW.FAT&amp;VAR:ID1=ESL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173T20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74__FDSAUDITLINK__" hidden="1">{"fdsup://directions/FAT Viewer?action=UPDATE&amp;creator=factSet&amp;DYN_ARGS=true&amp;DOC_NAME=FAT:RGQ_ENTRPR_VAL_MV_SOURCE_WINDOW.FAT&amp;VAR:ID1=ESL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174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75__FDSAUDITLINK__" hidden="1">{"fdsup://directions/FAT Viewer?action=UPDATE&amp;creator=factSet&amp;DYN_ARGS=true&amp;DOC_NAME=FAT:RGQ_ENTRPR_VAL_MV_SOURCE_WINDOW.FAT&amp;VAR:ID1=CAI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76__FDSAUDITLINK__" hidden="1">{"fdsup://directions/FAT Viewer?action=UPDATE&amp;creator=factSet&amp;DYN_ARGS=true&amp;DOC_NAME=FAT:RGQ_ENTRPR_VAL_MV_SOURCE_WINDOW.FAT&amp;VAR:ID1=CAI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77__FDSAUDITLINK__" hidden="1">{"fdsup://directions/FAT Viewer?action=UPDATE&amp;creator=factSet&amp;DYN_ARGS=true&amp;DOC_NAME=FAT:RGQ_ENTRPR_VAL_MV_SOURCE_WINDOW.FAT&amp;VAR:ID1=CW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178__FDSAUDITLINK__" hidden="1">{"fdsup://directions/FAT Viewer?action=UPDATE&amp;creator=factSet&amp;DYN_ARGS=true&amp;DOC_NAME=FAT:RGQ_ENTRPR_VAL_MV_SOURCE_WINDOW.FAT&amp;VAR:ID1=CW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179__FDSAUDITLINK__" hidden="1">{"fdsup://directions/FAT Viewer?action=UPDATE&amp;creator=factSet&amp;DYN_ARGS=true&amp;DOC_NAME=FAT:RGQ_ENTRPR_VAL_MV_SOURCE_WINDOW.FAT&amp;VAR:ID1=MOG.A&amp;VAR:SDATE=20100721&amp;VAR:FDATE=20100331&amp;VAR:FREQ=DAILY&amp;VAR:RELITEM=&amp;VAR:CURRENCY=&amp;VAR:DB_TYPE=&amp;VAR:UNITS=M&amp;VAR:SHS_OUT_T","YPE=&amp;window=popup&amp;width=535&amp;height=425&amp;START_MAXIMIZED=FALSE&amp;Y=120"}</definedName>
    <definedName name="_17a1_" hidden="1">{"'Sheet1'!$L$16"}</definedName>
    <definedName name="_17a12_" hidden="1">{"'Monthly 1997'!$A$3:$S$89"}</definedName>
    <definedName name="_17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7M_Fenster_.KSBASISDATEN">#REF!</definedName>
    <definedName name="_18">#REF!</definedName>
    <definedName name="_18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8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18_____123Graph_C4X4W_G" hidden="1">#REF!</definedName>
    <definedName name="_18__123Graph_B4X4W_G" hidden="1">#REF!</definedName>
    <definedName name="_18__123Graph_BSOLDA_PINTURA" hidden="1">#REF!</definedName>
    <definedName name="_18__123Graph_CCHART_3" hidden="1">#REF!</definedName>
    <definedName name="_18__123Graph_X????_5" hidden="1">#REF!</definedName>
    <definedName name="_18__123Graph_XHORES_EXTRES" hidden="1">#REF!</definedName>
    <definedName name="_18__123Graph_Xｸﾞﾗﾌ_3" hidden="1">#REF!</definedName>
    <definedName name="_18__FDSAUDITLINK__" hidden="1">{"fdsup://directions/FAT Viewer?action=UPDATE&amp;creator=factSet&amp;DYN_ARGS=true&amp;DOC_NAME=FAT:RGQ_ENTRPR_VAL_MV_SOURCE_WINDOW.FAT&amp;VAR:ID1=CAE-CA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18_0__123Grap" hidden="1">#REF!</definedName>
    <definedName name="_18_123Graph_X乗" hidden="1">#REF!</definedName>
    <definedName name="_180__FDSAUDITLINK__" hidden="1">{"fdsup://directions/FAT Viewer?action=UPDATE&amp;creator=factSet&amp;DYN_ARGS=true&amp;DOC_NAME=FAT:RGQ_ENTRPR_VAL_MV_SOURCE_WINDOW.FAT&amp;VAR:ID1=MOG.A&amp;VAR:SDATE=20100721&amp;VAR:FDATE=20100331&amp;VAR:FREQ=DAILY&amp;VAR:RELITEM=&amp;VAR:CURRENCY=&amp;VAR:DB_TYPE=&amp;VAR:UNITS=M&amp;VAR:SHS_OUT_T","YPE=&amp;window=popup&amp;width=535&amp;height=425&amp;START_MAXIMIZED=FALSE&amp;Y=120"}</definedName>
    <definedName name="_181__FDSAUDITLINK__" hidden="1">{"fdsup://directions/FAT Viewer?action=UPDATE&amp;creator=factSet&amp;DYN_ARGS=true&amp;DOC_NAME=FAT:RGQ_ENTRPR_VAL_MV_SOURCE_WINDOW.FAT&amp;VAR:ID1=WGOV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82__FDSAUDITLINK__" hidden="1">{"fdsup://directions/FAT Viewer?action=UPDATE&amp;creator=factSet&amp;DYN_ARGS=true&amp;DOC_NAME=FAT:RGQ_ENTRPR_VAL_MV_SOURCE_WINDOW.FAT&amp;VAR:ID1=WGOV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183__FDSAUDITLINK__" hidden="1">{"fdsup://directions/FAT Viewer?action=UPDATE&amp;creator=factSet&amp;DYN_ARGS=true&amp;DOC_NAME=FAT:RGQ_ENTRPR_VAL_MV_SOURCE_WINDOW.FAT&amp;VAR:ID1=AT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84__FDSAUDITLINK__" hidden="1">{"fdsup://directions/FAT Viewer?action=UPDATE&amp;creator=factSet&amp;DYN_ARGS=true&amp;DOC_NAME=FAT:RGQ_ENTRPR_VAL_MV_SOURCE_WINDOW.FAT&amp;VAR:ID1=AT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85__FDSAUDITLINK__" hidden="1">{"fdsup://directions/FAT Viewer?action=UPDATE&amp;creator=factSet&amp;DYN_ARGS=true&amp;DOC_NAME=FAT:RGQ_ENTRPR_VAL_MV_SOURCE_WINDOW.FAT&amp;VAR:ID1=SPR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86__FDSAUDITLINK__" hidden="1">{"fdsup://directions/FAT Viewer?action=UPDATE&amp;creator=factSet&amp;DYN_ARGS=true&amp;DOC_NAME=FAT:RGQ_ENTRPR_VAL_MV_SOURCE_WINDOW.FAT&amp;VAR:ID1=SPR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87__FDSAUDITLINK__" hidden="1">{"fdsup://directions/FAT Viewer?action=UPDATE&amp;creator=factSet&amp;DYN_ARGS=true&amp;DOC_NAME=FAT:RGQ_ENTRPR_VAL_MV_SOURCE_WINDOW.FAT&amp;VAR:ID1=OS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88__FDSAUDITLINK__" hidden="1">{"fdsup://directions/FAT Viewer?action=UPDATE&amp;creator=factSet&amp;DYN_ARGS=true&amp;DOC_NAME=FAT:RGQ_ENTRPR_VAL_MV_SOURCE_WINDOW.FAT&amp;VAR:ID1=OS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89__FDSAUDITLINK__" hidden="1">{"fdsup://directions/FAT Viewer?action=UPDATE&amp;creator=factSet&amp;DYN_ARGS=true&amp;DOC_NAME=FAT:RGQ_ENTRPR_VAL_MV_SOURCE_WINDOW.FAT&amp;VAR:ID1=HRS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8M_Fenster_.KSBASISDATEN">#REF!</definedName>
    <definedName name="_19">#REF!</definedName>
    <definedName name="_19_____123Graph_D4X4W_G" hidden="1">#REF!</definedName>
    <definedName name="_19__123Graph_CCHART_4" hidden="1">#REF!</definedName>
    <definedName name="_19__123Graph_XINTR_DIR" hidden="1">#REF!</definedName>
    <definedName name="_19__123Graph_Xｸﾞﾗﾌ_1" hidden="1">#REF!</definedName>
    <definedName name="_19__123Graph_Xｸﾞﾗﾌ_4" hidden="1">#REF!</definedName>
    <definedName name="_19__FDSAUDITLINK__" hidden="1">{"fdsup://directions/FAT Viewer?action=UPDATE&amp;creator=factSet&amp;DYN_ARGS=true&amp;DOC_NAME=FAT:RGQ_ENTRPR_VAL_MV_SOURCE_WINDOW.FAT&amp;VAR:ID1=RHM-DE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19_123Graph_B乗" hidden="1">#REF!</definedName>
    <definedName name="_19_123Graph_X商" hidden="1">#REF!</definedName>
    <definedName name="_190__FDSAUDITLINK__" hidden="1">{"fdsup://directions/FAT Viewer?action=UPDATE&amp;creator=factSet&amp;DYN_ARGS=true&amp;DOC_NAME=FAT:RGQ_ENTRPR_VAL_MV_SOURCE_WINDOW.FAT&amp;VAR:ID1=HRS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91__FDSAUDITLINK__" hidden="1">{"fdsup://directions/FAT Viewer?action=UPDATE&amp;creator=factSet&amp;DYN_ARGS=true&amp;DOC_NAME=FAT:RGQ_ENTRPR_VAL_MV_SOURCE_WINDOW.FAT&amp;VAR:ID1=SAI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192__FDSAUDITLINK__" hidden="1">{"fdsup://directions/FAT Viewer?action=UPDATE&amp;creator=factSet&amp;DYN_ARGS=true&amp;DOC_NAME=FAT:RGQ_ENTRPR_VAL_MV_SOURCE_WINDOW.FAT&amp;VAR:ID1=SAI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193__FDSAUDITLINK__" hidden="1">{"fdsup://directions/FAT Viewer?action=UPDATE&amp;creator=factSet&amp;DYN_ARGS=true&amp;DOC_NAME=FAT:RGQ_ENTRPR_VAL_MV_SOURCE_WINDOW.FAT&amp;VAR:ID1=NAV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194__FDSAUDITLINK__" hidden="1">{"fdsup://directions/FAT Viewer?action=UPDATE&amp;creator=factSet&amp;DYN_ARGS=true&amp;DOC_NAME=FAT:RGQ_ENTRPR_VAL_MV_SOURCE_WINDOW.FAT&amp;VAR:ID1=NAV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195__FDSAUDITLINK__" hidden="1">{"fdsup://directions/FAT Viewer?action=UPDATE&amp;creator=factSet&amp;DYN_ARGS=true&amp;DOC_NAME=FAT:RGQ_ENTRPR_VAL_MV_SOURCE_WINDOW.FAT&amp;VAR:ID1=COL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196__FDSAUDITLINK__" hidden="1">{"fdsup://directions/FAT Viewer?action=UPDATE&amp;creator=factSet&amp;DYN_ARGS=true&amp;DOC_NAME=FAT:RGQ_ENTRPR_VAL_MV_SOURCE_WINDOW.FAT&amp;VAR:ID1=COL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197__FDSAUDITLINK__" hidden="1">{"fdsup://directions/FAT Viewer?action=UPDATE&amp;creator=factSet&amp;DYN_ARGS=true&amp;DOC_NAME=FAT:RGQ_ENTRPR_VAL_MV_SOURCE_WINDOW.FAT&amp;VAR:ID1=IT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98__FDSAUDITLINK__" hidden="1">{"fdsup://directions/FAT Viewer?action=UPDATE&amp;creator=factSet&amp;DYN_ARGS=true&amp;DOC_NAME=FAT:RGQ_ENTRPR_VAL_MV_SOURCE_WINDOW.FAT&amp;VAR:ID1=IT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99__FDSAUDITLINK__" hidden="1">{"fdsup://directions/FAT Viewer?action=UPDATE&amp;creator=factSet&amp;DYN_ARGS=true&amp;DOC_NAME=FAT:RGQ_ENTRPR_VAL_MV_SOURCE_WINDOW.FAT&amp;VAR:ID1=LLL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19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9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9M_Fenster_.KSBASISDATEN">#REF!</definedName>
    <definedName name="_1a1_">#N/A</definedName>
    <definedName name="_1M_Fenster_.Datensatz_einfügen">#N/A</definedName>
    <definedName name="_1P3_" hidden="1">{#N/A,#N/A,FALSE,"特殊室（ＢＱ表）"}</definedName>
    <definedName name="_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._Zeile">#REF!</definedName>
    <definedName name="_2_">#REF!</definedName>
    <definedName name="_2_?" hidden="1">{#N/A,#N/A,TRUE,"??"}</definedName>
    <definedName name="_2_______0__123Graph_A商" hidden="1">#REF!</definedName>
    <definedName name="_2___123Graph_ACHART_4" hidden="1">#REF!</definedName>
    <definedName name="_2__123Graph_A????_2" hidden="1">#REF!</definedName>
    <definedName name="_2__123Graph_A4X4W_G" hidden="1">#REF!</definedName>
    <definedName name="_2__123Graph_AHORES_EXTRES" hidden="1">#REF!</definedName>
    <definedName name="_2__123Graph_AINTR_DIR" hidden="1">#REF!</definedName>
    <definedName name="_2__123Graph_Aｸﾞﾗﾌ_2" hidden="1">#REF!</definedName>
    <definedName name="_2__123Graph_BCHART_1A" hidden="1">#REF!</definedName>
    <definedName name="_2__FDSAUDITLINK__" hidden="1">{"fdsup://IBCentral/FAT Viewer?action=UPDATE&amp;creator=factset&amp;DOC_NAME=fat:reuters_annual_source_window.fat&amp;display_string=Audit&amp;DYN_ARGS=TRUE&amp;VAR:ID1=85450210&amp;VAR:RCODE=OTLO&amp;VAR:SDATE=20091299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_0__123Grap" hidden="1">#REF!</definedName>
    <definedName name="_2_0_0_F" hidden="1">#REF!</definedName>
    <definedName name="_2_0_F" hidden="1">#REF!</definedName>
    <definedName name="_20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20_____123Graph_X4X4W_G" hidden="1">#REF!</definedName>
    <definedName name="_20__123Graph_AINTR_MONT" hidden="1">#REF!</definedName>
    <definedName name="_20__123Graph_BTOTAL_DIRECTOS" hidden="1">#REF!</definedName>
    <definedName name="_20__123Graph_DCHART_3" hidden="1">#REF!</definedName>
    <definedName name="_20__123Graph_XINTR_MECN" hidden="1">#REF!</definedName>
    <definedName name="_20__123Graph_Xｸﾞﾗﾌ_2" hidden="1">#REF!</definedName>
    <definedName name="_20__123Graph_Xｸﾞﾗﾌ_5" hidden="1">#REF!</definedName>
    <definedName name="_20__FDSAUDITLINK__" hidden="1">{"fdsup://directions/FAT Viewer?action=UPDATE&amp;creator=factSet&amp;DYN_ARGS=true&amp;DOC_NAME=FAT:RGQ_ENTRPR_VAL_MV_SOURCE_WINDOW.FAT&amp;VAR:ID1=RHM-DE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0_123Graph_B商" hidden="1">#REF!</definedName>
    <definedName name="_20_123Graph_X総" hidden="1">#REF!</definedName>
    <definedName name="_200__FDSAUDITLINK__" hidden="1">{"fdsup://directions/FAT Viewer?action=UPDATE&amp;creator=factSet&amp;DYN_ARGS=true&amp;DOC_NAME=FAT:RGQ_ENTRPR_VAL_MV_SOURCE_WINDOW.FAT&amp;VAR:ID1=LLL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01__FDSAUDITLINK__" hidden="1">{"fdsup://directions/FAT Viewer?action=UPDATE&amp;creator=factSet&amp;DYN_ARGS=true&amp;DOC_NAME=FAT:RGQ_ENTRPR_VAL_MV_SOURCE_WINDOW.FAT&amp;VAR:ID1=RT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02__FDSAUDITLINK__" hidden="1">{"fdsup://directions/FAT Viewer?action=UPDATE&amp;creator=factSet&amp;DYN_ARGS=true&amp;DOC_NAME=FAT:RGQ_ENTRPR_VAL_MV_SOURCE_WINDOW.FAT&amp;VAR:ID1=RT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03__FDSAUDITLINK__" hidden="1">{"fdsup://directions/FAT Viewer?action=UPDATE&amp;creator=factSet&amp;DYN_ARGS=true&amp;DOC_NAME=FAT:RGQ_ENTRPR_VAL_MV_SOURCE_WINDOW.FAT&amp;VAR:ID1=NOC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04__FDSAUDITLINK__" hidden="1">{"fdsup://directions/FAT Viewer?action=UPDATE&amp;creator=factSet&amp;DYN_ARGS=true&amp;DOC_NAME=FAT:RGQ_ENTRPR_VAL_MV_SOURCE_WINDOW.FAT&amp;VAR:ID1=NOC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05__FDSAUDITLINK__" hidden="1">{"fdsup://directions/FAT Viewer?action=UPDATE&amp;creator=factSet&amp;DYN_ARGS=true&amp;DOC_NAME=FAT:RGQ_ENTRPR_VAL_MV_SOURCE_WINDOW.FAT&amp;VAR:ID1=LM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06__FDSAUDITLINK__" hidden="1">{"fdsup://directions/FAT Viewer?action=UPDATE&amp;creator=factSet&amp;DYN_ARGS=true&amp;DOC_NAME=FAT:RGQ_ENTRPR_VAL_MV_SOURCE_WINDOW.FAT&amp;VAR:ID1=LM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07__FDSAUDITLINK__" hidden="1">{"fdsup://directions/FAT Viewer?action=UPDATE&amp;creator=factSet&amp;DYN_ARGS=true&amp;DOC_NAME=FAT:RGQ_ENTRPR_VAL_MV_SOURCE_WINDOW.FAT&amp;VAR:ID1=HON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208__FDSAUDITLINK__" hidden="1">{"fdsup://directions/FAT Viewer?action=UPDATE&amp;creator=factSet&amp;DYN_ARGS=true&amp;DOC_NAME=FAT:RGQ_ENTRPR_VAL_MV_SOURCE_WINDOW.FAT&amp;VAR:ID1=HON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209__FDSAUDITLINK__" hidden="1">{"fdsup://directions/FAT Viewer?action=UPDATE&amp;creator=factSet&amp;DYN_ARGS=true&amp;DOC_NAME=FAT:RGQ_ENTRPR_VAL_MV_SOURCE_WINDOW.FAT&amp;VAR:ID1=BA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20M_Fenster_.KSBASISDATEN">#REF!</definedName>
    <definedName name="_20M_Fenster_.KSBlatthinzu">#REF!</definedName>
    <definedName name="_21______0__123Grap" hidden="1">#REF!</definedName>
    <definedName name="_21__123Graph_A????_2" hidden="1">#REF!</definedName>
    <definedName name="_21__123Graph_DCHART_4" hidden="1">#REF!</definedName>
    <definedName name="_21__123Graph_XINTR_MONT" hidden="1">#REF!</definedName>
    <definedName name="_21__123Graph_Xｸﾞﾗﾌ_3" hidden="1">#REF!</definedName>
    <definedName name="_21__FDSAUDITLINK__" hidden="1">{"fdsup://directions/FAT Viewer?action=UPDATE&amp;creator=factSet&amp;DYN_ARGS=true&amp;DOC_NAME=FAT:RGQ_ENTRPR_VAL_MV_SOURCE_WINDOW.FAT&amp;VAR:ID1=MTX-DE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1_0__123Grap" hidden="1">#REF!</definedName>
    <definedName name="_21_123Graph_B総" hidden="1">#REF!</definedName>
    <definedName name="_210__FDSAUDITLINK__" hidden="1">{"fdsup://directions/FAT Viewer?action=UPDATE&amp;creator=factSet&amp;DYN_ARGS=true&amp;DOC_NAME=FAT:RGQ_ENTRPR_VAL_MV_SOURCE_WINDOW.FAT&amp;VAR:ID1=BA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211__FDSAUDITLINK__" hidden="1">{"fdsup://directions/FAT Viewer?action=UPDATE&amp;creator=factSet&amp;DYN_ARGS=true&amp;DOC_NAME=FAT:RGQ_ENTRPR_VAL_MV_SOURCE_WINDOW.FAT&amp;VAR:ID1=UTX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212__FDSAUDITLINK__" hidden="1">{"fdsup://directions/FAT Viewer?action=UPDATE&amp;creator=factSet&amp;DYN_ARGS=true&amp;DOC_NAME=FAT:RGQ_ENTRPR_VAL_MV_SOURCE_WINDOW.FAT&amp;VAR:ID1=UTX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213__FDSAUDITLINK__" hidden="1">{"fdsup://IBCentral/FAT Viewer?action=UPDATE&amp;creator=factset&amp;DOC_NAME=fat:reuters_annual_source_window.fat&amp;display_string=Audit&amp;DYN_ARGS=TRUE&amp;VAR:ID1=85450210&amp;VAR:RCODE=SCEX&amp;VAR:SDATE=20091299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annual_source_window.fat&amp;display_string=Audit&amp;DYN_ARGS=TRUE&amp;VAR:ID1=85450210&amp;VAR:RCODE=OTLO&amp;VAR:SDATE=20091299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4_0__123Grap" hidden="1">#REF!</definedName>
    <definedName name="_215__FDSAUDITLINK__" hidden="1">{"fdsup://IBCentral/FAT Viewer?action=UPDATE&amp;creator=factset&amp;DOC_NAME=fat:reuters_annual_pshs_src_window.fat&amp;display_string=Audit&amp;DYN_ARGS=TRUE&amp;VAR:ID1=85450210&amp;VAR:RCODE=FDSEPSDIL&amp;VAR:SDATE=20091299&amp;VAR:FREQ=Y&amp;VAR:RELITEM=RP&amp;VAR:CURRENCY=&amp;VAR:CURRSOURCE=EX","SHARE&amp;VAR:NATFREQ=ANNUAL&amp;VAR:RFIELD=FINALIZED&amp;VAR:DB_TYPE=&amp;VAR:UNITS=M&amp;window=popup&amp;width=450&amp;height=300&amp;START_MAXIMIZED=FALSE"}</definedName>
    <definedName name="_216_?" hidden="1">{#N/A,#N/A,TRUE,"??"}</definedName>
    <definedName name="_216__FDSAUDITLINK__" hidden="1">{"fdsup://IBCentral/FAT Viewer?action=UPDATE&amp;creator=factset&amp;DOC_NAME=fat:reuters_annual_source_window.fat&amp;display_string=Audit&amp;DYN_ARGS=TRUE&amp;VAR:ID1=85450210&amp;VAR:RCODE=FIBCEBIT&amp;VAR:SDATE=20091299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annual_source_window.fat&amp;display_string=Audit&amp;DYN_ARGS=TRUE&amp;VAR:ID1=85450210&amp;VAR:RCODE=FIBCEBITDA&amp;VAR:SDATE=20091299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18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218__FDSAUDITLINK__" hidden="1">{"fdsup://IBCentral/FAT Viewer?action=UPDATE&amp;creator=factset&amp;DOC_NAME=fat:reuters_annual_source_window.fat&amp;display_string=Audit&amp;DYN_ARGS=TRUE&amp;VAR:ID1=85450210&amp;VAR:RCODE=FDSREVSTOTAL&amp;VAR:SDATE=20091299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19__FDSAUDITLINK__" hidden="1">{"fdsup://directions/FAT Viewer?action=UPDATE&amp;creator=factSet&amp;DYN_ARGS=true&amp;DOC_NAME=FAT:RGQ_ENTRPR_VAL_MV_SOURCE_WINDOW.FAT&amp;VAR:ID1=GAPN&amp;VAR:SDATE=20100721&amp;VAR:FDATE=19920930&amp;VAR:FREQ=DAILY&amp;VAR:RELITEM=&amp;VAR:CURRENCY=&amp;VAR:DB_TYPE=&amp;VAR:UNITS=M&amp;VAR:SHS_OUT_TY","PE=&amp;window=popup&amp;width=535&amp;height=425&amp;START_MAXIMIZED=FALSE&amp;Y=120"}</definedName>
    <definedName name="_21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1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1M_Fenster_.KSBASISDATEN">#REF!</definedName>
    <definedName name="_21M_Fenster_.KSBlatthinzu">#REF!</definedName>
    <definedName name="_22______0__123Graph_A商" hidden="1">#REF!</definedName>
    <definedName name="_22__123Graph_A????_4" hidden="1">#REF!</definedName>
    <definedName name="_22__123Graph_C4X4W_G" hidden="1">#REF!</definedName>
    <definedName name="_22__123Graph_ECHART_3" hidden="1">#REF!</definedName>
    <definedName name="_22__123Graph_LBL_AINTR_DIR" hidden="1">#REF!</definedName>
    <definedName name="_22__123Graph_XINTR_PINT" hidden="1">#REF!</definedName>
    <definedName name="_22__123Graph_Xｸﾞﾗﾌ_4" hidden="1">#REF!</definedName>
    <definedName name="_22__FDSAUDITLINK__" hidden="1">{"fdsup://directions/FAT Viewer?action=UPDATE&amp;creator=factSet&amp;DYN_ARGS=true&amp;DOC_NAME=FAT:RGQ_ENTRPR_VAL_MV_SOURCE_WINDOW.FAT&amp;VAR:ID1=MTX-DE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2_0__123Graph_A商" hidden="1">#REF!</definedName>
    <definedName name="_22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20__FDSAUDITLINK__" hidden="1">{"fdsup://directions/FAT Viewer?action=UPDATE&amp;creator=factSet&amp;DYN_ARGS=true&amp;DOC_NAME=FAT:RGQ_ENTRPR_VAL_MV_SOURCE_WINDOW.FAT&amp;VAR:ID1=GAPN&amp;VAR:SDATE=20100721&amp;VAR:FDATE=19920930&amp;VAR:FREQ=DAILY&amp;VAR:RELITEM=&amp;VAR:CURRENCY=&amp;VAR:DB_TYPE=&amp;VAR:UNITS=M&amp;VAR:SHS_OUT_TY","PE=&amp;window=popup&amp;width=535&amp;height=425&amp;START_MAXIMIZED=FALSE&amp;Y=120"}</definedName>
    <definedName name="_221__FDSAUDITLINK__" hidden="1">{"fdsup://directions/FAT Viewer?action=UPDATE&amp;creator=factSet&amp;DYN_ARGS=true&amp;DOC_NAME=FAT:RGQ_ENTRPR_VAL_MV_SOURCE_WINDOW.FAT&amp;VAR:ID1=MAG-PL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22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222__FDSAUDITLINK__" hidden="1">{"fdsup://directions/FAT Viewer?action=UPDATE&amp;creator=factSet&amp;DYN_ARGS=true&amp;DOC_NAME=FAT:RGQ_ENTRPR_VAL_MV_SOURCE_WINDOW.FAT&amp;VAR:ID1=MAG-PL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23__FDSAUDITLINK__" hidden="1">{"fdsup://directions/FAT Viewer?action=UPDATE&amp;creator=factSet&amp;DYN_ARGS=true&amp;DOC_NAME=FAT:RGQ_ENTRPR_VAL_MV_SOURCE_WINDOW.FAT&amp;VAR:ID1=HRX-CA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24__FDSAUDITLINK__" hidden="1">{"fdsup://directions/FAT Viewer?action=UPDATE&amp;creator=factSet&amp;DYN_ARGS=true&amp;DOC_NAME=FAT:RGQ_ENTRPR_VAL_MV_SOURCE_WINDOW.FAT&amp;VAR:ID1=HRX-CA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25__FDSAUDITLINK__" hidden="1">{"fdsup://directions/FAT Viewer?action=UPDATE&amp;creator=factSet&amp;DYN_ARGS=true&amp;DOC_NAME=FAT:RGQ_ENTRPR_VAL_MV_SOURCE_WINDOW.FAT&amp;VAR:ID1=SAAB.B-SE&amp;VAR:SDATE=20100721&amp;VAR:FDATE=20100630&amp;VAR:FREQ=DAILY&amp;VAR:RELITEM=&amp;VAR:CURRENCY=&amp;VAR:DB_TYPE=&amp;VAR:UNITS=M&amp;VAR:SHS_O","UT_TYPE=&amp;window=popup&amp;width=535&amp;height=425&amp;START_MAXIMIZED=FALSE&amp;Y=120"}</definedName>
    <definedName name="_226__FDSAUDITLINK__" hidden="1">{"fdsup://directions/FAT Viewer?action=UPDATE&amp;creator=factSet&amp;DYN_ARGS=true&amp;DOC_NAME=FAT:RGQ_ENTRPR_VAL_MV_SOURCE_WINDOW.FAT&amp;VAR:ID1=SAAB.B-SE&amp;VAR:SDATE=20100721&amp;VAR:FDATE=20100630&amp;VAR:FREQ=DAILY&amp;VAR:RELITEM=&amp;VAR:CURRENCY=&amp;VAR:DB_TYPE=&amp;VAR:UNITS=M&amp;VAR:SHS_O","UT_TYPE=&amp;window=popup&amp;width=535&amp;height=425&amp;START_MAXIMIZED=FALSE&amp;Y=120"}</definedName>
    <definedName name="_227__FDSAUDITLINK__" hidden="1">{"fdsup://directions/FAT Viewer?action=UPDATE&amp;creator=factSet&amp;DYN_ARGS=true&amp;DOC_NAME=FAT:RGQ_ENTRPR_VAL_MV_SOURCE_WINDOW.FAT&amp;VAR:ID1=ESLT-IL&amp;VAR:SDATE=20100721&amp;VAR:FDATE=20100331&amp;VAR:FREQ=DAILY&amp;VAR:RELITEM=&amp;VAR:CURRENCY=&amp;VAR:DB_TYPE=&amp;VAR:UNITS=M&amp;VAR:SHS_OUT","_TYPE=&amp;window=popup&amp;width=535&amp;height=425&amp;START_MAXIMIZED=FALSE&amp;Y=120"}</definedName>
    <definedName name="_228__FDSAUDITLINK__" hidden="1">{"fdsup://directions/FAT Viewer?action=UPDATE&amp;creator=factSet&amp;DYN_ARGS=true&amp;DOC_NAME=FAT:RGQ_ENTRPR_VAL_MV_SOURCE_WINDOW.FAT&amp;VAR:ID1=ESLT-IL&amp;VAR:SDATE=20100721&amp;VAR:FDATE=20100331&amp;VAR:FREQ=DAILY&amp;VAR:RELITEM=&amp;VAR:CURRENCY=&amp;VAR:DB_TYPE=&amp;VAR:UNITS=M&amp;VAR:SHS_OUT","_TYPE=&amp;window=popup&amp;width=535&amp;height=425&amp;START_MAXIMIZED=FALSE&amp;Y=120"}</definedName>
    <definedName name="_229__FDSAUDITLINK__" hidden="1">{"fdsup://directions/FAT Viewer?action=UPDATE&amp;creator=factSet&amp;DYN_ARGS=true&amp;DOC_NAME=FAT:RGQ_ENTRPR_VAL_MV_SOURCE_WINDOW.FAT&amp;VAR:ID1=CAE-CA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2M_Fenster_.KSBASISDATEN">#REF!</definedName>
    <definedName name="_22M_Fenster_.KSBlatthinzu">#REF!</definedName>
    <definedName name="_23______0__123Graph_B乗" hidden="1">#REF!</definedName>
    <definedName name="_23__123Graph_A????_1" hidden="1">#REF!</definedName>
    <definedName name="_23__123Graph_ECHART_4" hidden="1">#REF!</definedName>
    <definedName name="_23__123Graph_XSOLDA_PINTURA" hidden="1">#REF!</definedName>
    <definedName name="_23__123Graph_Xｸﾞﾗﾌ_5" hidden="1">#REF!</definedName>
    <definedName name="_23__FDSAUDITLINK__" hidden="1">{"fdsup://directions/FAT Viewer?action=UPDATE&amp;creator=factSet&amp;DYN_ARGS=true&amp;DOC_NAME=FAT:RGQ_ENTRPR_VAL_MV_SOURCE_WINDOW.FAT&amp;VAR:ID1=EMBR3-BR&amp;VAR:SDATE=20100721&amp;VAR:FDATE=20100331&amp;VAR:FREQ=DAILY&amp;VAR:RELITEM=&amp;VAR:CURRENCY=&amp;VAR:DB_TYPE=&amp;VAR:UNITS=M&amp;VAR:SHS_OU","T_TYPE=&amp;window=popup&amp;width=535&amp;height=425&amp;START_MAXIMIZED=FALSE&amp;Y=120"}</definedName>
    <definedName name="_23_0__123Graph_B乗" hidden="1">#REF!</definedName>
    <definedName name="_23_123Graph_C乗" hidden="1">#REF!</definedName>
    <definedName name="_230__FDSAUDITLINK__" hidden="1">{"fdsup://directions/FAT Viewer?action=UPDATE&amp;creator=factSet&amp;DYN_ARGS=true&amp;DOC_NAME=FAT:RGQ_ENTRPR_VAL_MV_SOURCE_WINDOW.FAT&amp;VAR:ID1=CAE-CA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31__FDSAUDITLINK__" hidden="1">{"fdsup://directions/FAT Viewer?action=UPDATE&amp;creator=factSet&amp;DYN_ARGS=true&amp;DOC_NAME=FAT:RGQ_ENTRPR_VAL_MV_SOURCE_WINDOW.FAT&amp;VAR:ID1=RHM-DE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32__FDSAUDITLINK__" hidden="1">{"fdsup://directions/FAT Viewer?action=UPDATE&amp;creator=factSet&amp;DYN_ARGS=true&amp;DOC_NAME=FAT:RGQ_ENTRPR_VAL_MV_SOURCE_WINDOW.FAT&amp;VAR:ID1=RHM-DE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33__FDSAUDITLINK__" hidden="1">{"fdsup://directions/FAT Viewer?action=UPDATE&amp;creator=factSet&amp;DYN_ARGS=true&amp;DOC_NAME=FAT:RGQ_ENTRPR_VAL_MV_SOURCE_WINDOW.FAT&amp;VAR:ID1=MTX-DE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34__FDSAUDITLINK__" hidden="1">{"fdsup://directions/FAT Viewer?action=UPDATE&amp;creator=factSet&amp;DYN_ARGS=true&amp;DOC_NAME=FAT:RGQ_ENTRPR_VAL_MV_SOURCE_WINDOW.FAT&amp;VAR:ID1=MTX-DE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35__FDSAUDITLINK__" hidden="1">{"fdsup://directions/FAT Viewer?action=UPDATE&amp;creator=factSet&amp;DYN_ARGS=true&amp;DOC_NAME=FAT:RGQ_ENTRPR_VAL_MV_SOURCE_WINDOW.FAT&amp;VAR:ID1=EMBR3-BR&amp;VAR:SDATE=20100721&amp;VAR:FDATE=20100331&amp;VAR:FREQ=DAILY&amp;VAR:RELITEM=&amp;VAR:CURRENCY=&amp;VAR:DB_TYPE=&amp;VAR:UNITS=M&amp;VAR:SHS_OU","T_TYPE=&amp;window=popup&amp;width=535&amp;height=425&amp;START_MAXIMIZED=FALSE&amp;Y=120"}</definedName>
    <definedName name="_236__FDSAUDITLINK__" hidden="1">{"fdsup://directions/FAT Viewer?action=UPDATE&amp;creator=factSet&amp;DYN_ARGS=true&amp;DOC_NAME=FAT:RGQ_ENTRPR_VAL_MV_SOURCE_WINDOW.FAT&amp;VAR:ID1=EMBR3-BR&amp;VAR:SDATE=20100721&amp;VAR:FDATE=20100331&amp;VAR:FREQ=DAILY&amp;VAR:RELITEM=&amp;VAR:CURRENCY=&amp;VAR:DB_TYPE=&amp;VAR:UNITS=M&amp;VAR:SHS_OU","T_TYPE=&amp;window=popup&amp;width=535&amp;height=425&amp;START_MAXIMIZED=FALSE&amp;Y=120"}</definedName>
    <definedName name="_237__FDSAUDITLINK__" hidden="1">{"fdsup://directions/FAT Viewer?action=UPDATE&amp;creator=factSet&amp;DYN_ARGS=true&amp;DOC_NAME=FAT:RGQ_ENTRPR_VAL_MV_SOURCE_WINDOW.FAT&amp;VAR:ID1=S63-SG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38__FDSAUDITLINK__" hidden="1">{"fdsup://directions/FAT Viewer?action=UPDATE&amp;creator=factSet&amp;DYN_ARGS=true&amp;DOC_NAME=FAT:RGQ_ENTRPR_VAL_MV_SOURCE_WINDOW.FAT&amp;VAR:ID1=S63-SG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39__FDSAUDITLINK__" hidden="1">{"fdsup://directions/FAT Viewer?action=UPDATE&amp;creator=factSet&amp;DYN_ARGS=true&amp;DOC_NAME=FAT:RGQ_ENTRPR_VAL_MV_SOURCE_WINDOW.FAT&amp;VAR:ID1=BBD.B-CA&amp;VAR:SDATE=20100721&amp;VAR:FDATE=20100430&amp;VAR:FREQ=DAILY&amp;VAR:RELITEM=&amp;VAR:CURRENCY=&amp;VAR:DB_TYPE=&amp;VAR:UNITS=M&amp;VAR:SHS_OU","T_TYPE=&amp;window=popup&amp;width=535&amp;height=425&amp;START_MAXIMIZED=FALSE&amp;Y=120"}</definedName>
    <definedName name="_2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M_Fenster_.KSBASISDATEN">#REF!</definedName>
    <definedName name="_23M_Fenster_.KSBlatthinzu">#REF!</definedName>
    <definedName name="_24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4______0__123Graph_B商" hidden="1">#REF!</definedName>
    <definedName name="_24__123Graph_BGRAPHIQUE_1" hidden="1">#REF!</definedName>
    <definedName name="_24__123Graph_FCHART_3" hidden="1">#REF!</definedName>
    <definedName name="_24__123Graph_LBL_AINTR_MECN" hidden="1">#REF!</definedName>
    <definedName name="_24__123Graph_XTOTAL_DIRECTOS" hidden="1">#REF!</definedName>
    <definedName name="_24__FDSAUDITLINK__" hidden="1">{"fdsup://directions/FAT Viewer?action=UPDATE&amp;creator=factSet&amp;DYN_ARGS=true&amp;DOC_NAME=FAT:RGQ_ENTRPR_VAL_MV_SOURCE_WINDOW.FAT&amp;VAR:ID1=EMBR3-BR&amp;VAR:SDATE=20100721&amp;VAR:FDATE=20100331&amp;VAR:FREQ=DAILY&amp;VAR:RELITEM=&amp;VAR:CURRENCY=&amp;VAR:DB_TYPE=&amp;VAR:UNITS=M&amp;VAR:SHS_OU","T_TYPE=&amp;window=popup&amp;width=535&amp;height=425&amp;START_MAXIMIZED=FALSE&amp;Y=120"}</definedName>
    <definedName name="_24_0__123Graph_B商" hidden="1">#REF!</definedName>
    <definedName name="_24_123Graph_C商" hidden="1">#REF!</definedName>
    <definedName name="_240__FDSAUDITLINK__" hidden="1">{"fdsup://directions/FAT Viewer?action=UPDATE&amp;creator=factSet&amp;DYN_ARGS=true&amp;DOC_NAME=FAT:RGQ_ENTRPR_VAL_MV_SOURCE_WINDOW.FAT&amp;VAR:ID1=BBD.B-CA&amp;VAR:SDATE=20100721&amp;VAR:FDATE=20100430&amp;VAR:FREQ=DAILY&amp;VAR:RELITEM=&amp;VAR:CURRENCY=&amp;VAR:DB_TYPE=&amp;VAR:UNITS=M&amp;VAR:SHS_OU","T_TYPE=&amp;window=popup&amp;width=535&amp;height=425&amp;START_MAXIMIZED=FALSE&amp;Y=120"}</definedName>
    <definedName name="_241__FDSAUDITLINK__" hidden="1">{"fdsup://directions/FAT Viewer?action=UPDATE&amp;creator=factSet&amp;DYN_ARGS=true&amp;DOC_NAME=FAT:RGQ_ENTRPR_VAL_MV_SOURCE_WINDOW.FAT&amp;VAR:ID1=FNC-IT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42__FDSAUDITLINK__" hidden="1">{"fdsup://directions/FAT Viewer?action=UPDATE&amp;creator=factSet&amp;DYN_ARGS=true&amp;DOC_NAME=FAT:RGQ_ENTRPR_VAL_MV_SOURCE_WINDOW.FAT&amp;VAR:ID1=FNC-IT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43__FDSAUDITLINK__" hidden="1">{"fdsup://directions/FAT Viewer?action=UPDATE&amp;creator=factSet&amp;DYN_ARGS=true&amp;DOC_NAME=FAT:RGQ_ENTRPR_VAL_MV_SOURCE_WINDOW.FAT&amp;VAR:ID1=FIRM&amp;VAR:SDATE=20100721&amp;VAR:FDATE=20020930&amp;VAR:FREQ=DAILY&amp;VAR:RELITEM=&amp;VAR:CURRENCY=&amp;VAR:DB_TYPE=&amp;VAR:UNITS=M&amp;VAR:SHS_OUT_TY","PE=&amp;window=popup&amp;width=535&amp;height=425&amp;START_MAXIMIZED=FALSE&amp;Y=120"}</definedName>
    <definedName name="_244__FDSAUDITLINK__" hidden="1">{"fdsup://directions/FAT Viewer?action=UPDATE&amp;creator=factSet&amp;DYN_ARGS=true&amp;DOC_NAME=FAT:RGQ_ENTRPR_VAL_MV_SOURCE_WINDOW.FAT&amp;VAR:ID1=FIRM&amp;VAR:SDATE=20100721&amp;VAR:FDATE=20020930&amp;VAR:FREQ=DAILY&amp;VAR:RELITEM=&amp;VAR:CURRENCY=&amp;VAR:DB_TYPE=&amp;VAR:UNITS=M&amp;VAR:SHS_OUT_TY","PE=&amp;window=popup&amp;width=535&amp;height=425&amp;START_MAXIMIZED=FALSE&amp;Y=120"}</definedName>
    <definedName name="_245__FDSAUDITLINK__" hidden="1">{"fdsup://directions/FAT Viewer?action=UPDATE&amp;creator=factSet&amp;DYN_ARGS=true&amp;DOC_NAME=FAT:RGQ_ENTRPR_VAL_MV_SOURCE_WINDOW.FAT&amp;VAR:ID1=EPEO&amp;VAR:SDATE=20100721&amp;VAR:FDATE=20070629&amp;VAR:FREQ=DAILY&amp;VAR:RELITEM=&amp;VAR:CURRENCY=&amp;VAR:DB_TYPE=&amp;VAR:UNITS=M&amp;VAR:SHS_OUT_TY","PE=&amp;window=popup&amp;width=535&amp;height=425&amp;START_MAXIMIZED=FALSE&amp;Y=120"}</definedName>
    <definedName name="_246__FDSAUDITLINK__" hidden="1">{"fdsup://directions/FAT Viewer?action=UPDATE&amp;creator=factSet&amp;DYN_ARGS=true&amp;DOC_NAME=FAT:RGQ_ENTRPR_VAL_MV_SOURCE_WINDOW.FAT&amp;VAR:ID1=EPEO&amp;VAR:SDATE=20100721&amp;VAR:FDATE=20070629&amp;VAR:FREQ=DAILY&amp;VAR:RELITEM=&amp;VAR:CURRENCY=&amp;VAR:DB_TYPE=&amp;VAR:UNITS=M&amp;VAR:SHS_OUT_TY","PE=&amp;window=popup&amp;width=535&amp;height=425&amp;START_MAXIMIZED=FALSE&amp;Y=120"}</definedName>
    <definedName name="_247__FDSAUDITLINK__" hidden="1">{"fdsup://directions/FAT Viewer?action=UPDATE&amp;creator=factSet&amp;DYN_ARGS=true&amp;DOC_NAME=FAT:RGQ_ENTRPR_VAL_MV_SOURCE_WINDOW.FAT&amp;VAR:ID1=USGA&amp;VAR:SDATE=20100721&amp;VAR:FDATE=20061229&amp;VAR:FREQ=DAILY&amp;VAR:RELITEM=&amp;VAR:CURRENCY=&amp;VAR:DB_TYPE=&amp;VAR:UNITS=M&amp;VAR:SHS_OUT_TY","PE=&amp;window=popup&amp;width=535&amp;height=425&amp;START_MAXIMIZED=FALSE&amp;Y=120"}</definedName>
    <definedName name="_248__FDSAUDITLINK__" hidden="1">{"fdsup://directions/FAT Viewer?action=UPDATE&amp;creator=factSet&amp;DYN_ARGS=true&amp;DOC_NAME=FAT:RGQ_ENTRPR_VAL_MV_SOURCE_WINDOW.FAT&amp;VAR:ID1=USGA&amp;VAR:SDATE=20100721&amp;VAR:FDATE=20061229&amp;VAR:FREQ=DAILY&amp;VAR:RELITEM=&amp;VAR:CURRENCY=&amp;VAR:DB_TYPE=&amp;VAR:UNITS=M&amp;VAR:SHS_OUT_TY","PE=&amp;window=popup&amp;width=535&amp;height=425&amp;START_MAXIMIZED=FALSE&amp;Y=120"}</definedName>
    <definedName name="_249__FDSAUDITLINK__" hidden="1">{"fdsup://directions/FAT Viewer?action=UPDATE&amp;creator=factSet&amp;DYN_ARGS=true&amp;DOC_NAME=FAT:RGQ_ENTRPR_VAL_MV_SOURCE_WINDOW.FAT&amp;VAR:ID1=TTLO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24M_Fenster_.KSBASISDATEN">#REF!</definedName>
    <definedName name="_24M_Fenster_.KSBlatthinzu">#REF!</definedName>
    <definedName name="_25______0__123Graph_B総" hidden="1">#REF!</definedName>
    <definedName name="_25__123Graph_A????_3" hidden="1">#REF!</definedName>
    <definedName name="_25__123Graph_AINTR_PINT" hidden="1">#REF!</definedName>
    <definedName name="_25__123Graph_D4X4W_G" hidden="1">#REF!</definedName>
    <definedName name="_25__123Graph_FCHART_4" hidden="1">#REF!</definedName>
    <definedName name="_25__FDSAUDITLINK__" hidden="1">{"fdsup://directions/FAT Viewer?action=UPDATE&amp;creator=factSet&amp;DYN_ARGS=true&amp;DOC_NAME=FAT:RGQ_ENTRPR_VAL_MV_SOURCE_WINDOW.FAT&amp;VAR:ID1=S63-SG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5_0__123Grap" hidden="1">#REF!</definedName>
    <definedName name="_25_0__123Graph_B総" hidden="1">#REF!</definedName>
    <definedName name="_250__FDSAUDITLINK__" hidden="1">{"fdsup://directions/FAT Viewer?action=UPDATE&amp;creator=factSet&amp;DYN_ARGS=true&amp;DOC_NAME=FAT:RGQ_ENTRPR_VAL_MV_SOURCE_WINDOW.FAT&amp;VAR:ID1=TTLO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251_______123Grap" hidden="1">#REF!</definedName>
    <definedName name="_251__FDSAUDITLINK__" hidden="1">{"fdsup://directions/FAT Viewer?action=UPDATE&amp;creator=factSet&amp;DYN_ARGS=true&amp;DOC_NAME=FAT:RGQ_ENTRPR_VAL_MV_SOURCE_WINDOW.FAT&amp;VAR:ID1=DEWY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52__FDSAUDITLINK__" hidden="1">{"fdsup://directions/FAT Viewer?action=UPDATE&amp;creator=factSet&amp;DYN_ARGS=true&amp;DOC_NAME=FAT:RGQ_ENTRPR_VAL_MV_SOURCE_WINDOW.FAT&amp;VAR:ID1=DEWY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53____0__123Grap" hidden="1">#REF!</definedName>
    <definedName name="_253__FDSAUDITLINK__" hidden="1">{"fdsup://directions/FAT Viewer?action=UPDATE&amp;creator=factSet&amp;DYN_ARGS=true&amp;DOC_NAME=FAT:RGQ_ENTRPR_VAL_MV_SOURCE_WINDOW.FAT&amp;VAR:ID1=LGSL&amp;VAR:SDATE=20100721&amp;VAR:FDATE=20080930&amp;VAR:FREQ=DAILY&amp;VAR:RELITEM=&amp;VAR:CURRENCY=&amp;VAR:DB_TYPE=&amp;VAR:UNITS=M&amp;VAR:SHS_OUT_TY","PE=&amp;window=popup&amp;width=535&amp;height=425&amp;START_MAXIMIZED=FALSE&amp;Y=120"}</definedName>
    <definedName name="_254__FDSAUDITLINK__" hidden="1">{"fdsup://directions/FAT Viewer?action=UPDATE&amp;creator=factSet&amp;DYN_ARGS=true&amp;DOC_NAME=FAT:RGQ_ENTRPR_VAL_MV_SOURCE_WINDOW.FAT&amp;VAR:ID1=LGSL&amp;VAR:SDATE=20100721&amp;VAR:FDATE=20080930&amp;VAR:FREQ=DAILY&amp;VAR:RELITEM=&amp;VAR:CURRENCY=&amp;VAR:DB_TYPE=&amp;VAR:UNITS=M&amp;VAR:SHS_OUT_TY","PE=&amp;window=popup&amp;width=535&amp;height=425&amp;START_MAXIMIZED=FALSE&amp;Y=120"}</definedName>
    <definedName name="_255__FDSAUDITLINK__" hidden="1">{"fdsup://directions/FAT Viewer?action=UPDATE&amp;creator=factSet&amp;DYN_ARGS=true&amp;DOC_NAME=FAT:RGQ_ENTRPR_VAL_MV_SOURCE_WINDOW.FAT&amp;VAR:ID1=CSXBE&amp;VAR:SDATE=20100721&amp;VAR:FDATE=20100331&amp;VAR:FREQ=DAILY&amp;VAR:RELITEM=&amp;VAR:CURRENCY=&amp;VAR:DB_TYPE=&amp;VAR:UNITS=M&amp;VAR:SHS_OUT_T","YPE=&amp;window=popup&amp;width=535&amp;height=425&amp;START_MAXIMIZED=FALSE&amp;Y=120"}</definedName>
    <definedName name="_256__FDSAUDITLINK__" hidden="1">{"fdsup://directions/FAT Viewer?action=UPDATE&amp;creator=factSet&amp;DYN_ARGS=true&amp;DOC_NAME=FAT:RGQ_ENTRPR_VAL_MV_SOURCE_WINDOW.FAT&amp;VAR:ID1=CSXBE&amp;VAR:SDATE=20100721&amp;VAR:FDATE=20100331&amp;VAR:FREQ=DAILY&amp;VAR:RELITEM=&amp;VAR:CURRENCY=&amp;VAR:DB_TYPE=&amp;VAR:UNITS=M&amp;VAR:SHS_OUT_T","YPE=&amp;window=popup&amp;width=535&amp;height=425&amp;START_MAXIMIZED=FALSE&amp;Y=120"}</definedName>
    <definedName name="_257__FDSAUDITLINK__" hidden="1">{"fdsup://directions/FAT Viewer?action=UPDATE&amp;creator=factSet&amp;DYN_ARGS=true&amp;DOC_NAME=FAT:RGQ_ENTRPR_VAL_MV_SOURCE_WINDOW.FAT&amp;VAR:ID1=KRSL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58__FDSAUDITLINK__" hidden="1">{"fdsup://directions/FAT Viewer?action=UPDATE&amp;creator=factSet&amp;DYN_ARGS=true&amp;DOC_NAME=FAT:RGQ_ENTRPR_VAL_MV_SOURCE_WINDOW.FAT&amp;VAR:ID1=KRSL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59__FDSAUDITLINK__" hidden="1">{"fdsup://directions/FAT Viewer?action=UPDATE&amp;creator=factSet&amp;DYN_ARGS=true&amp;DOC_NAME=FAT:RGQ_ENTRPR_VAL_MV_SOURCE_WINDOW.FAT&amp;VAR:ID1=MKR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5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5M_Fenster_.KSBASISDATEN">#REF!</definedName>
    <definedName name="_25M_Fenster_.KSBlatthinzu">#REF!</definedName>
    <definedName name="_26______0__123Graph_C乗" hidden="1">#REF!</definedName>
    <definedName name="_26__123Graph_LBL_AINTR_MONT" hidden="1">#REF!</definedName>
    <definedName name="_26__123Graph_XCHART_4" hidden="1">#REF!</definedName>
    <definedName name="_26__FDSAUDITLINK__" hidden="1">{"fdsup://directions/FAT Viewer?action=UPDATE&amp;creator=factSet&amp;DYN_ARGS=true&amp;DOC_NAME=FAT:RGQ_ENTRPR_VAL_MV_SOURCE_WINDOW.FAT&amp;VAR:ID1=S63-SG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6_0__123Graph_C乗" hidden="1">#REF!</definedName>
    <definedName name="_26_123Graph_D乗" hidden="1">#REF!</definedName>
    <definedName name="_260__FDSAUDITLINK__" hidden="1">{"fdsup://directions/FAT Viewer?action=UPDATE&amp;creator=factSet&amp;DYN_ARGS=true&amp;DOC_NAME=FAT:RGQ_ENTRPR_VAL_MV_SOURCE_WINDOW.FAT&amp;VAR:ID1=MKR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61__FDSAUDITLINK__" hidden="1">{"fdsup://directions/FAT Viewer?action=UPDATE&amp;creator=factSet&amp;DYN_ARGS=true&amp;DOC_NAME=FAT:RGQ_ENTRPR_VAL_MV_SOURCE_WINDOW.FAT&amp;VAR:ID1=BRSI&amp;VAR:SDATE=20100721&amp;VAR:FDATE=20080930&amp;VAR:FREQ=DAILY&amp;VAR:RELITEM=&amp;VAR:CURRENCY=&amp;VAR:DB_TYPE=&amp;VAR:UNITS=M&amp;VAR:SHS_OUT_TY","PE=&amp;window=popup&amp;width=535&amp;height=425&amp;START_MAXIMIZED=FALSE&amp;Y=120"}</definedName>
    <definedName name="_262__FDSAUDITLINK__" hidden="1">{"fdsup://directions/FAT Viewer?action=UPDATE&amp;creator=factSet&amp;DYN_ARGS=true&amp;DOC_NAME=FAT:RGQ_ENTRPR_VAL_MV_SOURCE_WINDOW.FAT&amp;VAR:ID1=BRSI&amp;VAR:SDATE=20100721&amp;VAR:FDATE=20080930&amp;VAR:FREQ=DAILY&amp;VAR:RELITEM=&amp;VAR:CURRENCY=&amp;VAR:DB_TYPE=&amp;VAR:UNITS=M&amp;VAR:SHS_OUT_TY","PE=&amp;window=popup&amp;width=535&amp;height=425&amp;START_MAXIMIZED=FALSE&amp;Y=120"}</definedName>
    <definedName name="_263__FDSAUDITLINK__" hidden="1">{"fdsup://directions/FAT Viewer?action=UPDATE&amp;creator=factSet&amp;DYN_ARGS=true&amp;DOC_NAME=FAT:RGQ_ENTRPR_VAL_MV_SOURCE_WINDOW.FAT&amp;VAR:ID1=AAII&amp;VAR:SDATE=20100721&amp;VAR:FDATE=20090930&amp;VAR:FREQ=DAILY&amp;VAR:RELITEM=&amp;VAR:CURRENCY=&amp;VAR:DB_TYPE=&amp;VAR:UNITS=M&amp;VAR:SHS_OUT_TY","PE=&amp;window=popup&amp;width=535&amp;height=425&amp;START_MAXIMIZED=FALSE&amp;Y=120"}</definedName>
    <definedName name="_264__FDSAUDITLINK__" hidden="1">{"fdsup://directions/FAT Viewer?action=UPDATE&amp;creator=factSet&amp;DYN_ARGS=true&amp;DOC_NAME=FAT:RGQ_ENTRPR_VAL_MV_SOURCE_WINDOW.FAT&amp;VAR:ID1=AAII&amp;VAR:SDATE=20100721&amp;VAR:FDATE=20090930&amp;VAR:FREQ=DAILY&amp;VAR:RELITEM=&amp;VAR:CURRENCY=&amp;VAR:DB_TYPE=&amp;VAR:UNITS=M&amp;VAR:SHS_OUT_TY","PE=&amp;window=popup&amp;width=535&amp;height=425&amp;START_MAXIMIZED=FALSE&amp;Y=120"}</definedName>
    <definedName name="_265__FDSAUDITLINK__" hidden="1">{"fdsup://directions/FAT Viewer?action=UPDATE&amp;creator=factSet&amp;DYN_ARGS=true&amp;DOC_NAME=FAT:RGQ_ENTRPR_VAL_MV_SOURCE_WINDOW.FAT&amp;VAR:ID1=GIGA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66__FDSAUDITLINK__" hidden="1">{"fdsup://directions/FAT Viewer?action=UPDATE&amp;creator=factSet&amp;DYN_ARGS=true&amp;DOC_NAME=FAT:RGQ_ENTRPR_VAL_MV_SOURCE_WINDOW.FAT&amp;VAR:ID1=GIGA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67__FDSAUDITLINK__" hidden="1">{"fdsup://directions/FAT Viewer?action=UPDATE&amp;creator=factSet&amp;DYN_ARGS=true&amp;DOC_NAME=FAT:RGQ_ENTRPR_VAL_MV_SOURCE_WINDOW.FAT&amp;VAR:ID1=ESC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68__FDSAUDITLINK__" hidden="1">{"fdsup://directions/FAT Viewer?action=UPDATE&amp;creator=factSet&amp;DYN_ARGS=true&amp;DOC_NAME=FAT:RGQ_ENTRPR_VAL_MV_SOURCE_WINDOW.FAT&amp;VAR:ID1=ESC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69__FDSAUDITLINK__" hidden="1">{"fdsup://directions/FAT Viewer?action=UPDATE&amp;creator=factSet&amp;DYN_ARGS=true&amp;DOC_NAME=FAT:RGQ_ENTRPR_VAL_MV_SOURCE_WINDOW.FAT&amp;VAR:ID1=IRS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6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6M_Fenster_.KSBASISDATEN">#REF!</definedName>
    <definedName name="_27______0__123Graph_C商" hidden="1">#REF!</definedName>
    <definedName name="_27__123Graph_A????_5" hidden="1">#REF!</definedName>
    <definedName name="_27__FDSAUDITLINK__" hidden="1">{"fdsup://directions/FAT Viewer?action=UPDATE&amp;creator=factSet&amp;DYN_ARGS=true&amp;DOC_NAME=FAT:RGQ_ENTRPR_VAL_MV_SOURCE_WINDOW.FAT&amp;VAR:ID1=BBD.B-CA&amp;VAR:SDATE=20100721&amp;VAR:FDATE=20100430&amp;VAR:FREQ=DAILY&amp;VAR:RELITEM=&amp;VAR:CURRENCY=&amp;VAR:DB_TYPE=&amp;VAR:UNITS=M&amp;VAR:SHS_OU","T_TYPE=&amp;window=popup&amp;width=535&amp;height=425&amp;START_MAXIMIZED=FALSE&amp;Y=120"}</definedName>
    <definedName name="_27_0__123Graph_C商" hidden="1">#REF!</definedName>
    <definedName name="_27_123Graph_D商" hidden="1">#REF!</definedName>
    <definedName name="_270__FDSAUDITLINK__" hidden="1">{"fdsup://directions/FAT Viewer?action=UPDATE&amp;creator=factSet&amp;DYN_ARGS=true&amp;DOC_NAME=FAT:RGQ_ENTRPR_VAL_MV_SOURCE_WINDOW.FAT&amp;VAR:ID1=IRS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71__FDSAUDITLINK__" hidden="1">{"fdsup://directions/FAT Viewer?action=UPDATE&amp;creator=factSet&amp;DYN_ARGS=true&amp;DOC_NAME=FAT:RGQ_ENTRPR_VAL_MV_SOURCE_WINDOW.FAT&amp;VAR:ID1=XN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72__FDSAUDITLINK__" hidden="1">{"fdsup://directions/FAT Viewer?action=UPDATE&amp;creator=factSet&amp;DYN_ARGS=true&amp;DOC_NAME=FAT:RGQ_ENTRPR_VAL_MV_SOURCE_WINDOW.FAT&amp;VAR:ID1=XN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73__FDSAUDITLINK__" hidden="1">{"fdsup://directions/FAT Viewer?action=UPDATE&amp;creator=factSet&amp;DYN_ARGS=true&amp;DOC_NAME=FAT:RGQ_ENTRPR_VAL_MV_SOURCE_WINDOW.FAT&amp;VAR:ID1=MLE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74__FDSAUDITLINK__" hidden="1">{"fdsup://directions/FAT Viewer?action=UPDATE&amp;creator=factSet&amp;DYN_ARGS=true&amp;DOC_NAME=FAT:RGQ_ENTRPR_VAL_MV_SOURCE_WINDOW.FAT&amp;VAR:ID1=MLE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75__FDSAUDITLINK__" hidden="1">{"fdsup://directions/FAT Viewer?action=UPDATE&amp;creator=factSet&amp;DYN_ARGS=true&amp;DOC_NAME=FAT:RGQ_ENTRPR_VAL_MV_SOURCE_WINDOW.FAT&amp;VAR:ID1=PBSO&amp;VAR:SDATE=20100721&amp;VAR:FDATE=20090930&amp;VAR:FREQ=DAILY&amp;VAR:RELITEM=&amp;VAR:CURRENCY=&amp;VAR:DB_TYPE=&amp;VAR:UNITS=M&amp;VAR:SHS_OUT_TY","PE=&amp;window=popup&amp;width=535&amp;height=425&amp;START_MAXIMIZED=FALSE&amp;Y=120"}</definedName>
    <definedName name="_276__FDSAUDITLINK__" hidden="1">{"fdsup://directions/FAT Viewer?action=UPDATE&amp;creator=factSet&amp;DYN_ARGS=true&amp;DOC_NAME=FAT:RGQ_ENTRPR_VAL_MV_SOURCE_WINDOW.FAT&amp;VAR:ID1=PBSO&amp;VAR:SDATE=20100721&amp;VAR:FDATE=20090930&amp;VAR:FREQ=DAILY&amp;VAR:RELITEM=&amp;VAR:CURRENCY=&amp;VAR:DB_TYPE=&amp;VAR:UNITS=M&amp;VAR:SHS_OUT_TY","PE=&amp;window=popup&amp;width=535&amp;height=425&amp;START_MAXIMIZED=FALSE&amp;Y=120"}</definedName>
    <definedName name="_277__FDSAUDITLINK__" hidden="1">{"fdsup://directions/FAT Viewer?action=UPDATE&amp;creator=factSet&amp;DYN_ARGS=true&amp;DOC_NAME=FAT:RGQ_ENTRPR_VAL_MV_SOURCE_WINDOW.FAT&amp;VAR:ID1=AIM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278__FDSAUDITLINK__" hidden="1">{"fdsup://directions/FAT Viewer?action=UPDATE&amp;creator=factSet&amp;DYN_ARGS=true&amp;DOC_NAME=FAT:RGQ_ENTRPR_VAL_MV_SOURCE_WINDOW.FAT&amp;VAR:ID1=AIM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279__FDSAUDITLINK__" hidden="1">{"fdsup://directions/FAT Viewer?action=UPDATE&amp;creator=factSet&amp;DYN_ARGS=true&amp;DOC_NAME=FAT:RGQ_ENTRPR_VAL_MV_SOURCE_WINDOW.FAT&amp;VAR:ID1=FIG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7M_Fenster_.KSBlatthinzu">#REF!</definedName>
    <definedName name="_28______0__123Graph_D乗" hidden="1">#REF!</definedName>
    <definedName name="_28__123Graph_A????_2" hidden="1">#REF!</definedName>
    <definedName name="_28__123Graph_LBL_AINTR_PINT" hidden="1">#REF!</definedName>
    <definedName name="_28__FDSAUDITLINK__" hidden="1">{"fdsup://directions/FAT Viewer?action=UPDATE&amp;creator=factSet&amp;DYN_ARGS=true&amp;DOC_NAME=FAT:RGQ_ENTRPR_VAL_MV_SOURCE_WINDOW.FAT&amp;VAR:ID1=BBD.B-CA&amp;VAR:SDATE=20100721&amp;VAR:FDATE=20100430&amp;VAR:FREQ=DAILY&amp;VAR:RELITEM=&amp;VAR:CURRENCY=&amp;VAR:DB_TYPE=&amp;VAR:UNITS=M&amp;VAR:SHS_OU","T_TYPE=&amp;window=popup&amp;width=535&amp;height=425&amp;START_MAXIMIZED=FALSE&amp;Y=120"}</definedName>
    <definedName name="_28_0__123Graph_D乗" hidden="1">#REF!</definedName>
    <definedName name="_28_123Graph_D総" hidden="1">#REF!</definedName>
    <definedName name="_280__FDSAUDITLINK__" hidden="1">{"fdsup://directions/FAT Viewer?action=UPDATE&amp;creator=factSet&amp;DYN_ARGS=true&amp;DOC_NAME=FAT:RGQ_ENTRPR_VAL_MV_SOURCE_WINDOW.FAT&amp;VAR:ID1=FIG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81__FDSAUDITLINK__" hidden="1">{"fdsup://directions/FAT Viewer?action=UPDATE&amp;creator=factSet&amp;DYN_ARGS=true&amp;DOC_NAME=FAT:RGQ_ENTRPR_VAL_MV_SOURCE_WINDOW.FAT&amp;VAR:ID1=TI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82__FDSAUDITLINK__" hidden="1">{"fdsup://directions/FAT Viewer?action=UPDATE&amp;creator=factSet&amp;DYN_ARGS=true&amp;DOC_NAME=FAT:RGQ_ENTRPR_VAL_MV_SOURCE_WINDOW.FAT&amp;VAR:ID1=TI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83__FDSAUDITLINK__" hidden="1">{"fdsup://directions/FAT Viewer?action=UPDATE&amp;creator=factSet&amp;DYN_ARGS=true&amp;DOC_NAME=FAT:RGQ_ENTRPR_VAL_MV_SOURCE_WINDOW.FAT&amp;VAR:ID1=BUKS&amp;VAR:SDATE=20100721&amp;VAR:FDATE=20100129&amp;VAR:FREQ=DAILY&amp;VAR:RELITEM=&amp;VAR:CURRENCY=&amp;VAR:DB_TYPE=&amp;VAR:UNITS=M&amp;VAR:SHS_OUT_TY","PE=&amp;window=popup&amp;width=535&amp;height=425&amp;START_MAXIMIZED=FALSE&amp;Y=120"}</definedName>
    <definedName name="_284__FDSAUDITLINK__" hidden="1">{"fdsup://directions/FAT Viewer?action=UPDATE&amp;creator=factSet&amp;DYN_ARGS=true&amp;DOC_NAME=FAT:RGQ_ENTRPR_VAL_MV_SOURCE_WINDOW.FAT&amp;VAR:ID1=BUKS&amp;VAR:SDATE=20100721&amp;VAR:FDATE=20100129&amp;VAR:FREQ=DAILY&amp;VAR:RELITEM=&amp;VAR:CURRENCY=&amp;VAR:DB_TYPE=&amp;VAR:UNITS=M&amp;VAR:SHS_OUT_TY","PE=&amp;window=popup&amp;width=535&amp;height=425&amp;START_MAXIMIZED=FALSE&amp;Y=120"}</definedName>
    <definedName name="_285__FDSAUDITLINK__" hidden="1">{"fdsup://directions/FAT Viewer?action=UPDATE&amp;creator=factSet&amp;DYN_ARGS=true&amp;DOC_NAME=FAT:RGQ_ENTRPR_VAL_MV_SOURCE_WINDOW.FAT&amp;VAR:ID1=AIRI&amp;VAR:SDATE=20100721&amp;VAR:FDATE=20090630&amp;VAR:FREQ=DAILY&amp;VAR:RELITEM=&amp;VAR:CURRENCY=&amp;VAR:DB_TYPE=&amp;VAR:UNITS=M&amp;VAR:SHS_OUT_TY","PE=&amp;window=popup&amp;width=535&amp;height=425&amp;START_MAXIMIZED=FALSE&amp;Y=120"}</definedName>
    <definedName name="_286__FDSAUDITLINK__" hidden="1">{"fdsup://directions/FAT Viewer?action=UPDATE&amp;creator=factSet&amp;DYN_ARGS=true&amp;DOC_NAME=FAT:RGQ_ENTRPR_VAL_MV_SOURCE_WINDOW.FAT&amp;VAR:ID1=AIRI&amp;VAR:SDATE=20100721&amp;VAR:FDATE=20090630&amp;VAR:FREQ=DAILY&amp;VAR:RELITEM=&amp;VAR:CURRENCY=&amp;VAR:DB_TYPE=&amp;VAR:UNITS=M&amp;VAR:SHS_OUT_TY","PE=&amp;window=popup&amp;width=535&amp;height=425&amp;START_MAXIMIZED=FALSE&amp;Y=120"}</definedName>
    <definedName name="_287__FDSAUDITLINK__" hidden="1">{"fdsup://directions/FAT Viewer?action=UPDATE&amp;creator=factSet&amp;DYN_ARGS=true&amp;DOC_NAME=FAT:RGQ_ENTRPR_VAL_MV_SOURCE_WINDOW.FAT&amp;VAR:ID1=SPAB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88__FDSAUDITLINK__" hidden="1">{"fdsup://directions/FAT Viewer?action=UPDATE&amp;creator=factSet&amp;DYN_ARGS=true&amp;DOC_NAME=FAT:RGQ_ENTRPR_VAL_MV_SOURCE_WINDOW.FAT&amp;VAR:ID1=SPAB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89__FDSAUDITLINK__" hidden="1">{"fdsup://directions/FAT Viewer?action=UPDATE&amp;creator=factSet&amp;DYN_ARGS=true&amp;DOC_NAME=FAT:RGQ_ENTRPR_VAL_MV_SOURCE_WINDOW.FAT&amp;VAR:ID1=VSP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8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8j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M_Fenster_.KSBlatthinzu">#REF!</definedName>
    <definedName name="_29______0__123Graph_D商" hidden="1">#REF!</definedName>
    <definedName name="_29__123Graph_A????_4" hidden="1">#REF!</definedName>
    <definedName name="_29__FDSAUDITLINK__" hidden="1">{"fdsup://directions/FAT Viewer?action=UPDATE&amp;creator=factSet&amp;DYN_ARGS=true&amp;DOC_NAME=FAT:RGQ_ENTRPR_VAL_MV_SOURCE_WINDOW.FAT&amp;VAR:ID1=FNC-IT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29_0__123Graph_D商" hidden="1">#REF!</definedName>
    <definedName name="_29_123Graph_E乗" hidden="1">#REF!</definedName>
    <definedName name="_290__FDSAUDITLINK__" hidden="1">{"fdsup://directions/FAT Viewer?action=UPDATE&amp;creator=factSet&amp;DYN_ARGS=true&amp;DOC_NAME=FAT:RGQ_ENTRPR_VAL_MV_SOURCE_WINDOW.FAT&amp;VAR:ID1=VSP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91__FDSAUDITLINK__" hidden="1">{"fdsup://directions/FAT Viewer?action=UPDATE&amp;creator=factSet&amp;DYN_ARGS=true&amp;DOC_NAME=FAT:RGQ_ENTRPR_VAL_MV_SOURCE_WINDOW.FAT&amp;VAR:ID1=FAV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92__FDSAUDITLINK__" hidden="1">{"fdsup://directions/FAT Viewer?action=UPDATE&amp;creator=factSet&amp;DYN_ARGS=true&amp;DOC_NAME=FAT:RGQ_ENTRPR_VAL_MV_SOURCE_WINDOW.FAT&amp;VAR:ID1=FAV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93__FDSAUDITLINK__" hidden="1">{"fdsup://directions/FAT Viewer?action=UPDATE&amp;creator=factSet&amp;DYN_ARGS=true&amp;DOC_NAME=FAT:RGQ_ENTRPR_VAL_MV_SOURCE_WINDOW.FAT&amp;VAR:ID1=FA&amp;VAR:SDATE=20100721&amp;VAR:FDATE=20080630&amp;VAR:FREQ=DAILY&amp;VAR:RELITEM=&amp;VAR:CURRENCY=&amp;VAR:DB_TYPE=&amp;VAR:UNITS=M&amp;VAR:SHS_OUT_TYPE","=&amp;window=popup&amp;width=535&amp;height=425&amp;START_MAXIMIZED=FALSE&amp;Y=120"}</definedName>
    <definedName name="_294__FDSAUDITLINK__" hidden="1">{"fdsup://directions/FAT Viewer?action=UPDATE&amp;creator=factSet&amp;DYN_ARGS=true&amp;DOC_NAME=FAT:RGQ_ENTRPR_VAL_MV_SOURCE_WINDOW.FAT&amp;VAR:ID1=FA&amp;VAR:SDATE=20100721&amp;VAR:FDATE=20080630&amp;VAR:FREQ=DAILY&amp;VAR:RELITEM=&amp;VAR:CURRENCY=&amp;VAR:DB_TYPE=&amp;VAR:UNITS=M&amp;VAR:SHS_OUT_TYPE","=&amp;window=popup&amp;width=535&amp;height=425&amp;START_MAXIMIZED=FALSE&amp;Y=120"}</definedName>
    <definedName name="_295__FDSAUDITLINK__" hidden="1">{"fdsup://directions/FAT Viewer?action=UPDATE&amp;creator=factSet&amp;DYN_ARGS=true&amp;DOC_NAME=FAT:RGQ_ENTRPR_VAL_MV_SOURCE_WINDOW.FAT&amp;VAR:ID1=SIF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96__FDSAUDITLINK__" hidden="1">{"fdsup://directions/FAT Viewer?action=UPDATE&amp;creator=factSet&amp;DYN_ARGS=true&amp;DOC_NAME=FAT:RGQ_ENTRPR_VAL_MV_SOURCE_WINDOW.FAT&amp;VAR:ID1=SIF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97__FDSAUDITLINK__" hidden="1">{"fdsup://directions/FAT Viewer?action=UPDATE&amp;creator=factSet&amp;DYN_ARGS=true&amp;DOC_NAME=FAT:RGQ_ENTRPR_VAL_MV_SOURCE_WINDOW.FAT&amp;VAR:ID1=SPA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98__FDSAUDITLINK__" hidden="1">{"fdsup://directions/FAT Viewer?action=UPDATE&amp;creator=factSet&amp;DYN_ARGS=true&amp;DOC_NAME=FAT:RGQ_ENTRPR_VAL_MV_SOURCE_WINDOW.FAT&amp;VAR:ID1=SPA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299__FDSAUDITLINK__" hidden="1">{"fdsup://directions/FAT Viewer?action=UPDATE&amp;creator=factSet&amp;DYN_ARGS=true&amp;DOC_NAME=FAT:RGQ_ENTRPR_VAL_MV_SOURCE_WINDOW.FAT&amp;VAR:ID1=STS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29M_Fenster_.KSBlatthinzu">#REF!</definedName>
    <definedName name="_2a2_">#N/A</definedName>
    <definedName name="_2M_Fenster_.Datensatz_einfügen">#REF!</definedName>
    <definedName name="_3._Zeile">#REF!</definedName>
    <definedName name="_3_">#REF!</definedName>
    <definedName name="_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3________TEST_RESULT">#REF!</definedName>
    <definedName name="_3_______0__123Graph_B乗" hidden="1">#REF!</definedName>
    <definedName name="_3___123Graph_BCHART_3" hidden="1">#REF!</definedName>
    <definedName name="_3__123Graph_A????_3" hidden="1">#REF!</definedName>
    <definedName name="_3__123Graph_AINTR_MECN" hidden="1">#REF!</definedName>
    <definedName name="_3__123Graph_Aｸﾞﾗﾌ_3" hidden="1">#REF!</definedName>
    <definedName name="_3__123Graph_CCHART_1A" hidden="1">#REF!</definedName>
    <definedName name="_3__FDSAUDITLINK__" hidden="1">{"fdsup://IBCentral/FAT Viewer?action=UPDATE&amp;creator=factset&amp;DOC_NAME=fat:reuters_annual_pshs_src_window.fat&amp;display_string=Audit&amp;DYN_ARGS=TRUE&amp;VAR:ID1=85450210&amp;VAR:RCODE=FDSEPSDIL&amp;VAR:SDATE=20091299&amp;VAR:FREQ=Y&amp;VAR:RELITEM=RP&amp;VAR:CURRENCY=&amp;VAR:CURRSOURCE=EX","SHARE&amp;VAR:NATFREQ=ANNUAL&amp;VAR:RFIELD=FINALIZED&amp;VAR:DB_TYPE=&amp;VAR:UNITS=M&amp;window=popup&amp;width=450&amp;height=300&amp;START_MAXIMIZED=FALSE"}</definedName>
    <definedName name="_3_0">#REF!</definedName>
    <definedName name="_3_0__123Grap" hidden="1">#REF!</definedName>
    <definedName name="_3_123Grap" hidden="1">#REF!</definedName>
    <definedName name="_3_123Graph_A商" hidden="1">#REF!</definedName>
    <definedName name="_3_2_0_Parse" hidden="1">#REF!</definedName>
    <definedName name="_3__0_S" hidden="1">#REF!</definedName>
    <definedName name="_30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30______0__123Graph_D総" hidden="1">#REF!</definedName>
    <definedName name="_30__123Graph_ASOLDA_PINTURA" hidden="1">#REF!</definedName>
    <definedName name="_30__123Graph_LBL_BHORES_EXTRES" hidden="1">#REF!</definedName>
    <definedName name="_30__FDSAUDITLINK__" hidden="1">{"fdsup://directions/FAT Viewer?action=UPDATE&amp;creator=factSet&amp;DYN_ARGS=true&amp;DOC_NAME=FAT:RGQ_ENTRPR_VAL_MV_SOURCE_WINDOW.FAT&amp;VAR:ID1=FNC-IT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30_0__123Graph_D総" hidden="1">#REF!</definedName>
    <definedName name="_30_123Graph_E商" hidden="1">#REF!</definedName>
    <definedName name="_300__FDSAUDITLINK__" hidden="1">{"fdsup://directions/FAT Viewer?action=UPDATE&amp;creator=factSet&amp;DYN_ARGS=true&amp;DOC_NAME=FAT:RGQ_ENTRPR_VAL_MV_SOURCE_WINDOW.FAT&amp;VAR:ID1=STS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01__FDSAUDITLINK__" hidden="1">{"fdsup://directions/FAT Viewer?action=UPDATE&amp;creator=factSet&amp;DYN_ARGS=true&amp;DOC_NAME=FAT:RGQ_ENTRPR_VAL_MV_SOURCE_WINDOW.FAT&amp;VAR:ID1=SXE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02__FDSAUDITLINK__" hidden="1">{"fdsup://directions/FAT Viewer?action=UPDATE&amp;creator=factSet&amp;DYN_ARGS=true&amp;DOC_NAME=FAT:RGQ_ENTRPR_VAL_MV_SOURCE_WINDOW.FAT&amp;VAR:ID1=SXE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03__FDSAUDITLINK__" hidden="1">{"fdsup://directions/FAT Viewer?action=UPDATE&amp;creator=factSet&amp;DYN_ARGS=true&amp;DOC_NAME=FAT:RGQ_ENTRPR_VAL_MV_SOURCE_WINDOW.FAT&amp;VAR:ID1=ADG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04__FDSAUDITLINK__" hidden="1">{"fdsup://directions/FAT Viewer?action=UPDATE&amp;creator=factSet&amp;DYN_ARGS=true&amp;DOC_NAME=FAT:RGQ_ENTRPR_VAL_MV_SOURCE_WINDOW.FAT&amp;VAR:ID1=ADG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05__FDSAUDITLINK__" hidden="1">{"fdsup://directions/FAT Viewer?action=UPDATE&amp;creator=factSet&amp;DYN_ARGS=true&amp;DOC_NAME=FAT:RGQ_ENTRPR_VAL_MV_SOURCE_WINDOW.FAT&amp;VAR:ID1=ISS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06__FDSAUDITLINK__" hidden="1">{"fdsup://directions/FAT Viewer?action=UPDATE&amp;creator=factSet&amp;DYN_ARGS=true&amp;DOC_NAME=FAT:RGQ_ENTRPR_VAL_MV_SOURCE_WINDOW.FAT&amp;VAR:ID1=ISS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07__FDSAUDITLINK__" hidden="1">{"fdsup://directions/FAT Viewer?action=UPDATE&amp;creator=factSet&amp;DYN_ARGS=true&amp;DOC_NAME=FAT:RGQ_ENTRPR_VAL_MV_SOURCE_WINDOW.FAT&amp;VAR:ID1=GNBA&amp;VAR:SDATE=20100721&amp;VAR:FDATE=20090331&amp;VAR:FREQ=DAILY&amp;VAR:RELITEM=&amp;VAR:CURRENCY=&amp;VAR:DB_TYPE=&amp;VAR:UNITS=M&amp;VAR:SHS_OUT_TY","PE=&amp;window=popup&amp;width=535&amp;height=425&amp;START_MAXIMIZED=FALSE&amp;Y=120"}</definedName>
    <definedName name="_308__FDSAUDITLINK__" hidden="1">{"fdsup://directions/FAT Viewer?action=UPDATE&amp;creator=factSet&amp;DYN_ARGS=true&amp;DOC_NAME=FAT:RGQ_ENTRPR_VAL_MV_SOURCE_WINDOW.FAT&amp;VAR:ID1=GNBA&amp;VAR:SDATE=20100721&amp;VAR:FDATE=20090331&amp;VAR:FREQ=DAILY&amp;VAR:RELITEM=&amp;VAR:CURRENCY=&amp;VAR:DB_TYPE=&amp;VAR:UNITS=M&amp;VAR:SHS_OUT_TY","PE=&amp;window=popup&amp;width=535&amp;height=425&amp;START_MAXIMIZED=FALSE&amp;Y=120"}</definedName>
    <definedName name="_309__FDSAUDITLINK__" hidden="1">{"fdsup://directions/FAT Viewer?action=UPDATE&amp;creator=factSet&amp;DYN_ARGS=true&amp;DOC_NAME=FAT:RGQ_ENTRPR_VAL_MV_SOURCE_WINDOW.FAT&amp;VAR:ID1=CVU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0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0j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0M_Fenster_.KSBlatthinzu">#REF!</definedName>
    <definedName name="_30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1______0__123Graph_E乗" hidden="1">#REF!</definedName>
    <definedName name="_31__123Graph_X4X4W_G" hidden="1">#REF!</definedName>
    <definedName name="_31__FDSAUDITLINK__" hidden="1">{"fdsup://directions/FAT Viewer?action=UPDATE&amp;creator=factSet&amp;DYN_ARGS=true&amp;DOC_NAME=FAT:RGQ_ENTRPR_VAL_MV_SOURCE_WINDOW.FAT&amp;VAR:ID1=FIRM&amp;VAR:SDATE=20100721&amp;VAR:FDATE=20020930&amp;VAR:FREQ=DAILY&amp;VAR:RELITEM=&amp;VAR:CURRENCY=&amp;VAR:DB_TYPE=&amp;VAR:UNITS=M&amp;VAR:SHS_OUT_TY","PE=&amp;window=popup&amp;width=535&amp;height=425&amp;START_MAXIMIZED=FALSE&amp;Y=120"}</definedName>
    <definedName name="_31_0__123Graph_E乗" hidden="1">#REF!</definedName>
    <definedName name="_310__FDSAUDITLINK__" hidden="1">{"fdsup://directions/FAT Viewer?action=UPDATE&amp;creator=factSet&amp;DYN_ARGS=true&amp;DOC_NAME=FAT:RGQ_ENTRPR_VAL_MV_SOURCE_WINDOW.FAT&amp;VAR:ID1=CVU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11__FDSAUDITLINK__" hidden="1">{"fdsup://directions/FAT Viewer?action=UPDATE&amp;creator=factSet&amp;DYN_ARGS=true&amp;DOC_NAME=FAT:RGQ_ENTRPR_VAL_MV_SOURCE_WINDOW.FAT&amp;VAR:ID1=AERG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11p1_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312__FDSAUDITLINK__" hidden="1">{"fdsup://directions/FAT Viewer?action=UPDATE&amp;creator=factSet&amp;DYN_ARGS=true&amp;DOC_NAME=FAT:RGQ_ENTRPR_VAL_MV_SOURCE_WINDOW.FAT&amp;VAR:ID1=AERG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13__FDSAUDITLINK__" hidden="1">{"fdsup://directions/FAT Viewer?action=UPDATE&amp;creator=factSet&amp;DYN_ARGS=true&amp;DOC_NAME=FAT:RGQ_ENTRPR_VAL_MV_SOURCE_WINDOW.FAT&amp;VAR:ID1=SYP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14__FDSAUDITLINK__" hidden="1">{"fdsup://directions/FAT Viewer?action=UPDATE&amp;creator=factSet&amp;DYN_ARGS=true&amp;DOC_NAME=FAT:RGQ_ENTRPR_VAL_MV_SOURCE_WINDOW.FAT&amp;VAR:ID1=SYP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15__FDSAUDITLINK__" hidden="1">{"fdsup://directions/FAT Viewer?action=UPDATE&amp;creator=factSet&amp;DYN_ARGS=true&amp;DOC_NAME=FAT:RGQ_ENTRPR_VAL_MV_SOURCE_WINDOW.FAT&amp;VAR:ID1=DRCO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16__FDSAUDITLINK__" hidden="1">{"fdsup://directions/FAT Viewer?action=UPDATE&amp;creator=factSet&amp;DYN_ARGS=true&amp;DOC_NAME=FAT:RGQ_ENTRPR_VAL_MV_SOURCE_WINDOW.FAT&amp;VAR:ID1=DRCO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17__FDSAUDITLINK__" hidden="1">{"fdsup://directions/FAT Viewer?action=UPDATE&amp;creator=factSet&amp;DYN_ARGS=true&amp;DOC_NAME=FAT:RGQ_ENTRPR_VAL_MV_SOURCE_WINDOW.FAT&amp;VAR:ID1=KVHI&amp;VAR:SDATE=20100721&amp;VAR:FDATE=20100630&amp;VAR:FREQ=DAILY&amp;VAR:RELITEM=&amp;VAR:CURRENCY=&amp;VAR:DB_TYPE=&amp;VAR:UNITS=M&amp;VAR:SHS_OUT_TY","PE=&amp;window=popup&amp;width=535&amp;height=425&amp;START_MAXIMIZED=FALSE&amp;Y=120"}</definedName>
    <definedName name="_318__FDSAUDITLINK__" hidden="1">{"fdsup://directions/FAT Viewer?action=UPDATE&amp;creator=factSet&amp;DYN_ARGS=true&amp;DOC_NAME=FAT:RGQ_ENTRPR_VAL_MV_SOURCE_WINDOW.FAT&amp;VAR:ID1=KVHI&amp;VAR:SDATE=20100721&amp;VAR:FDATE=20100630&amp;VAR:FREQ=DAILY&amp;VAR:RELITEM=&amp;VAR:CURRENCY=&amp;VAR:DB_TYPE=&amp;VAR:UNITS=M&amp;VAR:SHS_OUT_TY","PE=&amp;window=popup&amp;width=535&amp;height=425&amp;START_MAXIMIZED=FALSE&amp;Y=120"}</definedName>
    <definedName name="_319__FDSAUDITLINK__" hidden="1">{"fdsup://directions/FAT Viewer?action=UPDATE&amp;creator=factSet&amp;DYN_ARGS=true&amp;DOC_NAME=FAT:RGQ_ENTRPR_VAL_MV_SOURCE_WINDOW.FAT&amp;VAR:ID1=FRP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1M_Fenster_.KSBlatthinzu">#REF!</definedName>
    <definedName name="_32______0__123Graph_E商" hidden="1">#REF!</definedName>
    <definedName name="_32__123Graph_LBL_BSOLDA_PINTURA" hidden="1">#REF!</definedName>
    <definedName name="_32__FDSAUDITLINK__" hidden="1">{"fdsup://directions/FAT Viewer?action=UPDATE&amp;creator=factSet&amp;DYN_ARGS=true&amp;DOC_NAME=FAT:RGQ_ENTRPR_VAL_MV_SOURCE_WINDOW.FAT&amp;VAR:ID1=FIRM&amp;VAR:SDATE=20100721&amp;VAR:FDATE=20020930&amp;VAR:FREQ=DAILY&amp;VAR:RELITEM=&amp;VAR:CURRENCY=&amp;VAR:DB_TYPE=&amp;VAR:UNITS=M&amp;VAR:SHS_OUT_TY","PE=&amp;window=popup&amp;width=535&amp;height=425&amp;START_MAXIMIZED=FALSE&amp;Y=120"}</definedName>
    <definedName name="_32_0__123Graph_E商" hidden="1">#REF!</definedName>
    <definedName name="_32_123Graph_X乗" hidden="1">#REF!</definedName>
    <definedName name="_320__FDSAUDITLINK__" hidden="1">{"fdsup://directions/FAT Viewer?action=UPDATE&amp;creator=factSet&amp;DYN_ARGS=true&amp;DOC_NAME=FAT:RGQ_ENTRPR_VAL_MV_SOURCE_WINDOW.FAT&amp;VAR:ID1=FRP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21__FDSAUDITLINK__" hidden="1">{"fdsup://directions/FAT Viewer?action=UPDATE&amp;creator=factSet&amp;DYN_ARGS=true&amp;DOC_NAME=FAT:RGQ_ENTRPR_VAL_MV_SOURCE_WINDOW.FAT&amp;VAR:ID1=ISY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22__FDSAUDITLINK__" hidden="1">{"fdsup://directions/FAT Viewer?action=UPDATE&amp;creator=factSet&amp;DYN_ARGS=true&amp;DOC_NAME=FAT:RGQ_ENTRPR_VAL_MV_SOURCE_WINDOW.FAT&amp;VAR:ID1=ISY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23__FDSAUDITLINK__" hidden="1">{"fdsup://directions/FAT Viewer?action=UPDATE&amp;creator=factSet&amp;DYN_ARGS=true&amp;DOC_NAME=FAT:RGQ_ENTRPR_VAL_MV_SOURCE_WINDOW.FAT&amp;VAR:ID1=VSE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24__FDSAUDITLINK__" hidden="1">{"fdsup://directions/FAT Viewer?action=UPDATE&amp;creator=factSet&amp;DYN_ARGS=true&amp;DOC_NAME=FAT:RGQ_ENTRPR_VAL_MV_SOURCE_WINDOW.FAT&amp;VAR:ID1=VSE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25__FDSAUDITLINK__" hidden="1">{"fdsup://directions/FAT Viewer?action=UPDATE&amp;creator=factSet&amp;DYN_ARGS=true&amp;DOC_NAME=FAT:RGQ_ENTRPR_VAL_MV_SOURCE_WINDOW.FAT&amp;VAR:ID1=ATRO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26__FDSAUDITLINK__" hidden="1">{"fdsup://directions/FAT Viewer?action=UPDATE&amp;creator=factSet&amp;DYN_ARGS=true&amp;DOC_NAME=FAT:RGQ_ENTRPR_VAL_MV_SOURCE_WINDOW.FAT&amp;VAR:ID1=ATRO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27__FDSAUDITLINK__" hidden="1">{"fdsup://directions/FAT Viewer?action=UPDATE&amp;creator=factSet&amp;DYN_ARGS=true&amp;DOC_NAME=FAT:RGQ_ENTRPR_VAL_MV_SOURCE_WINDOW.FAT&amp;VAR:ID1=TAS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28__FDSAUDITLINK__" hidden="1">{"fdsup://directions/FAT Viewer?action=UPDATE&amp;creator=factSet&amp;DYN_ARGS=true&amp;DOC_NAME=FAT:RGQ_ENTRPR_VAL_MV_SOURCE_WINDOW.FAT&amp;VAR:ID1=TAS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29__FDSAUDITLINK__" hidden="1">{"fdsup://directions/FAT Viewer?action=UPDATE&amp;creator=factSet&amp;DYN_ARGS=true&amp;DOC_NAME=FAT:RGQ_ENTRPR_VAL_MV_SOURCE_WINDOW.FAT&amp;VAR:ID1=HRLY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3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32M_Fenster_.KSBlatthinzu">#REF!</definedName>
    <definedName name="_32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2V22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3______0__123Graph_X乗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3__FDSAUDITLINK__" hidden="1">{"fdsup://directions/FAT Viewer?action=UPDATE&amp;creator=factSet&amp;DYN_ARGS=true&amp;DOC_NAME=FAT:RGQ_ENTRPR_VAL_MV_SOURCE_WINDOW.FAT&amp;VAR:ID1=EPEO&amp;VAR:SDATE=20100721&amp;VAR:FDATE=20070629&amp;VAR:FREQ=DAILY&amp;VAR:RELITEM=&amp;VAR:CURRENCY=&amp;VAR:DB_TYPE=&amp;VAR:UNITS=M&amp;VAR:SHS_OUT_TY","PE=&amp;window=popup&amp;width=535&amp;height=425&amp;START_MAXIMIZED=FALSE&amp;Y=120"}</definedName>
    <definedName name="_33_0__123Graph_X乗" hidden="1">#REF!</definedName>
    <definedName name="_33_123Graph_X商" hidden="1">#REF!</definedName>
    <definedName name="_330__FDSAUDITLINK__" hidden="1">{"fdsup://directions/FAT Viewer?action=UPDATE&amp;creator=factSet&amp;DYN_ARGS=true&amp;DOC_NAME=FAT:RGQ_ENTRPR_VAL_MV_SOURCE_WINDOW.FAT&amp;VAR:ID1=HRLY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331__FDSAUDITLINK__" hidden="1">{"fdsup://directions/FAT Viewer?action=UPDATE&amp;creator=factSet&amp;DYN_ARGS=true&amp;DOC_NAME=FAT:RGQ_ENTRPR_VAL_MV_SOURCE_WINDOW.FAT&amp;VAR:ID1=DCO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32__FDSAUDITLINK__" hidden="1">{"fdsup://directions/FAT Viewer?action=UPDATE&amp;creator=factSet&amp;DYN_ARGS=true&amp;DOC_NAME=FAT:RGQ_ENTRPR_VAL_MV_SOURCE_WINDOW.FAT&amp;VAR:ID1=DCO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33__FDSAUDITLINK__" hidden="1">{"fdsup://directions/FAT Viewer?action=UPDATE&amp;creator=factSet&amp;DYN_ARGS=true&amp;DOC_NAME=FAT:RGQ_ENTRPR_VAL_MV_SOURCE_WINDOW.FAT&amp;VAR:ID1=LB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334__FDSAUDITLINK__" hidden="1">{"fdsup://directions/FAT Viewer?action=UPDATE&amp;creator=factSet&amp;DYN_ARGS=true&amp;DOC_NAME=FAT:RGQ_ENTRPR_VAL_MV_SOURCE_WINDOW.FAT&amp;VAR:ID1=LB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335__FDSAUDITLINK__" hidden="1">{"fdsup://directions/FAT Viewer?action=UPDATE&amp;creator=factSet&amp;DYN_ARGS=true&amp;DOC_NAME=FAT:RGQ_ENTRPR_VAL_MV_SOURCE_WINDOW.FAT&amp;VAR:ID1=ANE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36__FDSAUDITLINK__" hidden="1">{"fdsup://directions/FAT Viewer?action=UPDATE&amp;creator=factSet&amp;DYN_ARGS=true&amp;DOC_NAME=FAT:RGQ_ENTRPR_VAL_MV_SOURCE_WINDOW.FAT&amp;VAR:ID1=ANE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37__FDSAUDITLINK__" hidden="1">{"fdsup://directions/FAT Viewer?action=UPDATE&amp;creator=factSet&amp;DYN_ARGS=true&amp;DOC_NAME=FAT:RGQ_ENTRPR_VAL_MV_SOURCE_WINDOW.FAT&amp;VAR:ID1=HW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38__FDSAUDITLINK__" hidden="1">{"fdsup://directions/FAT Viewer?action=UPDATE&amp;creator=factSet&amp;DYN_ARGS=true&amp;DOC_NAME=FAT:RGQ_ENTRPR_VAL_MV_SOURCE_WINDOW.FAT&amp;VAR:ID1=HW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39__FDSAUDITLINK__" hidden="1">{"fdsup://directions/FAT Viewer?action=UPDATE&amp;creator=factSet&amp;DYN_ARGS=true&amp;DOC_NAME=FAT:RGQ_ENTRPR_VAL_MV_SOURCE_WINDOW.FAT&amp;VAR:ID1=SAT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3M_Fenster_.KSBlatthinzu">#REF!</definedName>
    <definedName name="_34______0__123Graph_X商" hidden="1">#REF!</definedName>
    <definedName name="_34__123Graph_LBL_BTOTAL_DIRECTOS" hidden="1">#REF!</definedName>
    <definedName name="_34__FDSAUDITLINK__" hidden="1">{"fdsup://directions/FAT Viewer?action=UPDATE&amp;creator=factSet&amp;DYN_ARGS=true&amp;DOC_NAME=FAT:RGQ_ENTRPR_VAL_MV_SOURCE_WINDOW.FAT&amp;VAR:ID1=EPEO&amp;VAR:SDATE=20100721&amp;VAR:FDATE=20070629&amp;VAR:FREQ=DAILY&amp;VAR:RELITEM=&amp;VAR:CURRENCY=&amp;VAR:DB_TYPE=&amp;VAR:UNITS=M&amp;VAR:SHS_OUT_TY","PE=&amp;window=popup&amp;width=535&amp;height=425&amp;START_MAXIMIZED=FALSE&amp;Y=120"}</definedName>
    <definedName name="_34_0__123Graph_X商" hidden="1">#REF!</definedName>
    <definedName name="_34_123Graph_X総" hidden="1">#REF!</definedName>
    <definedName name="_340__FDSAUDITLINK__" hidden="1">{"fdsup://directions/FAT Viewer?action=UPDATE&amp;creator=factSet&amp;DYN_ARGS=true&amp;DOC_NAME=FAT:RGQ_ENTRPR_VAL_MV_SOURCE_WINDOW.FAT&amp;VAR:ID1=SAT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41__FDSAUDITLINK__" hidden="1">{"fdsup://directions/FAT Viewer?action=UPDATE&amp;creator=factSet&amp;DYN_ARGS=true&amp;DOC_NAME=FAT:RGQ_ENTRPR_VAL_MV_SOURCE_WINDOW.FAT&amp;VAR:ID1=LMIA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42__FDSAUDITLINK__" hidden="1">{"fdsup://directions/FAT Viewer?action=UPDATE&amp;creator=factSet&amp;DYN_ARGS=true&amp;DOC_NAME=FAT:RGQ_ENTRPR_VAL_MV_SOURCE_WINDOW.FAT&amp;VAR:ID1=LMIA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43__FDSAUDITLINK__" hidden="1">{"fdsup://directions/FAT Viewer?action=UPDATE&amp;creator=factSet&amp;DYN_ARGS=true&amp;DOC_NAME=FAT:RGQ_ENTRPR_VAL_MV_SOURCE_WINDOW.FAT&amp;VAR:ID1=ICX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44__FDSAUDITLINK__" hidden="1">{"fdsup://directions/FAT Viewer?action=UPDATE&amp;creator=factSet&amp;DYN_ARGS=true&amp;DOC_NAME=FAT:RGQ_ENTRPR_VAL_MV_SOURCE_WINDOW.FAT&amp;VAR:ID1=ICX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45__FDSAUDITLINK__" hidden="1">{"fdsup://directions/FAT Viewer?action=UPDATE&amp;creator=factSet&amp;DYN_ARGS=true&amp;DOC_NAME=FAT:RGQ_ENTRPR_VAL_MV_SOURCE_WINDOW.FAT&amp;VAR:ID1=CRD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46__FDSAUDITLINK__" hidden="1">{"fdsup://directions/FAT Viewer?action=UPDATE&amp;creator=factSet&amp;DYN_ARGS=true&amp;DOC_NAME=FAT:RGQ_ENTRPR_VAL_MV_SOURCE_WINDOW.FAT&amp;VAR:ID1=CRD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47__FDSAUDITLINK__" hidden="1">{"fdsup://directions/FAT Viewer?action=UPDATE&amp;creator=factSet&amp;DYN_ARGS=true&amp;DOC_NAME=FAT:RGQ_ENTRPR_VAL_MV_SOURCE_WINDOW.FAT&amp;VAR:ID1=AVAV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348__FDSAUDITLINK__" hidden="1">{"fdsup://directions/FAT Viewer?action=UPDATE&amp;creator=factSet&amp;DYN_ARGS=true&amp;DOC_NAME=FAT:RGQ_ENTRPR_VAL_MV_SOURCE_WINDOW.FAT&amp;VAR:ID1=AVAV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349__FDSAUDITLINK__" hidden="1">{"fdsup://directions/FAT Viewer?action=UPDATE&amp;creator=factSet&amp;DYN_ARGS=true&amp;DOC_NAME=FAT:RGQ_ENTRPR_VAL_MV_SOURCE_WINDOW.FAT&amp;VAR:ID1=IRB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4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4M_Fenster_.KSBlatthinzu">#REF!</definedName>
    <definedName name="_34V22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5______0__123Graph_X総" hidden="1">#REF!</definedName>
    <definedName name="_35__123Graph_ATOTAL_DIRECTOS" hidden="1">#REF!</definedName>
    <definedName name="_35__FDSAUDITLINK__" hidden="1">{"fdsup://directions/FAT Viewer?action=UPDATE&amp;creator=factSet&amp;DYN_ARGS=true&amp;DOC_NAME=FAT:RGQ_ENTRPR_VAL_MV_SOURCE_WINDOW.FAT&amp;VAR:ID1=USGA&amp;VAR:SDATE=20100721&amp;VAR:FDATE=20061229&amp;VAR:FREQ=DAILY&amp;VAR:RELITEM=&amp;VAR:CURRENCY=&amp;VAR:DB_TYPE=&amp;VAR:UNITS=M&amp;VAR:SHS_OUT_TY","PE=&amp;window=popup&amp;width=535&amp;height=425&amp;START_MAXIMIZED=FALSE&amp;Y=120"}</definedName>
    <definedName name="_35_0__123Graph_X総" hidden="1">#REF!</definedName>
    <definedName name="_350__FDSAUDITLINK__" hidden="1">{"fdsup://directions/FAT Viewer?action=UPDATE&amp;creator=factSet&amp;DYN_ARGS=true&amp;DOC_NAME=FAT:RGQ_ENTRPR_VAL_MV_SOURCE_WINDOW.FAT&amp;VAR:ID1=IRB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51__FDSAUDITLINK__" hidden="1">{"fdsup://directions/FAT Viewer?action=UPDATE&amp;creator=factSet&amp;DYN_ARGS=true&amp;DOC_NAME=FAT:RGQ_ENTRPR_VAL_MV_SOURCE_WINDOW.FAT&amp;VAR:ID1=LDSH&amp;VAR:SDATE=20100721&amp;VAR:FDATE=20100630&amp;VAR:FREQ=DAILY&amp;VAR:RELITEM=&amp;VAR:CURRENCY=&amp;VAR:DB_TYPE=&amp;VAR:UNITS=M&amp;VAR:SHS_OUT_TY","PE=&amp;window=popup&amp;width=535&amp;height=425&amp;START_MAXIMIZED=FALSE&amp;Y=120"}</definedName>
    <definedName name="_352__FDSAUDITLINK__" hidden="1">{"fdsup://directions/FAT Viewer?action=UPDATE&amp;creator=factSet&amp;DYN_ARGS=true&amp;DOC_NAME=FAT:RGQ_ENTRPR_VAL_MV_SOURCE_WINDOW.FAT&amp;VAR:ID1=LDSH&amp;VAR:SDATE=20100721&amp;VAR:FDATE=20100630&amp;VAR:FREQ=DAILY&amp;VAR:RELITEM=&amp;VAR:CURRENCY=&amp;VAR:DB_TYPE=&amp;VAR:UNITS=M&amp;VAR:SHS_OUT_TY","PE=&amp;window=popup&amp;width=535&amp;height=425&amp;START_MAXIMIZED=FALSE&amp;Y=120"}</definedName>
    <definedName name="_353__FDSAUDITLINK__" hidden="1">{"fdsup://directions/FAT Viewer?action=UPDATE&amp;creator=factSet&amp;DYN_ARGS=true&amp;DOC_NAME=FAT:RGQ_ENTRPR_VAL_MV_SOURCE_WINDOW.FAT&amp;VAR:ID1=ASE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54__FDSAUDITLINK__" hidden="1">{"fdsup://directions/FAT Viewer?action=UPDATE&amp;creator=factSet&amp;DYN_ARGS=true&amp;DOC_NAME=FAT:RGQ_ENTRPR_VAL_MV_SOURCE_WINDOW.FAT&amp;VAR:ID1=ASE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55__FDSAUDITLINK__" hidden="1">{"fdsup://directions/FAT Viewer?action=UPDATE&amp;creator=factSet&amp;DYN_ARGS=true&amp;DOC_NAME=FAT:RGQ_ENTRPR_VAL_MV_SOURCE_WINDOW.FAT&amp;VAR:ID1=GY&amp;VAR:SDATE=20100721&amp;VAR:FDATE=20100528&amp;VAR:FREQ=DAILY&amp;VAR:RELITEM=&amp;VAR:CURRENCY=&amp;VAR:DB_TYPE=&amp;VAR:UNITS=M&amp;VAR:SHS_OUT_TYPE","=&amp;window=popup&amp;width=535&amp;height=425&amp;START_MAXIMIZED=FALSE&amp;Y=120"}</definedName>
    <definedName name="_356__FDSAUDITLINK__" hidden="1">{"fdsup://directions/FAT Viewer?action=UPDATE&amp;creator=factSet&amp;DYN_ARGS=true&amp;DOC_NAME=FAT:RGQ_ENTRPR_VAL_MV_SOURCE_WINDOW.FAT&amp;VAR:ID1=GY&amp;VAR:SDATE=20100721&amp;VAR:FDATE=20100528&amp;VAR:FREQ=DAILY&amp;VAR:RELITEM=&amp;VAR:CURRENCY=&amp;VAR:DB_TYPE=&amp;VAR:UNITS=M&amp;VAR:SHS_OUT_TYPE","=&amp;window=popup&amp;width=535&amp;height=425&amp;START_MAXIMIZED=FALSE&amp;Y=120"}</definedName>
    <definedName name="_357__FDSAUDITLINK__" hidden="1">{"fdsup://directions/FAT Viewer?action=UPDATE&amp;creator=factSet&amp;DYN_ARGS=true&amp;DOC_NAME=FAT:RGQ_ENTRPR_VAL_MV_SOURCE_WINDOW.FAT&amp;VAR:ID1=ICF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58__FDSAUDITLINK__" hidden="1">{"fdsup://directions/FAT Viewer?action=UPDATE&amp;creator=factSet&amp;DYN_ARGS=true&amp;DOC_NAME=FAT:RGQ_ENTRPR_VAL_MV_SOURCE_WINDOW.FAT&amp;VAR:ID1=ICF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59__FDSAUDITLINK__" hidden="1">{"fdsup://directions/FAT Viewer?action=UPDATE&amp;creator=factSet&amp;DYN_ARGS=true&amp;DOC_NAME=FAT:RGQ_ENTRPR_VAL_MV_SOURCE_WINDOW.FAT&amp;VAR:ID1=KAM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5M_Fenster_.KSBlatthinzu">#REF!</definedName>
    <definedName name="_36______F" hidden="1">#REF!</definedName>
    <definedName name="_36__123Graph_BGRAPHIQUE_15" hidden="1">#REF!</definedName>
    <definedName name="_36__123Graph_XHORES_EXTRES" hidden="1">#REF!</definedName>
    <definedName name="_36__FDSAUDITLINK__" hidden="1">{"fdsup://directions/FAT Viewer?action=UPDATE&amp;creator=factSet&amp;DYN_ARGS=true&amp;DOC_NAME=FAT:RGQ_ENTRPR_VAL_MV_SOURCE_WINDOW.FAT&amp;VAR:ID1=USGA&amp;VAR:SDATE=20100721&amp;VAR:FDATE=20061229&amp;VAR:FREQ=DAILY&amp;VAR:RELITEM=&amp;VAR:CURRENCY=&amp;VAR:DB_TYPE=&amp;VAR:UNITS=M&amp;VAR:SHS_OUT_TY","PE=&amp;window=popup&amp;width=535&amp;height=425&amp;START_MAXIMIZED=FALSE&amp;Y=120"}</definedName>
    <definedName name="_360__FDSAUDITLINK__" hidden="1">{"fdsup://directions/FAT Viewer?action=UPDATE&amp;creator=factSet&amp;DYN_ARGS=true&amp;DOC_NAME=FAT:RGQ_ENTRPR_VAL_MV_SOURCE_WINDOW.FAT&amp;VAR:ID1=KAM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61__FDSAUDITLINK__" hidden="1">{"fdsup://directions/FAT Viewer?action=UPDATE&amp;creator=factSet&amp;DYN_ARGS=true&amp;DOC_NAME=FAT:RGQ_ENTRPR_VAL_MV_SOURCE_WINDOW.FAT&amp;VAR:ID1=ORB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362__FDSAUDITLINK__" hidden="1">{"fdsup://directions/FAT Viewer?action=UPDATE&amp;creator=factSet&amp;DYN_ARGS=true&amp;DOC_NAME=FAT:RGQ_ENTRPR_VAL_MV_SOURCE_WINDOW.FAT&amp;VAR:ID1=ORB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363__FDSAUDITLINK__" hidden="1">{"fdsup://directions/FAT Viewer?action=UPDATE&amp;creator=factSet&amp;DYN_ARGS=true&amp;DOC_NAME=FAT:RGQ_ENTRPR_VAL_MV_SOURCE_WINDOW.FAT&amp;VAR:ID1=CUB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64__FDSAUDITLINK__" hidden="1">{"fdsup://directions/FAT Viewer?action=UPDATE&amp;creator=factSet&amp;DYN_ARGS=true&amp;DOC_NAME=FAT:RGQ_ENTRPR_VAL_MV_SOURCE_WINDOW.FAT&amp;VAR:ID1=CUB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65__FDSAUDITLINK__" hidden="1">{"fdsup://directions/FAT Viewer?action=UPDATE&amp;creator=factSet&amp;DYN_ARGS=true&amp;DOC_NAME=FAT:RGQ_ENTRPR_VAL_MV_SOURCE_WINDOW.FAT&amp;VAR:ID1=AIR&amp;VAR:SDATE=20100721&amp;VAR:FDATE=20100528&amp;VAR:FREQ=DAILY&amp;VAR:RELITEM=&amp;VAR:CURRENCY=&amp;VAR:DB_TYPE=&amp;VAR:UNITS=M&amp;VAR:SHS_OUT_TYP","E=&amp;window=popup&amp;width=535&amp;height=425&amp;START_MAXIMIZED=FALSE&amp;Y=120"}</definedName>
    <definedName name="_366__FDSAUDITLINK__" hidden="1">{"fdsup://directions/FAT Viewer?action=UPDATE&amp;creator=factSet&amp;DYN_ARGS=true&amp;DOC_NAME=FAT:RGQ_ENTRPR_VAL_MV_SOURCE_WINDOW.FAT&amp;VAR:ID1=AIR&amp;VAR:SDATE=20100721&amp;VAR:FDATE=20100528&amp;VAR:FREQ=DAILY&amp;VAR:RELITEM=&amp;VAR:CURRENCY=&amp;VAR:DB_TYPE=&amp;VAR:UNITS=M&amp;VAR:SHS_OUT_TYP","E=&amp;window=popup&amp;width=535&amp;height=425&amp;START_MAXIMIZED=FALSE&amp;Y=120"}</definedName>
    <definedName name="_367__FDSAUDITLINK__" hidden="1">{"fdsup://directions/FAT Viewer?action=UPDATE&amp;creator=factSet&amp;DYN_ARGS=true&amp;DOC_NAME=FAT:RGQ_ENTRPR_VAL_MV_SOURCE_WINDOW.FAT&amp;VAR:ID1=ESE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68__FDSAUDITLINK__" hidden="1">{"fdsup://directions/FAT Viewer?action=UPDATE&amp;creator=factSet&amp;DYN_ARGS=true&amp;DOC_NAME=FAT:RGQ_ENTRPR_VAL_MV_SOURCE_WINDOW.FAT&amp;VAR:ID1=ESE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69__FDSAUDITLINK__" hidden="1">{"fdsup://directions/FAT Viewer?action=UPDATE&amp;creator=factSet&amp;DYN_ARGS=true&amp;DOC_NAME=FAT:RGQ_ENTRPR_VAL_MV_SOURCE_WINDOW.FAT&amp;VAR:ID1=GEOY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6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6M_Fenster_.KSBlatthinzu">#REF!</definedName>
    <definedName name="_37____0_F" hidden="1">#REF!</definedName>
    <definedName name="_37__FDSAUDITLINK__" hidden="1">{"fdsup://directions/FAT Viewer?action=UPDATE&amp;creator=factSet&amp;DYN_ARGS=true&amp;DOC_NAME=FAT:RGQ_ENTRPR_VAL_MV_SOURCE_WINDOW.FAT&amp;VAR:ID1=TTLO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370__FDSAUDITLINK__" hidden="1">{"fdsup://directions/FAT Viewer?action=UPDATE&amp;creator=factSet&amp;DYN_ARGS=true&amp;DOC_NAME=FAT:RGQ_ENTRPR_VAL_MV_SOURCE_WINDOW.FAT&amp;VAR:ID1=GEOY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71__FDSAUDITLINK__" hidden="1">{"fdsup://directions/FAT Viewer?action=UPDATE&amp;creator=factSet&amp;DYN_ARGS=true&amp;DOC_NAME=FAT:RGQ_ENTRPR_VAL_MV_SOURCE_WINDOW.FAT&amp;VAR:ID1=SRX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72__FDSAUDITLINK__" hidden="1">{"fdsup://directions/FAT Viewer?action=UPDATE&amp;creator=factSet&amp;DYN_ARGS=true&amp;DOC_NAME=FAT:RGQ_ENTRPR_VAL_MV_SOURCE_WINDOW.FAT&amp;VAR:ID1=SRX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73__FDSAUDITLINK__" hidden="1">{"fdsup://directions/FAT Viewer?action=UPDATE&amp;creator=factSet&amp;DYN_ARGS=true&amp;DOC_NAME=FAT:RGQ_ENTRPR_VAL_MV_SOURCE_WINDOW.FAT&amp;VAR:ID1=B&amp;VAR:SDATE=20100721&amp;VAR:FDATE=20100331&amp;VAR:FREQ=DAILY&amp;VAR:RELITEM=&amp;VAR:CURRENCY=&amp;VAR:DB_TYPE=&amp;VAR:UNITS=M&amp;VAR:SHS_OUT_TYPE=","&amp;window=popup&amp;width=535&amp;height=425&amp;START_MAXIMIZED=FALSE&amp;Y=120"}</definedName>
    <definedName name="_374__FDSAUDITLINK__" hidden="1">{"fdsup://directions/FAT Viewer?action=UPDATE&amp;creator=factSet&amp;DYN_ARGS=true&amp;DOC_NAME=FAT:RGQ_ENTRPR_VAL_MV_SOURCE_WINDOW.FAT&amp;VAR:ID1=B&amp;VAR:SDATE=20100721&amp;VAR:FDATE=20100331&amp;VAR:FREQ=DAILY&amp;VAR:RELITEM=&amp;VAR:CURRENCY=&amp;VAR:DB_TYPE=&amp;VAR:UNITS=M&amp;VAR:SHS_OUT_TYPE=","&amp;window=popup&amp;width=535&amp;height=425&amp;START_MAXIMIZED=FALSE&amp;Y=120"}</definedName>
    <definedName name="_375__FDSAUDITLINK__" hidden="1">{"fdsup://directions/FAT Viewer?action=UPDATE&amp;creator=factSet&amp;DYN_ARGS=true&amp;DOC_NAME=FAT:RGQ_ENTRPR_VAL_MV_SOURCE_WINDOW.FAT&amp;VAR:ID1=LORL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76__FDSAUDITLINK__" hidden="1">{"fdsup://directions/FAT Viewer?action=UPDATE&amp;creator=factSet&amp;DYN_ARGS=true&amp;DOC_NAME=FAT:RGQ_ENTRPR_VAL_MV_SOURCE_WINDOW.FAT&amp;VAR:ID1=LORL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77__FDSAUDITLINK__" hidden="1">{"fdsup://directions/FAT Viewer?action=UPDATE&amp;creator=factSet&amp;DYN_ARGS=true&amp;DOC_NAME=FAT:RGQ_ENTRPR_VAL_MV_SOURCE_WINDOW.FAT&amp;VAR:ID1=DCP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78__FDSAUDITLINK__" hidden="1">{"fdsup://directions/FAT Viewer?action=UPDATE&amp;creator=factSet&amp;DYN_ARGS=true&amp;DOC_NAME=FAT:RGQ_ENTRPR_VAL_MV_SOURCE_WINDOW.FAT&amp;VAR:ID1=DCP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79__FDSAUDITLINK__" hidden="1">{"fdsup://directions/FAT Viewer?action=UPDATE&amp;creator=factSet&amp;DYN_ARGS=true&amp;DOC_NAME=FAT:RGQ_ENTRPR_VAL_MV_SOURCE_WINDOW.FAT&amp;VAR:ID1=TGI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7M_Fenster_.KSBlatthinzu">#REF!</definedName>
    <definedName name="_38__0_0_F" hidden="1">#REF!</definedName>
    <definedName name="_38__123Graph_A????_4" hidden="1">#REF!</definedName>
    <definedName name="_38__123Graph_Aｸﾞﾗﾌ_1" hidden="1">#REF!</definedName>
    <definedName name="_38__123Graph_XINTR_DIR" hidden="1">#REF!</definedName>
    <definedName name="_38__FDSAUDITLINK__" hidden="1">{"fdsup://directions/FAT Viewer?action=UPDATE&amp;creator=factSet&amp;DYN_ARGS=true&amp;DOC_NAME=FAT:RGQ_ENTRPR_VAL_MV_SOURCE_WINDOW.FAT&amp;VAR:ID1=TTLO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380__FDSAUDITLINK__" hidden="1">{"fdsup://directions/FAT Viewer?action=UPDATE&amp;creator=factSet&amp;DYN_ARGS=true&amp;DOC_NAME=FAT:RGQ_ENTRPR_VAL_MV_SOURCE_WINDOW.FAT&amp;VAR:ID1=TGI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81__FDSAUDITLINK__" hidden="1">{"fdsup://directions/FAT Viewer?action=UPDATE&amp;creator=factSet&amp;DYN_ARGS=true&amp;DOC_NAME=FAT:RGQ_ENTRPR_VAL_MV_SOURCE_WINDOW.FAT&amp;VAR:ID1=MAN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82__FDSAUDITLINK__" hidden="1">{"fdsup://directions/FAT Viewer?action=UPDATE&amp;creator=factSet&amp;DYN_ARGS=true&amp;DOC_NAME=FAT:RGQ_ENTRPR_VAL_MV_SOURCE_WINDOW.FAT&amp;VAR:ID1=MAN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83__FDSAUDITLINK__" hidden="1">{"fdsup://directions/FAT Viewer?action=UPDATE&amp;creator=factSet&amp;DYN_ARGS=true&amp;DOC_NAME=FAT:RGQ_ENTRPR_VAL_MV_SOURCE_WINDOW.FAT&amp;VAR:ID1=TDY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84__FDSAUDITLINK__" hidden="1">{"fdsup://directions/FAT Viewer?action=UPDATE&amp;creator=factSet&amp;DYN_ARGS=true&amp;DOC_NAME=FAT:RGQ_ENTRPR_VAL_MV_SOURCE_WINDOW.FAT&amp;VAR:ID1=TDY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85__FDSAUDITLINK__" hidden="1">{"fdsup://directions/FAT Viewer?action=UPDATE&amp;creator=factSet&amp;DYN_ARGS=true&amp;DOC_NAME=FAT:RGQ_ENTRPR_VAL_MV_SOURCE_WINDOW.FAT&amp;VAR:ID1=ESL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386__FDSAUDITLINK__" hidden="1">{"fdsup://directions/FAT Viewer?action=UPDATE&amp;creator=factSet&amp;DYN_ARGS=true&amp;DOC_NAME=FAT:RGQ_ENTRPR_VAL_MV_SOURCE_WINDOW.FAT&amp;VAR:ID1=ESL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387__FDSAUDITLINK__" hidden="1">{"fdsup://directions/FAT Viewer?action=UPDATE&amp;creator=factSet&amp;DYN_ARGS=true&amp;DOC_NAME=FAT:RGQ_ENTRPR_VAL_MV_SOURCE_WINDOW.FAT&amp;VAR:ID1=CAI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88__FDSAUDITLINK__" hidden="1">{"fdsup://directions/FAT Viewer?action=UPDATE&amp;creator=factSet&amp;DYN_ARGS=true&amp;DOC_NAME=FAT:RGQ_ENTRPR_VAL_MV_SOURCE_WINDOW.FAT&amp;VAR:ID1=CAI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89__FDSAUDITLINK__" hidden="1">{"fdsup://directions/FAT Viewer?action=UPDATE&amp;creator=factSet&amp;DYN_ARGS=true&amp;DOC_NAME=FAT:RGQ_ENTRPR_VAL_MV_SOURCE_WINDOW.FAT&amp;VAR:ID1=CW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38M_Fenster_.KSBlatthinzu">#REF!</definedName>
    <definedName name="_39__123Graph_Aｸﾞﾗﾌ_2" hidden="1">#REF!</definedName>
    <definedName name="_39__FDSAUDITLINK__" hidden="1">{"fdsup://directions/FAT Viewer?action=UPDATE&amp;creator=factSet&amp;DYN_ARGS=true&amp;DOC_NAME=FAT:RGQ_ENTRPR_VAL_MV_SOURCE_WINDOW.FAT&amp;VAR:ID1=DEWY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9_0__123Grap" hidden="1">#REF!</definedName>
    <definedName name="_39_123Grap" hidden="1">#REF!</definedName>
    <definedName name="_390__FDSAUDITLINK__" hidden="1">{"fdsup://directions/FAT Viewer?action=UPDATE&amp;creator=factSet&amp;DYN_ARGS=true&amp;DOC_NAME=FAT:RGQ_ENTRPR_VAL_MV_SOURCE_WINDOW.FAT&amp;VAR:ID1=CW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391__FDSAUDITLINK__" hidden="1">{"fdsup://directions/FAT Viewer?action=UPDATE&amp;creator=factSet&amp;DYN_ARGS=true&amp;DOC_NAME=FAT:RGQ_ENTRPR_VAL_MV_SOURCE_WINDOW.FAT&amp;VAR:ID1=MOG.A&amp;VAR:SDATE=20100721&amp;VAR:FDATE=20100331&amp;VAR:FREQ=DAILY&amp;VAR:RELITEM=&amp;VAR:CURRENCY=&amp;VAR:DB_TYPE=&amp;VAR:UNITS=M&amp;VAR:SHS_OUT_T","YPE=&amp;window=popup&amp;width=535&amp;height=425&amp;START_MAXIMIZED=FALSE&amp;Y=120"}</definedName>
    <definedName name="_392__FDSAUDITLINK__" hidden="1">{"fdsup://directions/FAT Viewer?action=UPDATE&amp;creator=factSet&amp;DYN_ARGS=true&amp;DOC_NAME=FAT:RGQ_ENTRPR_VAL_MV_SOURCE_WINDOW.FAT&amp;VAR:ID1=MOG.A&amp;VAR:SDATE=20100721&amp;VAR:FDATE=20100331&amp;VAR:FREQ=DAILY&amp;VAR:RELITEM=&amp;VAR:CURRENCY=&amp;VAR:DB_TYPE=&amp;VAR:UNITS=M&amp;VAR:SHS_OUT_T","YPE=&amp;window=popup&amp;width=535&amp;height=425&amp;START_MAXIMIZED=FALSE&amp;Y=120"}</definedName>
    <definedName name="_393__FDSAUDITLINK__" hidden="1">{"fdsup://directions/FAT Viewer?action=UPDATE&amp;creator=factSet&amp;DYN_ARGS=true&amp;DOC_NAME=FAT:RGQ_ENTRPR_VAL_MV_SOURCE_WINDOW.FAT&amp;VAR:ID1=WGOV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94__FDSAUDITLINK__" hidden="1">{"fdsup://directions/FAT Viewer?action=UPDATE&amp;creator=factSet&amp;DYN_ARGS=true&amp;DOC_NAME=FAT:RGQ_ENTRPR_VAL_MV_SOURCE_WINDOW.FAT&amp;VAR:ID1=WGOV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395__FDSAUDITLINK__" hidden="1">{"fdsup://directions/FAT Viewer?action=UPDATE&amp;creator=factSet&amp;DYN_ARGS=true&amp;DOC_NAME=FAT:RGQ_ENTRPR_VAL_MV_SOURCE_WINDOW.FAT&amp;VAR:ID1=AT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96__FDSAUDITLINK__" hidden="1">{"fdsup://directions/FAT Viewer?action=UPDATE&amp;creator=factSet&amp;DYN_ARGS=true&amp;DOC_NAME=FAT:RGQ_ENTRPR_VAL_MV_SOURCE_WINDOW.FAT&amp;VAR:ID1=AT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97__FDSAUDITLINK__" hidden="1">{"fdsup://directions/FAT Viewer?action=UPDATE&amp;creator=factSet&amp;DYN_ARGS=true&amp;DOC_NAME=FAT:RGQ_ENTRPR_VAL_MV_SOURCE_WINDOW.FAT&amp;VAR:ID1=SPR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98__FDSAUDITLINK__" hidden="1">{"fdsup://directions/FAT Viewer?action=UPDATE&amp;creator=factSet&amp;DYN_ARGS=true&amp;DOC_NAME=FAT:RGQ_ENTRPR_VAL_MV_SOURCE_WINDOW.FAT&amp;VAR:ID1=SPR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99__FDSAUDITLINK__" hidden="1">{"fdsup://directions/FAT Viewer?action=UPDATE&amp;creator=factSet&amp;DYN_ARGS=true&amp;DOC_NAME=FAT:RGQ_ENTRPR_VAL_MV_SOURCE_WINDOW.FAT&amp;VAR:ID1=OS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39M_Fenster_.KSBlatthinzu">#REF!</definedName>
    <definedName name="_3B1_">#N/A</definedName>
    <definedName name="_3M_Fenster_.Datensatz_einfügen">#N/A</definedName>
    <definedName name="_3M_Fenster_.KSBASISDATEN">#REF!</definedName>
    <definedName name="_4.1_____TYPICAL_CONFIGURATION">#REF!</definedName>
    <definedName name="_4.2_____MEMORY_USAGE">#REF!</definedName>
    <definedName name="_4.3______THROUGHPUT_DETAILS">#REF!</definedName>
    <definedName name="_4_?" hidden="1">{#N/A,#N/A,TRUE,"??"}</definedName>
    <definedName name="_4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_______0__123Graph_B商" hidden="1">#REF!</definedName>
    <definedName name="_4___123Graph_BCHART_4" hidden="1">#REF!</definedName>
    <definedName name="_4__123Graph_A????_1" hidden="1">#REF!</definedName>
    <definedName name="_4__123Graph_A????_4" hidden="1">#REF!</definedName>
    <definedName name="_4__123Graph_AINTR_DIR" hidden="1">#REF!</definedName>
    <definedName name="_4__123Graph_AINTR_MONT" hidden="1">#REF!</definedName>
    <definedName name="_4__123Graph_Aｸﾞﾗﾌ_4" hidden="1">#REF!</definedName>
    <definedName name="_4__123Graph_B4X4W_G" hidden="1">#REF!</definedName>
    <definedName name="_4__123Graph_DCHART_1A" hidden="1">#REF!</definedName>
    <definedName name="_4__FDSAUDITLINK__" hidden="1">{"fdsup://IBCentral/FAT Viewer?action=UPDATE&amp;creator=factset&amp;DOC_NAME=fat:reuters_annual_source_window.fat&amp;display_string=Audit&amp;DYN_ARGS=TRUE&amp;VAR:ID1=85450210&amp;VAR:RCODE=FIBCEBIT&amp;VAR:SDATE=20091299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_0">#REF!</definedName>
    <definedName name="_4_0__123Grap" hidden="1">#REF!</definedName>
    <definedName name="_4_0_0_F" hidden="1">#REF!</definedName>
    <definedName name="_40__123Graph_A4X4W_G" hidden="1">#REF!</definedName>
    <definedName name="_40__123Graph_BHORES_EXTRES" hidden="1">#REF!</definedName>
    <definedName name="_40__123Graph_XINTR_MECN" hidden="1">#REF!</definedName>
    <definedName name="_40__FDSAUDITLINK__" hidden="1">{"fdsup://directions/FAT Viewer?action=UPDATE&amp;creator=factSet&amp;DYN_ARGS=true&amp;DOC_NAME=FAT:RGQ_ENTRPR_VAL_MV_SOURCE_WINDOW.FAT&amp;VAR:ID1=DEWY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0_0__123Grap" hidden="1">#REF!</definedName>
    <definedName name="_400__FDSAUDITLINK__" hidden="1">{"fdsup://directions/FAT Viewer?action=UPDATE&amp;creator=factSet&amp;DYN_ARGS=true&amp;DOC_NAME=FAT:RGQ_ENTRPR_VAL_MV_SOURCE_WINDOW.FAT&amp;VAR:ID1=OS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01__FDSAUDITLINK__" hidden="1">{"fdsup://directions/FAT Viewer?action=UPDATE&amp;creator=factSet&amp;DYN_ARGS=true&amp;DOC_NAME=FAT:RGQ_ENTRPR_VAL_MV_SOURCE_WINDOW.FAT&amp;VAR:ID1=HRS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02__FDSAUDITLINK__" hidden="1">{"fdsup://directions/FAT Viewer?action=UPDATE&amp;creator=factSet&amp;DYN_ARGS=true&amp;DOC_NAME=FAT:RGQ_ENTRPR_VAL_MV_SOURCE_WINDOW.FAT&amp;VAR:ID1=HRS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03__FDSAUDITLINK__" hidden="1">{"fdsup://directions/FAT Viewer?action=UPDATE&amp;creator=factSet&amp;DYN_ARGS=true&amp;DOC_NAME=FAT:RGQ_ENTRPR_VAL_MV_SOURCE_WINDOW.FAT&amp;VAR:ID1=SAI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404__FDSAUDITLINK__" hidden="1">{"fdsup://directions/FAT Viewer?action=UPDATE&amp;creator=factSet&amp;DYN_ARGS=true&amp;DOC_NAME=FAT:RGQ_ENTRPR_VAL_MV_SOURCE_WINDOW.FAT&amp;VAR:ID1=SAI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405__FDSAUDITLINK__" hidden="1">{"fdsup://directions/FAT Viewer?action=UPDATE&amp;creator=factSet&amp;DYN_ARGS=true&amp;DOC_NAME=FAT:RGQ_ENTRPR_VAL_MV_SOURCE_WINDOW.FAT&amp;VAR:ID1=NAV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406__FDSAUDITLINK__" hidden="1">{"fdsup://directions/FAT Viewer?action=UPDATE&amp;creator=factSet&amp;DYN_ARGS=true&amp;DOC_NAME=FAT:RGQ_ENTRPR_VAL_MV_SOURCE_WINDOW.FAT&amp;VAR:ID1=NAV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407__FDSAUDITLINK__" hidden="1">{"fdsup://directions/FAT Viewer?action=UPDATE&amp;creator=factSet&amp;DYN_ARGS=true&amp;DOC_NAME=FAT:RGQ_ENTRPR_VAL_MV_SOURCE_WINDOW.FAT&amp;VAR:ID1=COL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408__FDSAUDITLINK__" hidden="1">{"fdsup://directions/FAT Viewer?action=UPDATE&amp;creator=factSet&amp;DYN_ARGS=true&amp;DOC_NAME=FAT:RGQ_ENTRPR_VAL_MV_SOURCE_WINDOW.FAT&amp;VAR:ID1=COL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409__FDSAUDITLINK__" hidden="1">{"fdsup://directions/FAT Viewer?action=UPDATE&amp;creator=factSet&amp;DYN_ARGS=true&amp;DOC_NAME=FAT:RGQ_ENTRPR_VAL_MV_SOURCE_WINDOW.FAT&amp;VAR:ID1=IT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1__FDSAUDITLINK__" hidden="1">{"fdsup://directions/FAT Viewer?action=UPDATE&amp;creator=factSet&amp;DYN_ARGS=true&amp;DOC_NAME=FAT:RGQ_ENTRPR_VAL_MV_SOURCE_WINDOW.FAT&amp;VAR:ID1=LGSL&amp;VAR:SDATE=20100721&amp;VAR:FDATE=20080930&amp;VAR:FREQ=DAILY&amp;VAR:RELITEM=&amp;VAR:CURRENCY=&amp;VAR:DB_TYPE=&amp;VAR:UNITS=M&amp;VAR:SHS_OUT_TY","PE=&amp;window=popup&amp;width=535&amp;height=425&amp;START_MAXIMIZED=FALSE&amp;Y=120"}</definedName>
    <definedName name="_41_0__123Grap" hidden="1">#REF!</definedName>
    <definedName name="_41_123Graph_A商" hidden="1">#REF!</definedName>
    <definedName name="_410__FDSAUDITLINK__" hidden="1">{"fdsup://directions/FAT Viewer?action=UPDATE&amp;creator=factSet&amp;DYN_ARGS=true&amp;DOC_NAME=FAT:RGQ_ENTRPR_VAL_MV_SOURCE_WINDOW.FAT&amp;VAR:ID1=IT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11__FDSAUDITLINK__" hidden="1">{"fdsup://directions/FAT Viewer?action=UPDATE&amp;creator=factSet&amp;DYN_ARGS=true&amp;DOC_NAME=FAT:RGQ_ENTRPR_VAL_MV_SOURCE_WINDOW.FAT&amp;VAR:ID1=LLL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12__FDSAUDITLINK__" hidden="1">{"fdsup://directions/FAT Viewer?action=UPDATE&amp;creator=factSet&amp;DYN_ARGS=true&amp;DOC_NAME=FAT:RGQ_ENTRPR_VAL_MV_SOURCE_WINDOW.FAT&amp;VAR:ID1=LLL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13__FDSAUDITLINK__" hidden="1">{"fdsup://directions/FAT Viewer?action=UPDATE&amp;creator=factSet&amp;DYN_ARGS=true&amp;DOC_NAME=FAT:RGQ_ENTRPR_VAL_MV_SOURCE_WINDOW.FAT&amp;VAR:ID1=RT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14__FDSAUDITLINK__" hidden="1">{"fdsup://directions/FAT Viewer?action=UPDATE&amp;creator=factSet&amp;DYN_ARGS=true&amp;DOC_NAME=FAT:RGQ_ENTRPR_VAL_MV_SOURCE_WINDOW.FAT&amp;VAR:ID1=RT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15__FDSAUDITLINK__" hidden="1">{"fdsup://directions/FAT Viewer?action=UPDATE&amp;creator=factSet&amp;DYN_ARGS=true&amp;DOC_NAME=FAT:RGQ_ENTRPR_VAL_MV_SOURCE_WINDOW.FAT&amp;VAR:ID1=NOC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16__FDSAUDITLINK__" hidden="1">{"fdsup://directions/FAT Viewer?action=UPDATE&amp;creator=factSet&amp;DYN_ARGS=true&amp;DOC_NAME=FAT:RGQ_ENTRPR_VAL_MV_SOURCE_WINDOW.FAT&amp;VAR:ID1=NOC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17__FDSAUDITLINK__" hidden="1">{"fdsup://directions/FAT Viewer?action=UPDATE&amp;creator=factSet&amp;DYN_ARGS=true&amp;DOC_NAME=FAT:RGQ_ENTRPR_VAL_MV_SOURCE_WINDOW.FAT&amp;VAR:ID1=LM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18__FDSAUDITLINK__" hidden="1">{"fdsup://directions/FAT Viewer?action=UPDATE&amp;creator=factSet&amp;DYN_ARGS=true&amp;DOC_NAME=FAT:RGQ_ENTRPR_VAL_MV_SOURCE_WINDOW.FAT&amp;VAR:ID1=LM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19__FDSAUDITLINK__" hidden="1">{"fdsup://directions/FAT Viewer?action=UPDATE&amp;creator=factSet&amp;DYN_ARGS=true&amp;DOC_NAME=FAT:RGQ_ENTRPR_VAL_MV_SOURCE_WINDOW.FAT&amp;VAR:ID1=HON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42__123Graph_B4X4W_G" hidden="1">#REF!</definedName>
    <definedName name="_42__123Graph_XINTR_MONT" hidden="1">#REF!</definedName>
    <definedName name="_42__FDSAUDITLINK__" hidden="1">{"fdsup://directions/FAT Viewer?action=UPDATE&amp;creator=factSet&amp;DYN_ARGS=true&amp;DOC_NAME=FAT:RGQ_ENTRPR_VAL_MV_SOURCE_WINDOW.FAT&amp;VAR:ID1=LGSL&amp;VAR:SDATE=20100721&amp;VAR:FDATE=20080930&amp;VAR:FREQ=DAILY&amp;VAR:RELITEM=&amp;VAR:CURRENCY=&amp;VAR:DB_TYPE=&amp;VAR:UNITS=M&amp;VAR:SHS_OUT_TY","PE=&amp;window=popup&amp;width=535&amp;height=425&amp;START_MAXIMIZED=FALSE&amp;Y=120"}</definedName>
    <definedName name="_42_0__123Grap" hidden="1">#REF!</definedName>
    <definedName name="_420__FDSAUDITLINK__" hidden="1">{"fdsup://directions/FAT Viewer?action=UPDATE&amp;creator=factSet&amp;DYN_ARGS=true&amp;DOC_NAME=FAT:RGQ_ENTRPR_VAL_MV_SOURCE_WINDOW.FAT&amp;VAR:ID1=HON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421__FDSAUDITLINK__" hidden="1">{"fdsup://directions/FAT Viewer?action=UPDATE&amp;creator=factSet&amp;DYN_ARGS=true&amp;DOC_NAME=FAT:RGQ_ENTRPR_VAL_MV_SOURCE_WINDOW.FAT&amp;VAR:ID1=BA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422__FDSAUDITLINK__" hidden="1">{"fdsup://directions/FAT Viewer?action=UPDATE&amp;creator=factSet&amp;DYN_ARGS=true&amp;DOC_NAME=FAT:RGQ_ENTRPR_VAL_MV_SOURCE_WINDOW.FAT&amp;VAR:ID1=BA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423__FDSAUDITLINK__" hidden="1">{"fdsup://directions/FAT Viewer?action=UPDATE&amp;creator=factSet&amp;DYN_ARGS=true&amp;DOC_NAME=FAT:RGQ_ENTRPR_VAL_MV_SOURCE_WINDOW.FAT&amp;VAR:ID1=UTX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424__FDSAUDITLINK__" hidden="1">{"fdsup://directions/FAT Viewer?action=UPDATE&amp;creator=factSet&amp;DYN_ARGS=true&amp;DOC_NAME=FAT:RGQ_ENTRPR_VAL_MV_SOURCE_WINDOW.FAT&amp;VAR:ID1=UTX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425__FDSAUDITLINK__" hidden="1">{"fdsup://directions/FAT Viewer?action=UPDATE&amp;creator=factSet&amp;DYN_ARGS=true&amp;DOC_NAME=FAT:RGQ_ENTRPR_VAL_MV_SOURCE_WINDOW.FAT&amp;VAR:ID1=BA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426__FDSAUDITLINK__" hidden="1">{"fdsup://directions/FAT Viewer?action=UPDATE&amp;creator=factSet&amp;DYN_ARGS=true&amp;DOC_NAME=FAT:RGQ_ENTRPR_VAL_MV_SOURCE_WINDOW.FAT&amp;VAR:ID1=BA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427__FDSAUDITLINK__" hidden="1">{"fdsup://directions/FAT Viewer?action=UPDATE&amp;creator=factSet&amp;DYN_ARGS=true&amp;DOC_NAME=FAT:RGQ_ENTRPR_VAL_MV_SOURCE_WINDOW.FAT&amp;VAR:ID1=UTX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428__FDSAUDITLINK__" hidden="1">{"fdsup://directions/FAT Viewer?action=UPDATE&amp;creator=factSet&amp;DYN_ARGS=true&amp;DOC_NAME=FAT:RGQ_ENTRPR_VAL_MV_SOURCE_WINDOW.FAT&amp;VAR:ID1=UTX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429__FDSAUDITLINK__" hidden="1">{"fdsup://directions/FAT Viewer?action=UPDATE&amp;creator=factSet&amp;DYN_ARGS=true&amp;DOC_NAME=FAT:RGQ_ENTRPR_VAL_MV_SOURCE_WINDOW.FAT&amp;VAR:ID1=LLL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3__123Graph_A????_5" hidden="1">#REF!</definedName>
    <definedName name="_43__123Graph_Aｸﾞﾗﾌ_2" hidden="1">#REF!</definedName>
    <definedName name="_43__FDSAUDITLINK__" hidden="1">{"fdsup://directions/FAT Viewer?action=UPDATE&amp;creator=factSet&amp;DYN_ARGS=true&amp;DOC_NAME=FAT:RGQ_ENTRPR_VAL_MV_SOURCE_WINDOW.FAT&amp;VAR:ID1=CSXBE&amp;VAR:SDATE=20100721&amp;VAR:FDATE=20100331&amp;VAR:FREQ=DAILY&amp;VAR:RELITEM=&amp;VAR:CURRENCY=&amp;VAR:DB_TYPE=&amp;VAR:UNITS=M&amp;VAR:SHS_OUT_T","YPE=&amp;window=popup&amp;width=535&amp;height=425&amp;START_MAXIMIZED=FALSE&amp;Y=120"}</definedName>
    <definedName name="_43_0__123Grap" hidden="1">#REF!</definedName>
    <definedName name="_43_123Graph_B乗" hidden="1">#REF!</definedName>
    <definedName name="_430__FDSAUDITLINK__" hidden="1">{"fdsup://directions/FAT Viewer?action=UPDATE&amp;creator=factSet&amp;DYN_ARGS=true&amp;DOC_NAME=FAT:RGQ_ENTRPR_VAL_MV_SOURCE_WINDOW.FAT&amp;VAR:ID1=LLL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31__FDSAUDITLINK__" hidden="1">{"fdsup://directions/FAT Viewer?action=UPDATE&amp;creator=factSet&amp;DYN_ARGS=true&amp;DOC_NAME=FAT:RGQ_ENTRPR_VAL_MV_SOURCE_WINDOW.FAT&amp;VAR:ID1=TAS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32__FDSAUDITLINK__" hidden="1">{"fdsup://directions/FAT Viewer?action=UPDATE&amp;creator=factSet&amp;DYN_ARGS=true&amp;DOC_NAME=FAT:RGQ_ENTRPR_VAL_MV_SOURCE_WINDOW.FAT&amp;VAR:ID1=TAS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33__FDSAUDITLINK__" hidden="1">{"fdsup://directions/FAT Viewer?action=UPDATE&amp;creator=factSet&amp;DYN_ARGS=true&amp;DOC_NAME=FAT:RGQ_ENTRPR_VAL_MV_SOURCE_WINDOW.FAT&amp;VAR:ID1=DCO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34__FDSAUDITLINK__" hidden="1">{"fdsup://directions/FAT Viewer?action=UPDATE&amp;creator=factSet&amp;DYN_ARGS=true&amp;DOC_NAME=FAT:RGQ_ENTRPR_VAL_MV_SOURCE_WINDOW.FAT&amp;VAR:ID1=DCO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35__FDSAUDITLINK__" hidden="1">{"fdsup://directions/FAT Viewer?action=UPDATE&amp;creator=factSet&amp;DYN_ARGS=true&amp;DOC_NAME=FAT:RGQ_ENTRPR_VAL_MV_SOURCE_WINDOW.FAT&amp;VAR:ID1=LB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436__FDSAUDITLINK__" hidden="1">{"fdsup://directions/FAT Viewer?action=UPDATE&amp;creator=factSet&amp;DYN_ARGS=true&amp;DOC_NAME=FAT:RGQ_ENTRPR_VAL_MV_SOURCE_WINDOW.FAT&amp;VAR:ID1=LB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437__FDSAUDITLINK__" hidden="1">{"fdsup://directions/FAT Viewer?action=UPDATE&amp;creator=factSet&amp;DYN_ARGS=true&amp;DOC_NAME=FAT:RGQ_ENTRPR_VAL_MV_SOURCE_WINDOW.FAT&amp;VAR:ID1=SAI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438__FDSAUDITLINK__" hidden="1">{"fdsup://directions/FAT Viewer?action=UPDATE&amp;creator=factSet&amp;DYN_ARGS=true&amp;DOC_NAME=FAT:RGQ_ENTRPR_VAL_MV_SOURCE_WINDOW.FAT&amp;VAR:ID1=SAI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439__FDSAUDITLINK__" hidden="1">{"fdsup://directions/FAT Viewer?action=UPDATE&amp;creator=factSet&amp;DYN_ARGS=true&amp;DOC_NAME=FAT:RGQ_ENTRPR_VAL_MV_SOURCE_WINDOW.FAT&amp;VAR:ID1=NAV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44__123Graph_XINTR_PINT" hidden="1">#REF!</definedName>
    <definedName name="_44__FDSAUDITLINK__" hidden="1">{"fdsup://directions/FAT Viewer?action=UPDATE&amp;creator=factSet&amp;DYN_ARGS=true&amp;DOC_NAME=FAT:RGQ_ENTRPR_VAL_MV_SOURCE_WINDOW.FAT&amp;VAR:ID1=CSXBE&amp;VAR:SDATE=20100721&amp;VAR:FDATE=20100331&amp;VAR:FREQ=DAILY&amp;VAR:RELITEM=&amp;VAR:CURRENCY=&amp;VAR:DB_TYPE=&amp;VAR:UNITS=M&amp;VAR:SHS_OUT_T","YPE=&amp;window=popup&amp;width=535&amp;height=425&amp;START_MAXIMIZED=FALSE&amp;Y=120"}</definedName>
    <definedName name="_44_0__123Grap" hidden="1">#REF!</definedName>
    <definedName name="_44_123Graph_B商" hidden="1">#REF!</definedName>
    <definedName name="_440__FDSAUDITLINK__" hidden="1">{"fdsup://directions/FAT Viewer?action=UPDATE&amp;creator=factSet&amp;DYN_ARGS=true&amp;DOC_NAME=FAT:RGQ_ENTRPR_VAL_MV_SOURCE_WINDOW.FAT&amp;VAR:ID1=NAV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441__FDSAUDITLINK__" hidden="1">{"fdsup://directions/FAT Viewer?action=UPDATE&amp;creator=factSet&amp;DYN_ARGS=true&amp;DOC_NAME=FAT:RGQ_ENTRPR_VAL_MV_SOURCE_WINDOW.FAT&amp;VAR:ID1=IT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42__FDSAUDITLINK__" hidden="1">{"fdsup://directions/FAT Viewer?action=UPDATE&amp;creator=factSet&amp;DYN_ARGS=true&amp;DOC_NAME=FAT:RGQ_ENTRPR_VAL_MV_SOURCE_WINDOW.FAT&amp;VAR:ID1=IT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43__FDSAUDITLINK__" hidden="1">{"fdsup://directions/FAT Viewer?action=UPDATE&amp;creator=factSet&amp;DYN_ARGS=true&amp;DOC_NAME=FAT:RGQ_ENTRPR_VAL_MV_SOURCE_WINDOW.FAT&amp;VAR:ID1=HO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44__FDSAUDITLINK__" hidden="1">{"fdsup://directions/FAT Viewer?action=UPDATE&amp;creator=factSet&amp;DYN_ARGS=true&amp;DOC_NAME=FAT:RGQ_ENTRPR_VAL_MV_SOURCE_WINDOW.FAT&amp;VAR:ID1=HO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45__FDSAUDITLINK__" hidden="1">{"fdsup://directions/FAT Viewer?action=UPDATE&amp;creator=factSet&amp;DYN_ARGS=true&amp;DOC_NAME=FAT:RGQ_ENTRPR_VAL_MV_SOURCE_WINDOW.FAT&amp;VAR:ID1=COL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446__FDSAUDITLINK__" hidden="1">{"fdsup://directions/FAT Viewer?action=UPDATE&amp;creator=factSet&amp;DYN_ARGS=true&amp;DOC_NAME=FAT:RGQ_ENTRPR_VAL_MV_SOURCE_WINDOW.FAT&amp;VAR:ID1=COL&amp;VAR:SDATE=20100721&amp;VAR:FDATE=20100630&amp;VAR:FREQ=DAILY&amp;VAR:RELITEM=&amp;VAR:CURRENCY=&amp;VAR:DB_TYPE=&amp;VAR:UNITS=M&amp;VAR:SHS_OUT_TYP","E=&amp;window=popup&amp;width=535&amp;height=425&amp;START_MAXIMIZED=FALSE&amp;Y=120"}</definedName>
    <definedName name="_447__FDSAUDITLINK__" hidden="1">{"fdsup://directions/FAT Viewer?action=UPDATE&amp;creator=factSet&amp;DYN_ARGS=true&amp;DOC_NAME=FAT:RGQ_ENTRPR_VAL_MV_SOURCE_WINDOW.FAT&amp;VAR:ID1=HRS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48__FDSAUDITLINK__" hidden="1">{"fdsup://directions/FAT Viewer?action=UPDATE&amp;creator=factSet&amp;DYN_ARGS=true&amp;DOC_NAME=FAT:RGQ_ENTRPR_VAL_MV_SOURCE_WINDOW.FAT&amp;VAR:ID1=HRS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49__FDSAUDITLINK__" hidden="1">{"fdsup://directions/FAT Viewer?action=UPDATE&amp;creator=factSet&amp;DYN_ARGS=true&amp;DOC_NAME=FAT:RGQ_ENTRPR_VAL_MV_SOURCE_WINDOW.FAT&amp;VAR:ID1=ESL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45__123Graph_Aｸﾞﾗﾌ_3" hidden="1">#REF!</definedName>
    <definedName name="_45__123Graph_BSOLDA_PINTURA" hidden="1">#REF!</definedName>
    <definedName name="_45__FDSAUDITLINK__" hidden="1">{"fdsup://directions/FAT Viewer?action=UPDATE&amp;creator=factSet&amp;DYN_ARGS=true&amp;DOC_NAME=FAT:RGQ_ENTRPR_VAL_MV_SOURCE_WINDOW.FAT&amp;VAR:ID1=KRSL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5_0__123Graph_A商" hidden="1">#REF!</definedName>
    <definedName name="_45_123Graph_B総" hidden="1">#REF!</definedName>
    <definedName name="_450__FDSAUDITLINK__" hidden="1">{"fdsup://directions/FAT Viewer?action=UPDATE&amp;creator=factSet&amp;DYN_ARGS=true&amp;DOC_NAME=FAT:RGQ_ENTRPR_VAL_MV_SOURCE_WINDOW.FAT&amp;VAR:ID1=ESL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451__FDSAUDITLINK__" hidden="1">{"fdsup://directions/FAT Viewer?action=UPDATE&amp;creator=factSet&amp;DYN_ARGS=true&amp;DOC_NAME=FAT:RGQ_ENTRPR_VAL_MV_SOURCE_WINDOW.FAT&amp;VAR:ID1=TDY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52__FDSAUDITLINK__" hidden="1">{"fdsup://directions/FAT Viewer?action=UPDATE&amp;creator=factSet&amp;DYN_ARGS=true&amp;DOC_NAME=FAT:RGQ_ENTRPR_VAL_MV_SOURCE_WINDOW.FAT&amp;VAR:ID1=TDY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53__FDSAUDITLINK__" hidden="1">{"fdsup://directions/FAT Viewer?action=UPDATE&amp;creator=factSet&amp;DYN_ARGS=true&amp;DOC_NAME=FAT:RGQ_ENTRPR_VAL_MV_SOURCE_WINDOW.FAT&amp;VAR:ID1=CUB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54__FDSAUDITLINK__" hidden="1">{"fdsup://directions/FAT Viewer?action=UPDATE&amp;creator=factSet&amp;DYN_ARGS=true&amp;DOC_NAME=FAT:RGQ_ENTRPR_VAL_MV_SOURCE_WINDOW.FAT&amp;VAR:ID1=CUB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55__FDSAUDITLINK__" hidden="1">{"fdsup://directions/FAT Viewer?action=UPDATE&amp;creator=factSet&amp;DYN_ARGS=true&amp;DOC_NAME=FAT:RGQ_ENTRPR_VAL_MV_SOURCE_WINDOW.FAT&amp;VAR:ID1=IRB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56__FDSAUDITLINK__" hidden="1">{"fdsup://directions/FAT Viewer?action=UPDATE&amp;creator=factSet&amp;DYN_ARGS=true&amp;DOC_NAME=FAT:RGQ_ENTRPR_VAL_MV_SOURCE_WINDOW.FAT&amp;VAR:ID1=IRB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57__FDSAUDITLINK__" hidden="1">{"fdsup://directions/FAT Viewer?action=UPDATE&amp;creator=factSet&amp;DYN_ARGS=true&amp;DOC_NAME=FAT:RGQ_ENTRPR_VAL_MV_SOURCE_WINDOW.FAT&amp;VAR:ID1=AVAV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458__FDSAUDITLINK__" hidden="1">{"fdsup://directions/FAT Viewer?action=UPDATE&amp;creator=factSet&amp;DYN_ARGS=true&amp;DOC_NAME=FAT:RGQ_ENTRPR_VAL_MV_SOURCE_WINDOW.FAT&amp;VAR:ID1=AVAV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459__FDSAUDITLINK__" hidden="1">{"fdsup://directions/FAT Viewer?action=UPDATE&amp;creator=factSet&amp;DYN_ARGS=true&amp;DOC_NAME=FAT:RGQ_ENTRPR_VAL_MV_SOURCE_WINDOW.FAT&amp;VAR:ID1=ANE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6__123Graph_C4X4W_G" hidden="1">#REF!</definedName>
    <definedName name="_46__123Graph_XSOLDA_PINTURA" hidden="1">#REF!</definedName>
    <definedName name="_46__FDSAUDITLINK__" hidden="1">{"fdsup://directions/FAT Viewer?action=UPDATE&amp;creator=factSet&amp;DYN_ARGS=true&amp;DOC_NAME=FAT:RGQ_ENTRPR_VAL_MV_SOURCE_WINDOW.FAT&amp;VAR:ID1=KRSL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6_0__123Graph_A商" hidden="1">#REF!</definedName>
    <definedName name="_460__FDSAUDITLINK__" hidden="1">{"fdsup://directions/FAT Viewer?action=UPDATE&amp;creator=factSet&amp;DYN_ARGS=true&amp;DOC_NAME=FAT:RGQ_ENTRPR_VAL_MV_SOURCE_WINDOW.FAT&amp;VAR:ID1=ANE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61__FDSAUDITLINK__" hidden="1">{"fdsup://directions/FAT Viewer?action=UPDATE&amp;creator=factSet&amp;DYN_ARGS=true&amp;DOC_NAME=FAT:RGQ_ENTRPR_VAL_MV_SOURCE_WINDOW.FAT&amp;VAR:ID1=ATRO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62__FDSAUDITLINK__" hidden="1">{"fdsup://directions/FAT Viewer?action=UPDATE&amp;creator=factSet&amp;DYN_ARGS=true&amp;DOC_NAME=FAT:RGQ_ENTRPR_VAL_MV_SOURCE_WINDOW.FAT&amp;VAR:ID1=ATRO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63__FDSAUDITLINK__" hidden="1">{"fdsup://directions/FAT Viewer?action=UPDATE&amp;creator=factSet&amp;DYN_ARGS=true&amp;DOC_NAME=FAT:RGQ_ENTRPR_VAL_MV_SOURCE_WINDOW.FAT&amp;VAR:ID1=HRLY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464__FDSAUDITLINK__" hidden="1">{"fdsup://directions/FAT Viewer?action=UPDATE&amp;creator=factSet&amp;DYN_ARGS=true&amp;DOC_NAME=FAT:RGQ_ENTRPR_VAL_MV_SOURCE_WINDOW.FAT&amp;VAR:ID1=HRLY&amp;VAR:SDATE=20100721&amp;VAR:FDATE=20100430&amp;VAR:FREQ=DAILY&amp;VAR:RELITEM=&amp;VAR:CURRENCY=&amp;VAR:DB_TYPE=&amp;VAR:UNITS=M&amp;VAR:SHS_OUT_TY","PE=&amp;window=popup&amp;width=535&amp;height=425&amp;START_MAXIMIZED=FALSE&amp;Y=120"}</definedName>
    <definedName name="_465__FDSAUDITLINK__" hidden="1">{"fdsup://directions/FAT Viewer?action=UPDATE&amp;creator=factSet&amp;DYN_ARGS=true&amp;DOC_NAME=FAT:RGQ_ENTRPR_VAL_MV_SOURCE_WINDOW.FAT&amp;VAR:ID1=BA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466__FDSAUDITLINK__" hidden="1">{"fdsup://directions/FAT Viewer?action=UPDATE&amp;creator=factSet&amp;DYN_ARGS=true&amp;DOC_NAME=FAT:RGQ_ENTRPR_VAL_MV_SOURCE_WINDOW.FAT&amp;VAR:ID1=BA&amp;VAR:SDATE=20100721&amp;VAR:FDATE=20100331&amp;VAR:FREQ=DAILY&amp;VAR:RELITEM=&amp;VAR:CURRENCY=&amp;VAR:DB_TYPE=&amp;VAR:UNITS=M&amp;VAR:SHS_OUT_TYPE","=&amp;window=popup&amp;width=535&amp;height=425&amp;START_MAXIMIZED=FALSE&amp;Y=120"}</definedName>
    <definedName name="_467__FDSAUDITLINK__" hidden="1">{"fdsup://directions/FAT Viewer?action=UPDATE&amp;creator=factSet&amp;DYN_ARGS=true&amp;DOC_NAME=FAT:RGQ_ENTRPR_VAL_MV_SOURCE_WINDOW.FAT&amp;VAR:ID1=LM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68__FDSAUDITLINK__" hidden="1">{"fdsup://directions/FAT Viewer?action=UPDATE&amp;creator=factSet&amp;DYN_ARGS=true&amp;DOC_NAME=FAT:RGQ_ENTRPR_VAL_MV_SOURCE_WINDOW.FAT&amp;VAR:ID1=LMT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69__FDSAUDITLINK__" hidden="1">{"fdsup://directions/FAT Viewer?action=UPDATE&amp;creator=factSet&amp;DYN_ARGS=true&amp;DOC_NAME=FAT:RGQ_ENTRPR_VAL_MV_SOURCE_WINDOW.FAT&amp;VAR:ID1=RT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7__FDSAUDITLINK__" hidden="1">{"fdsup://directions/FAT Viewer?action=UPDATE&amp;creator=factSet&amp;DYN_ARGS=true&amp;DOC_NAME=FAT:RGQ_ENTRPR_VAL_MV_SOURCE_WINDOW.FAT&amp;VAR:ID1=MKR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7_0__123Graph_A商" hidden="1">#REF!</definedName>
    <definedName name="_47_123Graph_C乗" hidden="1">#REF!</definedName>
    <definedName name="_470__FDSAUDITLINK__" hidden="1">{"fdsup://directions/FAT Viewer?action=UPDATE&amp;creator=factSet&amp;DYN_ARGS=true&amp;DOC_NAME=FAT:RGQ_ENTRPR_VAL_MV_SOURCE_WINDOW.FAT&amp;VAR:ID1=RT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71__FDSAUDITLINK__" hidden="1">{"fdsup://directions/FAT Viewer?action=UPDATE&amp;creator=factSet&amp;DYN_ARGS=true&amp;DOC_NAME=FAT:RGQ_ENTRPR_VAL_MV_SOURCE_WINDOW.FAT&amp;VAR:ID1=NOC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72__FDSAUDITLINK__" hidden="1">{"fdsup://directions/FAT Viewer?action=UPDATE&amp;creator=factSet&amp;DYN_ARGS=true&amp;DOC_NAME=FAT:RGQ_ENTRPR_VAL_MV_SOURCE_WINDOW.FAT&amp;VAR:ID1=NOC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73__FDSAUDITLINK__" hidden="1">{"fdsup://directions/FAT Viewer?action=UPDATE&amp;creator=factSet&amp;DYN_ARGS=true&amp;DOC_NAME=FAT:RGQ_ENTRPR_VAL_MV_SOURCE_WINDOW.FAT&amp;VAR:ID1=AT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74__FDSAUDITLINK__" hidden="1">{"fdsup://directions/FAT Viewer?action=UPDATE&amp;creator=factSet&amp;DYN_ARGS=true&amp;DOC_NAME=FAT:RGQ_ENTRPR_VAL_MV_SOURCE_WINDOW.FAT&amp;VAR:ID1=AT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475__FDSAUDITLINK__" hidden="1">{"fdsup://directions/FAT Viewer?action=UPDATE&amp;creator=factSet&amp;DYN_ARGS=true&amp;DOC_NAME=FAT:RGQ_ENTRPR_VAL_MV_SOURCE_WINDOW.FAT&amp;VAR:ID1=SXE&amp;VAR:SDATE=20091019&amp;VAR:FDATE=20090630&amp;VAR:FREQ=DAILY&amp;VAR:RELITEM=&amp;VAR:CURRENCY=&amp;VAR:DB_TYPE=&amp;VAR:UNITS=M&amp;VAR:SHS_OUT_TYP","E=&amp;window=popup&amp;width=535&amp;height=425&amp;START_MAXIMIZED=FALSE&amp;Y=120"}</definedName>
    <definedName name="_476__FDSAUDITLINK__" hidden="1">{"fdsup://directions/FAT Viewer?action=UPDATE&amp;creator=factSet&amp;DYN_ARGS=true&amp;DOC_NAME=FAT:RGQ_ENTRPR_VAL_MV_SOURCE_WINDOW.FAT&amp;VAR:ID1=SXE&amp;VAR:SDATE=20091019&amp;VAR:FDATE=20090630&amp;VAR:FREQ=DAILY&amp;VAR:RELITEM=&amp;VAR:CURRENCY=&amp;VAR:DB_TYPE=&amp;VAR:UNITS=M&amp;VAR:SHS_OUT_TYP","E=&amp;window=popup&amp;width=535&amp;height=425&amp;START_MAXIMIZED=FALSE&amp;Y=120"}</definedName>
    <definedName name="_477__FDSAUDITLINK__" hidden="1">{"fdsup://directions/FAT Viewer?action=UPDATE&amp;creator=factSet&amp;DYN_ARGS=true&amp;DOC_NAME=FAT:RGQ_ENTRPR_VAL_MV_SOURCE_WINDOW.FAT&amp;VAR:ID1=LORL&amp;VAR:SDATE=20091019&amp;VAR:FDATE=20090630&amp;VAR:FREQ=DAILY&amp;VAR:RELITEM=&amp;VAR:CURRENCY=&amp;VAR:DB_TYPE=&amp;VAR:UNITS=M&amp;VAR:SHS_OUT_TY","PE=&amp;window=popup&amp;width=535&amp;height=425&amp;START_MAXIMIZED=FALSE&amp;Y=120"}</definedName>
    <definedName name="_478__FDSAUDITLINK__" hidden="1">{"fdsup://directions/FAT Viewer?action=UPDATE&amp;creator=factSet&amp;DYN_ARGS=true&amp;DOC_NAME=FAT:RGQ_ENTRPR_VAL_MV_SOURCE_WINDOW.FAT&amp;VAR:ID1=LORL&amp;VAR:SDATE=20091019&amp;VAR:FDATE=20090630&amp;VAR:FREQ=DAILY&amp;VAR:RELITEM=&amp;VAR:CURRENCY=&amp;VAR:DB_TYPE=&amp;VAR:UNITS=M&amp;VAR:SHS_OUT_TY","PE=&amp;window=popup&amp;width=535&amp;height=425&amp;START_MAXIMIZED=FALSE&amp;Y=120"}</definedName>
    <definedName name="_479__FDSAUDITLINK__" hidden="1">{"fdsup://directions/FAT Viewer?action=UPDATE&amp;creator=factSet&amp;DYN_ARGS=true&amp;DOC_NAME=FAT:RGQ_ENTRPR_VAL_MV_SOURCE_WINDOW.FAT&amp;VAR:ID1=CUB&amp;VAR:SDATE=20091019&amp;VAR:FDATE=20090630&amp;VAR:FREQ=DAILY&amp;VAR:RELITEM=&amp;VAR:CURRENCY=&amp;VAR:DB_TYPE=&amp;VAR:UNITS=M&amp;VAR:SHS_OUT_TYP","E=&amp;window=popup&amp;width=535&amp;height=425&amp;START_MAXIMIZED=FALSE&amp;Y=120"}</definedName>
    <definedName name="_48__123Graph_Aｸﾞﾗﾌ_3" hidden="1">#REF!</definedName>
    <definedName name="_48__123Graph_BGRAPHIQUE_16" hidden="1">#REF!</definedName>
    <definedName name="_48__123Graph_XTOTAL_DIRECTOS" hidden="1">#REF!</definedName>
    <definedName name="_48__FDSAUDITLINK__" hidden="1">{"fdsup://directions/FAT Viewer?action=UPDATE&amp;creator=factSet&amp;DYN_ARGS=true&amp;DOC_NAME=FAT:RGQ_ENTRPR_VAL_MV_SOURCE_WINDOW.FAT&amp;VAR:ID1=MKR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48_0__123Graph_A商" hidden="1">#REF!</definedName>
    <definedName name="_48_123Graph_C商" hidden="1">#REF!</definedName>
    <definedName name="_480__FDSAUDITLINK__" hidden="1">{"fdsup://directions/FAT Viewer?action=UPDATE&amp;creator=factSet&amp;DYN_ARGS=true&amp;DOC_NAME=FAT:RGQ_ENTRPR_VAL_MV_SOURCE_WINDOW.FAT&amp;VAR:ID1=CUB&amp;VAR:SDATE=20091019&amp;VAR:FDATE=20090630&amp;VAR:FREQ=DAILY&amp;VAR:RELITEM=&amp;VAR:CURRENCY=&amp;VAR:DB_TYPE=&amp;VAR:UNITS=M&amp;VAR:SHS_OUT_TYP","E=&amp;window=popup&amp;width=535&amp;height=425&amp;START_MAXIMIZED=FALSE&amp;Y=120"}</definedName>
    <definedName name="_481__FDSAUDITLINK__" hidden="1">{"fdsup://directions/FAT Viewer?action=UPDATE&amp;creator=factSet&amp;DYN_ARGS=true&amp;DOC_NAME=FAT:RGQ_ENTRPR_VAL_MV_SOURCE_WINDOW.FAT&amp;VAR:ID1=ESE&amp;VAR:SDATE=20091019&amp;VAR:FDATE=20090630&amp;VAR:FREQ=DAILY&amp;VAR:RELITEM=&amp;VAR:CURRENCY=&amp;VAR:DB_TYPE=&amp;VAR:UNITS=M&amp;VAR:SHS_OUT_TYP","E=&amp;window=popup&amp;width=535&amp;height=425&amp;START_MAXIMIZED=FALSE&amp;Y=120"}</definedName>
    <definedName name="_482__FDSAUDITLINK__" hidden="1">{"fdsup://directions/FAT Viewer?action=UPDATE&amp;creator=factSet&amp;DYN_ARGS=true&amp;DOC_NAME=FAT:RGQ_ENTRPR_VAL_MV_SOURCE_WINDOW.FAT&amp;VAR:ID1=ESE&amp;VAR:SDATE=20091019&amp;VAR:FDATE=20090630&amp;VAR:FREQ=DAILY&amp;VAR:RELITEM=&amp;VAR:CURRENCY=&amp;VAR:DB_TYPE=&amp;VAR:UNITS=M&amp;VAR:SHS_OUT_TYP","E=&amp;window=popup&amp;width=535&amp;height=425&amp;START_MAXIMIZED=FALSE&amp;Y=120"}</definedName>
    <definedName name="_483__FDSAUDITLINK__" hidden="1">{"fdsup://directions/FAT Viewer?action=UPDATE&amp;creator=factSet&amp;DYN_ARGS=true&amp;DOC_NAME=FAT:RGQ_ENTRPR_VAL_MV_SOURCE_WINDOW.FAT&amp;VAR:ID1=SRX&amp;VAR:SDATE=20091019&amp;VAR:FDATE=20090630&amp;VAR:FREQ=DAILY&amp;VAR:RELITEM=&amp;VAR:CURRENCY=&amp;VAR:DB_TYPE=&amp;VAR:UNITS=M&amp;VAR:SHS_OUT_TYP","E=&amp;window=popup&amp;width=535&amp;height=425&amp;START_MAXIMIZED=FALSE&amp;Y=120"}</definedName>
    <definedName name="_484__FDSAUDITLINK__" hidden="1">{"fdsup://directions/FAT Viewer?action=UPDATE&amp;creator=factSet&amp;DYN_ARGS=true&amp;DOC_NAME=FAT:RGQ_ENTRPR_VAL_MV_SOURCE_WINDOW.FAT&amp;VAR:ID1=SRX&amp;VAR:SDATE=20091019&amp;VAR:FDATE=20090630&amp;VAR:FREQ=DAILY&amp;VAR:RELITEM=&amp;VAR:CURRENCY=&amp;VAR:DB_TYPE=&amp;VAR:UNITS=M&amp;VAR:SHS_OUT_TYP","E=&amp;window=popup&amp;width=535&amp;height=425&amp;START_MAXIMIZED=FALSE&amp;Y=120"}</definedName>
    <definedName name="_485__FDSAUDITLINK__" hidden="1">{"fdsup://directions/FAT Viewer?action=UPDATE&amp;creator=factSet&amp;DYN_ARGS=true&amp;DOC_NAME=FAT:RGQ_ENTRPR_VAL_MV_SOURCE_WINDOW.FAT&amp;VAR:ID1=HXL&amp;VAR:SDATE=20091019&amp;VAR:FDATE=20090630&amp;VAR:FREQ=DAILY&amp;VAR:RELITEM=&amp;VAR:CURRENCY=&amp;VAR:DB_TYPE=&amp;VAR:UNITS=M&amp;VAR:SHS_OUT_TYP","E=&amp;window=popup&amp;width=535&amp;height=425&amp;START_MAXIMIZED=FALSE&amp;Y=120"}</definedName>
    <definedName name="_486__FDSAUDITLINK__" hidden="1">{"fdsup://directions/FAT Viewer?action=UPDATE&amp;creator=factSet&amp;DYN_ARGS=true&amp;DOC_NAME=FAT:RGQ_ENTRPR_VAL_MV_SOURCE_WINDOW.FAT&amp;VAR:ID1=HXL&amp;VAR:SDATE=20091019&amp;VAR:FDATE=20090630&amp;VAR:FREQ=DAILY&amp;VAR:RELITEM=&amp;VAR:CURRENCY=&amp;VAR:DB_TYPE=&amp;VAR:UNITS=M&amp;VAR:SHS_OUT_TYP","E=&amp;window=popup&amp;width=535&amp;height=425&amp;START_MAXIMIZED=FALSE&amp;Y=120"}</definedName>
    <definedName name="_487__FDSAUDITLINK__" hidden="1">{"fdsup://directions/FAT Viewer?action=UPDATE&amp;creator=factSet&amp;DYN_ARGS=true&amp;DOC_NAME=FAT:RGQ_ENTRPR_VAL_MV_SOURCE_WINDOW.FAT&amp;VAR:ID1=B&amp;VAR:SDATE=20091019&amp;VAR:FDATE=20090630&amp;VAR:FREQ=DAILY&amp;VAR:RELITEM=&amp;VAR:CURRENCY=&amp;VAR:DB_TYPE=&amp;VAR:UNITS=M&amp;VAR:SHS_OUT_TYPE=","&amp;window=popup&amp;width=535&amp;height=425&amp;START_MAXIMIZED=FALSE&amp;Y=120"}</definedName>
    <definedName name="_488__FDSAUDITLINK__" hidden="1">{"fdsup://directions/FAT Viewer?action=UPDATE&amp;creator=factSet&amp;DYN_ARGS=true&amp;DOC_NAME=FAT:RGQ_ENTRPR_VAL_MV_SOURCE_WINDOW.FAT&amp;VAR:ID1=B&amp;VAR:SDATE=20091019&amp;VAR:FDATE=20090630&amp;VAR:FREQ=DAILY&amp;VAR:RELITEM=&amp;VAR:CURRENCY=&amp;VAR:DB_TYPE=&amp;VAR:UNITS=M&amp;VAR:SHS_OUT_TYPE=","&amp;window=popup&amp;width=535&amp;height=425&amp;START_MAXIMIZED=FALSE&amp;Y=120"}</definedName>
    <definedName name="_489__FDSAUDITLINK__" hidden="1">{"fdsup://directions/FAT Viewer?action=UPDATE&amp;creator=factSet&amp;DYN_ARGS=true&amp;DOC_NAME=FAT:RGQ_ENTRPR_VAL_MV_SOURCE_WINDOW.FAT&amp;VAR:ID1=MOG.A&amp;VAR:SDATE=20091019&amp;VAR:FDATE=20090630&amp;VAR:FREQ=DAILY&amp;VAR:RELITEM=&amp;VAR:CURRENCY=&amp;VAR:DB_TYPE=&amp;VAR:UNITS=M&amp;VAR:SHS_OUT_T","YPE=&amp;window=popup&amp;width=535&amp;height=425&amp;START_MAXIMIZED=FALSE&amp;Y=120"}</definedName>
    <definedName name="_49__123Graph_D4X4W_G" hidden="1">#REF!</definedName>
    <definedName name="_49__FDSAUDITLINK__" hidden="1">{"fdsup://directions/FAT Viewer?action=UPDATE&amp;creator=factSet&amp;DYN_ARGS=true&amp;DOC_NAME=FAT:RGQ_ENTRPR_VAL_MV_SOURCE_WINDOW.FAT&amp;VAR:ID1=BRSI&amp;VAR:SDATE=20100721&amp;VAR:FDATE=20080930&amp;VAR:FREQ=DAILY&amp;VAR:RELITEM=&amp;VAR:CURRENCY=&amp;VAR:DB_TYPE=&amp;VAR:UNITS=M&amp;VAR:SHS_OUT_TY","PE=&amp;window=popup&amp;width=535&amp;height=425&amp;START_MAXIMIZED=FALSE&amp;Y=120"}</definedName>
    <definedName name="_49_0__123Graph_A商" hidden="1">#REF!</definedName>
    <definedName name="_490__FDSAUDITLINK__" hidden="1">{"fdsup://directions/FAT Viewer?action=UPDATE&amp;creator=factSet&amp;DYN_ARGS=true&amp;DOC_NAME=FAT:RGQ_ENTRPR_VAL_MV_SOURCE_WINDOW.FAT&amp;VAR:ID1=MOG.A&amp;VAR:SDATE=20091019&amp;VAR:FDATE=20090630&amp;VAR:FREQ=DAILY&amp;VAR:RELITEM=&amp;VAR:CURRENCY=&amp;VAR:DB_TYPE=&amp;VAR:UNITS=M&amp;VAR:SHS_OUT_T","YPE=&amp;window=popup&amp;width=535&amp;height=425&amp;START_MAXIMIZED=FALSE&amp;Y=120"}</definedName>
    <definedName name="_491__FDSAUDITLINK__" hidden="1">{"fdsup://directions/FAT Viewer?action=UPDATE&amp;creator=factSet&amp;DYN_ARGS=true&amp;DOC_NAME=FAT:RGQ_ENTRPR_VAL_MV_SOURCE_WINDOW.FAT&amp;VAR:ID1=CW&amp;VAR:SDATE=20091019&amp;VAR:FDATE=20090630&amp;VAR:FREQ=DAILY&amp;VAR:RELITEM=&amp;VAR:CURRENCY=&amp;VAR:DB_TYPE=&amp;VAR:UNITS=M&amp;VAR:SHS_OUT_TYPE","=&amp;window=popup&amp;width=535&amp;height=425&amp;START_MAXIMIZED=FALSE&amp;Y=120"}</definedName>
    <definedName name="_492__FDSAUDITLINK__" hidden="1">{"fdsup://directions/FAT Viewer?action=UPDATE&amp;creator=factSet&amp;DYN_ARGS=true&amp;DOC_NAME=FAT:RGQ_ENTRPR_VAL_MV_SOURCE_WINDOW.FAT&amp;VAR:ID1=CW&amp;VAR:SDATE=20091019&amp;VAR:FDATE=20090630&amp;VAR:FREQ=DAILY&amp;VAR:RELITEM=&amp;VAR:CURRENCY=&amp;VAR:DB_TYPE=&amp;VAR:UNITS=M&amp;VAR:SHS_OUT_TYPE","=&amp;window=popup&amp;width=535&amp;height=425&amp;START_MAXIMIZED=FALSE&amp;Y=120"}</definedName>
    <definedName name="_493__FDSAUDITLINK__" hidden="1">{"fdsup://directions/FAT Viewer?action=UPDATE&amp;creator=factset&amp;DYN_ARGS=TRUE&amp;DOC_NAME=FAT:FQL_AUDITING_CLIENT_TEMPLATE.FAT&amp;display_string=Audit&amp;VAR:KEY=ELKBIRWJGP&amp;VAR:QUERY=UkdGX1BGRF9TVEsoQU5OLDAsLCwsVVNEKQ==&amp;WINDOW=FIRST_POPUP&amp;HEIGHT=450&amp;WIDTH=450&amp;START_MA","XIMIZED=FALSE&amp;VAR:CALENDAR=US&amp;VAR:SYMBOL=656099&amp;VAR:INDEX=0"}</definedName>
    <definedName name="_494__FDSAUDITLINK__" hidden="1">{"fdsup://IBCentral/FAT Viewer?action=UPDATE&amp;creator=factset&amp;DOC_NAME=fat:reuters_annual_source_window.fat&amp;display_string=Audit&amp;DYN_ARGS=TRUE&amp;VAR:ID1=656099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656099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496__FDSAUDITLINK__" hidden="1">{"fdsup://directions/FAT Viewer?action=UPDATE&amp;creator=factset&amp;DYN_ARGS=TRUE&amp;DOC_NAME=FAT:FQL_AUDITING_CLIENT_TEMPLATE.FAT&amp;display_string=Audit&amp;VAR:KEY=KPKZUBSNGX&amp;VAR:QUERY=UkdGX1BGRF9TVEsoQU5OLDAsLCwsVVNEKQ==&amp;WINDOW=FIRST_POPUP&amp;HEIGHT=450&amp;WIDTH=450&amp;START_MA","XIMIZED=FALSE&amp;VAR:CALENDAR=US&amp;VAR:SYMBOL=H2701310&amp;VAR:INDEX=0"}</definedName>
    <definedName name="_497__FDSAUDITLINK__" hidden="1">{"fdsup://directions/FAT Viewer?action=UPDATE&amp;creator=factset&amp;DYN_ARGS=TRUE&amp;DOC_NAME=FAT:FQL_AUDITING_CLIENT_TEMPLATE.FAT&amp;display_string=Audit&amp;VAR:KEY=KPKZUBSNGX&amp;VAR:QUERY=UkdGX1BGRF9TVEsoQU5OLDAsLCwsVVNEKQ==&amp;WINDOW=FIRST_POPUP&amp;HEIGHT=450&amp;WIDTH=450&amp;START_MA","XIMIZED=FALSE&amp;VAR:CALENDAR=US&amp;VAR:SYMBOL=H2701310&amp;VAR:INDEX=0"}</definedName>
    <definedName name="_498__FDSAUDITLINK__" hidden="1">{"fdsup://IBCentral/FAT Viewer?action=UPDATE&amp;creator=factset&amp;DOC_NAME=fat:reuters_qtrly_source_window.fat&amp;display_string=Audit&amp;DYN_ARGS=TRUE&amp;VAR:ID1=H2701310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499__FDSAUDITLINK__" hidden="1">{"fdsup://IBCentral/FAT Viewer?action=UPDATE&amp;creator=factset&amp;DOC_NAME=fat:reuters_qtrly_source_window.fat&amp;display_string=Audit&amp;DYN_ARGS=TRUE&amp;VAR:ID1=H2701310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49P6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B2_">#N/A</definedName>
    <definedName name="_4M_Fenster_.Datensatz_einfügen">#REF!</definedName>
    <definedName name="_4M_Fenster_.KSBASISDATEN">#N/A</definedName>
    <definedName name="_5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5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5_______0__123Graph_B総" hidden="1">#REF!</definedName>
    <definedName name="_5___123Graph_CCHART_3" hidden="1">#REF!</definedName>
    <definedName name="_5__123Graph_A????_2" hidden="1">#REF!</definedName>
    <definedName name="_5__123Graph_A????_5" hidden="1">#REF!</definedName>
    <definedName name="_5__123Graph_AHORES_EXTRES" hidden="1">#REF!</definedName>
    <definedName name="_5__123Graph_AINTR_PINT" hidden="1">#REF!</definedName>
    <definedName name="_5__123Graph_Aｸﾞﾗﾌ_5" hidden="1">#REF!</definedName>
    <definedName name="_5__123Graph_ECHART_1A" hidden="1">#REF!</definedName>
    <definedName name="_5__FDSAUDITLINK__" hidden="1">{"fdsup://IBCentral/FAT Viewer?action=UPDATE&amp;creator=factset&amp;DOC_NAME=fat:reuters_annual_source_window.fat&amp;display_string=Audit&amp;DYN_ARGS=TRUE&amp;VAR:ID1=85450210&amp;VAR:RCODE=FIBCEBITDA&amp;VAR:SDATE=20091299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5_0__123Grap" hidden="1">#REF!</definedName>
    <definedName name="_5_0_F" hidden="1">#REF!</definedName>
    <definedName name="_5_123Graph_B乗" hidden="1">#REF!</definedName>
    <definedName name="_50__123Graph_BTOTAL_DIRECTOS" hidden="1">#REF!</definedName>
    <definedName name="_50__FDSAUDITLINK__" hidden="1">{"fdsup://directions/FAT Viewer?action=UPDATE&amp;creator=factSet&amp;DYN_ARGS=true&amp;DOC_NAME=FAT:RGQ_ENTRPR_VAL_MV_SOURCE_WINDOW.FAT&amp;VAR:ID1=BRSI&amp;VAR:SDATE=20100721&amp;VAR:FDATE=20080930&amp;VAR:FREQ=DAILY&amp;VAR:RELITEM=&amp;VAR:CURRENCY=&amp;VAR:DB_TYPE=&amp;VAR:UNITS=M&amp;VAR:SHS_OUT_TY","PE=&amp;window=popup&amp;width=535&amp;height=425&amp;START_MAXIMIZED=FALSE&amp;Y=120"}</definedName>
    <definedName name="_50_0__123Graph_A商" hidden="1">#REF!</definedName>
    <definedName name="_50_123Graph_D乗" hidden="1">#REF!</definedName>
    <definedName name="_500__FDSAUDITLINK__" hidden="1">{"fdsup://IBCentral/FAT Viewer?action=UPDATE&amp;creator=factset&amp;DOC_NAME=fat:reuters_qtrly_source_window.fat&amp;display_string=Audit&amp;DYN_ARGS=TRUE&amp;VAR:ID1=H2701310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01__FDSAUDITLINK__" hidden="1">{"fdsup://directions/FAT Viewer?action=UPDATE&amp;creator=factset&amp;DYN_ARGS=TRUE&amp;DOC_NAME=FAT:FQL_AUDITING_CLIENT_TEMPLATE.FAT&amp;display_string=Audit&amp;VAR:KEY=OJCHUNCLCZ&amp;VAR:QUERY=UkdGX1BGRF9TVEsoQU5OLDAsLCwsVVNEKQ==&amp;WINDOW=FIRST_POPUP&amp;HEIGHT=450&amp;WIDTH=450&amp;START_MA","XIMIZED=FALSE&amp;VAR:CALENDAR=US&amp;VAR:SYMBOL=63707110&amp;VAR:INDEX=0"}</definedName>
    <definedName name="_502__FDSAUDITLINK__" hidden="1">{"fdsup://directions/FAT Viewer?action=UPDATE&amp;creator=factset&amp;DYN_ARGS=TRUE&amp;DOC_NAME=FAT:FQL_AUDITING_CLIENT_TEMPLATE.FAT&amp;display_string=Audit&amp;VAR:KEY=OJCHUNCLCZ&amp;VAR:QUERY=UkdGX1BGRF9TVEsoQU5OLDAsLCwsVVNEKQ==&amp;WINDOW=FIRST_POPUP&amp;HEIGHT=450&amp;WIDTH=450&amp;START_MA","XIMIZED=FALSE&amp;VAR:CALENDAR=US&amp;VAR:SYMBOL=63707110&amp;VAR:INDEX=0"}</definedName>
    <definedName name="_503__FDSAUDITLINK__" hidden="1">{"fdsup://IBCentral/FAT Viewer?action=UPDATE&amp;creator=factset&amp;DOC_NAME=fat:reuters_qtrly_source_window.fat&amp;display_string=Audit&amp;DYN_ARGS=TRUE&amp;VAR:ID1=63707110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04__FDSAUDITLINK__" hidden="1">{"fdsup://IBCentral/FAT Viewer?action=UPDATE&amp;creator=factset&amp;DOC_NAME=fat:reuters_qtrly_source_window.fat&amp;display_string=Audit&amp;DYN_ARGS=TRUE&amp;VAR:ID1=63707110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05__FDSAUDITLINK__" hidden="1">{"fdsup://IBCentral/FAT Viewer?action=UPDATE&amp;creator=factset&amp;DOC_NAME=fat:reuters_qtrly_source_window.fat&amp;display_string=Audit&amp;DYN_ARGS=TRUE&amp;VAR:ID1=63707110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06__FDSAUDITLINK__" hidden="1">{"fdsup://directions/FAT Viewer?action=UPDATE&amp;creator=factset&amp;DYN_ARGS=TRUE&amp;DOC_NAME=FAT:FQL_AUDITING_CLIENT_TEMPLATE.FAT&amp;display_string=Audit&amp;VAR:KEY=WZGJUJIHGJ&amp;VAR:QUERY=UkdGX1BGRF9TVEsoQU5OLDAsLCwsVVNEKQ==&amp;WINDOW=FIRST_POPUP&amp;HEIGHT=450&amp;WIDTH=450&amp;START_MA","XIMIZED=FALSE&amp;VAR:CALENDAR=US&amp;VAR:SYMBOL=40621610&amp;VAR:INDEX=0"}</definedName>
    <definedName name="_507__FDSAUDITLINK__" hidden="1">{"fdsup://directions/FAT Viewer?action=UPDATE&amp;creator=factset&amp;DYN_ARGS=TRUE&amp;DOC_NAME=FAT:FQL_AUDITING_CLIENT_TEMPLATE.FAT&amp;display_string=Audit&amp;VAR:KEY=WZGJUJIHGJ&amp;VAR:QUERY=UkdGX1BGRF9TVEsoQU5OLDAsLCwsVVNEKQ==&amp;WINDOW=FIRST_POPUP&amp;HEIGHT=450&amp;WIDTH=450&amp;START_MA","XIMIZED=FALSE&amp;VAR:CALENDAR=US&amp;VAR:SYMBOL=40621610&amp;VAR:INDEX=0"}</definedName>
    <definedName name="_508__FDSAUDITLINK__" hidden="1">{"fdsup://IBCentral/FAT Viewer?action=UPDATE&amp;creator=factset&amp;DOC_NAME=fat:reuters_qtrly_source_window.fat&amp;display_string=Audit&amp;DYN_ARGS=TRUE&amp;VAR:ID1=40621610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09__FDSAUDITLINK__" hidden="1">{"fdsup://IBCentral/FAT Viewer?action=UPDATE&amp;creator=factset&amp;DOC_NAME=fat:reuters_qtrly_source_window.fat&amp;display_string=Audit&amp;DYN_ARGS=TRUE&amp;VAR:ID1=40621610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1__123Graph_Aｸﾞﾗﾌ_1" hidden="1">#REF!</definedName>
    <definedName name="_51__123Graph_Aｸﾞﾗﾌ_4" hidden="1">#REF!</definedName>
    <definedName name="_51__FDSAUDITLINK__" hidden="1">{"fdsup://directions/FAT Viewer?action=UPDATE&amp;creator=factSet&amp;DYN_ARGS=true&amp;DOC_NAME=FAT:RGQ_ENTRPR_VAL_MV_SOURCE_WINDOW.FAT&amp;VAR:ID1=AAII&amp;VAR:SDATE=20100721&amp;VAR:FDATE=20090930&amp;VAR:FREQ=DAILY&amp;VAR:RELITEM=&amp;VAR:CURRENCY=&amp;VAR:DB_TYPE=&amp;VAR:UNITS=M&amp;VAR:SHS_OUT_TY","PE=&amp;window=popup&amp;width=535&amp;height=425&amp;START_MAXIMIZED=FALSE&amp;Y=120"}</definedName>
    <definedName name="_51_0__123Graph_B乗" hidden="1">#REF!</definedName>
    <definedName name="_51_123Graph_D商" hidden="1">#REF!</definedName>
    <definedName name="_510__FDSAUDITLINK__" hidden="1">{"fdsup://IBCentral/FAT Viewer?action=UPDATE&amp;creator=factset&amp;DOC_NAME=fat:reuters_qtrly_source_window.fat&amp;display_string=Audit&amp;DYN_ARGS=TRUE&amp;VAR:ID1=40621610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11__FDSAUDITLINK__" hidden="1">{"fdsup://directions/FAT Viewer?action=UPDATE&amp;creator=factset&amp;DYN_ARGS=TRUE&amp;DOC_NAME=FAT:FQL_AUDITING_CLIENT_TEMPLATE.FAT&amp;display_string=Audit&amp;VAR:KEY=QXUZMJEFON&amp;VAR:QUERY=UkdGX1BGRF9TVEsoQU5OLDAsLCwsVVNEKQ==&amp;WINDOW=FIRST_POPUP&amp;HEIGHT=450&amp;WIDTH=450&amp;START_MA","XIMIZED=FALSE&amp;VAR:CALENDAR=US&amp;VAR:SYMBOL=36960410&amp;VAR:INDEX=0"}</definedName>
    <definedName name="_512__FDSAUDITLINK__" hidden="1">{"fdsup://directions/FAT Viewer?action=UPDATE&amp;creator=factset&amp;DYN_ARGS=TRUE&amp;DOC_NAME=FAT:FQL_AUDITING_CLIENT_TEMPLATE.FAT&amp;display_string=Audit&amp;VAR:KEY=QXUZMJEFON&amp;VAR:QUERY=UkdGX1BGRF9TVEsoQU5OLDAsLCwsVVNEKQ==&amp;WINDOW=FIRST_POPUP&amp;HEIGHT=450&amp;WIDTH=450&amp;START_MA","XIMIZED=FALSE&amp;VAR:CALENDAR=US&amp;VAR:SYMBOL=36960410&amp;VAR:INDEX=0"}</definedName>
    <definedName name="_513__FDSAUDITLINK__" hidden="1">{"fdsup://directions/FAT Viewer?action=UPDATE&amp;creator=factset&amp;DYN_ARGS=TRUE&amp;DOC_NAME=FAT:FQL_AUDITING_CLIENT_TEMPLATE.FAT&amp;display_string=Audit&amp;VAR:KEY=QXUZMJEFON&amp;VAR:QUERY=UkdGX1BGRF9TVEsoQU5OLDAsLCwsVVNEKQ==&amp;WINDOW=FIRST_POPUP&amp;HEIGHT=450&amp;WIDTH=450&amp;START_MA","XIMIZED=FALSE&amp;VAR:CALENDAR=US&amp;VAR:SYMBOL=36960410&amp;VAR:INDEX=0"}</definedName>
    <definedName name="_514__FDSAUDITLINK__" hidden="1">{"fdsup://directions/FAT Viewer?action=UPDATE&amp;creator=factset&amp;DYN_ARGS=TRUE&amp;DOC_NAME=FAT:FQL_AUDITING_CLIENT_TEMPLATE.FAT&amp;display_string=Audit&amp;VAR:KEY=QXUZMJEFON&amp;VAR:QUERY=UkdGX1BGRF9TVEsoQU5OLDAsLCwsVVNEKQ==&amp;WINDOW=FIRST_POPUP&amp;HEIGHT=450&amp;WIDTH=450&amp;START_MA","XIMIZED=FALSE&amp;VAR:CALENDAR=US&amp;VAR:SYMBOL=36960410&amp;VAR:INDEX=0"}</definedName>
    <definedName name="_515__FDSAUDITLINK__" hidden="1">{"fdsup://IBCentral/FAT Viewer?action=UPDATE&amp;creator=factset&amp;DOC_NAME=fat:reuters_qtrly_source_window.fat&amp;display_string=Audit&amp;DYN_ARGS=TRUE&amp;VAR:ID1=36960410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16__FDSAUDITLINK__" hidden="1">{"fdsup://IBCentral/FAT Viewer?action=UPDATE&amp;creator=factset&amp;DOC_NAME=fat:reuters_qtrly_source_window.fat&amp;display_string=Audit&amp;DYN_ARGS=TRUE&amp;VAR:ID1=36960410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17__FDSAUDITLINK__" hidden="1">{"fdsup://IBCentral/FAT Viewer?action=UPDATE&amp;creator=factset&amp;DOC_NAME=fat:reuters_qtrly_source_window.fat&amp;display_string=Audit&amp;DYN_ARGS=TRUE&amp;VAR:ID1=36960410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18__FDSAUDITLINK__" hidden="1">{"fdsup://IBCentral/FAT Viewer?action=UPDATE&amp;creator=factset&amp;DOC_NAME=fat:reuters_qtrly_source_window.fat&amp;display_string=Audit&amp;DYN_ARGS=TRUE&amp;VAR:ID1=74966010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19__FDSAUDITLINK__" hidden="1">{"fdsup://IBCentral/FAT Viewer?action=UPDATE&amp;creator=factset&amp;DOC_NAME=fat:reuters_qtrly_source_window.fat&amp;display_string=Audit&amp;DYN_ARGS=TRUE&amp;VAR:ID1=74966010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2__FDSAUDITLINK__" hidden="1">{"fdsup://directions/FAT Viewer?action=UPDATE&amp;creator=factSet&amp;DYN_ARGS=true&amp;DOC_NAME=FAT:RGQ_ENTRPR_VAL_MV_SOURCE_WINDOW.FAT&amp;VAR:ID1=AAII&amp;VAR:SDATE=20100721&amp;VAR:FDATE=20090930&amp;VAR:FREQ=DAILY&amp;VAR:RELITEM=&amp;VAR:CURRENCY=&amp;VAR:DB_TYPE=&amp;VAR:UNITS=M&amp;VAR:SHS_OUT_TY","PE=&amp;window=popup&amp;width=535&amp;height=425&amp;START_MAXIMIZED=FALSE&amp;Y=120"}</definedName>
    <definedName name="_52_0__123Graph_B乗" hidden="1">#REF!</definedName>
    <definedName name="_52_123Graph_D総" hidden="1">#REF!</definedName>
    <definedName name="_520__FDSAUDITLINK__" hidden="1">{"fdsup://directions/FAT Viewer?action=UPDATE&amp;creator=factset&amp;DYN_ARGS=TRUE&amp;DOC_NAME=FAT:FQL_AUDITING_CLIENT_TEMPLATE.FAT&amp;display_string=Audit&amp;VAR:KEY=CVSVQBQVKT&amp;VAR:QUERY=UkdGX1BGRF9TVEsoUVRSLDAsLCwsVVNEKQ==&amp;WINDOW=FIRST_POPUP&amp;HEIGHT=450&amp;WIDTH=450&amp;START_MA","XIMIZED=FALSE&amp;VAR:CALENDAR=US&amp;VAR:SYMBOL=LAYN&amp;VAR:INDEX=0"}</definedName>
    <definedName name="_521__FDSAUDITLINK__" hidden="1">{"fdsup://directions/FAT Viewer?action=UPDATE&amp;creator=factset&amp;DYN_ARGS=TRUE&amp;DOC_NAME=FAT:FQL_AUDITING_CLIENT_TEMPLATE.FAT&amp;display_string=Audit&amp;VAR:KEY=CVSVQBQVKT&amp;VAR:QUERY=UkdGX1BGRF9TVEsoUVRSLDAsLCwsVVNEKQ==&amp;WINDOW=FIRST_POPUP&amp;HEIGHT=450&amp;WIDTH=450&amp;START_MA","XIMIZED=FALSE&amp;VAR:CALENDAR=US&amp;VAR:SYMBOL=LAYN&amp;VAR:INDEX=0"}</definedName>
    <definedName name="_522__FDSAUDITLINK__" hidden="1">{"fdsup://IBCentral/FAT Viewer?action=UPDATE&amp;creator=factset&amp;DOC_NAME=fat:reuters_qtrly_source_window.fat&amp;display_string=Audit&amp;DYN_ARGS=TRUE&amp;VAR:ID1=52105010&amp;VAR:RCODE=STLD&amp;VAR:SDATE=20110499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23__FDSAUDITLINK__" hidden="1">{"fdsup://IBCentral/FAT Viewer?action=UPDATE&amp;creator=factset&amp;DOC_NAME=fat:reuters_qtrly_source_window.fat&amp;display_string=Audit&amp;DYN_ARGS=TRUE&amp;VAR:ID1=52105010&amp;VAR:RCODE=STLD&amp;VAR:SDATE=20110499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24__FDSAUDITLINK__" hidden="1">{"fdsup://IBCentral/FAT Viewer?action=UPDATE&amp;creator=factset&amp;DOC_NAME=fat:reuters_qtrly_source_window.fat&amp;display_string=Audit&amp;DYN_ARGS=TRUE&amp;VAR:ID1=52105010&amp;VAR:RCODE=STLD&amp;VAR:SDATE=20110499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25__FDSAUDITLINK__" hidden="1">{"fdsup://directions/FAT Viewer?action=UPDATE&amp;creator=factset&amp;DYN_ARGS=TRUE&amp;DOC_NAME=FAT:FQL_AUDITING_CLIENT_TEMPLATE.FAT&amp;display_string=Audit&amp;VAR:KEY=ONABGHEDYB&amp;VAR:QUERY=UkdGX1BGRF9TVEsoUVRSLDAsLCwsVVNEKQ==&amp;WINDOW=FIRST_POPUP&amp;HEIGHT=450&amp;WIDTH=450&amp;START_MA","XIMIZED=FALSE&amp;VAR:CALENDAR=US&amp;VAR:SYMBOL=JOYG&amp;VAR:INDEX=0"}</definedName>
    <definedName name="_526__FDSAUDITLINK__" hidden="1">{"fdsup://directions/FAT Viewer?action=UPDATE&amp;creator=factset&amp;DYN_ARGS=TRUE&amp;DOC_NAME=FAT:FQL_AUDITING_CLIENT_TEMPLATE.FAT&amp;display_string=Audit&amp;VAR:KEY=ONABGHEDYB&amp;VAR:QUERY=UkdGX1BGRF9TVEsoUVRSLDAsLCwsVVNEKQ==&amp;WINDOW=FIRST_POPUP&amp;HEIGHT=450&amp;WIDTH=450&amp;START_MA","XIMIZED=FALSE&amp;VAR:CALENDAR=US&amp;VAR:SYMBOL=JOYG&amp;VAR:INDEX=0"}</definedName>
    <definedName name="_527__FDSAUDITLINK__" hidden="1">{"fdsup://IBCentral/FAT Viewer?action=UPDATE&amp;creator=factset&amp;DOC_NAME=fat:reuters_qtrly_source_window.fat&amp;display_string=Audit&amp;DYN_ARGS=TRUE&amp;VAR:ID1=48116510&amp;VAR:RCODE=STLD&amp;VAR:SDATE=20110499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28__FDSAUDITLINK__" hidden="1">{"fdsup://IBCentral/FAT Viewer?action=UPDATE&amp;creator=factset&amp;DOC_NAME=fat:reuters_qtrly_source_window.fat&amp;display_string=Audit&amp;DYN_ARGS=TRUE&amp;VAR:ID1=48116510&amp;VAR:RCODE=STLD&amp;VAR:SDATE=20110499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29__FDSAUDITLINK__" hidden="1">{"fdsup://IBCentral/FAT Viewer?action=UPDATE&amp;creator=factset&amp;DOC_NAME=fat:reuters_qtrly_source_window.fat&amp;display_string=Audit&amp;DYN_ARGS=TRUE&amp;VAR:ID1=48116510&amp;VAR:RCODE=STLD&amp;VAR:SDATE=20110499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29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53__123Graph_Aｸﾞﾗﾌ_4" hidden="1">#REF!</definedName>
    <definedName name="_53__FDSAUDITLINK__" hidden="1">{"fdsup://directions/FAT Viewer?action=UPDATE&amp;creator=factSet&amp;DYN_ARGS=true&amp;DOC_NAME=FAT:RGQ_ENTRPR_VAL_MV_SOURCE_WINDOW.FAT&amp;VAR:ID1=GIGA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53_0__123Graph_B乗" hidden="1">#REF!</definedName>
    <definedName name="_53_123Graph_E乗" hidden="1">#REF!</definedName>
    <definedName name="_530__FDSAUDITLINK__" hidden="1">{"fdsup://directions/FAT Viewer?action=UPDATE&amp;creator=factset&amp;DYN_ARGS=TRUE&amp;DOC_NAME=FAT:FQL_AUDITING_CLIENT_TEMPLATE.FAT&amp;display_string=Audit&amp;VAR:KEY=AXEDKRIROF&amp;VAR:QUERY=UkdGX1BGRF9TVEsoUVRSLDAsLCwsVVNEKQ==&amp;WINDOW=FIRST_POPUP&amp;HEIGHT=450&amp;WIDTH=450&amp;START_MA","XIMIZED=FALSE&amp;VAR:CALENDAR=US&amp;VAR:SYMBOL=45167R10&amp;VAR:INDEX=0"}</definedName>
    <definedName name="_531__FDSAUDITLINK__" hidden="1">{"fdsup://directions/FAT Viewer?action=UPDATE&amp;creator=factset&amp;DYN_ARGS=TRUE&amp;DOC_NAME=FAT:FQL_AUDITING_CLIENT_TEMPLATE.FAT&amp;display_string=Audit&amp;VAR:KEY=AXEDKRIROF&amp;VAR:QUERY=UkdGX1BGRF9TVEsoUVRSLDAsLCwsVVNEKQ==&amp;WINDOW=FIRST_POPUP&amp;HEIGHT=450&amp;WIDTH=450&amp;START_MA","XIMIZED=FALSE&amp;VAR:CALENDAR=US&amp;VAR:SYMBOL=45167R10&amp;VAR:INDEX=0"}</definedName>
    <definedName name="_532__FDSAUDITLINK__" hidden="1">{"fdsup://IBCentral/FAT Viewer?action=UPDATE&amp;creator=factset&amp;DOC_NAME=fat:reuters_qtrly_source_window.fat&amp;display_string=Audit&amp;DYN_ARGS=TRUE&amp;VAR:ID1=45167R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33__FDSAUDITLINK__" hidden="1">{"fdsup://IBCentral/FAT Viewer?action=UPDATE&amp;creator=factset&amp;DOC_NAME=fat:reuters_qtrly_source_window.fat&amp;display_string=Audit&amp;DYN_ARGS=TRUE&amp;VAR:ID1=45167R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34__FDSAUDITLINK__" hidden="1">{"fdsup://IBCentral/FAT Viewer?action=UPDATE&amp;creator=factset&amp;DOC_NAME=fat:reuters_qtrly_source_window.fat&amp;display_string=Audit&amp;DYN_ARGS=TRUE&amp;VAR:ID1=45167R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35__FDSAUDITLINK__" hidden="1">{"fdsup://directions/FAT Viewer?action=UPDATE&amp;creator=factset&amp;DYN_ARGS=TRUE&amp;DOC_NAME=FAT:FQL_AUDITING_CLIENT_TEMPLATE.FAT&amp;display_string=Audit&amp;VAR:KEY=UVEZMZQXAR&amp;VAR:QUERY=UkdGX1BGRF9TVEsoUVRSLDAsLCwsVVNEKQ==&amp;WINDOW=FIRST_POPUP&amp;HEIGHT=450&amp;WIDTH=450&amp;START_MA","XIMIZED=FALSE&amp;VAR:CALENDAR=US&amp;VAR:SYMBOL=044788&amp;VAR:INDEX=0"}</definedName>
    <definedName name="_536__FDSAUDITLINK__" hidden="1">{"fdsup://directions/FAT Viewer?action=UPDATE&amp;creator=factset&amp;DYN_ARGS=TRUE&amp;DOC_NAME=FAT:FQL_AUDITING_CLIENT_TEMPLATE.FAT&amp;display_string=Audit&amp;VAR:KEY=UVEZMZQXAR&amp;VAR:QUERY=UkdGX1BGRF9TVEsoUVRSLDAsLCwsVVNEKQ==&amp;WINDOW=FIRST_POPUP&amp;HEIGHT=450&amp;WIDTH=450&amp;START_MA","XIMIZED=FALSE&amp;VAR:CALENDAR=US&amp;VAR:SYMBOL=044788&amp;VAR:INDEX=0"}</definedName>
    <definedName name="_537__FDSAUDITLINK__" hidden="1">{"fdsup://IBCentral/FAT Viewer?action=UPDATE&amp;creator=factset&amp;DOC_NAME=fat:reuters_annual_source_window.fat&amp;display_string=Audit&amp;DYN_ARGS=TRUE&amp;VAR:ID1=044788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538__FDSAUDITLINK__" hidden="1">{"fdsup://IBCentral/FAT Viewer?action=UPDATE&amp;creator=factset&amp;DOC_NAME=fat:reuters_annual_source_window.fat&amp;display_string=Audit&amp;DYN_ARGS=TRUE&amp;VAR:ID1=044788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539__FDSAUDITLINK__" hidden="1">{"fdsup://directions/FAT Viewer?action=UPDATE&amp;creator=factset&amp;DYN_ARGS=TRUE&amp;DOC_NAME=FAT:FQL_AUDITING_CLIENT_TEMPLATE.FAT&amp;display_string=Audit&amp;VAR:KEY=ONAXYLAVYP&amp;VAR:QUERY=UkdGX1BGRF9TVEsoUVRSLDAsLCwsVVNEKQ==&amp;WINDOW=FIRST_POPUP&amp;HEIGHT=450&amp;WIDTH=450&amp;START_MA","XIMIZED=FALSE&amp;VAR:CALENDAR=US&amp;VAR:SYMBOL=ATU&amp;VAR:INDEX=0"}</definedName>
    <definedName name="_54__FDSAUDITLINK__" hidden="1">{"fdsup://directions/FAT Viewer?action=UPDATE&amp;creator=factSet&amp;DYN_ARGS=true&amp;DOC_NAME=FAT:RGQ_ENTRPR_VAL_MV_SOURCE_WINDOW.FAT&amp;VAR:ID1=GIGA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54_0__123Graph_B乗" hidden="1">#REF!</definedName>
    <definedName name="_54_123Graph_E商" hidden="1">#REF!</definedName>
    <definedName name="_540__FDSAUDITLINK__" hidden="1">{"fdsup://directions/FAT Viewer?action=UPDATE&amp;creator=factset&amp;DYN_ARGS=TRUE&amp;DOC_NAME=FAT:FQL_AUDITING_CLIENT_TEMPLATE.FAT&amp;display_string=Audit&amp;VAR:KEY=ONAXYLAVYP&amp;VAR:QUERY=UkdGX1BGRF9TVEsoUVRSLDAsLCwsVVNEKQ==&amp;WINDOW=FIRST_POPUP&amp;HEIGHT=450&amp;WIDTH=450&amp;START_MA","XIMIZED=FALSE&amp;VAR:CALENDAR=US&amp;VAR:SYMBOL=ATU&amp;VAR:INDEX=0"}</definedName>
    <definedName name="_541__FDSAUDITLINK__" hidden="1">{"fdsup://IBCentral/FAT Viewer?action=UPDATE&amp;creator=factset&amp;DOC_NAME=fat:reuters_qtrly_source_window.fat&amp;display_string=Audit&amp;DYN_ARGS=TRUE&amp;VAR:ID1=00508X20&amp;VAR:RCODE=STLD&amp;VAR:SDATE=20110599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00508X20&amp;VAR:RCODE=STLD&amp;VAR:SDATE=20110599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00508X20&amp;VAR:RCODE=STLD&amp;VAR:SDATE=20110599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44__FDSAUDITLINK__" hidden="1">{"fdsup://directions/FAT Viewer?action=UPDATE&amp;creator=factset&amp;DYN_ARGS=TRUE&amp;DOC_NAME=FAT:FQL_AUDITING_CLIENT_TEMPLATE.FAT&amp;display_string=Audit&amp;VAR:KEY=MTWLCJMBQB&amp;VAR:QUERY=UkdGX1BGRF9TVEsoUVRSLDAsLCwsVVNEKQ==&amp;WINDOW=FIRST_POPUP&amp;HEIGHT=450&amp;WIDTH=450&amp;START_MA","XIMIZED=FALSE&amp;VAR:CALENDAR=US&amp;VAR:SYMBOL=094658&amp;VAR:INDEX=0"}</definedName>
    <definedName name="_545__FDSAUDITLINK__" hidden="1">{"fdsup://directions/FAT Viewer?action=UPDATE&amp;creator=factset&amp;DYN_ARGS=TRUE&amp;DOC_NAME=FAT:FQL_AUDITING_CLIENT_TEMPLATE.FAT&amp;display_string=Audit&amp;VAR:KEY=MTWLCJMBQB&amp;VAR:QUERY=UkdGX1BGRF9TVEsoUVRSLDAsLCwsVVNEKQ==&amp;WINDOW=FIRST_POPUP&amp;HEIGHT=450&amp;WIDTH=450&amp;START_MA","XIMIZED=FALSE&amp;VAR:CALENDAR=US&amp;VAR:SYMBOL=094658&amp;VAR:INDEX=0"}</definedName>
    <definedName name="_546__FDSAUDITLINK__" hidden="1">{"fdsup://IBCentral/FAT Viewer?action=UPDATE&amp;creator=factset&amp;DOC_NAME=fat:reuters_annual_source_window.fat&amp;display_string=Audit&amp;DYN_ARGS=TRUE&amp;VAR:ID1=094658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547__FDSAUDITLINK__" hidden="1">{"fdsup://IBCentral/FAT Viewer?action=UPDATE&amp;creator=factset&amp;DOC_NAME=fat:reuters_annual_source_window.fat&amp;display_string=Audit&amp;DYN_ARGS=TRUE&amp;VAR:ID1=094658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548__FDSAUDITLINK__" hidden="1">{"fdsup://directions/FAT Viewer?action=UPDATE&amp;creator=factset&amp;DYN_ARGS=TRUE&amp;DOC_NAME=FAT:FQL_AUDITING_CLIENT_TEMPLATE.FAT&amp;display_string=Audit&amp;VAR:KEY=ITGFADQPQJ&amp;VAR:QUERY=UkdGX1BGRF9TVEsoUVRSLDAsLCwsVVNEKQ==&amp;WINDOW=FIRST_POPUP&amp;HEIGHT=450&amp;WIDTH=450&amp;START_MA","XIMIZED=FALSE&amp;VAR:CALENDAR=US&amp;VAR:SYMBOL=B197DR&amp;VAR:INDEX=0"}</definedName>
    <definedName name="_549__FDSAUDITLINK__" hidden="1">{"fdsup://directions/FAT Viewer?action=UPDATE&amp;creator=factset&amp;DYN_ARGS=TRUE&amp;DOC_NAME=FAT:FQL_AUDITING_CLIENT_TEMPLATE.FAT&amp;display_string=Audit&amp;VAR:KEY=ITGFADQPQJ&amp;VAR:QUERY=UkdGX1BGRF9TVEsoUVRSLDAsLCwsVVNEKQ==&amp;WINDOW=FIRST_POPUP&amp;HEIGHT=450&amp;WIDTH=450&amp;START_MA","XIMIZED=FALSE&amp;VAR:CALENDAR=US&amp;VAR:SYMBOL=B197DR&amp;VAR:INDEX=0"}</definedName>
    <definedName name="_55__123Graph_LBL_AINTR_DIR" hidden="1">#REF!</definedName>
    <definedName name="_55__123Graph_X4X4W_G" hidden="1">#REF!</definedName>
    <definedName name="_55__FDSAUDITLINK__" hidden="1">{"fdsup://directions/FAT Viewer?action=UPDATE&amp;creator=factSet&amp;DYN_ARGS=true&amp;DOC_NAME=FAT:RGQ_ENTRPR_VAL_MV_SOURCE_WINDOW.FAT&amp;VAR:ID1=ESC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55_0__123Graph_B乗" hidden="1">#REF!</definedName>
    <definedName name="_550__FDSAUDITLINK__" hidden="1">{"fdsup://IBCentral/FAT Viewer?action=UPDATE&amp;creator=factset&amp;DOC_NAME=fat:reuters_annual_source_window.fat&amp;display_string=Audit&amp;DYN_ARGS=TRUE&amp;VAR:ID1=B197DR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551__FDSAUDITLINK__" hidden="1">{"fdsup://IBCentral/FAT Viewer?action=UPDATE&amp;creator=factset&amp;DOC_NAME=fat:reuters_annual_source_window.fat&amp;display_string=Audit&amp;DYN_ARGS=TRUE&amp;VAR:ID1=B197DR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5512">#REF!</definedName>
    <definedName name="_5513">#REF!</definedName>
    <definedName name="_5514">#REF!</definedName>
    <definedName name="_5515">#REF!</definedName>
    <definedName name="_5516">#REF!</definedName>
    <definedName name="_552__FDSAUDITLINK__" hidden="1">{"fdsup://directions/FAT Viewer?action=UPDATE&amp;creator=factset&amp;DYN_ARGS=TRUE&amp;DOC_NAME=FAT:FQL_AUDITING_CLIENT_TEMPLATE.FAT&amp;display_string=Audit&amp;VAR:KEY=QFKZSPWFON&amp;VAR:QUERY=UkdGX1BGRF9TVEsoUVRSLDAsLCwsVVNEKQ==&amp;WINDOW=FIRST_POPUP&amp;HEIGHT=450&amp;WIDTH=450&amp;START_MA","XIMIZED=FALSE&amp;VAR:CALENDAR=US&amp;VAR:SYMBOL=634922&amp;VAR:INDEX=0"}</definedName>
    <definedName name="_5520">#REF!</definedName>
    <definedName name="_5521">#REF!</definedName>
    <definedName name="_5522">#REF!</definedName>
    <definedName name="_5523">#REF!</definedName>
    <definedName name="_5524">#REF!</definedName>
    <definedName name="_5525">#REF!</definedName>
    <definedName name="_5526">#REF!</definedName>
    <definedName name="_5527">#REF!</definedName>
    <definedName name="_5528">#REF!</definedName>
    <definedName name="_5529">#REF!</definedName>
    <definedName name="_553__FDSAUDITLINK__" hidden="1">{"fdsup://directions/FAT Viewer?action=UPDATE&amp;creator=factset&amp;DYN_ARGS=TRUE&amp;DOC_NAME=FAT:FQL_AUDITING_CLIENT_TEMPLATE.FAT&amp;display_string=Audit&amp;VAR:KEY=QFKZSPWFON&amp;VAR:QUERY=UkdGX1BGRF9TVEsoUVRSLDAsLCwsVVNEKQ==&amp;WINDOW=FIRST_POPUP&amp;HEIGHT=450&amp;WIDTH=450&amp;START_MA","XIMIZED=FALSE&amp;VAR:CALENDAR=US&amp;VAR:SYMBOL=634922&amp;VAR:INDEX=0"}</definedName>
    <definedName name="_5530">#REF!</definedName>
    <definedName name="_554__FDSAUDITLINK__" hidden="1">{"fdsup://IBCentral/FAT Viewer?action=UPDATE&amp;creator=factset&amp;DOC_NAME=fat:reuters_annual_source_window.fat&amp;display_string=Audit&amp;DYN_ARGS=TRUE&amp;VAR:ID1=634922&amp;VAR:RCODE=STLD&amp;VAR:SDATE=20100699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555__FDSAUDITLINK__" hidden="1">{"fdsup://IBCentral/FAT Viewer?action=UPDATE&amp;creator=factset&amp;DOC_NAME=fat:reuters_annual_source_window.fat&amp;display_string=Audit&amp;DYN_ARGS=TRUE&amp;VAR:ID1=634922&amp;VAR:RCODE=STLD&amp;VAR:SDATE=20100699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556__FDSAUDITLINK__" hidden="1">{"fdsup://directions/FAT Viewer?action=UPDATE&amp;creator=factset&amp;DYN_ARGS=TRUE&amp;DOC_NAME=FAT:FQL_AUDITING_CLIENT_TEMPLATE.FAT&amp;display_string=Audit&amp;VAR:KEY=OPSLILUJEX&amp;VAR:QUERY=UkdGX1BGRF9TVEsoUVRSLDAsLCwsVVNEKQ==&amp;WINDOW=FIRST_POPUP&amp;HEIGHT=450&amp;WIDTH=450&amp;START_MA","XIMIZED=FALSE&amp;VAR:CALENDAR=US&amp;VAR:SYMBOL=88157K10&amp;VAR:INDEX=0"}</definedName>
    <definedName name="_557__FDSAUDITLINK__" hidden="1">{"fdsup://directions/FAT Viewer?action=UPDATE&amp;creator=factset&amp;DYN_ARGS=TRUE&amp;DOC_NAME=FAT:FQL_AUDITING_CLIENT_TEMPLATE.FAT&amp;display_string=Audit&amp;VAR:KEY=OPSLILUJEX&amp;VAR:QUERY=UkdGX1BGRF9TVEsoUVRSLDAsLCwsVVNEKQ==&amp;WINDOW=FIRST_POPUP&amp;HEIGHT=450&amp;WIDTH=450&amp;START_MA","XIMIZED=FALSE&amp;VAR:CALENDAR=US&amp;VAR:SYMBOL=88157K10&amp;VAR:INDEX=0"}</definedName>
    <definedName name="_558__FDSAUDITLINK__" hidden="1">{"fdsup://IBCentral/FAT Viewer?action=UPDATE&amp;creator=factset&amp;DOC_NAME=fat:reuters_qtrly_source_window.fat&amp;display_string=Audit&amp;DYN_ARGS=TRUE&amp;VAR:ID1=88157K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59__FDSAUDITLINK__" hidden="1">{"fdsup://IBCentral/FAT Viewer?action=UPDATE&amp;creator=factset&amp;DOC_NAME=fat:reuters_qtrly_source_window.fat&amp;display_string=Audit&amp;DYN_ARGS=TRUE&amp;VAR:ID1=88157K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6__FDSAUDITLINK__" hidden="1">{"fdsup://directions/FAT Viewer?action=UPDATE&amp;creator=factSet&amp;DYN_ARGS=true&amp;DOC_NAME=FAT:RGQ_ENTRPR_VAL_MV_SOURCE_WINDOW.FAT&amp;VAR:ID1=ESC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56_0__123Graph_B乗" hidden="1">#REF!</definedName>
    <definedName name="_56_123Graph_X乗" hidden="1">#REF!</definedName>
    <definedName name="_560__FDSAUDITLINK__" hidden="1">{"fdsup://IBCentral/FAT Viewer?action=UPDATE&amp;creator=factset&amp;DOC_NAME=fat:reuters_qtrly_source_window.fat&amp;display_string=Audit&amp;DYN_ARGS=TRUE&amp;VAR:ID1=88157K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61__FDSAUDITLINK__" hidden="1">{"fdsup://directions/FAT Viewer?action=UPDATE&amp;creator=factset&amp;DYN_ARGS=TRUE&amp;DOC_NAME=FAT:FQL_AUDITING_CLIENT_TEMPLATE.FAT&amp;display_string=Audit&amp;VAR:KEY=UZSZADCNIL&amp;VAR:QUERY=UkdGX1BGRF9TVEsoUVRSLDAsLCwsVVNEKQ==&amp;WINDOW=FIRST_POPUP&amp;HEIGHT=450&amp;WIDTH=450&amp;START_MA","XIMIZED=FALSE&amp;VAR:CALENDAR=US&amp;VAR:SYMBOL=753851&amp;VAR:INDEX=0"}</definedName>
    <definedName name="_562__FDSAUDITLINK__" hidden="1">{"fdsup://directions/FAT Viewer?action=UPDATE&amp;creator=factset&amp;DYN_ARGS=TRUE&amp;DOC_NAME=FAT:FQL_AUDITING_CLIENT_TEMPLATE.FAT&amp;display_string=Audit&amp;VAR:KEY=UZSZADCNIL&amp;VAR:QUERY=UkdGX1BGRF9TVEsoUVRSLDAsLCwsVVNEKQ==&amp;WINDOW=FIRST_POPUP&amp;HEIGHT=450&amp;WIDTH=450&amp;START_MA","XIMIZED=FALSE&amp;VAR:CALENDAR=US&amp;VAR:SYMBOL=753851&amp;VAR:INDEX=0"}</definedName>
    <definedName name="_563__FDSAUDITLINK__" hidden="1">{"fdsup://IBCentral/FAT Viewer?action=UPDATE&amp;creator=factset&amp;DOC_NAME=fat:reuters_qtrly_source_window.fat&amp;display_string=Audit&amp;DYN_ARGS=TRUE&amp;VAR:ID1=753851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64__FDSAUDITLINK__" hidden="1">{"fdsup://IBCentral/FAT Viewer?action=UPDATE&amp;creator=factset&amp;DOC_NAME=fat:reuters_qtrly_source_window.fat&amp;display_string=Audit&amp;DYN_ARGS=TRUE&amp;VAR:ID1=753851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65__FDSAUDITLINK__" hidden="1">{"fdsup://IBCentral/FAT Viewer?action=UPDATE&amp;creator=factset&amp;DOC_NAME=fat:reuters_qtrly_source_window.fat&amp;display_string=Audit&amp;DYN_ARGS=TRUE&amp;VAR:ID1=753851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66__FDSAUDITLINK__" hidden="1">{"fdsup://directions/FAT Viewer?action=UPDATE&amp;creator=factset&amp;DYN_ARGS=TRUE&amp;DOC_NAME=FAT:FQL_AUDITING_CLIENT_TEMPLATE.FAT&amp;display_string=Audit&amp;VAR:KEY=CDGJSVWTQZ&amp;VAR:QUERY=UkdGX1BGRF9TVEsoUVRSLDAsLCwsVVNEKQ==&amp;WINDOW=FIRST_POPUP&amp;HEIGHT=450&amp;WIDTH=450&amp;START_MA","XIMIZED=FALSE&amp;VAR:CALENDAR=US&amp;VAR:SYMBOL=B2QFWR&amp;VAR:INDEX=0"}</definedName>
    <definedName name="_567__FDSAUDITLINK__" hidden="1">{"fdsup://directions/FAT Viewer?action=UPDATE&amp;creator=factset&amp;DYN_ARGS=TRUE&amp;DOC_NAME=FAT:FQL_AUDITING_CLIENT_TEMPLATE.FAT&amp;display_string=Audit&amp;VAR:KEY=CDGJSVWTQZ&amp;VAR:QUERY=UkdGX1BGRF9TVEsoUVRSLDAsLCwsVVNEKQ==&amp;WINDOW=FIRST_POPUP&amp;HEIGHT=450&amp;WIDTH=450&amp;START_MA","XIMIZED=FALSE&amp;VAR:CALENDAR=US&amp;VAR:SYMBOL=B2QFWR&amp;VAR:INDEX=0"}</definedName>
    <definedName name="_568__FDSAUDITLINK__" hidden="1">{"fdsup://IBCentral/FAT Viewer?action=UPDATE&amp;creator=factset&amp;DOC_NAME=fat:reuters_qtrly_source_window.fat&amp;display_string=Audit&amp;DYN_ARGS=TRUE&amp;VAR:ID1=B2QFWR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69__FDSAUDITLINK__" hidden="1">{"fdsup://IBCentral/FAT Viewer?action=UPDATE&amp;creator=factset&amp;DOC_NAME=fat:reuters_qtrly_source_window.fat&amp;display_string=Audit&amp;DYN_ARGS=TRUE&amp;VAR:ID1=B2QFWR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7__123Graph_Aｸﾞﾗﾌ_5" hidden="1">#REF!</definedName>
    <definedName name="_57__FDSAUDITLINK__" hidden="1">{"fdsup://directions/FAT Viewer?action=UPDATE&amp;creator=factSet&amp;DYN_ARGS=true&amp;DOC_NAME=FAT:RGQ_ENTRPR_VAL_MV_SOURCE_WINDOW.FAT&amp;VAR:ID1=IRS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57_0__123Graph_B商" hidden="1">#REF!</definedName>
    <definedName name="_57_123Graph_X商" hidden="1">#REF!</definedName>
    <definedName name="_570__FDSAUDITLINK__" hidden="1">{"fdsup://IBCentral/FAT Viewer?action=UPDATE&amp;creator=factset&amp;DOC_NAME=fat:reuters_qtrly_source_window.fat&amp;display_string=Audit&amp;DYN_ARGS=TRUE&amp;VAR:ID1=B2QFWR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71__FDSAUDITLINK__" hidden="1">{"fdsup://directions/FAT Viewer?action=UPDATE&amp;creator=factset&amp;DYN_ARGS=TRUE&amp;DOC_NAME=FAT:FQL_AUDITING_CLIENT_TEMPLATE.FAT&amp;display_string=Audit&amp;VAR:KEY=YJOHABQPKX&amp;VAR:QUERY=UkdGX1BGRF9TVEsoUVRSLDAsLCwsVVNEKQ==&amp;WINDOW=FIRST_POPUP&amp;HEIGHT=450&amp;WIDTH=450&amp;START_MA","XIMIZED=FALSE&amp;VAR:CALENDAR=US&amp;VAR:SYMBOL=78463510&amp;VAR:INDEX=0"}</definedName>
    <definedName name="_572__FDSAUDITLINK__" hidden="1">{"fdsup://directions/FAT Viewer?action=UPDATE&amp;creator=factset&amp;DYN_ARGS=TRUE&amp;DOC_NAME=FAT:FQL_AUDITING_CLIENT_TEMPLATE.FAT&amp;display_string=Audit&amp;VAR:KEY=YJOHABQPKX&amp;VAR:QUERY=UkdGX1BGRF9TVEsoUVRSLDAsLCwsVVNEKQ==&amp;WINDOW=FIRST_POPUP&amp;HEIGHT=450&amp;WIDTH=450&amp;START_MA","XIMIZED=FALSE&amp;VAR:CALENDAR=US&amp;VAR:SYMBOL=78463510&amp;VAR:INDEX=0"}</definedName>
    <definedName name="_573__FDSAUDITLINK__" hidden="1">{"fdsup://IBCentral/FAT Viewer?action=UPDATE&amp;creator=factset&amp;DOC_NAME=fat:reuters_qtrly_source_window.fat&amp;display_string=Audit&amp;DYN_ARGS=TRUE&amp;VAR:ID1=78463510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74__FDSAUDITLINK__" hidden="1">{"fdsup://IBCentral/FAT Viewer?action=UPDATE&amp;creator=factset&amp;DOC_NAME=fat:reuters_qtrly_source_window.fat&amp;display_string=Audit&amp;DYN_ARGS=TRUE&amp;VAR:ID1=78463510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75__FDSAUDITLINK__" hidden="1">{"fdsup://IBCentral/FAT Viewer?action=UPDATE&amp;creator=factset&amp;DOC_NAME=fat:reuters_qtrly_source_window.fat&amp;display_string=Audit&amp;DYN_ARGS=TRUE&amp;VAR:ID1=78463510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76__FDSAUDITLINK__" hidden="1">{"fdsup://directions/FAT Viewer?action=UPDATE&amp;creator=factset&amp;DYN_ARGS=TRUE&amp;DOC_NAME=FAT:FQL_AUDITING_CLIENT_TEMPLATE.FAT&amp;display_string=Audit&amp;VAR:KEY=ANSXMTYNIJ&amp;VAR:QUERY=UkdGX1BGRF9TVEsoUVRSLDAsLCwsVVNEKQ==&amp;WINDOW=FIRST_POPUP&amp;HEIGHT=450&amp;WIDTH=450&amp;START_MA","XIMIZED=FALSE&amp;VAR:CALENDAR=US&amp;VAR:SYMBOL=86815710&amp;VAR:INDEX=0"}</definedName>
    <definedName name="_577__FDSAUDITLINK__" hidden="1">{"fdsup://directions/FAT Viewer?action=UPDATE&amp;creator=factset&amp;DYN_ARGS=TRUE&amp;DOC_NAME=FAT:FQL_AUDITING_CLIENT_TEMPLATE.FAT&amp;display_string=Audit&amp;VAR:KEY=ANSXMTYNIJ&amp;VAR:QUERY=UkdGX1BGRF9TVEsoUVRSLDAsLCwsVVNEKQ==&amp;WINDOW=FIRST_POPUP&amp;HEIGHT=450&amp;WIDTH=450&amp;START_MA","XIMIZED=FALSE&amp;VAR:CALENDAR=US&amp;VAR:SYMBOL=86815710&amp;VAR:INDEX=0"}</definedName>
    <definedName name="_578__FDSAUDITLINK__" hidden="1">{"fdsup://IBCentral/FAT Viewer?action=UPDATE&amp;creator=factset&amp;DOC_NAME=fat:reuters_qtrly_source_window.fat&amp;display_string=Audit&amp;DYN_ARGS=TRUE&amp;VAR:ID1=86815710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79__FDSAUDITLINK__" hidden="1">{"fdsup://IBCentral/FAT Viewer?action=UPDATE&amp;creator=factset&amp;DOC_NAME=fat:reuters_qtrly_source_window.fat&amp;display_string=Audit&amp;DYN_ARGS=TRUE&amp;VAR:ID1=86815710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8_?asadas" hidden="1">#REF!</definedName>
    <definedName name="_58__123Graph_Aｸﾞﾗﾌ_5" hidden="1">#REF!</definedName>
    <definedName name="_58__FDSAUDITLINK__" hidden="1">{"fdsup://directions/FAT Viewer?action=UPDATE&amp;creator=factSet&amp;DYN_ARGS=true&amp;DOC_NAME=FAT:RGQ_ENTRPR_VAL_MV_SOURCE_WINDOW.FAT&amp;VAR:ID1=IRSN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58_0__123Graph_B商" hidden="1">#REF!</definedName>
    <definedName name="_58_123Graph_X総" hidden="1">#REF!</definedName>
    <definedName name="_580__FDSAUDITLINK__" hidden="1">{"fdsup://IBCentral/FAT Viewer?action=UPDATE&amp;creator=factset&amp;DOC_NAME=fat:reuters_qtrly_source_window.fat&amp;display_string=Audit&amp;DYN_ARGS=TRUE&amp;VAR:ID1=86815710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581__FDSAUDITLINK__" hidden="1">{"fdsup://directions/FAT Viewer?action=UPDATE&amp;creator=factset&amp;DYN_ARGS=TRUE&amp;DOC_NAME=FAT:FQL_AUDITING_CLIENT_TEMPLATE.FAT&amp;display_string=Audit&amp;VAR:KEY=AVORGLIPSP&amp;VAR:QUERY=UkdGX1BGRF9TVEsoUVRSLDAsLCwsVVNEKQ==&amp;WINDOW=FIRST_POPUP&amp;HEIGHT=450&amp;WIDTH=450&amp;START_MA","XIMIZED=FALSE&amp;VAR:CALENDAR=US&amp;VAR:SYMBOL=572797&amp;VAR:INDEX=0"}</definedName>
    <definedName name="_582__FDSAUDITLINK__" hidden="1">{"fdsup://directions/FAT Viewer?action=UPDATE&amp;creator=factset&amp;DYN_ARGS=TRUE&amp;DOC_NAME=FAT:FQL_AUDITING_CLIENT_TEMPLATE.FAT&amp;display_string=Audit&amp;VAR:KEY=AVORGLIPSP&amp;VAR:QUERY=UkdGX1BGRF9TVEsoUVRSLDAsLCwsVVNEKQ==&amp;WINDOW=FIRST_POPUP&amp;HEIGHT=450&amp;WIDTH=450&amp;START_MA","XIMIZED=FALSE&amp;VAR:CALENDAR=US&amp;VAR:SYMBOL=572797&amp;VAR:INDEX=0"}</definedName>
    <definedName name="_583__FDSAUDITLINK__" hidden="1">{"fdsup://IBCentral/FAT Viewer?action=UPDATE&amp;creator=factset&amp;DOC_NAME=fat:reuters_qtrly_source_window.fat&amp;display_string=Audit&amp;DYN_ARGS=TRUE&amp;VAR:ID1=572797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84__FDSAUDITLINK__" hidden="1">{"fdsup://IBCentral/FAT Viewer?action=UPDATE&amp;creator=factset&amp;DOC_NAME=fat:reuters_qtrly_source_window.fat&amp;display_string=Audit&amp;DYN_ARGS=TRUE&amp;VAR:ID1=572797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85__FDSAUDITLINK__" hidden="1">{"fdsup://IBCentral/FAT Viewer?action=UPDATE&amp;creator=factset&amp;DOC_NAME=fat:reuters_qtrly_source_window.fat&amp;display_string=Audit&amp;DYN_ARGS=TRUE&amp;VAR:ID1=572797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86__FDSAUDITLINK__" hidden="1">{"fdsup://directions/FAT Viewer?action=UPDATE&amp;creator=factset&amp;DYN_ARGS=TRUE&amp;DOC_NAME=FAT:FQL_AUDITING_CLIENT_TEMPLATE.FAT&amp;display_string=Audit&amp;VAR:KEY=GJWVSVYTWZ&amp;VAR:QUERY=UkdGX1BGRF9TVEsoUVRSLDAsLCwsVVNEKQ==&amp;WINDOW=FIRST_POPUP&amp;HEIGHT=450&amp;WIDTH=450&amp;START_MA","XIMIZED=FALSE&amp;VAR:CALENDAR=US&amp;VAR:SYMBOL=SEAW-NO&amp;VAR:INDEX=0"}</definedName>
    <definedName name="_587__FDSAUDITLINK__" hidden="1">{"fdsup://directions/FAT Viewer?action=UPDATE&amp;creator=factset&amp;DYN_ARGS=TRUE&amp;DOC_NAME=FAT:FQL_AUDITING_CLIENT_TEMPLATE.FAT&amp;display_string=Audit&amp;VAR:KEY=GJWVSVYTWZ&amp;VAR:QUERY=UkdGX1BGRF9TVEsoUVRSLDAsLCwsVVNEKQ==&amp;WINDOW=FIRST_POPUP&amp;HEIGHT=450&amp;WIDTH=450&amp;START_MA","XIMIZED=FALSE&amp;VAR:CALENDAR=US&amp;VAR:SYMBOL=SEAW-NO&amp;VAR:INDEX=0"}</definedName>
    <definedName name="_588__FDSAUDITLINK__" hidden="1">{"fdsup://directions/FAT Viewer?action=UPDATE&amp;creator=factset&amp;DYN_ARGS=TRUE&amp;DOC_NAME=FAT:FQL_AUDITING_CLIENT_TEMPLATE.FAT&amp;display_string=Audit&amp;VAR:KEY=CXOXWJKJQB&amp;VAR:QUERY=UkdGX1BGRF9TVEsoUVRSLDAsLCwsVVNEKQ==&amp;WINDOW=FIRST_POPUP&amp;HEIGHT=450&amp;WIDTH=450&amp;START_MA","XIMIZED=FALSE&amp;VAR:CALENDAR=US&amp;VAR:SYMBOL=757130&amp;VAR:INDEX=0"}</definedName>
    <definedName name="_589__FDSAUDITLINK__" hidden="1">{"fdsup://directions/FAT Viewer?action=UPDATE&amp;creator=factset&amp;DYN_ARGS=TRUE&amp;DOC_NAME=FAT:FQL_AUDITING_CLIENT_TEMPLATE.FAT&amp;display_string=Audit&amp;VAR:KEY=CXOXWJKJQB&amp;VAR:QUERY=UkdGX1BGRF9TVEsoUVRSLDAsLCwsVVNEKQ==&amp;WINDOW=FIRST_POPUP&amp;HEIGHT=450&amp;WIDTH=450&amp;START_MA","XIMIZED=FALSE&amp;VAR:CALENDAR=US&amp;VAR:SYMBOL=757130&amp;VAR:INDEX=0"}</definedName>
    <definedName name="_59__123Graph_Aｸﾞﾗﾌ_2" hidden="1">#REF!</definedName>
    <definedName name="_59__2_0_Parse" hidden="1">#REF!</definedName>
    <definedName name="_59__FDSAUDITLINK__" hidden="1">{"fdsup://directions/FAT Viewer?action=UPDATE&amp;creator=factSet&amp;DYN_ARGS=true&amp;DOC_NAME=FAT:RGQ_ENTRPR_VAL_MV_SOURCE_WINDOW.FAT&amp;VAR:ID1=XN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59_0__123Graph_B商" hidden="1">#REF!</definedName>
    <definedName name="_590__FDSAUDITLINK__" hidden="1">{"fdsup://IBCentral/FAT Viewer?action=UPDATE&amp;creator=factset&amp;DOC_NAME=fat:reuters_qtrly_source_window.fat&amp;display_string=Audit&amp;DYN_ARGS=TRUE&amp;VAR:ID1=757130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91__FDSAUDITLINK__" hidden="1">{"fdsup://IBCentral/FAT Viewer?action=UPDATE&amp;creator=factset&amp;DOC_NAME=fat:reuters_qtrly_source_window.fat&amp;display_string=Audit&amp;DYN_ARGS=TRUE&amp;VAR:ID1=757130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92__FDSAUDITLINK__" hidden="1">{"fdsup://IBCentral/FAT Viewer?action=UPDATE&amp;creator=factset&amp;DOC_NAME=fat:reuters_qtrly_source_window.fat&amp;display_string=Audit&amp;DYN_ARGS=TRUE&amp;VAR:ID1=757130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93__FDSAUDITLINK__" hidden="1">{"fdsup://directions/FAT Viewer?action=UPDATE&amp;creator=factset&amp;DYN_ARGS=TRUE&amp;DOC_NAME=FAT:FQL_AUDITING_CLIENT_TEMPLATE.FAT&amp;display_string=Audit&amp;VAR:KEY=QXENKLQLEP&amp;VAR:QUERY=UkdGX1BGRF9TVEsoUVRSLDAsLCwsVVNEKQ==&amp;WINDOW=FIRST_POPUP&amp;HEIGHT=450&amp;WIDTH=450&amp;START_MA","XIMIZED=FALSE&amp;VAR:CALENDAR=US&amp;VAR:SYMBOL=B1VQ25&amp;VAR:INDEX=0"}</definedName>
    <definedName name="_594__FDSAUDITLINK__" hidden="1">{"fdsup://directions/FAT Viewer?action=UPDATE&amp;creator=factset&amp;DYN_ARGS=TRUE&amp;DOC_NAME=FAT:FQL_AUDITING_CLIENT_TEMPLATE.FAT&amp;display_string=Audit&amp;VAR:KEY=QXENKLQLEP&amp;VAR:QUERY=UkdGX1BGRF9TVEsoUVRSLDAsLCwsVVNEKQ==&amp;WINDOW=FIRST_POPUP&amp;HEIGHT=450&amp;WIDTH=450&amp;START_MA","XIMIZED=FALSE&amp;VAR:CALENDAR=US&amp;VAR:SYMBOL=B1VQ25&amp;VAR:INDEX=0"}</definedName>
    <definedName name="_595__FDSAUDITLINK__" hidden="1">{"fdsup://IBCentral/FAT Viewer?action=UPDATE&amp;creator=factset&amp;DOC_NAME=fat:reuters_qtrly_source_window.fat&amp;display_string=Audit&amp;DYN_ARGS=TRUE&amp;VAR:ID1=B1VQ25&amp;VAR:RCODE=STLD&amp;VAR:SDATE=20110699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96__FDSAUDITLINK__" hidden="1">{"fdsup://IBCentral/FAT Viewer?action=UPDATE&amp;creator=factset&amp;DOC_NAME=fat:reuters_qtrly_source_window.fat&amp;display_string=Audit&amp;DYN_ARGS=TRUE&amp;VAR:ID1=B1VQ25&amp;VAR:RCODE=STLD&amp;VAR:SDATE=20110699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97__FDSAUDITLINK__" hidden="1">{"fdsup://IBCentral/FAT Viewer?action=UPDATE&amp;creator=factset&amp;DOC_NAME=fat:reuters_qtrly_source_window.fat&amp;display_string=Audit&amp;DYN_ARGS=TRUE&amp;VAR:ID1=B1VQ25&amp;VAR:RCODE=STLD&amp;VAR:SDATE=20110699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598__FDSAUDITLINK__" hidden="1">{"fdsup://directions/FAT Viewer?action=UPDATE&amp;creator=factset&amp;DYN_ARGS=TRUE&amp;DOC_NAME=FAT:FQL_AUDITING_CLIENT_TEMPLATE.FAT&amp;display_string=Audit&amp;VAR:KEY=KHWXIBWVCJ&amp;VAR:QUERY=UkdGX1BGRF9TVEsoUVRSLDAsLCwsVVNEKQ==&amp;WINDOW=FIRST_POPUP&amp;HEIGHT=450&amp;WIDTH=450&amp;START_MA","XIMIZED=FALSE&amp;VAR:CALENDAR=US&amp;VAR:SYMBOL=77019610&amp;VAR:INDEX=0"}</definedName>
    <definedName name="_599__FDSAUDITLINK__" hidden="1">{"fdsup://directions/FAT Viewer?action=UPDATE&amp;creator=factset&amp;DYN_ARGS=TRUE&amp;DOC_NAME=FAT:FQL_AUDITING_CLIENT_TEMPLATE.FAT&amp;display_string=Audit&amp;VAR:KEY=KHWXIBWVCJ&amp;VAR:QUERY=UkdGX1BGRF9TVEsoUVRSLDAsLCwsVVNEKQ==&amp;WINDOW=FIRST_POPUP&amp;HEIGHT=450&amp;WIDTH=450&amp;START_MA","XIMIZED=FALSE&amp;VAR:CALENDAR=US&amp;VAR:SYMBOL=77019610&amp;VAR:INDEX=0"}</definedName>
    <definedName name="_5B3_">#N/A</definedName>
    <definedName name="_5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5M_Fenster_.Datensatz_einfügen">#REF!</definedName>
    <definedName name="_5M_Fenster_.KSBlatthinzu">#REF!</definedName>
    <definedName name="_6_">#REF!</definedName>
    <definedName name="_6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6_______0__123Graph_C乗" hidden="1">#REF!</definedName>
    <definedName name="_6___123Graph_CCHART_4" hidden="1">#REF!</definedName>
    <definedName name="_6__123Graph_A????_3" hidden="1">#REF!</definedName>
    <definedName name="_6__123Graph_AINTR_MECN" hidden="1">#REF!</definedName>
    <definedName name="_6__123Graph_ASOLDA_PINTURA" hidden="1">#REF!</definedName>
    <definedName name="_6__123Graph_Aｸﾞﾗﾌ_1" hidden="1">#REF!</definedName>
    <definedName name="_6__123Graph_XCHART_1A" hidden="1">#REF!</definedName>
    <definedName name="_6__123Graph_Xｸﾞﾗﾌ_1" hidden="1">#REF!</definedName>
    <definedName name="_6__FDSAUDITLINK__" hidden="1">{"fdsup://IBCentral/FAT Viewer?action=UPDATE&amp;creator=factset&amp;DOC_NAME=fat:reuters_annual_source_window.fat&amp;display_string=Audit&amp;DYN_ARGS=TRUE&amp;VAR:ID1=85450210&amp;VAR:RCODE=FDSREVSTOTAL&amp;VAR:SDATE=20091299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6_123Graph_B商" hidden="1">#REF!</definedName>
    <definedName name="_6_2_0_Parse" hidden="1">#REF!</definedName>
    <definedName name="_60__123Graph_CGRAPHIQUE_1" hidden="1">#REF!</definedName>
    <definedName name="_60__123Graph_LBL_AINTR_MECN" hidden="1">#REF!</definedName>
    <definedName name="_60__FDSAUDITLINK__" hidden="1">{"fdsup://directions/FAT Viewer?action=UPDATE&amp;creator=factSet&amp;DYN_ARGS=true&amp;DOC_NAME=FAT:RGQ_ENTRPR_VAL_MV_SOURCE_WINDOW.FAT&amp;VAR:ID1=XNN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60_0__123Graph_B商" hidden="1">#REF!</definedName>
    <definedName name="_600__FDSAUDITLINK__" hidden="1">{"fdsup://IBCentral/FAT Viewer?action=UPDATE&amp;creator=factset&amp;DOC_NAME=fat:reuters_qtrly_source_window.fat&amp;display_string=Audit&amp;DYN_ARGS=TRUE&amp;VAR:ID1=77019610&amp;VAR:RCODE=STLD&amp;VAR:SDATE=20110599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01__FDSAUDITLINK__" hidden="1">{"fdsup://IBCentral/FAT Viewer?action=UPDATE&amp;creator=factset&amp;DOC_NAME=fat:reuters_qtrly_source_window.fat&amp;display_string=Audit&amp;DYN_ARGS=TRUE&amp;VAR:ID1=77019610&amp;VAR:RCODE=STLD&amp;VAR:SDATE=20110599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02__FDSAUDITLINK__" hidden="1">{"fdsup://IBCentral/FAT Viewer?action=UPDATE&amp;creator=factset&amp;DOC_NAME=fat:reuters_qtrly_source_window.fat&amp;display_string=Audit&amp;DYN_ARGS=TRUE&amp;VAR:ID1=77019610&amp;VAR:RCODE=STLD&amp;VAR:SDATE=20110599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03__FDSAUDITLINK__" hidden="1">{"fdsup://directions/FAT Viewer?action=UPDATE&amp;creator=factset&amp;DYN_ARGS=TRUE&amp;DOC_NAME=FAT:FQL_AUDITING_CLIENT_TEMPLATE.FAT&amp;display_string=Audit&amp;VAR:KEY=QNYHCZANAB&amp;VAR:QUERY=UkdGX1BGRF9TVEsoUVRSLDAsLCwsVVNEKQ==&amp;WINDOW=FIRST_POPUP&amp;HEIGHT=450&amp;WIDTH=450&amp;START_MA","XIMIZED=FALSE&amp;VAR:CALENDAR=US&amp;VAR:SYMBOL=B5YPLH&amp;VAR:INDEX=0"}</definedName>
    <definedName name="_604__FDSAUDITLINK__" hidden="1">{"fdsup://directions/FAT Viewer?action=UPDATE&amp;creator=factset&amp;DYN_ARGS=TRUE&amp;DOC_NAME=FAT:FQL_AUDITING_CLIENT_TEMPLATE.FAT&amp;display_string=Audit&amp;VAR:KEY=QNYHCZANAB&amp;VAR:QUERY=UkdGX1BGRF9TVEsoUVRSLDAsLCwsVVNEKQ==&amp;WINDOW=FIRST_POPUP&amp;HEIGHT=450&amp;WIDTH=450&amp;START_MA","XIMIZED=FALSE&amp;VAR:CALENDAR=US&amp;VAR:SYMBOL=B5YPLH&amp;VAR:INDEX=0"}</definedName>
    <definedName name="_605__FDSAUDITLINK__" hidden="1">{"fdsup://IBCentral/FAT Viewer?action=UPDATE&amp;creator=factset&amp;DOC_NAME=fat:reuters_qtrly_source_window.fat&amp;display_string=Audit&amp;DYN_ARGS=TRUE&amp;VAR:ID1=B5YPLH&amp;VAR:RCODE=STLD&amp;VAR:SDATE=20110699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06__FDSAUDITLINK__" hidden="1">{"fdsup://IBCentral/FAT Viewer?action=UPDATE&amp;creator=factset&amp;DOC_NAME=fat:reuters_qtrly_source_window.fat&amp;display_string=Audit&amp;DYN_ARGS=TRUE&amp;VAR:ID1=B5YPLH&amp;VAR:RCODE=STLD&amp;VAR:SDATE=20110699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07__FDSAUDITLINK__" hidden="1">{"fdsup://IBCentral/FAT Viewer?action=UPDATE&amp;creator=factset&amp;DOC_NAME=fat:reuters_qtrly_source_window.fat&amp;display_string=Audit&amp;DYN_ARGS=TRUE&amp;VAR:ID1=B5YPLH&amp;VAR:RCODE=STLD&amp;VAR:SDATE=20110699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08__FDSAUDITLINK__" hidden="1">{"fdsup://directions/FAT Viewer?action=UPDATE&amp;creator=factset&amp;DYN_ARGS=TRUE&amp;DOC_NAME=FAT:FQL_AUDITING_CLIENT_TEMPLATE.FAT&amp;display_string=Audit&amp;VAR:KEY=YRUDMZQRWZ&amp;VAR:QUERY=UkdGX1BGRF9TVEsoUVRSLDAsLCwsVVNEKQ==&amp;WINDOW=FIRST_POPUP&amp;HEIGHT=450&amp;WIDTH=450&amp;START_MA","XIMIZED=FALSE&amp;VAR:CALENDAR=US&amp;VAR:SYMBOL=645800&amp;VAR:INDEX=0"}</definedName>
    <definedName name="_609__FDSAUDITLINK__" hidden="1">{"fdsup://directions/FAT Viewer?action=UPDATE&amp;creator=factset&amp;DYN_ARGS=TRUE&amp;DOC_NAME=FAT:FQL_AUDITING_CLIENT_TEMPLATE.FAT&amp;display_string=Audit&amp;VAR:KEY=YRUDMZQRWZ&amp;VAR:QUERY=UkdGX1BGRF9TVEsoUVRSLDAsLCwsVVNEKQ==&amp;WINDOW=FIRST_POPUP&amp;HEIGHT=450&amp;WIDTH=450&amp;START_MA","XIMIZED=FALSE&amp;VAR:CALENDAR=US&amp;VAR:SYMBOL=645800&amp;VAR:INDEX=0"}</definedName>
    <definedName name="_61__FDSAUDITLINK__" hidden="1">{"fdsup://directions/FAT Viewer?action=UPDATE&amp;creator=factSet&amp;DYN_ARGS=true&amp;DOC_NAME=FAT:RGQ_ENTRPR_VAL_MV_SOURCE_WINDOW.FAT&amp;VAR:ID1=MLE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61_0__123Graph_B商" hidden="1">#REF!</definedName>
    <definedName name="_610__FDSAUDITLINK__" hidden="1">{"fdsup://directions/FAT Viewer?action=UPDATE&amp;creator=factset&amp;DYN_ARGS=TRUE&amp;DOC_NAME=FAT:FQL_AUDITING_CLIENT_TEMPLATE.FAT&amp;display_string=Audit&amp;VAR:KEY=YRUDMZQRWZ&amp;VAR:QUERY=UkdGX1BGRF9TVEsoUVRSLDAsLCwsVVNEKQ==&amp;WINDOW=FIRST_POPUP&amp;HEIGHT=450&amp;WIDTH=450&amp;START_MA","XIMIZED=FALSE&amp;VAR:CALENDAR=US&amp;VAR:SYMBOL=645800&amp;VAR:INDEX=0"}</definedName>
    <definedName name="_611__FDSAUDITLINK__" hidden="1">{"fdsup://directions/FAT Viewer?action=UPDATE&amp;creator=factset&amp;DYN_ARGS=TRUE&amp;DOC_NAME=FAT:FQL_AUDITING_CLIENT_TEMPLATE.FAT&amp;display_string=Audit&amp;VAR:KEY=YRUDMZQRWZ&amp;VAR:QUERY=UkdGX1BGRF9TVEsoUVRSLDAsLCwsVVNEKQ==&amp;WINDOW=FIRST_POPUP&amp;HEIGHT=450&amp;WIDTH=450&amp;START_MA","XIMIZED=FALSE&amp;VAR:CALENDAR=US&amp;VAR:SYMBOL=645800&amp;VAR:INDEX=0"}</definedName>
    <definedName name="_612__FDSAUDITLINK__" hidden="1">{"fdsup://IBCentral/FAT Viewer?action=UPDATE&amp;creator=factset&amp;DOC_NAME=fat:reuters_annual_source_window.fat&amp;display_string=Audit&amp;DYN_ARGS=TRUE&amp;VAR:ID1=645800&amp;VAR:RCODE=STLD&amp;VAR:SDATE=20100999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613__FDSAUDITLINK__" hidden="1">{"fdsup://IBCentral/FAT Viewer?action=UPDATE&amp;creator=factset&amp;DOC_NAME=fat:reuters_annual_source_window.fat&amp;display_string=Audit&amp;DYN_ARGS=TRUE&amp;VAR:ID1=645800&amp;VAR:RCODE=STLD&amp;VAR:SDATE=20100999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614__FDSAUDITLINK__" hidden="1">{"fdsup://directions/FAT Viewer?action=UPDATE&amp;creator=factset&amp;DYN_ARGS=TRUE&amp;DOC_NAME=FAT:FQL_AUDITING_CLIENT_TEMPLATE.FAT&amp;display_string=Audit&amp;VAR:KEY=IVGVSXMFSB&amp;VAR:QUERY=UkdGX1BGRF9TVEsoUVRSLDAsLCwsVVNEKQ==&amp;WINDOW=FIRST_POPUP&amp;HEIGHT=450&amp;WIDTH=450&amp;START_MA","XIMIZED=FALSE&amp;VAR:CALENDAR=US&amp;VAR:SYMBOL=67802610&amp;VAR:INDEX=0"}</definedName>
    <definedName name="_615__FDSAUDITLINK__" hidden="1">{"fdsup://directions/FAT Viewer?action=UPDATE&amp;creator=factset&amp;DYN_ARGS=TRUE&amp;DOC_NAME=FAT:FQL_AUDITING_CLIENT_TEMPLATE.FAT&amp;display_string=Audit&amp;VAR:KEY=IVGVSXMFSB&amp;VAR:QUERY=UkdGX1BGRF9TVEsoUVRSLDAsLCwsVVNEKQ==&amp;WINDOW=FIRST_POPUP&amp;HEIGHT=450&amp;WIDTH=450&amp;START_MA","XIMIZED=FALSE&amp;VAR:CALENDAR=US&amp;VAR:SYMBOL=67802610&amp;VAR:INDEX=0"}</definedName>
    <definedName name="_616__FDSAUDITLINK__" hidden="1">{"fdsup://IBCentral/FAT Viewer?action=UPDATE&amp;creator=factset&amp;DOC_NAME=fat:reuters_qtrly_source_window.fat&amp;display_string=Audit&amp;DYN_ARGS=TRUE&amp;VAR:ID1=67802610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17__FDSAUDITLINK__" hidden="1">{"fdsup://IBCentral/FAT Viewer?action=UPDATE&amp;creator=factset&amp;DOC_NAME=fat:reuters_qtrly_source_window.fat&amp;display_string=Audit&amp;DYN_ARGS=TRUE&amp;VAR:ID1=67802610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18__FDSAUDITLINK__" hidden="1">{"fdsup://IBCentral/FAT Viewer?action=UPDATE&amp;creator=factset&amp;DOC_NAME=fat:reuters_qtrly_source_window.fat&amp;display_string=Audit&amp;DYN_ARGS=TRUE&amp;VAR:ID1=67802610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19__FDSAUDITLINK__" hidden="1">{"fdsup://directions/FAT Viewer?action=UPDATE&amp;creator=factset&amp;DYN_ARGS=TRUE&amp;DOC_NAME=FAT:FQL_AUDITING_CLIENT_TEMPLATE.FAT&amp;display_string=Audit&amp;VAR:KEY=KBGPYHMFOZ&amp;VAR:QUERY=UkdGX1BGRF9TVEsoUVRSLDAsLCwsVVNEKQ==&amp;WINDOW=FIRST_POPUP&amp;HEIGHT=450&amp;WIDTH=450&amp;START_MA","XIMIZED=FALSE&amp;VAR:CALENDAR=US&amp;VAR:SYMBOL=G6359F10&amp;VAR:INDEX=0"}</definedName>
    <definedName name="_62__123Graph_X????_1" hidden="1">#REF!</definedName>
    <definedName name="_62__FDSAUDITLINK__" hidden="1">{"fdsup://directions/FAT Viewer?action=UPDATE&amp;creator=factSet&amp;DYN_ARGS=true&amp;DOC_NAME=FAT:RGQ_ENTRPR_VAL_MV_SOURCE_WINDOW.FAT&amp;VAR:ID1=MLER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62_0__123Graph_B商" hidden="1">#REF!</definedName>
    <definedName name="_620__FDSAUDITLINK__" hidden="1">{"fdsup://directions/FAT Viewer?action=UPDATE&amp;creator=factset&amp;DYN_ARGS=TRUE&amp;DOC_NAME=FAT:FQL_AUDITING_CLIENT_TEMPLATE.FAT&amp;display_string=Audit&amp;VAR:KEY=KBGPYHMFOZ&amp;VAR:QUERY=UkdGX1BGRF9TVEsoUVRSLDAsLCwsVVNEKQ==&amp;WINDOW=FIRST_POPUP&amp;HEIGHT=450&amp;WIDTH=450&amp;START_MA","XIMIZED=FALSE&amp;VAR:CALENDAR=US&amp;VAR:SYMBOL=G6359F10&amp;VAR:INDEX=0"}</definedName>
    <definedName name="_621__FDSAUDITLINK__" hidden="1">{"fdsup://directions/FAT Viewer?action=UPDATE&amp;creator=factset&amp;DYN_ARGS=TRUE&amp;DOC_NAME=FAT:FQL_AUDITING_CLIENT_TEMPLATE.FAT&amp;display_string=Audit&amp;VAR:KEY=KBGPYHMFOZ&amp;VAR:QUERY=UkdGX1BGRF9TVEsoUVRSLDAsLCwsVVNEKQ==&amp;WINDOW=FIRST_POPUP&amp;HEIGHT=450&amp;WIDTH=450&amp;START_MA","XIMIZED=FALSE&amp;VAR:CALENDAR=US&amp;VAR:SYMBOL=G6359F10&amp;VAR:INDEX=0"}</definedName>
    <definedName name="_622__FDSAUDITLINK__" hidden="1">{"fdsup://directions/FAT Viewer?action=UPDATE&amp;creator=factset&amp;DYN_ARGS=TRUE&amp;DOC_NAME=FAT:FQL_AUDITING_CLIENT_TEMPLATE.FAT&amp;display_string=Audit&amp;VAR:KEY=KBGPYHMFOZ&amp;VAR:QUERY=UkdGX1BGRF9TVEsoUVRSLDAsLCwsVVNEKQ==&amp;WINDOW=FIRST_POPUP&amp;HEIGHT=450&amp;WIDTH=450&amp;START_MA","XIMIZED=FALSE&amp;VAR:CALENDAR=US&amp;VAR:SYMBOL=G6359F10&amp;VAR:INDEX=0"}</definedName>
    <definedName name="_623__FDSAUDITLINK__" hidden="1">{"fdsup://directions/FAT Viewer?action=UPDATE&amp;creator=factset&amp;DYN_ARGS=TRUE&amp;DOC_NAME=FAT:FQL_AUDITING_CLIENT_TEMPLATE.FAT&amp;display_string=Audit&amp;VAR:KEY=KBGPYHMFOZ&amp;VAR:QUERY=UkdGX1BGRF9TVEsoUVRSLDAsLCwsVVNEKQ==&amp;WINDOW=FIRST_POPUP&amp;HEIGHT=450&amp;WIDTH=450&amp;START_MA","XIMIZED=FALSE&amp;VAR:CALENDAR=US&amp;VAR:SYMBOL=G6359F10&amp;VAR:INDEX=0"}</definedName>
    <definedName name="_624__FDSAUDITLINK__" hidden="1">{"fdsup://directions/FAT Viewer?action=UPDATE&amp;creator=factset&amp;DYN_ARGS=TRUE&amp;DOC_NAME=FAT:FQL_AUDITING_CLIENT_TEMPLATE.FAT&amp;display_string=Audit&amp;VAR:KEY=KBGPYHMFOZ&amp;VAR:QUERY=UkdGX1BGRF9TVEsoUVRSLDAsLCwsVVNEKQ==&amp;WINDOW=FIRST_POPUP&amp;HEIGHT=450&amp;WIDTH=450&amp;START_MA","XIMIZED=FALSE&amp;VAR:CALENDAR=US&amp;VAR:SYMBOL=G6359F10&amp;VAR:INDEX=0"}</definedName>
    <definedName name="_625__FDSAUDITLINK__" hidden="1">{"fdsup://IBCentral/FAT Viewer?action=UPDATE&amp;creator=factset&amp;DOC_NAME=fat:reuters_qtrly_source_window.fat&amp;display_string=Audit&amp;DYN_ARGS=TRUE&amp;VAR:ID1=G6359F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26__FDSAUDITLINK__" hidden="1">{"fdsup://IBCentral/FAT Viewer?action=UPDATE&amp;creator=factset&amp;DOC_NAME=fat:reuters_qtrly_source_window.fat&amp;display_string=Audit&amp;DYN_ARGS=TRUE&amp;VAR:ID1=G6359F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27__FDSAUDITLINK__" hidden="1">{"fdsup://IBCentral/FAT Viewer?action=UPDATE&amp;creator=factset&amp;DOC_NAME=fat:reuters_qtrly_source_window.fat&amp;display_string=Audit&amp;DYN_ARGS=TRUE&amp;VAR:ID1=G6359F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28__FDSAUDITLINK__" hidden="1">{"fdsup://directions/FAT Viewer?action=UPDATE&amp;creator=factset&amp;DYN_ARGS=TRUE&amp;DOC_NAME=FAT:FQL_AUDITING_CLIENT_TEMPLATE.FAT&amp;display_string=Audit&amp;VAR:KEY=CREVAXOXYT&amp;VAR:QUERY=UkdGX1BGRF9TVEsoUVRSLDAsLCwsVVNEKQ==&amp;WINDOW=FIRST_POPUP&amp;HEIGHT=450&amp;WIDTH=450&amp;START_MA","XIMIZED=FALSE&amp;VAR:CALENDAR=US&amp;VAR:SYMBOL=54976410&amp;VAR:INDEX=0"}</definedName>
    <definedName name="_629__FDSAUDITLINK__" hidden="1">{"fdsup://directions/FAT Viewer?action=UPDATE&amp;creator=factset&amp;DYN_ARGS=TRUE&amp;DOC_NAME=FAT:FQL_AUDITING_CLIENT_TEMPLATE.FAT&amp;display_string=Audit&amp;VAR:KEY=CREVAXOXYT&amp;VAR:QUERY=UkdGX1BGRF9TVEsoUVRSLDAsLCwsVVNEKQ==&amp;WINDOW=FIRST_POPUP&amp;HEIGHT=450&amp;WIDTH=450&amp;START_MA","XIMIZED=FALSE&amp;VAR:CALENDAR=US&amp;VAR:SYMBOL=54976410&amp;VAR:INDEX=0"}</definedName>
    <definedName name="_63__FDSAUDITLINK__" hidden="1">{"fdsup://directions/FAT Viewer?action=UPDATE&amp;creator=factSet&amp;DYN_ARGS=true&amp;DOC_NAME=FAT:RGQ_ENTRPR_VAL_MV_SOURCE_WINDOW.FAT&amp;VAR:ID1=PBSO&amp;VAR:SDATE=20100721&amp;VAR:FDATE=20090930&amp;VAR:FREQ=DAILY&amp;VAR:RELITEM=&amp;VAR:CURRENCY=&amp;VAR:DB_TYPE=&amp;VAR:UNITS=M&amp;VAR:SHS_OUT_TY","PE=&amp;window=popup&amp;width=535&amp;height=425&amp;START_MAXIMIZED=FALSE&amp;Y=120"}</definedName>
    <definedName name="_63_0__123Graph_B総" hidden="1">#REF!</definedName>
    <definedName name="_630__FDSAUDITLINK__" hidden="1">{"fdsup://IBCentral/FAT Viewer?action=UPDATE&amp;creator=factset&amp;DOC_NAME=fat:reuters_qtrly_source_window.fat&amp;display_string=Audit&amp;DYN_ARGS=TRUE&amp;VAR:ID1=54976410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31__FDSAUDITLINK__" hidden="1">{"fdsup://IBCentral/FAT Viewer?action=UPDATE&amp;creator=factset&amp;DOC_NAME=fat:reuters_qtrly_source_window.fat&amp;display_string=Audit&amp;DYN_ARGS=TRUE&amp;VAR:ID1=54976410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32__FDSAUDITLINK__" hidden="1">{"fdsup://directions/FAT Viewer?action=UPDATE&amp;creator=factset&amp;DYN_ARGS=TRUE&amp;DOC_NAME=FAT:FQL_AUDITING_CLIENT_TEMPLATE.FAT&amp;display_string=Audit&amp;VAR:KEY=STUZAHADUR&amp;VAR:QUERY=UkdGX1BGRF9TVEsoUVRSLDAsLCwsVVNEKQ==&amp;WINDOW=FIRST_POPUP&amp;HEIGHT=450&amp;WIDTH=450&amp;START_MA","XIMIZED=FALSE&amp;VAR:CALENDAR=US&amp;VAR:SYMBOL=48658710&amp;VAR:INDEX=0"}</definedName>
    <definedName name="_633__FDSAUDITLINK__" hidden="1">{"fdsup://directions/FAT Viewer?action=UPDATE&amp;creator=factset&amp;DYN_ARGS=TRUE&amp;DOC_NAME=FAT:FQL_AUDITING_CLIENT_TEMPLATE.FAT&amp;display_string=Audit&amp;VAR:KEY=STUZAHADUR&amp;VAR:QUERY=UkdGX1BGRF9TVEsoUVRSLDAsLCwsVVNEKQ==&amp;WINDOW=FIRST_POPUP&amp;HEIGHT=450&amp;WIDTH=450&amp;START_MA","XIMIZED=FALSE&amp;VAR:CALENDAR=US&amp;VAR:SYMBOL=48658710&amp;VAR:INDEX=0"}</definedName>
    <definedName name="_634__FDSAUDITLINK__" hidden="1">{"fdsup://IBCentral/FAT Viewer?action=UPDATE&amp;creator=factset&amp;DOC_NAME=fat:reuters_qtrly_source_window.fat&amp;display_string=Audit&amp;DYN_ARGS=TRUE&amp;VAR:ID1=48658710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35__FDSAUDITLINK__" hidden="1">{"fdsup://IBCentral/FAT Viewer?action=UPDATE&amp;creator=factset&amp;DOC_NAME=fat:reuters_qtrly_source_window.fat&amp;display_string=Audit&amp;DYN_ARGS=TRUE&amp;VAR:ID1=48658710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36__FDSAUDITLINK__" hidden="1">{"fdsup://IBCentral/FAT Viewer?action=UPDATE&amp;creator=factset&amp;DOC_NAME=fat:reuters_qtrly_source_window.fat&amp;display_string=Audit&amp;DYN_ARGS=TRUE&amp;VAR:ID1=48658710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37__FDSAUDITLINK__" hidden="1">{"fdsup://directions/FAT Viewer?action=UPDATE&amp;creator=factset&amp;DYN_ARGS=TRUE&amp;DOC_NAME=FAT:FQL_AUDITING_CLIENT_TEMPLATE.FAT&amp;display_string=Audit&amp;VAR:KEY=STMZIRQBUL&amp;VAR:QUERY=UkdGX1BGRF9TVEsoUVRSLDAsLCwsVVNEKQ==&amp;WINDOW=FIRST_POPUP&amp;HEIGHT=450&amp;WIDTH=450&amp;START_MA","XIMIZED=FALSE&amp;VAR:CALENDAR=US&amp;VAR:SYMBOL=36555810&amp;VAR:INDEX=0"}</definedName>
    <definedName name="_638__FDSAUDITLINK__" hidden="1">{"fdsup://directions/FAT Viewer?action=UPDATE&amp;creator=factset&amp;DYN_ARGS=TRUE&amp;DOC_NAME=FAT:FQL_AUDITING_CLIENT_TEMPLATE.FAT&amp;display_string=Audit&amp;VAR:KEY=STMZIRQBUL&amp;VAR:QUERY=UkdGX1BGRF9TVEsoUVRSLDAsLCwsVVNEKQ==&amp;WINDOW=FIRST_POPUP&amp;HEIGHT=450&amp;WIDTH=450&amp;START_MA","XIMIZED=FALSE&amp;VAR:CALENDAR=US&amp;VAR:SYMBOL=36555810&amp;VAR:INDEX=0"}</definedName>
    <definedName name="_639__FDSAUDITLINK__" hidden="1">{"fdsup://IBCentral/FAT Viewer?action=UPDATE&amp;creator=factset&amp;DOC_NAME=fat:reuters_qtrly_source_window.fat&amp;display_string=Audit&amp;DYN_ARGS=TRUE&amp;VAR:ID1=36555810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4__FDSAUDITLINK__" hidden="1">{"fdsup://directions/FAT Viewer?action=UPDATE&amp;creator=factSet&amp;DYN_ARGS=true&amp;DOC_NAME=FAT:RGQ_ENTRPR_VAL_MV_SOURCE_WINDOW.FAT&amp;VAR:ID1=PBSO&amp;VAR:SDATE=20100721&amp;VAR:FDATE=20090930&amp;VAR:FREQ=DAILY&amp;VAR:RELITEM=&amp;VAR:CURRENCY=&amp;VAR:DB_TYPE=&amp;VAR:UNITS=M&amp;VAR:SHS_OUT_TY","PE=&amp;window=popup&amp;width=535&amp;height=425&amp;START_MAXIMIZED=FALSE&amp;Y=120"}</definedName>
    <definedName name="_64_0__123Graph_B総" hidden="1">#REF!</definedName>
    <definedName name="_640__FDSAUDITLINK__" hidden="1">{"fdsup://IBCentral/FAT Viewer?action=UPDATE&amp;creator=factset&amp;DOC_NAME=fat:reuters_qtrly_source_window.fat&amp;display_string=Audit&amp;DYN_ARGS=TRUE&amp;VAR:ID1=36555810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41__FDSAUDITLINK__" hidden="1">{"fdsup://IBCentral/FAT Viewer?action=UPDATE&amp;creator=factset&amp;DOC_NAME=fat:reuters_qtrly_source_window.fat&amp;display_string=Audit&amp;DYN_ARGS=TRUE&amp;VAR:ID1=36555810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42__FDSAUDITLINK__" hidden="1">{"fdsup://directions/FAT Viewer?action=UPDATE&amp;creator=factset&amp;DYN_ARGS=TRUE&amp;DOC_NAME=FAT:FQL_AUDITING_CLIENT_TEMPLATE.FAT&amp;display_string=Audit&amp;VAR:KEY=MJUHOFCZSV&amp;VAR:QUERY=UkdGX1BGRF9TVEsoUVRSLDAsLCwsVVNEKQ==&amp;WINDOW=FIRST_POPUP&amp;HEIGHT=450&amp;WIDTH=450&amp;START_MA","XIMIZED=FALSE&amp;VAR:CALENDAR=US&amp;VAR:SYMBOL=231762&amp;VAR:INDEX=0"}</definedName>
    <definedName name="_643__FDSAUDITLINK__" hidden="1">{"fdsup://directions/FAT Viewer?action=UPDATE&amp;creator=factset&amp;DYN_ARGS=TRUE&amp;DOC_NAME=FAT:FQL_AUDITING_CLIENT_TEMPLATE.FAT&amp;display_string=Audit&amp;VAR:KEY=MJUHOFCZSV&amp;VAR:QUERY=UkdGX1BGRF9TVEsoUVRSLDAsLCwsVVNEKQ==&amp;WINDOW=FIRST_POPUP&amp;HEIGHT=450&amp;WIDTH=450&amp;START_MA","XIMIZED=FALSE&amp;VAR:CALENDAR=US&amp;VAR:SYMBOL=231762&amp;VAR:INDEX=0"}</definedName>
    <definedName name="_644__FDSAUDITLINK__" hidden="1">{"fdsup://IBCentral/FAT Viewer?action=UPDATE&amp;creator=factset&amp;DOC_NAME=fat:reuters_qtrly_source_window.fat&amp;display_string=Audit&amp;DYN_ARGS=TRUE&amp;VAR:ID1=231762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44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645__FDSAUDITLINK__" hidden="1">{"fdsup://IBCentral/FAT Viewer?action=UPDATE&amp;creator=factset&amp;DOC_NAME=fat:reuters_qtrly_source_window.fat&amp;display_string=Audit&amp;DYN_ARGS=TRUE&amp;VAR:ID1=231762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46__FDSAUDITLINK__" hidden="1">{"fdsup://IBCentral/FAT Viewer?action=UPDATE&amp;creator=factset&amp;DOC_NAME=fat:reuters_qtrly_source_window.fat&amp;display_string=Audit&amp;DYN_ARGS=TRUE&amp;VAR:ID1=231762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47__FDSAUDITLINK__" hidden="1">{"fdsup://directions/FAT Viewer?action=UPDATE&amp;creator=factset&amp;DYN_ARGS=TRUE&amp;DOC_NAME=FAT:FQL_AUDITING_CLIENT_TEMPLATE.FAT&amp;display_string=Audit&amp;VAR:KEY=MHQVQZCBCJ&amp;VAR:QUERY=UkdGX1BGRF9TVEsoUVRSLDAsLCwsVVNEKQ==&amp;WINDOW=FIRST_POPUP&amp;HEIGHT=450&amp;WIDTH=450&amp;START_MA","XIMIZED=FALSE&amp;VAR:CALENDAR=US&amp;VAR:SYMBOL=29101110&amp;VAR:INDEX=0"}</definedName>
    <definedName name="_648__FDSAUDITLINK__" hidden="1">{"fdsup://directions/FAT Viewer?action=UPDATE&amp;creator=factset&amp;DYN_ARGS=TRUE&amp;DOC_NAME=FAT:FQL_AUDITING_CLIENT_TEMPLATE.FAT&amp;display_string=Audit&amp;VAR:KEY=MHQVQZCBCJ&amp;VAR:QUERY=UkdGX1BGRF9TVEsoUVRSLDAsLCwsVVNEKQ==&amp;WINDOW=FIRST_POPUP&amp;HEIGHT=450&amp;WIDTH=450&amp;START_MA","XIMIZED=FALSE&amp;VAR:CALENDAR=US&amp;VAR:SYMBOL=29101110&amp;VAR:INDEX=0"}</definedName>
    <definedName name="_649__FDSAUDITLINK__" hidden="1">{"fdsup://IBCentral/FAT Viewer?action=UPDATE&amp;creator=factset&amp;DOC_NAME=fat:reuters_qtrly_source_window.fat&amp;display_string=Audit&amp;DYN_ARGS=TRUE&amp;VAR:ID1=29101110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5__123Graph_LBL_AINTR_MONT" hidden="1">#REF!</definedName>
    <definedName name="_65__FDSAUDITLINK__" hidden="1">{"fdsup://directions/FAT Viewer?action=UPDATE&amp;creator=factSet&amp;DYN_ARGS=true&amp;DOC_NAME=FAT:RGQ_ENTRPR_VAL_MV_SOURCE_WINDOW.FAT&amp;VAR:ID1=AIM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65_0__123Graph_B総" hidden="1">#REF!</definedName>
    <definedName name="_650__FDSAUDITLINK__" hidden="1">{"fdsup://IBCentral/FAT Viewer?action=UPDATE&amp;creator=factset&amp;DOC_NAME=fat:reuters_qtrly_source_window.fat&amp;display_string=Audit&amp;DYN_ARGS=TRUE&amp;VAR:ID1=29101110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51__FDSAUDITLINK__" hidden="1">{"fdsup://IBCentral/FAT Viewer?action=UPDATE&amp;creator=factset&amp;DOC_NAME=fat:reuters_qtrly_source_window.fat&amp;display_string=Audit&amp;DYN_ARGS=TRUE&amp;VAR:ID1=29101110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52__FDSAUDITLINK__" hidden="1">{"fdsup://directions/FAT Viewer?action=UPDATE&amp;creator=factset&amp;DYN_ARGS=TRUE&amp;DOC_NAME=FAT:FQL_AUDITING_CLIENT_TEMPLATE.FAT&amp;display_string=Audit&amp;VAR:KEY=GNQBULYVAB&amp;VAR:QUERY=UkdGX1BGRF9TVEsoUVRSLDAsLCwsVVNEKQ==&amp;WINDOW=FIRST_POPUP&amp;HEIGHT=450&amp;WIDTH=450&amp;START_MA","XIMIZED=FALSE&amp;VAR:CALENDAR=US&amp;VAR:SYMBOL=26160810&amp;VAR:INDEX=0"}</definedName>
    <definedName name="_653__FDSAUDITLINK__" hidden="1">{"fdsup://directions/FAT Viewer?action=UPDATE&amp;creator=factset&amp;DYN_ARGS=TRUE&amp;DOC_NAME=FAT:FQL_AUDITING_CLIENT_TEMPLATE.FAT&amp;display_string=Audit&amp;VAR:KEY=GNQBULYVAB&amp;VAR:QUERY=UkdGX1BGRF9TVEsoUVRSLDAsLCwsVVNEKQ==&amp;WINDOW=FIRST_POPUP&amp;HEIGHT=450&amp;WIDTH=450&amp;START_MA","XIMIZED=FALSE&amp;VAR:CALENDAR=US&amp;VAR:SYMBOL=26160810&amp;VAR:INDEX=0"}</definedName>
    <definedName name="_654__FDSAUDITLINK__" hidden="1">{"fdsup://IBCentral/FAT Viewer?action=UPDATE&amp;creator=factset&amp;DOC_NAME=fat:reuters_qtrly_source_window.fat&amp;display_string=Audit&amp;DYN_ARGS=TRUE&amp;VAR:ID1=26160810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55__FDSAUDITLINK__" hidden="1">{"fdsup://IBCentral/FAT Viewer?action=UPDATE&amp;creator=factset&amp;DOC_NAME=fat:reuters_qtrly_source_window.fat&amp;display_string=Audit&amp;DYN_ARGS=TRUE&amp;VAR:ID1=26160810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56__FDSAUDITLINK__" hidden="1">{"fdsup://IBCentral/FAT Viewer?action=UPDATE&amp;creator=factset&amp;DOC_NAME=fat:reuters_qtrly_source_window.fat&amp;display_string=Audit&amp;DYN_ARGS=TRUE&amp;VAR:ID1=26160810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57__FDSAUDITLINK__" hidden="1">{"fdsup://directions/FAT Viewer?action=UPDATE&amp;creator=factset&amp;DYN_ARGS=TRUE&amp;DOC_NAME=FAT:FQL_AUDITING_CLIENT_TEMPLATE.FAT&amp;display_string=Audit&amp;VAR:KEY=SLAFUBITAL&amp;VAR:QUERY=UkdGX1BGRF9TVEsoUVRSLDAsLCwsVVNEKQ==&amp;WINDOW=FIRST_POPUP&amp;HEIGHT=450&amp;WIDTH=450&amp;START_MA","XIMIZED=FALSE&amp;VAR:CALENDAR=US&amp;VAR:SYMBOL=26000310&amp;VAR:INDEX=0"}</definedName>
    <definedName name="_658__FDSAUDITLINK__" hidden="1">{"fdsup://directions/FAT Viewer?action=UPDATE&amp;creator=factset&amp;DYN_ARGS=TRUE&amp;DOC_NAME=FAT:FQL_AUDITING_CLIENT_TEMPLATE.FAT&amp;display_string=Audit&amp;VAR:KEY=SLAFUBITAL&amp;VAR:QUERY=UkdGX1BGRF9TVEsoUVRSLDAsLCwsVVNEKQ==&amp;WINDOW=FIRST_POPUP&amp;HEIGHT=450&amp;WIDTH=450&amp;START_MA","XIMIZED=FALSE&amp;VAR:CALENDAR=US&amp;VAR:SYMBOL=26000310&amp;VAR:INDEX=0"}</definedName>
    <definedName name="_659__FDSAUDITLINK__" hidden="1">{"fdsup://IBCentral/FAT Viewer?action=UPDATE&amp;creator=factset&amp;DOC_NAME=fat:reuters_qtrly_source_window.fat&amp;display_string=Audit&amp;DYN_ARGS=TRUE&amp;VAR:ID1=26000310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6__123Graph_X????_2" hidden="1">#REF!</definedName>
    <definedName name="_66__FDSAUDITLINK__" hidden="1">{"fdsup://directions/FAT Viewer?action=UPDATE&amp;creator=factSet&amp;DYN_ARGS=true&amp;DOC_NAME=FAT:RGQ_ENTRPR_VAL_MV_SOURCE_WINDOW.FAT&amp;VAR:ID1=AIM&amp;VAR:SDATE=20100721&amp;VAR:FDATE=20100430&amp;VAR:FREQ=DAILY&amp;VAR:RELITEM=&amp;VAR:CURRENCY=&amp;VAR:DB_TYPE=&amp;VAR:UNITS=M&amp;VAR:SHS_OUT_TYP","E=&amp;window=popup&amp;width=535&amp;height=425&amp;START_MAXIMIZED=FALSE&amp;Y=120"}</definedName>
    <definedName name="_66_0__123Graph_B総" hidden="1">#REF!</definedName>
    <definedName name="_660__FDSAUDITLINK__" hidden="1">{"fdsup://IBCentral/FAT Viewer?action=UPDATE&amp;creator=factset&amp;DOC_NAME=fat:reuters_qtrly_source_window.fat&amp;display_string=Audit&amp;DYN_ARGS=TRUE&amp;VAR:ID1=26000310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61__FDSAUDITLINK__" hidden="1">{"fdsup://IBCentral/FAT Viewer?action=UPDATE&amp;creator=factset&amp;DOC_NAME=fat:reuters_qtrly_source_window.fat&amp;display_string=Audit&amp;DYN_ARGS=TRUE&amp;VAR:ID1=26000310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62__FDSAUDITLINK__" hidden="1">{"fdsup://directions/FAT Viewer?action=UPDATE&amp;creator=factset&amp;DYN_ARGS=TRUE&amp;DOC_NAME=FAT:FQL_AUDITING_CLIENT_TEMPLATE.FAT&amp;display_string=Audit&amp;VAR:KEY=YTOLYFGHGJ&amp;VAR:QUERY=UkdGX1BGRF9TVEsoUVRSLDAsLCwsVVNEKQ==&amp;WINDOW=FIRST_POPUP&amp;HEIGHT=450&amp;WIDTH=450&amp;START_MA","XIMIZED=FALSE&amp;VAR:CALENDAR=US&amp;VAR:SYMBOL=14078110&amp;VAR:INDEX=0"}</definedName>
    <definedName name="_663__FDSAUDITLINK__" hidden="1">{"fdsup://directions/FAT Viewer?action=UPDATE&amp;creator=factset&amp;DYN_ARGS=TRUE&amp;DOC_NAME=FAT:FQL_AUDITING_CLIENT_TEMPLATE.FAT&amp;display_string=Audit&amp;VAR:KEY=YTOLYFGHGJ&amp;VAR:QUERY=UkdGX1BGRF9TVEsoUVRSLDAsLCwsVVNEKQ==&amp;WINDOW=FIRST_POPUP&amp;HEIGHT=450&amp;WIDTH=450&amp;START_MA","XIMIZED=FALSE&amp;VAR:CALENDAR=US&amp;VAR:SYMBOL=14078110&amp;VAR:INDEX=0"}</definedName>
    <definedName name="_664__FDSAUDITLINK__" hidden="1">{"fdsup://directions/FAT Viewer?action=UPDATE&amp;creator=factset&amp;DYN_ARGS=TRUE&amp;DOC_NAME=FAT:FQL_AUDITING_CLIENT_TEMPLATE.FAT&amp;display_string=Audit&amp;VAR:KEY=YTOLYFGHGJ&amp;VAR:QUERY=UkdGX1BGRF9TVEsoUVRSLDAsLCwsVVNEKQ==&amp;WINDOW=FIRST_POPUP&amp;HEIGHT=450&amp;WIDTH=450&amp;START_MA","XIMIZED=FALSE&amp;VAR:CALENDAR=US&amp;VAR:SYMBOL=14078110&amp;VAR:INDEX=0"}</definedName>
    <definedName name="_665__FDSAUDITLINK__" hidden="1">{"fdsup://directions/FAT Viewer?action=UPDATE&amp;creator=factset&amp;DYN_ARGS=TRUE&amp;DOC_NAME=FAT:FQL_AUDITING_CLIENT_TEMPLATE.FAT&amp;display_string=Audit&amp;VAR:KEY=YTOLYFGHGJ&amp;VAR:QUERY=UkdGX1BGRF9TVEsoUVRSLDAsLCwsVVNEKQ==&amp;WINDOW=FIRST_POPUP&amp;HEIGHT=450&amp;WIDTH=450&amp;START_MA","XIMIZED=FALSE&amp;VAR:CALENDAR=US&amp;VAR:SYMBOL=14078110&amp;VAR:INDEX=0"}</definedName>
    <definedName name="_666__FDSAUDITLINK__" hidden="1">{"fdsup://directions/FAT Viewer?action=UPDATE&amp;creator=factset&amp;DYN_ARGS=TRUE&amp;DOC_NAME=FAT:FQL_AUDITING_CLIENT_TEMPLATE.FAT&amp;display_string=Audit&amp;VAR:KEY=YTOLYFGHGJ&amp;VAR:QUERY=UkdGX1BGRF9TVEsoUVRSLDAsLCwsVVNEKQ==&amp;WINDOW=FIRST_POPUP&amp;HEIGHT=450&amp;WIDTH=450&amp;START_MA","XIMIZED=FALSE&amp;VAR:CALENDAR=US&amp;VAR:SYMBOL=14078110&amp;VAR:INDEX=0"}</definedName>
    <definedName name="_667__FDSAUDITLINK__" hidden="1">{"fdsup://directions/FAT Viewer?action=UPDATE&amp;creator=factset&amp;DYN_ARGS=TRUE&amp;DOC_NAME=FAT:FQL_AUDITING_CLIENT_TEMPLATE.FAT&amp;display_string=Audit&amp;VAR:KEY=YTOLYFGHGJ&amp;VAR:QUERY=UkdGX1BGRF9TVEsoUVRSLDAsLCwsVVNEKQ==&amp;WINDOW=FIRST_POPUP&amp;HEIGHT=450&amp;WIDTH=450&amp;START_MA","XIMIZED=FALSE&amp;VAR:CALENDAR=US&amp;VAR:SYMBOL=14078110&amp;VAR:INDEX=0"}</definedName>
    <definedName name="_668__FDSAUDITLINK__" hidden="1">{"fdsup://IBCentral/FAT Viewer?action=UPDATE&amp;creator=factset&amp;DOC_NAME=fat:reuters_qtrly_source_window.fat&amp;display_string=Audit&amp;DYN_ARGS=TRUE&amp;VAR:ID1=14078110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69__FDSAUDITLINK__" hidden="1">{"fdsup://IBCentral/FAT Viewer?action=UPDATE&amp;creator=factset&amp;DOC_NAME=fat:reuters_qtrly_source_window.fat&amp;display_string=Audit&amp;DYN_ARGS=TRUE&amp;VAR:ID1=14078110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7__123Graph_Aｸﾞﾗﾌ_3" hidden="1">#REF!</definedName>
    <definedName name="_67__123Graph_X????_2" hidden="1">#REF!</definedName>
    <definedName name="_67__FDSAUDITLINK__" hidden="1">{"fdsup://directions/FAT Viewer?action=UPDATE&amp;creator=factSet&amp;DYN_ARGS=true&amp;DOC_NAME=FAT:RGQ_ENTRPR_VAL_MV_SOURCE_WINDOW.FAT&amp;VAR:ID1=FIG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67_0__123Grap" hidden="1">#REF!</definedName>
    <definedName name="_67_0__123Graph_B総" hidden="1">#REF!</definedName>
    <definedName name="_670__FDSAUDITLINK__" hidden="1">{"fdsup://IBCentral/FAT Viewer?action=UPDATE&amp;creator=factset&amp;DOC_NAME=fat:reuters_qtrly_source_window.fat&amp;display_string=Audit&amp;DYN_ARGS=TRUE&amp;VAR:ID1=14078110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71__FDSAUDITLINK__" hidden="1">{"fdsup://directions/FAT Viewer?action=UPDATE&amp;creator=factset&amp;DYN_ARGS=TRUE&amp;DOC_NAME=FAT:FQL_AUDITING_CLIENT_TEMPLATE.FAT&amp;display_string=Audit&amp;VAR:KEY=ORUVWFOXGZ&amp;VAR:QUERY=UkdGX1BGRF9TVEsoUVRSLDAsLCwsVVNEKQ==&amp;WINDOW=FIRST_POPUP&amp;HEIGHT=450&amp;WIDTH=450&amp;START_MA","XIMIZED=FALSE&amp;VAR:CALENDAR=US&amp;VAR:SYMBOL=N2271710&amp;VAR:INDEX=0"}</definedName>
    <definedName name="_672__FDSAUDITLINK__" hidden="1">{"fdsup://directions/FAT Viewer?action=UPDATE&amp;creator=factset&amp;DYN_ARGS=TRUE&amp;DOC_NAME=FAT:FQL_AUDITING_CLIENT_TEMPLATE.FAT&amp;display_string=Audit&amp;VAR:KEY=ORUVWFOXGZ&amp;VAR:QUERY=UkdGX1BGRF9TVEsoUVRSLDAsLCwsVVNEKQ==&amp;WINDOW=FIRST_POPUP&amp;HEIGHT=450&amp;WIDTH=450&amp;START_MA","XIMIZED=FALSE&amp;VAR:CALENDAR=US&amp;VAR:SYMBOL=N2271710&amp;VAR:INDEX=0"}</definedName>
    <definedName name="_673__FDSAUDITLINK__" hidden="1">{"fdsup://IBCentral/FAT Viewer?action=UPDATE&amp;creator=factset&amp;DOC_NAME=fat:reuters_qtrly_source_window.fat&amp;display_string=Audit&amp;DYN_ARGS=TRUE&amp;VAR:ID1=N2271710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74__FDSAUDITLINK__" hidden="1">{"fdsup://IBCentral/FAT Viewer?action=UPDATE&amp;creator=factset&amp;DOC_NAME=fat:reuters_qtrly_source_window.fat&amp;display_string=Audit&amp;DYN_ARGS=TRUE&amp;VAR:ID1=N2271710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75__FDSAUDITLINK__" hidden="1">{"fdsup://IBCentral/FAT Viewer?action=UPDATE&amp;creator=factset&amp;DOC_NAME=fat:reuters_qtrly_source_window.fat&amp;display_string=Audit&amp;DYN_ARGS=TRUE&amp;VAR:ID1=N2271710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76__FDSAUDITLINK__" hidden="1">{"fdsup://directions/FAT Viewer?action=UPDATE&amp;creator=factset&amp;DYN_ARGS=TRUE&amp;DOC_NAME=FAT:FQL_AUDITING_CLIENT_TEMPLATE.FAT&amp;display_string=Audit&amp;VAR:KEY=OLYJULUBQT&amp;VAR:QUERY=UkdGX1BGRF9TVEsoUVRSLDAsLCwsVVNEKQ==&amp;WINDOW=FIRST_POPUP&amp;HEIGHT=450&amp;WIDTH=450&amp;START_MA","XIMIZED=FALSE&amp;VAR:CALENDAR=US&amp;VAR:SYMBOL=13342B10&amp;VAR:INDEX=0"}</definedName>
    <definedName name="_677__FDSAUDITLINK__" hidden="1">{"fdsup://directions/FAT Viewer?action=UPDATE&amp;creator=factset&amp;DYN_ARGS=TRUE&amp;DOC_NAME=FAT:FQL_AUDITING_CLIENT_TEMPLATE.FAT&amp;display_string=Audit&amp;VAR:KEY=OLYJULUBQT&amp;VAR:QUERY=UkdGX1BGRF9TVEsoUVRSLDAsLCwsVVNEKQ==&amp;WINDOW=FIRST_POPUP&amp;HEIGHT=450&amp;WIDTH=450&amp;START_MA","XIMIZED=FALSE&amp;VAR:CALENDAR=US&amp;VAR:SYMBOL=13342B10&amp;VAR:INDEX=0"}</definedName>
    <definedName name="_678__FDSAUDITLINK__" hidden="1">{"fdsup://IBCentral/FAT Viewer?action=UPDATE&amp;creator=factset&amp;DOC_NAME=fat:reuters_qtrly_source_window.fat&amp;display_string=Audit&amp;DYN_ARGS=TRUE&amp;VAR:ID1=13342B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79__FDSAUDITLINK__" hidden="1">{"fdsup://IBCentral/FAT Viewer?action=UPDATE&amp;creator=factset&amp;DOC_NAME=fat:reuters_qtrly_source_window.fat&amp;display_string=Audit&amp;DYN_ARGS=TRUE&amp;VAR:ID1=13342B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8__FDSAUDITLINK__" hidden="1">{"fdsup://directions/FAT Viewer?action=UPDATE&amp;creator=factSet&amp;DYN_ARGS=true&amp;DOC_NAME=FAT:RGQ_ENTRPR_VAL_MV_SOURCE_WINDOW.FAT&amp;VAR:ID1=FIGI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68_0__123Graph_A商" hidden="1">#REF!</definedName>
    <definedName name="_68_0__123Graph_B総" hidden="1">#REF!</definedName>
    <definedName name="_680__FDSAUDITLINK__" hidden="1">{"fdsup://IBCentral/FAT Viewer?action=UPDATE&amp;creator=factset&amp;DOC_NAME=fat:reuters_qtrly_source_window.fat&amp;display_string=Audit&amp;DYN_ARGS=TRUE&amp;VAR:ID1=13342B10&amp;VAR:RCODE=STLD&amp;VAR:SDATE=20110399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681__FDSAUDITLINK__" hidden="1">{"fdsup://directions/FAT Viewer?action=UPDATE&amp;creator=factset&amp;DYN_ARGS=TRUE&amp;DOC_NAME=FAT:FQL_AUDITING_CLIENT_TEMPLATE.FAT&amp;display_string=Audit&amp;VAR:KEY=MBERSHUVWP&amp;VAR:QUERY=UkdGX1BGRF9TVEsoUVRSLDAsLCwsVVNEKQ==&amp;WINDOW=FIRST_POPUP&amp;HEIGHT=450&amp;WIDTH=450&amp;START_MA","XIMIZED=FALSE&amp;VAR:CALENDAR=US&amp;VAR:SYMBOL=B1PPRK&amp;VAR:INDEX=0"}</definedName>
    <definedName name="_682__FDSAUDITLINK__" hidden="1">{"fdsup://directions/FAT Viewer?action=UPDATE&amp;creator=factset&amp;DYN_ARGS=TRUE&amp;DOC_NAME=FAT:FQL_AUDITING_CLIENT_TEMPLATE.FAT&amp;display_string=Audit&amp;VAR:KEY=MBERSHUVWP&amp;VAR:QUERY=UkdGX1BGRF9TVEsoUVRSLDAsLCwsVVNEKQ==&amp;WINDOW=FIRST_POPUP&amp;HEIGHT=450&amp;WIDTH=450&amp;START_MA","XIMIZED=FALSE&amp;VAR:CALENDAR=US&amp;VAR:SYMBOL=B1PPRK&amp;VAR:INDEX=0"}</definedName>
    <definedName name="_683__FDSAUDITLINK__" hidden="1">{"fdsup://IBCentral/FAT Viewer?action=UPDATE&amp;creator=factset&amp;DOC_NAME=fat:reuters_annual_source_window.fat&amp;display_string=Audit&amp;DYN_ARGS=TRUE&amp;VAR:ID1=B1PPRK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B1PPRK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685__FDSAUDITLINK__" hidden="1">{"fdsup://directions/FAT Viewer?action=UPDATE&amp;creator=factset&amp;DYN_ARGS=TRUE&amp;DOC_NAME=FAT:FQL_AUDITING_CLIENT_TEMPLATE.FAT&amp;display_string=Audit&amp;VAR:KEY=SDWBYJOPCF&amp;VAR:QUERY=UkdGX1BGRF9TVEsoUVRSLDAsLCwsVVNEKQ==&amp;WINDOW=FIRST_POPUP&amp;HEIGHT=450&amp;WIDTH=450&amp;START_MA","XIMIZED=FALSE&amp;VAR:CALENDAR=US&amp;VAR:SYMBOL=B013SX&amp;VAR:INDEX=0"}</definedName>
    <definedName name="_686__FDSAUDITLINK__" hidden="1">{"fdsup://directions/FAT Viewer?action=UPDATE&amp;creator=factset&amp;DYN_ARGS=TRUE&amp;DOC_NAME=FAT:FQL_AUDITING_CLIENT_TEMPLATE.FAT&amp;display_string=Audit&amp;VAR:KEY=SDWBYJOPCF&amp;VAR:QUERY=UkdGX1BGRF9TVEsoUVRSLDAsLCwsVVNEKQ==&amp;WINDOW=FIRST_POPUP&amp;HEIGHT=450&amp;WIDTH=450&amp;START_MA","XIMIZED=FALSE&amp;VAR:CALENDAR=US&amp;VAR:SYMBOL=B013SX&amp;VAR:INDEX=0"}</definedName>
    <definedName name="_687__FDSAUDITLINK__" hidden="1">{"fdsup://IBCentral/FAT Viewer?action=UPDATE&amp;creator=factset&amp;DOC_NAME=fat:reuters_annual_source_window.fat&amp;display_string=Audit&amp;DYN_ARGS=TRUE&amp;VAR:ID1=B013SX&amp;VAR:RCODE=STLD&amp;VAR:SDATE=20100699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688__FDSAUDITLINK__" hidden="1">{"fdsup://IBCentral/FAT Viewer?action=UPDATE&amp;creator=factset&amp;DOC_NAME=fat:reuters_annual_source_window.fat&amp;display_string=Audit&amp;DYN_ARGS=TRUE&amp;VAR:ID1=B013SX&amp;VAR:RCODE=STLD&amp;VAR:SDATE=20100699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689__FDSAUDITLINK__" hidden="1">{"fdsup://directions/FAT Viewer?action=UPDATE&amp;creator=factset&amp;DYN_ARGS=TRUE&amp;DOC_NAME=FAT:FQL_AUDITING_CLIENT_TEMPLATE.FAT&amp;display_string=Audit&amp;VAR:KEY=SFOBGBOJGH&amp;VAR:QUERY=UkdGX1BGRF9TVEsoUVRSLDAsLCwsVVNEKQ==&amp;WINDOW=FIRST_POPUP&amp;HEIGHT=450&amp;WIDTH=450&amp;START_MA","XIMIZED=FALSE&amp;VAR:CALENDAR=US&amp;VAR:SYMBOL=B1QGR4&amp;VAR:INDEX=0"}</definedName>
    <definedName name="_69__FDSAUDITLINK__" hidden="1">{"fdsup://directions/FAT Viewer?action=UPDATE&amp;creator=factSet&amp;DYN_ARGS=true&amp;DOC_NAME=FAT:RGQ_ENTRPR_VAL_MV_SOURCE_WINDOW.FAT&amp;VAR:ID1=TI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69_0__123Graph_B乗" hidden="1">#REF!</definedName>
    <definedName name="_69_0__123Graph_C乗" hidden="1">#REF!</definedName>
    <definedName name="_690__FDSAUDITLINK__" hidden="1">{"fdsup://directions/FAT Viewer?action=UPDATE&amp;creator=factset&amp;DYN_ARGS=TRUE&amp;DOC_NAME=FAT:FQL_AUDITING_CLIENT_TEMPLATE.FAT&amp;display_string=Audit&amp;VAR:KEY=SFOBGBOJGH&amp;VAR:QUERY=UkdGX1BGRF9TVEsoUVRSLDAsLCwsVVNEKQ==&amp;WINDOW=FIRST_POPUP&amp;HEIGHT=450&amp;WIDTH=450&amp;START_MA","XIMIZED=FALSE&amp;VAR:CALENDAR=US&amp;VAR:SYMBOL=B1QGR4&amp;VAR:INDEX=0"}</definedName>
    <definedName name="_691__FDSAUDITLINK__" hidden="1">{"fdsup://IBCentral/FAT Viewer?action=UPDATE&amp;creator=factset&amp;DOC_NAME=fat:reuters_qtrly_source_window.fat&amp;display_string=Audit&amp;DYN_ARGS=TRUE&amp;VAR:ID1=B1QGR4&amp;VAR:RCODE=STLD&amp;VAR:SDATE=20110699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92__FDSAUDITLINK__" hidden="1">{"fdsup://IBCentral/FAT Viewer?action=UPDATE&amp;creator=factset&amp;DOC_NAME=fat:reuters_qtrly_source_window.fat&amp;display_string=Audit&amp;DYN_ARGS=TRUE&amp;VAR:ID1=B1QGR4&amp;VAR:RCODE=STLD&amp;VAR:SDATE=20110699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93__FDSAUDITLINK__" hidden="1">{"fdsup://IBCentral/FAT Viewer?action=UPDATE&amp;creator=factset&amp;DOC_NAME=fat:reuters_qtrly_source_window.fat&amp;display_string=Audit&amp;DYN_ARGS=TRUE&amp;VAR:ID1=B1QGR4&amp;VAR:RCODE=STLD&amp;VAR:SDATE=20110699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94__FDSAUDITLINK__" hidden="1">{"fdsup://directions/FAT Viewer?action=UPDATE&amp;creator=factset&amp;DYN_ARGS=TRUE&amp;DOC_NAME=FAT:FQL_AUDITING_CLIENT_TEMPLATE.FAT&amp;display_string=Audit&amp;VAR:KEY=YZAJMTSLUF&amp;VAR:QUERY=UkdGX1BGRF9TVEsoUVRSLDAsLCwsVVNEKQ==&amp;WINDOW=FIRST_POPUP&amp;HEIGHT=450&amp;WIDTH=450&amp;START_MA","XIMIZED=FALSE&amp;VAR:CALENDAR=US&amp;VAR:SYMBOL=B1VLVW&amp;VAR:INDEX=0"}</definedName>
    <definedName name="_695__FDSAUDITLINK__" hidden="1">{"fdsup://directions/FAT Viewer?action=UPDATE&amp;creator=factset&amp;DYN_ARGS=TRUE&amp;DOC_NAME=FAT:FQL_AUDITING_CLIENT_TEMPLATE.FAT&amp;display_string=Audit&amp;VAR:KEY=YZAJMTSLUF&amp;VAR:QUERY=UkdGX1BGRF9TVEsoUVRSLDAsLCwsVVNEKQ==&amp;WINDOW=FIRST_POPUP&amp;HEIGHT=450&amp;WIDTH=450&amp;START_MA","XIMIZED=FALSE&amp;VAR:CALENDAR=US&amp;VAR:SYMBOL=B1VLVW&amp;VAR:INDEX=0"}</definedName>
    <definedName name="_696__FDSAUDITLINK__" hidden="1">{"fdsup://IBCentral/FAT Viewer?action=UPDATE&amp;creator=factset&amp;DOC_NAME=fat:reuters_qtrly_source_window.fat&amp;display_string=Audit&amp;DYN_ARGS=TRUE&amp;VAR:ID1=B1VLVW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97__FDSAUDITLINK__" hidden="1">{"fdsup://IBCentral/FAT Viewer?action=UPDATE&amp;creator=factset&amp;DOC_NAME=fat:reuters_qtrly_source_window.fat&amp;display_string=Audit&amp;DYN_ARGS=TRUE&amp;VAR:ID1=B1VLVW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98__FDSAUDITLINK__" hidden="1">{"fdsup://IBCentral/FAT Viewer?action=UPDATE&amp;creator=factset&amp;DOC_NAME=fat:reuters_qtrly_source_window.fat&amp;display_string=Audit&amp;DYN_ARGS=TRUE&amp;VAR:ID1=B1VLVW&amp;VAR:RCODE=STLD&amp;VAR:SDATE=20110399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699__FDSAUDITLINK__" hidden="1">{"fdsup://directions/FAT Viewer?action=UPDATE&amp;creator=factset&amp;DYN_ARGS=TRUE&amp;DOC_NAME=FAT:FQL_AUDITING_CLIENT_TEMPLATE.FAT&amp;display_string=Audit&amp;VAR:KEY=MLSZYDIFKF&amp;VAR:QUERY=UkdGX1BGRF9TVEsoUVRSLDAsLCwsVVNEKQ==&amp;WINDOW=FIRST_POPUP&amp;HEIGHT=450&amp;WIDTH=450&amp;START_MA","XIMIZED=FALSE&amp;VAR:CALENDAR=US&amp;VAR:SYMBOL=656099&amp;VAR:INDEX=0"}</definedName>
    <definedName name="_6M_Fenster_.Datensatz_einfügen">#REF!</definedName>
    <definedName name="_6M_Fenster_.KSBASISDATEN">#N/A</definedName>
    <definedName name="_6M_Fenster_.KSBlatthinzu">#REF!</definedName>
    <definedName name="_7_?" hidden="1">{#N/A,#N/A,TRUE,"??"}</definedName>
    <definedName name="_7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7_______0__123Graph_C商" hidden="1">#REF!</definedName>
    <definedName name="_7___123Graph_DCHART_3" hidden="1">#REF!</definedName>
    <definedName name="_7__123Graph_A????_1" hidden="1">#REF!</definedName>
    <definedName name="_7__123Graph_A????_4" hidden="1">#REF!</definedName>
    <definedName name="_7__123Graph_ATOTAL_DIRECTOS" hidden="1">#REF!</definedName>
    <definedName name="_7__123Graph_Aｸﾞﾗﾌ_2" hidden="1">#REF!</definedName>
    <definedName name="_7__123Graph_Xｸﾞﾗﾌ_2" hidden="1">#REF!</definedName>
    <definedName name="_7__FDSAUDITLINK__" hidden="1">{"fdsup://directions/FAT Viewer?action=UPDATE&amp;creator=factSet&amp;DYN_ARGS=true&amp;DOC_NAME=FAT:RGQ_ENTRPR_VAL_MV_SOURCE_WINDOW.FAT&amp;VAR:ID1=GAPN&amp;VAR:SDATE=20100721&amp;VAR:FDATE=19920930&amp;VAR:FREQ=DAILY&amp;VAR:RELITEM=&amp;VAR:CURRENCY=&amp;VAR:DB_TYPE=&amp;VAR:UNITS=M&amp;VAR:SHS_OUT_TY","PE=&amp;window=popup&amp;width=535&amp;height=425&amp;START_MAXIMIZED=FALSE&amp;Y=120"}</definedName>
    <definedName name="_7_123Graph_B総" hidden="1">#REF!</definedName>
    <definedName name="_70__123Graph_LBL_AINTR_PINT" hidden="1">#REF!</definedName>
    <definedName name="_70__123Graph_X????_3" hidden="1">#REF!</definedName>
    <definedName name="_70__FDSAUDITLINK__" hidden="1">{"fdsup://directions/FAT Viewer?action=UPDATE&amp;creator=factSet&amp;DYN_ARGS=true&amp;DOC_NAME=FAT:RGQ_ENTRPR_VAL_MV_SOURCE_WINDOW.FAT&amp;VAR:ID1=TIK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70_0__123Graph_B商" hidden="1">#REF!</definedName>
    <definedName name="_70_0__123Graph_C乗" hidden="1">#REF!</definedName>
    <definedName name="_700__FDSAUDITLINK__" hidden="1">{"fdsup://directions/FAT Viewer?action=UPDATE&amp;creator=factset&amp;DYN_ARGS=TRUE&amp;DOC_NAME=FAT:FQL_AUDITING_CLIENT_TEMPLATE.FAT&amp;display_string=Audit&amp;VAR:KEY=MLSZYDIFKF&amp;VAR:QUERY=UkdGX1BGRF9TVEsoUVRSLDAsLCwsVVNEKQ==&amp;WINDOW=FIRST_POPUP&amp;HEIGHT=450&amp;WIDTH=450&amp;START_MA","XIMIZED=FALSE&amp;VAR:CALENDAR=US&amp;VAR:SYMBOL=656099&amp;VAR:INDEX=0"}</definedName>
    <definedName name="_701__FDSAUDITLINK__" hidden="1">{"fdsup://IBCentral/FAT Viewer?action=UPDATE&amp;creator=factset&amp;DOC_NAME=fat:reuters_annual_source_window.fat&amp;display_string=Audit&amp;DYN_ARGS=TRUE&amp;VAR:ID1=656099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656099&amp;VAR:RCODE=STLD&amp;VAR:SDATE=20101299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703__FDSAUDITLINK__" hidden="1">{"fdsup://directions/FAT Viewer?action=UPDATE&amp;creator=factset&amp;DYN_ARGS=TRUE&amp;DOC_NAME=FAT:FQL_AUDITING_CLIENT_TEMPLATE.FAT&amp;display_string=Audit&amp;VAR:KEY=CRUDEFUXAH&amp;VAR:QUERY=UkdGX1BGRF9TVEsoUVRSLDAsLCwsVVNEKQ==&amp;WINDOW=FIRST_POPUP&amp;HEIGHT=450&amp;WIDTH=450&amp;START_MA","XIMIZED=FALSE&amp;VAR:CALENDAR=US&amp;VAR:SYMBOL=H2701310&amp;VAR:INDEX=0"}</definedName>
    <definedName name="_704__FDSAUDITLINK__" hidden="1">{"fdsup://directions/FAT Viewer?action=UPDATE&amp;creator=factset&amp;DYN_ARGS=TRUE&amp;DOC_NAME=FAT:FQL_AUDITING_CLIENT_TEMPLATE.FAT&amp;display_string=Audit&amp;VAR:KEY=CRUDEFUXAH&amp;VAR:QUERY=UkdGX1BGRF9TVEsoUVRSLDAsLCwsVVNEKQ==&amp;WINDOW=FIRST_POPUP&amp;HEIGHT=450&amp;WIDTH=450&amp;START_MA","XIMIZED=FALSE&amp;VAR:CALENDAR=US&amp;VAR:SYMBOL=H2701310&amp;VAR:INDEX=0"}</definedName>
    <definedName name="_705__FDSAUDITLINK__" hidden="1">{"fdsup://IBCentral/FAT Viewer?action=UPDATE&amp;creator=factset&amp;DOC_NAME=fat:reuters_qtrly_source_window.fat&amp;display_string=Audit&amp;DYN_ARGS=TRUE&amp;VAR:ID1=H2701310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06__FDSAUDITLINK__" hidden="1">{"fdsup://IBCentral/FAT Viewer?action=UPDATE&amp;creator=factset&amp;DOC_NAME=fat:reuters_qtrly_source_window.fat&amp;display_string=Audit&amp;DYN_ARGS=TRUE&amp;VAR:ID1=H2701310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07__FDSAUDITLINK__" hidden="1">{"fdsup://IBCentral/FAT Viewer?action=UPDATE&amp;creator=factset&amp;DOC_NAME=fat:reuters_qtrly_source_window.fat&amp;display_string=Audit&amp;DYN_ARGS=TRUE&amp;VAR:ID1=H2701310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08__FDSAUDITLINK__" hidden="1">{"fdsup://directions/FAT Viewer?action=UPDATE&amp;creator=factset&amp;DYN_ARGS=TRUE&amp;DOC_NAME=FAT:FQL_AUDITING_CLIENT_TEMPLATE.FAT&amp;display_string=Audit&amp;VAR:KEY=QHKNEFEPSF&amp;VAR:QUERY=UkdGX1BGRF9TVEsoUVRSLDAsLCwsVVNEKQ==&amp;WINDOW=FIRST_POPUP&amp;HEIGHT=450&amp;WIDTH=450&amp;START_MA","XIMIZED=FALSE&amp;VAR:CALENDAR=US&amp;VAR:SYMBOL=63707110&amp;VAR:INDEX=0"}</definedName>
    <definedName name="_709__FDSAUDITLINK__" hidden="1">{"fdsup://directions/FAT Viewer?action=UPDATE&amp;creator=factset&amp;DYN_ARGS=TRUE&amp;DOC_NAME=FAT:FQL_AUDITING_CLIENT_TEMPLATE.FAT&amp;display_string=Audit&amp;VAR:KEY=QHKNEFEPSF&amp;VAR:QUERY=UkdGX1BGRF9TVEsoUVRSLDAsLCwsVVNEKQ==&amp;WINDOW=FIRST_POPUP&amp;HEIGHT=450&amp;WIDTH=450&amp;START_MA","XIMIZED=FALSE&amp;VAR:CALENDAR=US&amp;VAR:SYMBOL=63707110&amp;VAR:INDEX=0"}</definedName>
    <definedName name="_71__FDSAUDITLINK__" hidden="1">{"fdsup://directions/FAT Viewer?action=UPDATE&amp;creator=factSet&amp;DYN_ARGS=true&amp;DOC_NAME=FAT:RGQ_ENTRPR_VAL_MV_SOURCE_WINDOW.FAT&amp;VAR:ID1=BUKS&amp;VAR:SDATE=20100721&amp;VAR:FDATE=20100129&amp;VAR:FREQ=DAILY&amp;VAR:RELITEM=&amp;VAR:CURRENCY=&amp;VAR:DB_TYPE=&amp;VAR:UNITS=M&amp;VAR:SHS_OUT_TY","PE=&amp;window=popup&amp;width=535&amp;height=425&amp;START_MAXIMIZED=FALSE&amp;Y=120"}</definedName>
    <definedName name="_71_0__123Graph_B総" hidden="1">#REF!</definedName>
    <definedName name="_71_0__123Graph_C乗" hidden="1">#REF!</definedName>
    <definedName name="_710__FDSAUDITLINK__" hidden="1">{"fdsup://IBCentral/FAT Viewer?action=UPDATE&amp;creator=factset&amp;DOC_NAME=fat:reuters_qtrly_source_window.fat&amp;display_string=Audit&amp;DYN_ARGS=TRUE&amp;VAR:ID1=63707110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11__FDSAUDITLINK__" hidden="1">{"fdsup://IBCentral/FAT Viewer?action=UPDATE&amp;creator=factset&amp;DOC_NAME=fat:reuters_qtrly_source_window.fat&amp;display_string=Audit&amp;DYN_ARGS=TRUE&amp;VAR:ID1=63707110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12__FDSAUDITLINK__" hidden="1">{"fdsup://IBCentral/FAT Viewer?action=UPDATE&amp;creator=factset&amp;DOC_NAME=fat:reuters_qtrly_source_window.fat&amp;display_string=Audit&amp;DYN_ARGS=TRUE&amp;VAR:ID1=63707110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13__FDSAUDITLINK__" hidden="1">{"fdsup://directions/FAT Viewer?action=UPDATE&amp;creator=factset&amp;DYN_ARGS=TRUE&amp;DOC_NAME=FAT:FQL_AUDITING_CLIENT_TEMPLATE.FAT&amp;display_string=Audit&amp;VAR:KEY=CXEJEBUNCD&amp;VAR:QUERY=UkdGX1BGRF9TVEsoUVRSLDAsLCwsVVNEKQ==&amp;WINDOW=FIRST_POPUP&amp;HEIGHT=450&amp;WIDTH=450&amp;START_MA","XIMIZED=FALSE&amp;VAR:CALENDAR=US&amp;VAR:SYMBOL=40621610&amp;VAR:INDEX=0"}</definedName>
    <definedName name="_714__FDSAUDITLINK__" hidden="1">{"fdsup://directions/FAT Viewer?action=UPDATE&amp;creator=factset&amp;DYN_ARGS=TRUE&amp;DOC_NAME=FAT:FQL_AUDITING_CLIENT_TEMPLATE.FAT&amp;display_string=Audit&amp;VAR:KEY=CXEJEBUNCD&amp;VAR:QUERY=UkdGX1BGRF9TVEsoUVRSLDAsLCwsVVNEKQ==&amp;WINDOW=FIRST_POPUP&amp;HEIGHT=450&amp;WIDTH=450&amp;START_MA","XIMIZED=FALSE&amp;VAR:CALENDAR=US&amp;VAR:SYMBOL=40621610&amp;VAR:INDEX=0"}</definedName>
    <definedName name="_715__FDSAUDITLINK__" hidden="1">{"fdsup://IBCentral/FAT Viewer?action=UPDATE&amp;creator=factset&amp;DOC_NAME=fat:reuters_qtrly_source_window.fat&amp;display_string=Audit&amp;DYN_ARGS=TRUE&amp;VAR:ID1=40621610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16__FDSAUDITLINK__" hidden="1">{"fdsup://IBCentral/FAT Viewer?action=UPDATE&amp;creator=factset&amp;DOC_NAME=fat:reuters_qtrly_source_window.fat&amp;display_string=Audit&amp;DYN_ARGS=TRUE&amp;VAR:ID1=40621610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17__FDSAUDITLINK__" hidden="1">{"fdsup://IBCentral/FAT Viewer?action=UPDATE&amp;creator=factset&amp;DOC_NAME=fat:reuters_qtrly_source_window.fat&amp;display_string=Audit&amp;DYN_ARGS=TRUE&amp;VAR:ID1=40621610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18__FDSAUDITLINK__" hidden="1">{"fdsup://directions/FAT Viewer?action=UPDATE&amp;creator=factset&amp;DYN_ARGS=TRUE&amp;DOC_NAME=FAT:FQL_AUDITING_CLIENT_TEMPLATE.FAT&amp;display_string=Audit&amp;VAR:KEY=QJSHUTOZYX&amp;VAR:QUERY=UkdGX1BGRF9TVEsoUVRSLDAsLCwsVVNEKQ==&amp;WINDOW=FIRST_POPUP&amp;HEIGHT=450&amp;WIDTH=450&amp;START_MA","XIMIZED=FALSE&amp;VAR:CALENDAR=US&amp;VAR:SYMBOL=36960410&amp;VAR:INDEX=0"}</definedName>
    <definedName name="_719__FDSAUDITLINK__" hidden="1">{"fdsup://directions/FAT Viewer?action=UPDATE&amp;creator=factset&amp;DYN_ARGS=TRUE&amp;DOC_NAME=FAT:FQL_AUDITING_CLIENT_TEMPLATE.FAT&amp;display_string=Audit&amp;VAR:KEY=QJSHUTOZYX&amp;VAR:QUERY=UkdGX1BGRF9TVEsoUVRSLDAsLCwsVVNEKQ==&amp;WINDOW=FIRST_POPUP&amp;HEIGHT=450&amp;WIDTH=450&amp;START_MA","XIMIZED=FALSE&amp;VAR:CALENDAR=US&amp;VAR:SYMBOL=36960410&amp;VAR:INDEX=0"}</definedName>
    <definedName name="_72__123Graph_DGRAPHIQUE_1" hidden="1">#REF!</definedName>
    <definedName name="_72__123Graph_X????_3" hidden="1">#REF!</definedName>
    <definedName name="_72__FDSAUDITLINK__" hidden="1">{"fdsup://directions/FAT Viewer?action=UPDATE&amp;creator=factSet&amp;DYN_ARGS=true&amp;DOC_NAME=FAT:RGQ_ENTRPR_VAL_MV_SOURCE_WINDOW.FAT&amp;VAR:ID1=BUKS&amp;VAR:SDATE=20100721&amp;VAR:FDATE=20100129&amp;VAR:FREQ=DAILY&amp;VAR:RELITEM=&amp;VAR:CURRENCY=&amp;VAR:DB_TYPE=&amp;VAR:UNITS=M&amp;VAR:SHS_OUT_TY","PE=&amp;window=popup&amp;width=535&amp;height=425&amp;START_MAXIMIZED=FALSE&amp;Y=120"}</definedName>
    <definedName name="_72_0__123Graph_C乗" hidden="1">#REF!</definedName>
    <definedName name="_720__FDSAUDITLINK__" hidden="1">{"fdsup://directions/FAT Viewer?action=UPDATE&amp;creator=factset&amp;DYN_ARGS=TRUE&amp;DOC_NAME=FAT:FQL_AUDITING_CLIENT_TEMPLATE.FAT&amp;display_string=Audit&amp;VAR:KEY=QJSHUTOZYX&amp;VAR:QUERY=UkdGX1BGRF9TVEsoUVRSLDAsLCwsVVNEKQ==&amp;WINDOW=FIRST_POPUP&amp;HEIGHT=450&amp;WIDTH=450&amp;START_MA","XIMIZED=FALSE&amp;VAR:CALENDAR=US&amp;VAR:SYMBOL=36960410&amp;VAR:INDEX=0"}</definedName>
    <definedName name="_721__FDSAUDITLINK__" hidden="1">{"fdsup://directions/FAT Viewer?action=UPDATE&amp;creator=factset&amp;DYN_ARGS=TRUE&amp;DOC_NAME=FAT:FQL_AUDITING_CLIENT_TEMPLATE.FAT&amp;display_string=Audit&amp;VAR:KEY=QJSHUTOZYX&amp;VAR:QUERY=UkdGX1BGRF9TVEsoUVRSLDAsLCwsVVNEKQ==&amp;WINDOW=FIRST_POPUP&amp;HEIGHT=450&amp;WIDTH=450&amp;START_MA","XIMIZED=FALSE&amp;VAR:CALENDAR=US&amp;VAR:SYMBOL=36960410&amp;VAR:INDEX=0"}</definedName>
    <definedName name="_722__FDSAUDITLINK__" hidden="1">{"fdsup://IBCentral/FAT Viewer?action=UPDATE&amp;creator=factset&amp;DOC_NAME=fat:reuters_qtrly_source_window.fat&amp;display_string=Audit&amp;DYN_ARGS=TRUE&amp;VAR:ID1=36960410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23__FDSAUDITLINK__" hidden="1">{"fdsup://IBCentral/FAT Viewer?action=UPDATE&amp;creator=factset&amp;DOC_NAME=fat:reuters_qtrly_source_window.fat&amp;display_string=Audit&amp;DYN_ARGS=TRUE&amp;VAR:ID1=36960410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24__FDSAUDITLINK__" hidden="1">{"fdsup://IBCentral/FAT Viewer?action=UPDATE&amp;creator=factset&amp;DOC_NAME=fat:reuters_qtrly_source_window.fat&amp;display_string=Audit&amp;DYN_ARGS=TRUE&amp;VAR:ID1=36960410&amp;VAR:RCODE=STLD&amp;VAR:SDATE=20110699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25__FDSAUDITLINK__" hidden="1">{"fdsup://directions/FAT Viewer?action=UPDATE&amp;creator=factset&amp;DYN_ARGS=TRUE&amp;DOC_NAME=FAT:FQL_AUDITING_CLIENT_TEMPLATE.FAT&amp;display_string=Audit&amp;VAR:KEY=RKTYLSDWJI&amp;VAR:QUERY=UkdGX1BGRF9TVEsoUVRSLDAsLCwsVVNEKQ==&amp;WINDOW=FIRST_POPUP&amp;HEIGHT=450&amp;WIDTH=450&amp;START_MA","XIMIZED=FALSE&amp;VAR:CALENDAR=US&amp;VAR:SYMBOL=N2271710&amp;VAR:INDEX=0"}</definedName>
    <definedName name="_726__FDSAUDITLINK__" hidden="1">{"fdsup://directions/FAT Viewer?action=UPDATE&amp;creator=factset&amp;DYN_ARGS=TRUE&amp;DOC_NAME=FAT:FQL_AUDITING_CLIENT_TEMPLATE.FAT&amp;display_string=Audit&amp;VAR:KEY=ZKPGRCPSPA&amp;VAR:QUERY=UkdGX1BGRF9TVEsoQU5OLDAsLCwsVVNEKQ==&amp;WINDOW=FIRST_POPUP&amp;HEIGHT=450&amp;WIDTH=450&amp;START_MA","XIMIZED=FALSE&amp;VAR:CALENDAR=US&amp;VAR:SYMBOL=N2271710&amp;VAR:INDEX=0"}</definedName>
    <definedName name="_727__FDSAUDITLINK__" hidden="1">{"fdsup://directions/FAT Viewer?action=UPDATE&amp;creator=factset&amp;DYN_ARGS=TRUE&amp;DOC_NAME=FAT:FQL_AUDITING_CLIENT_TEMPLATE.FAT&amp;display_string=Audit&amp;VAR:KEY=RKTYLSDWJI&amp;VAR:QUERY=UkdGX1BGRF9TVEsoUVRSLDAsLCwsVVNEKQ==&amp;WINDOW=FIRST_POPUP&amp;HEIGHT=450&amp;WIDTH=450&amp;START_MA","XIMIZED=FALSE&amp;VAR:CALENDAR=US&amp;VAR:SYMBOL=N2271710&amp;VAR:INDEX=0"}</definedName>
    <definedName name="_728__FDSAUDITLINK__" hidden="1">{"fdsup://IBCentral/FAT Viewer?action=UPDATE&amp;creator=factset&amp;DOC_NAME=fat:reuters_qtrly_source_window.fat&amp;display_string=Audit&amp;DYN_ARGS=TRUE&amp;VAR:ID1=N2271710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29__FDSAUDITLINK__" hidden="1">{"fdsup://IBCentral/FAT Viewer?action=UPDATE&amp;creator=factset&amp;DOC_NAME=fat:reuters_qtrly_source_window.fat&amp;display_string=Audit&amp;DYN_ARGS=TRUE&amp;VAR:ID1=N2271710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3__FDSAUDITLINK__" hidden="1">{"fdsup://directions/FAT Viewer?action=UPDATE&amp;creator=factSet&amp;DYN_ARGS=true&amp;DOC_NAME=FAT:RGQ_ENTRPR_VAL_MV_SOURCE_WINDOW.FAT&amp;VAR:ID1=AIRI&amp;VAR:SDATE=20100721&amp;VAR:FDATE=20090630&amp;VAR:FREQ=DAILY&amp;VAR:RELITEM=&amp;VAR:CURRENCY=&amp;VAR:DB_TYPE=&amp;VAR:UNITS=M&amp;VAR:SHS_OUT_TY","PE=&amp;window=popup&amp;width=535&amp;height=425&amp;START_MAXIMIZED=FALSE&amp;Y=120"}</definedName>
    <definedName name="_73_0__123Graph_C乗" hidden="1">#REF!</definedName>
    <definedName name="_73_0__123Graph_C商" hidden="1">#REF!</definedName>
    <definedName name="_730__FDSAUDITLINK__" hidden="1">{"fdsup://IBCentral/FAT Viewer?action=UPDATE&amp;creator=factset&amp;DOC_NAME=fat:reuters_annual_source_window.fat&amp;display_string=Audit&amp;DYN_ARGS=TRUE&amp;VAR:ID1=N2271710&amp;VAR:RCODE=STLD&amp;VAR:SDATE=20091299&amp;VAR:FREQ=Y&amp;VAR:RELITEM=RP&amp;VAR:CURRENCY=USD&amp;VAR:CURRSOURCE=EXSHAR","E&amp;VAR:NATFREQ=ANNUAL&amp;VAR:RFIELD=FINALIZED&amp;VAR:DB_TYPE=NR&amp;VAR:UNITS=M&amp;window=popup&amp;width=450&amp;height=300&amp;START_MAXIMIZED=FALSE"}</definedName>
    <definedName name="_731__FDSAUDITLINK__" hidden="1">{"fdsup://IBCentral/FAT Viewer?action=UPDATE&amp;creator=factset&amp;DOC_NAME=fat:reuters_qtrly_source_window.fat&amp;display_string=Audit&amp;DYN_ARGS=TRUE&amp;VAR:ID1=N2271710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32__FDSAUDITLINK__" hidden="1">{"fdsup://directions/FAT Viewer?action=UPDATE&amp;creator=factset&amp;DYN_ARGS=TRUE&amp;DOC_NAME=FAT:FQL_AUDITING_CLIENT_TEMPLATE.FAT&amp;display_string=Audit&amp;VAR:KEY=RILUNOXWTC&amp;VAR:QUERY=UkdGX1BGRF9TVEsoQU5OLDAsLCwsVVNEKQ==&amp;WINDOW=FIRST_POPUP&amp;HEIGHT=450&amp;WIDTH=450&amp;START_MA","XIMIZED=FALSE&amp;VAR:CALENDAR=US&amp;VAR:SYMBOL=13342B10&amp;VAR:INDEX=0"}</definedName>
    <definedName name="_733__FDSAUDITLINK__" hidden="1">{"fdsup://directions/FAT Viewer?action=UPDATE&amp;creator=factset&amp;DYN_ARGS=TRUE&amp;DOC_NAME=FAT:FQL_AUDITING_CLIENT_TEMPLATE.FAT&amp;display_string=Audit&amp;VAR:KEY=LKHUVSPMPQ&amp;VAR:QUERY=UkdGX1BGRF9TVEsoUVRSLDAsLCwsVVNEKQ==&amp;WINDOW=FIRST_POPUP&amp;HEIGHT=450&amp;WIDTH=450&amp;START_MA","XIMIZED=FALSE&amp;VAR:CALENDAR=US&amp;VAR:SYMBOL=13342B10&amp;VAR:INDEX=0"}</definedName>
    <definedName name="_734__FDSAUDITLINK__" hidden="1">{"fdsup://directions/FAT Viewer?action=UPDATE&amp;creator=factset&amp;DYN_ARGS=TRUE&amp;DOC_NAME=FAT:FQL_AUDITING_CLIENT_TEMPLATE.FAT&amp;display_string=Audit&amp;VAR:KEY=RILUNOXWTC&amp;VAR:QUERY=UkdGX1BGRF9TVEsoQU5OLDAsLCwsVVNEKQ==&amp;WINDOW=FIRST_POPUP&amp;HEIGHT=450&amp;WIDTH=450&amp;START_MA","XIMIZED=FALSE&amp;VAR:CALENDAR=US&amp;VAR:SYMBOL=13342B10&amp;VAR:INDEX=0"}</definedName>
    <definedName name="_735__FDSAUDITLINK__" hidden="1">{"fdsup://directions/FAT Viewer?action=UPDATE&amp;creator=factset&amp;DYN_ARGS=TRUE&amp;DOC_NAME=FAT:FQL_AUDITING_CLIENT_TEMPLATE.FAT&amp;display_string=Audit&amp;VAR:KEY=LKHUVSPMPQ&amp;VAR:QUERY=UkdGX1BGRF9TVEsoUVRSLDAsLCwsVVNEKQ==&amp;WINDOW=FIRST_POPUP&amp;HEIGHT=450&amp;WIDTH=450&amp;START_MA","XIMIZED=FALSE&amp;VAR:CALENDAR=US&amp;VAR:SYMBOL=13342B10&amp;VAR:INDEX=0"}</definedName>
    <definedName name="_736__FDSAUDITLINK__" hidden="1">{"fdsup://IBCentral/FAT Viewer?action=UPDATE&amp;creator=factset&amp;DOC_NAME=fat:reuters_qtrly_source_window.fat&amp;display_string=Audit&amp;DYN_ARGS=TRUE&amp;VAR:ID1=13342B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37__FDSAUDITLINK__" hidden="1">{"fdsup://IBCentral/FAT Viewer?action=UPDATE&amp;creator=factset&amp;DOC_NAME=fat:reuters_qtrly_source_window.fat&amp;display_string=Audit&amp;DYN_ARGS=TRUE&amp;VAR:ID1=13342B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38__FDSAUDITLINK__" hidden="1">{"fdsup://IBCentral/FAT Viewer?action=UPDATE&amp;creator=factset&amp;DOC_NAME=fat:reuters_annual_source_window.fat&amp;display_string=Audit&amp;DYN_ARGS=TRUE&amp;VAR:ID1=13342B10&amp;VAR:RCODE=STLD&amp;VAR:SDATE=20091299&amp;VAR:FREQ=Y&amp;VAR:RELITEM=RP&amp;VAR:CURRENCY=USD&amp;VAR:CURRSOURCE=EXSHAR","E&amp;VAR:NATFREQ=ANNUAL&amp;VAR:RFIELD=FINALIZED&amp;VAR:DB_TYPE=NR&amp;VAR:UNITS=M&amp;window=popup&amp;width=450&amp;height=300&amp;START_MAXIMIZED=FALSE"}</definedName>
    <definedName name="_739__FDSAUDITLINK__" hidden="1">{"fdsup://IBCentral/FAT Viewer?action=UPDATE&amp;creator=factset&amp;DOC_NAME=fat:reuters_qtrly_source_window.fat&amp;display_string=Audit&amp;DYN_ARGS=TRUE&amp;VAR:ID1=13342B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4__123Graph_X????_4" hidden="1">#REF!</definedName>
    <definedName name="_74__FDSAUDITLINK__" hidden="1">{"fdsup://directions/FAT Viewer?action=UPDATE&amp;creator=factSet&amp;DYN_ARGS=true&amp;DOC_NAME=FAT:RGQ_ENTRPR_VAL_MV_SOURCE_WINDOW.FAT&amp;VAR:ID1=AIRI&amp;VAR:SDATE=20100721&amp;VAR:FDATE=20090630&amp;VAR:FREQ=DAILY&amp;VAR:RELITEM=&amp;VAR:CURRENCY=&amp;VAR:DB_TYPE=&amp;VAR:UNITS=M&amp;VAR:SHS_OUT_TY","PE=&amp;window=popup&amp;width=535&amp;height=425&amp;START_MAXIMIZED=FALSE&amp;Y=120"}</definedName>
    <definedName name="_74_0__123Graph_C乗" hidden="1">#REF!</definedName>
    <definedName name="_74_0__123Graph_D乗" hidden="1">#REF!</definedName>
    <definedName name="_740__FDSAUDITLINK__" hidden="1">{"fdsup://directions/FAT Viewer?action=UPDATE&amp;creator=factset&amp;DYN_ARGS=TRUE&amp;DOC_NAME=FAT:FQL_AUDITING_CLIENT_TEMPLATE.FAT&amp;display_string=Audit&amp;VAR:KEY=ZSRGPCFUNM&amp;VAR:QUERY=UkdGX1BGRF9TVEsoQU5OLDAsLCwsVVNEKQ==&amp;WINDOW=FIRST_POPUP&amp;HEIGHT=450&amp;WIDTH=450&amp;START_MA","XIMIZED=FALSE&amp;VAR:CALENDAR=US&amp;VAR:SYMBOL=B1PPRK&amp;VAR:INDEX=0"}</definedName>
    <definedName name="_741__FDSAUDITLINK__" hidden="1">{"fdsup://directions/FAT Viewer?action=UPDATE&amp;creator=factset&amp;DYN_ARGS=TRUE&amp;DOC_NAME=FAT:FQL_AUDITING_CLIENT_TEMPLATE.FAT&amp;display_string=Audit&amp;VAR:KEY=ZWXMNUXYHC&amp;VAR:QUERY=UkdGX1BGRF9TVEsoUVRSLDAsLCwsVVNEKQ==&amp;WINDOW=FIRST_POPUP&amp;HEIGHT=450&amp;WIDTH=450&amp;START_MA","XIMIZED=FALSE&amp;VAR:CALENDAR=US&amp;VAR:SYMBOL=B1PPRK&amp;VAR:INDEX=0"}</definedName>
    <definedName name="_742__FDSAUDITLINK__" hidden="1">{"fdsup://directions/FAT Viewer?action=UPDATE&amp;creator=factset&amp;DYN_ARGS=TRUE&amp;DOC_NAME=FAT:FQL_AUDITING_CLIENT_TEMPLATE.FAT&amp;display_string=Audit&amp;VAR:KEY=ZSRGPCFUNM&amp;VAR:QUERY=UkdGX1BGRF9TVEsoQU5OLDAsLCwsVVNEKQ==&amp;WINDOW=FIRST_POPUP&amp;HEIGHT=450&amp;WIDTH=450&amp;START_MA","XIMIZED=FALSE&amp;VAR:CALENDAR=US&amp;VAR:SYMBOL=B1PPRK&amp;VAR:INDEX=0"}</definedName>
    <definedName name="_743__FDSAUDITLINK__" hidden="1">{"fdsup://directions/FAT Viewer?action=UPDATE&amp;creator=factset&amp;DYN_ARGS=TRUE&amp;DOC_NAME=FAT:FQL_AUDITING_CLIENT_TEMPLATE.FAT&amp;display_string=Audit&amp;VAR:KEY=ZWXMNUXYHC&amp;VAR:QUERY=UkdGX1BGRF9TVEsoUVRSLDAsLCwsVVNEKQ==&amp;WINDOW=FIRST_POPUP&amp;HEIGHT=450&amp;WIDTH=450&amp;START_MA","XIMIZED=FALSE&amp;VAR:CALENDAR=US&amp;VAR:SYMBOL=B1PPRK&amp;VAR:INDEX=0"}</definedName>
    <definedName name="_744__FDSAUDITLINK__" hidden="1">{"fdsup://IBCentral/FAT Viewer?action=UPDATE&amp;creator=factset&amp;DOC_NAME=fat:reuters_annual_source_window.fat&amp;display_string=Audit&amp;DYN_ARGS=TRUE&amp;VAR:ID1=B1PPRK&amp;VAR:RCODE=STLD&amp;VAR:SDATE=20091299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745__FDSAUDITLINK__" hidden="1">{"fdsup://IBCentral/FAT Viewer?action=UPDATE&amp;creator=factset&amp;DOC_NAME=fat:reuters_annual_source_window.fat&amp;display_string=Audit&amp;DYN_ARGS=TRUE&amp;VAR:ID1=B1PPRK&amp;VAR:RCODE=STLD&amp;VAR:SDATE=20091299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746__FDSAUDITLINK__" hidden="1">{"fdsup://directions/FAT Viewer?action=UPDATE&amp;creator=factset&amp;DYN_ARGS=TRUE&amp;DOC_NAME=FAT:FQL_AUDITING_CLIENT_TEMPLATE.FAT&amp;display_string=Audit&amp;VAR:KEY=NQZGVCRCRY&amp;VAR:QUERY=UkdGX1BGRF9TVEsoQU5OLDAsLCwsVVNEKQ==&amp;WINDOW=FIRST_POPUP&amp;HEIGHT=450&amp;WIDTH=450&amp;START_MA","XIMIZED=FALSE&amp;VAR:CALENDAR=US&amp;VAR:SYMBOL=B013SX&amp;VAR:INDEX=0"}</definedName>
    <definedName name="_747__FDSAUDITLINK__" hidden="1">{"fdsup://directions/FAT Viewer?action=UPDATE&amp;creator=factset&amp;DYN_ARGS=TRUE&amp;DOC_NAME=FAT:FQL_AUDITING_CLIENT_TEMPLATE.FAT&amp;display_string=Audit&amp;VAR:KEY=LAPGNWBUBO&amp;VAR:QUERY=UkdGX1BGRF9TVEsoUVRSLDAsLCwsVVNEKQ==&amp;WINDOW=FIRST_POPUP&amp;HEIGHT=450&amp;WIDTH=450&amp;START_MA","XIMIZED=FALSE&amp;VAR:CALENDAR=US&amp;VAR:SYMBOL=B013SX&amp;VAR:INDEX=0"}</definedName>
    <definedName name="_748__FDSAUDITLINK__" hidden="1">{"fdsup://directions/FAT Viewer?action=UPDATE&amp;creator=factset&amp;DYN_ARGS=TRUE&amp;DOC_NAME=FAT:FQL_AUDITING_CLIENT_TEMPLATE.FAT&amp;display_string=Audit&amp;VAR:KEY=NQZGVCRCRY&amp;VAR:QUERY=UkdGX1BGRF9TVEsoQU5OLDAsLCwsVVNEKQ==&amp;WINDOW=FIRST_POPUP&amp;HEIGHT=450&amp;WIDTH=450&amp;START_MA","XIMIZED=FALSE&amp;VAR:CALENDAR=US&amp;VAR:SYMBOL=B013SX&amp;VAR:INDEX=0"}</definedName>
    <definedName name="_749__FDSAUDITLINK__" hidden="1">{"fdsup://directions/FAT Viewer?action=UPDATE&amp;creator=factset&amp;DYN_ARGS=TRUE&amp;DOC_NAME=FAT:FQL_AUDITING_CLIENT_TEMPLATE.FAT&amp;display_string=Audit&amp;VAR:KEY=LAPGNWBUBO&amp;VAR:QUERY=UkdGX1BGRF9TVEsoUVRSLDAsLCwsVVNEKQ==&amp;WINDOW=FIRST_POPUP&amp;HEIGHT=450&amp;WIDTH=450&amp;START_MA","XIMIZED=FALSE&amp;VAR:CALENDAR=US&amp;VAR:SYMBOL=B013SX&amp;VAR:INDEX=0"}</definedName>
    <definedName name="_75__123Graph_Aｸﾞﾗﾌ_4" hidden="1">#REF!</definedName>
    <definedName name="_75__123Graph_LBL_BHORES_EXTRES" hidden="1">#REF!</definedName>
    <definedName name="_75__FDSAUDITLINK__" hidden="1">{"fdsup://directions/FAT Viewer?action=UPDATE&amp;creator=factSet&amp;DYN_ARGS=true&amp;DOC_NAME=FAT:RGQ_ENTRPR_VAL_MV_SOURCE_WINDOW.FAT&amp;VAR:ID1=SPAB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75_0__123Graph_C商" hidden="1">#REF!</definedName>
    <definedName name="_75_0__123Graph_D商" hidden="1">#REF!</definedName>
    <definedName name="_750__FDSAUDITLINK__" hidden="1">{"fdsup://IBCentral/FAT Viewer?action=UPDATE&amp;creator=factset&amp;DOC_NAME=fat:reuters_annual_source_window.fat&amp;display_string=Audit&amp;DYN_ARGS=TRUE&amp;VAR:ID1=B013SX&amp;VAR:RCODE=STLD&amp;VAR:SDATE=20100699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751__FDSAUDITLINK__" hidden="1">{"fdsup://IBCentral/FAT Viewer?action=UPDATE&amp;creator=factset&amp;DOC_NAME=fat:reuters_annual_source_window.fat&amp;display_string=Audit&amp;DYN_ARGS=TRUE&amp;VAR:ID1=B013SX&amp;VAR:RCODE=STLD&amp;VAR:SDATE=20100699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752__FDSAUDITLINK__" hidden="1">{"fdsup://directions/FAT Viewer?action=UPDATE&amp;creator=factset&amp;DYN_ARGS=TRUE&amp;DOC_NAME=FAT:FQL_AUDITING_CLIENT_TEMPLATE.FAT&amp;display_string=Audit&amp;VAR:KEY=XWBSLALKHC&amp;VAR:QUERY=UkdGX1BGRF9TVEsoQU5OLDAsLCwsVVNEKQ==&amp;WINDOW=FIRST_POPUP&amp;HEIGHT=450&amp;WIDTH=450&amp;START_MA","XIMIZED=FALSE&amp;VAR:CALENDAR=US&amp;VAR:SYMBOL=B1QGR4&amp;VAR:INDEX=0"}</definedName>
    <definedName name="_753__FDSAUDITLINK__" hidden="1">{"fdsup://directions/FAT Viewer?action=UPDATE&amp;creator=factset&amp;DYN_ARGS=TRUE&amp;DOC_NAME=FAT:FQL_AUDITING_CLIENT_TEMPLATE.FAT&amp;display_string=Audit&amp;VAR:KEY=HOVMDWPUDM&amp;VAR:QUERY=UkdGX1BGRF9TVEsoUVRSLDAsLCwsVVNEKQ==&amp;WINDOW=FIRST_POPUP&amp;HEIGHT=450&amp;WIDTH=450&amp;START_MA","XIMIZED=FALSE&amp;VAR:CALENDAR=US&amp;VAR:SYMBOL=B1QGR4&amp;VAR:INDEX=0"}</definedName>
    <definedName name="_754__FDSAUDITLINK__" hidden="1">{"fdsup://directions/FAT Viewer?action=UPDATE&amp;creator=factset&amp;DYN_ARGS=TRUE&amp;DOC_NAME=FAT:FQL_AUDITING_CLIENT_TEMPLATE.FAT&amp;display_string=Audit&amp;VAR:KEY=XWBSLALKHC&amp;VAR:QUERY=UkdGX1BGRF9TVEsoQU5OLDAsLCwsVVNEKQ==&amp;WINDOW=FIRST_POPUP&amp;HEIGHT=450&amp;WIDTH=450&amp;START_MA","XIMIZED=FALSE&amp;VAR:CALENDAR=US&amp;VAR:SYMBOL=B1QGR4&amp;VAR:INDEX=0"}</definedName>
    <definedName name="_755__FDSAUDITLINK__" hidden="1">{"fdsup://directions/FAT Viewer?action=UPDATE&amp;creator=factset&amp;DYN_ARGS=TRUE&amp;DOC_NAME=FAT:FQL_AUDITING_CLIENT_TEMPLATE.FAT&amp;display_string=Audit&amp;VAR:KEY=HOVMDWPUDM&amp;VAR:QUERY=UkdGX1BGRF9TVEsoUVRSLDAsLCwsVVNEKQ==&amp;WINDOW=FIRST_POPUP&amp;HEIGHT=450&amp;WIDTH=450&amp;START_MA","XIMIZED=FALSE&amp;VAR:CALENDAR=US&amp;VAR:SYMBOL=B1QGR4&amp;VAR:INDEX=0"}</definedName>
    <definedName name="_756__FDSAUDITLINK__" hidden="1">{"fdsup://IBCentral/FAT Viewer?action=UPDATE&amp;creator=factset&amp;DOC_NAME=fat:reuters_qtrly_source_window.fat&amp;display_string=Audit&amp;DYN_ARGS=TRUE&amp;VAR:ID1=B1QGR4&amp;VAR:RCODE=STLD&amp;VAR:SDATE=20100999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757__FDSAUDITLINK__" hidden="1">{"fdsup://IBCentral/FAT Viewer?action=UPDATE&amp;creator=factset&amp;DOC_NAME=fat:reuters_qtrly_source_window.fat&amp;display_string=Audit&amp;DYN_ARGS=TRUE&amp;VAR:ID1=B1QGR4&amp;VAR:RCODE=STLD&amp;VAR:SDATE=20100999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758__FDSAUDITLINK__" hidden="1">{"fdsup://IBCentral/FAT Viewer?action=UPDATE&amp;creator=factset&amp;DOC_NAME=fat:reuters_annual_source_window.fat&amp;display_string=Audit&amp;DYN_ARGS=TRUE&amp;VAR:ID1=B1QGR4&amp;VAR:RCODE=STLD&amp;VAR:SDATE=20091299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759__FDSAUDITLINK__" hidden="1">{"fdsup://IBCentral/FAT Viewer?action=UPDATE&amp;creator=factset&amp;DOC_NAME=fat:reuters_qtrly_source_window.fat&amp;display_string=Audit&amp;DYN_ARGS=TRUE&amp;VAR:ID1=B1QGR4&amp;VAR:RCODE=STLD&amp;VAR:SDATE=20100999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76__FDSAUDITLINK__" hidden="1">{"fdsup://directions/FAT Viewer?action=UPDATE&amp;creator=factSet&amp;DYN_ARGS=true&amp;DOC_NAME=FAT:RGQ_ENTRPR_VAL_MV_SOURCE_WINDOW.FAT&amp;VAR:ID1=SPAB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76_0__123Graph_C商" hidden="1">#REF!</definedName>
    <definedName name="_76_0__123Graph_D総" hidden="1">#REF!</definedName>
    <definedName name="_760__FDSAUDITLINK__" hidden="1">{"fdsup://directions/FAT Viewer?action=UPDATE&amp;creator=factset&amp;DYN_ARGS=TRUE&amp;DOC_NAME=FAT:FQL_AUDITING_CLIENT_TEMPLATE.FAT&amp;display_string=Audit&amp;VAR:KEY=NCRMZCPULS&amp;VAR:QUERY=UkdGX1BGRF9TVEsoQU5OLDAsLCwsVVNEKQ==&amp;WINDOW=FIRST_POPUP&amp;HEIGHT=450&amp;WIDTH=450&amp;START_MA","XIMIZED=FALSE&amp;VAR:CALENDAR=US&amp;VAR:SYMBOL=B1VLVW&amp;VAR:INDEX=0"}</definedName>
    <definedName name="_761__FDSAUDITLINK__" hidden="1">{"fdsup://directions/FAT Viewer?action=UPDATE&amp;creator=factset&amp;DYN_ARGS=TRUE&amp;DOC_NAME=FAT:FQL_AUDITING_CLIENT_TEMPLATE.FAT&amp;display_string=Audit&amp;VAR:KEY=BAZALEPYBA&amp;VAR:QUERY=UkdGX1BGRF9TVEsoUVRSLDAsLCwsVVNEKQ==&amp;WINDOW=FIRST_POPUP&amp;HEIGHT=450&amp;WIDTH=450&amp;START_MA","XIMIZED=FALSE&amp;VAR:CALENDAR=US&amp;VAR:SYMBOL=B1VLVW&amp;VAR:INDEX=0"}</definedName>
    <definedName name="_762__FDSAUDITLINK__" hidden="1">{"fdsup://directions/FAT Viewer?action=UPDATE&amp;creator=factset&amp;DYN_ARGS=TRUE&amp;DOC_NAME=FAT:FQL_AUDITING_CLIENT_TEMPLATE.FAT&amp;display_string=Audit&amp;VAR:KEY=NCRMZCPULS&amp;VAR:QUERY=UkdGX1BGRF9TVEsoQU5OLDAsLCwsVVNEKQ==&amp;WINDOW=FIRST_POPUP&amp;HEIGHT=450&amp;WIDTH=450&amp;START_MA","XIMIZED=FALSE&amp;VAR:CALENDAR=US&amp;VAR:SYMBOL=B1VLVW&amp;VAR:INDEX=0"}</definedName>
    <definedName name="_763__FDSAUDITLINK__" hidden="1">{"fdsup://directions/FAT Viewer?action=UPDATE&amp;creator=factset&amp;DYN_ARGS=TRUE&amp;DOC_NAME=FAT:FQL_AUDITING_CLIENT_TEMPLATE.FAT&amp;display_string=Audit&amp;VAR:KEY=BAZALEPYBA&amp;VAR:QUERY=UkdGX1BGRF9TVEsoUVRSLDAsLCwsVVNEKQ==&amp;WINDOW=FIRST_POPUP&amp;HEIGHT=450&amp;WIDTH=450&amp;START_MA","XIMIZED=FALSE&amp;VAR:CALENDAR=US&amp;VAR:SYMBOL=B1VLVW&amp;VAR:INDEX=0"}</definedName>
    <definedName name="_764__FDSAUDITLINK__" hidden="1">{"fdsup://IBCentral/FAT Viewer?action=UPDATE&amp;creator=factset&amp;DOC_NAME=fat:reuters_qtrly_source_window.fat&amp;display_string=Audit&amp;DYN_ARGS=TRUE&amp;VAR:ID1=B1VLVW&amp;VAR:RCODE=STLD&amp;VAR:SDATE=20100999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765__FDSAUDITLINK__" hidden="1">{"fdsup://IBCentral/FAT Viewer?action=UPDATE&amp;creator=factset&amp;DOC_NAME=fat:reuters_qtrly_source_window.fat&amp;display_string=Audit&amp;DYN_ARGS=TRUE&amp;VAR:ID1=B1VLVW&amp;VAR:RCODE=STLD&amp;VAR:SDATE=20100999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B1VLVW&amp;VAR:RCODE=STLD&amp;VAR:SDATE=20091299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767__FDSAUDITLINK__" hidden="1">{"fdsup://IBCentral/FAT Viewer?action=UPDATE&amp;creator=factset&amp;DOC_NAME=fat:reuters_qtrly_source_window.fat&amp;display_string=Audit&amp;DYN_ARGS=TRUE&amp;VAR:ID1=B1VLVW&amp;VAR:RCODE=STLD&amp;VAR:SDATE=20100999&amp;VAR:FREQ=Q&amp;VAR:RELITEM=RP&amp;VAR:CURRENCY=USD&amp;VAR:CURRSOURCE=EXSHARE&amp;V","AR:NATFREQ=QUARTERLY&amp;VAR:RFIELD=FINALIZED&amp;VAR:DB_TYPE=FNR&amp;VAR:UNITS=M&amp;window=popup&amp;width=450&amp;height=300&amp;START_MAXIMIZED=FALSE"}</definedName>
    <definedName name="_768__FDSAUDITLINK__" hidden="1">{"fdsup://directions/FAT Viewer?action=UPDATE&amp;creator=factset&amp;DYN_ARGS=TRUE&amp;DOC_NAME=FAT:FQL_AUDITING_CLIENT_TEMPLATE.FAT&amp;display_string=Audit&amp;VAR:KEY=HSVSRUZMBY&amp;VAR:QUERY=UkdGX1BGRF9TVEsoQU5OLDAsLCwsVVNEKQ==&amp;WINDOW=FIRST_POPUP&amp;HEIGHT=450&amp;WIDTH=450&amp;START_MA","XIMIZED=FALSE&amp;VAR:CALENDAR=US&amp;VAR:SYMBOL=656099&amp;VAR:INDEX=0"}</definedName>
    <definedName name="_769__FDSAUDITLINK__" hidden="1">{"fdsup://directions/FAT Viewer?action=UPDATE&amp;creator=factset&amp;DYN_ARGS=TRUE&amp;DOC_NAME=FAT:FQL_AUDITING_CLIENT_TEMPLATE.FAT&amp;display_string=Audit&amp;VAR:KEY=JQNAFCBMDG&amp;VAR:QUERY=UkdGX1BGRF9TVEsoUVRSLDAsLCwsVVNEKQ==&amp;WINDOW=FIRST_POPUP&amp;HEIGHT=450&amp;WIDTH=450&amp;START_MA","XIMIZED=FALSE&amp;VAR:CALENDAR=US&amp;VAR:SYMBOL=656099&amp;VAR:INDEX=0"}</definedName>
    <definedName name="_77__123Graph_X????_4" hidden="1">#REF!</definedName>
    <definedName name="_77__FDSAUDITLINK__" hidden="1">{"fdsup://directions/FAT Viewer?action=UPDATE&amp;creator=factSet&amp;DYN_ARGS=true&amp;DOC_NAME=FAT:RGQ_ENTRPR_VAL_MV_SOURCE_WINDOW.FAT&amp;VAR:ID1=VSP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77_0__123Graph_C商" hidden="1">#REF!</definedName>
    <definedName name="_77_0__123Graph_E乗" hidden="1">#REF!</definedName>
    <definedName name="_770__FDSAUDITLINK__" hidden="1">{"fdsup://directions/FAT Viewer?action=UPDATE&amp;creator=factset&amp;DYN_ARGS=TRUE&amp;DOC_NAME=FAT:FQL_AUDITING_CLIENT_TEMPLATE.FAT&amp;display_string=Audit&amp;VAR:KEY=HSVSRUZMBY&amp;VAR:QUERY=UkdGX1BGRF9TVEsoQU5OLDAsLCwsVVNEKQ==&amp;WINDOW=FIRST_POPUP&amp;HEIGHT=450&amp;WIDTH=450&amp;START_MA","XIMIZED=FALSE&amp;VAR:CALENDAR=US&amp;VAR:SYMBOL=656099&amp;VAR:INDEX=0"}</definedName>
    <definedName name="_771__FDSAUDITLINK__" hidden="1">{"fdsup://directions/FAT Viewer?action=UPDATE&amp;creator=factset&amp;DYN_ARGS=TRUE&amp;DOC_NAME=FAT:FQL_AUDITING_CLIENT_TEMPLATE.FAT&amp;display_string=Audit&amp;VAR:KEY=JQNAFCBMDG&amp;VAR:QUERY=UkdGX1BGRF9TVEsoUVRSLDAsLCwsVVNEKQ==&amp;WINDOW=FIRST_POPUP&amp;HEIGHT=450&amp;WIDTH=450&amp;START_MA","XIMIZED=FALSE&amp;VAR:CALENDAR=US&amp;VAR:SYMBOL=656099&amp;VAR:INDEX=0"}</definedName>
    <definedName name="_772__FDSAUDITLINK__" hidden="1">{"fdsup://IBCentral/FAT Viewer?action=UPDATE&amp;creator=factset&amp;DOC_NAME=fat:reuters_annual_source_window.fat&amp;display_string=Audit&amp;DYN_ARGS=TRUE&amp;VAR:ID1=656099&amp;VAR:RCODE=STLD&amp;VAR:SDATE=20091299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773__FDSAUDITLINK__" hidden="1">{"fdsup://IBCentral/FAT Viewer?action=UPDATE&amp;creator=factset&amp;DOC_NAME=fat:reuters_annual_source_window.fat&amp;display_string=Audit&amp;DYN_ARGS=TRUE&amp;VAR:ID1=656099&amp;VAR:RCODE=STLD&amp;VAR:SDATE=20091299&amp;VAR:FREQ=Y&amp;VAR:RELITEM=RP&amp;VAR:CURRENCY=USD&amp;VAR:CURRSOURCE=EXSHARE&amp;","VAR:NATFREQ=ANNUAL&amp;VAR:RFIELD=FINALIZED&amp;VAR:DB_TYPE=NR&amp;VAR:UNITS=M&amp;window=popup&amp;width=450&amp;height=300&amp;START_MAXIMIZED=FALSE"}</definedName>
    <definedName name="_774__FDSAUDITLINK__" hidden="1">{"fdsup://directions/FAT Viewer?action=UPDATE&amp;creator=factset&amp;DYN_ARGS=TRUE&amp;DOC_NAME=FAT:FQL_AUDITING_CLIENT_TEMPLATE.FAT&amp;display_string=Audit&amp;VAR:KEY=HIVKBQVYLY&amp;VAR:QUERY=UkdGX0VOVFJQUl9WQUwoUVRSLDQwNTQ5LCwsLFVTRCwsTk9BVURJVCk=&amp;WINDOW=FIRST_POPUP&amp;HEIGHT=45","0&amp;WIDTH=450&amp;START_MAXIMIZED=FALSE&amp;VAR:CALENDAR=US&amp;VAR:SYMBOL=H2701310&amp;VAR:INDEX=0"}</definedName>
    <definedName name="_775__FDSAUDITLINK__" hidden="1">{"fdsup://directions/FAT Viewer?action=UPDATE&amp;creator=factset&amp;DYN_ARGS=TRUE&amp;DOC_NAME=FAT:FQL_AUDITING_CLIENT_TEMPLATE.FAT&amp;display_string=Audit&amp;VAR:KEY=HMDEXAVSXA&amp;VAR:QUERY=UkdGX0VOVFJQUl9WQUwoUVRSLDQwNTQ5LCwsLFVTRCwsTk9BVURJVCk=&amp;WINDOW=FIRST_POPUP&amp;HEIGHT=45","0&amp;WIDTH=450&amp;START_MAXIMIZED=FALSE&amp;VAR:CALENDAR=US&amp;VAR:SYMBOL=63707110&amp;VAR:INDEX=0"}</definedName>
    <definedName name="_776__FDSAUDITLINK__" hidden="1">{"fdsup://directions/FAT Viewer?action=UPDATE&amp;creator=factset&amp;DYN_ARGS=TRUE&amp;DOC_NAME=FAT:FQL_AUDITING_CLIENT_TEMPLATE.FAT&amp;display_string=Audit&amp;VAR:KEY=PGHWTOZUVM&amp;VAR:QUERY=UkdGX1BGRF9TVEsoQU5OLDAsLCwsVVNEKQ==&amp;WINDOW=FIRST_POPUP&amp;HEIGHT=450&amp;WIDTH=450&amp;START_MA","XIMIZED=FALSE&amp;VAR:CALENDAR=US&amp;VAR:SYMBOL=H2701310&amp;VAR:INDEX=0"}</definedName>
    <definedName name="_777__FDSAUDITLINK__" hidden="1">{"fdsup://directions/FAT Viewer?action=UPDATE&amp;creator=factset&amp;DYN_ARGS=TRUE&amp;DOC_NAME=FAT:FQL_AUDITING_CLIENT_TEMPLATE.FAT&amp;display_string=Audit&amp;VAR:KEY=TABKHIPGHG&amp;VAR:QUERY=UkdGX1BGRF9TVEsoUVRSLDAsLCwsVVNEKQ==&amp;WINDOW=FIRST_POPUP&amp;HEIGHT=450&amp;WIDTH=450&amp;START_MA","XIMIZED=FALSE&amp;VAR:CALENDAR=US&amp;VAR:SYMBOL=H2701310&amp;VAR:INDEX=0"}</definedName>
    <definedName name="_778__FDSAUDITLINK__" hidden="1">{"fdsup://directions/FAT Viewer?action=UPDATE&amp;creator=factset&amp;DYN_ARGS=TRUE&amp;DOC_NAME=FAT:FQL_AUDITING_CLIENT_TEMPLATE.FAT&amp;display_string=Audit&amp;VAR:KEY=PGHWTOZUVM&amp;VAR:QUERY=UkdGX1BGRF9TVEsoQU5OLDAsLCwsVVNEKQ==&amp;WINDOW=FIRST_POPUP&amp;HEIGHT=450&amp;WIDTH=450&amp;START_MA","XIMIZED=FALSE&amp;VAR:CALENDAR=US&amp;VAR:SYMBOL=H2701310&amp;VAR:INDEX=0"}</definedName>
    <definedName name="_779__FDSAUDITLINK__" hidden="1">{"fdsup://directions/FAT Viewer?action=UPDATE&amp;creator=factset&amp;DYN_ARGS=TRUE&amp;DOC_NAME=FAT:FQL_AUDITING_CLIENT_TEMPLATE.FAT&amp;display_string=Audit&amp;VAR:KEY=TABKHIPGHG&amp;VAR:QUERY=UkdGX1BGRF9TVEsoUVRSLDAsLCwsVVNEKQ==&amp;WINDOW=FIRST_POPUP&amp;HEIGHT=450&amp;WIDTH=450&amp;START_MA","XIMIZED=FALSE&amp;VAR:CALENDAR=US&amp;VAR:SYMBOL=H2701310&amp;VAR:INDEX=0"}</definedName>
    <definedName name="_78__123Graph_X????_5" hidden="1">#REF!</definedName>
    <definedName name="_78__FDSAUDITLINK__" hidden="1">{"fdsup://directions/FAT Viewer?action=UPDATE&amp;creator=factSet&amp;DYN_ARGS=true&amp;DOC_NAME=FAT:RGQ_ENTRPR_VAL_MV_SOURCE_WINDOW.FAT&amp;VAR:ID1=VSP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78_0__123Graph_C商" hidden="1">#REF!</definedName>
    <definedName name="_78_0__123Graph_E商" hidden="1">#REF!</definedName>
    <definedName name="_780__FDSAUDITLINK__" hidden="1">{"fdsup://IBCentral/FAT Viewer?action=UPDATE&amp;creator=factset&amp;DOC_NAME=fat:reuters_qtrly_source_window.fat&amp;display_string=Audit&amp;DYN_ARGS=TRUE&amp;VAR:ID1=H2701310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81__FDSAUDITLINK__" hidden="1">{"fdsup://IBCentral/FAT Viewer?action=UPDATE&amp;creator=factset&amp;DOC_NAME=fat:reuters_qtrly_source_window.fat&amp;display_string=Audit&amp;DYN_ARGS=TRUE&amp;VAR:ID1=H2701310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H2701310&amp;VAR:RCODE=STLD&amp;VAR:SDATE=20091299&amp;VAR:FREQ=Y&amp;VAR:RELITEM=RP&amp;VAR:CURRENCY=USD&amp;VAR:CURRSOURCE=EXSHAR","E&amp;VAR:NATFREQ=ANNUAL&amp;VAR:RFIELD=FINALIZED&amp;VAR:DB_TYPE=NR&amp;VAR:UNITS=M&amp;window=popup&amp;width=450&amp;height=300&amp;START_MAXIMIZED=FALSE"}</definedName>
    <definedName name="_783__FDSAUDITLINK__" hidden="1">{"fdsup://IBCentral/FAT Viewer?action=UPDATE&amp;creator=factset&amp;DOC_NAME=fat:reuters_qtrly_source_window.fat&amp;display_string=Audit&amp;DYN_ARGS=TRUE&amp;VAR:ID1=H2701310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84__FDSAUDITLINK__" hidden="1">{"fdsup://directions/FAT Viewer?action=UPDATE&amp;creator=factset&amp;DYN_ARGS=TRUE&amp;DOC_NAME=FAT:FQL_AUDITING_CLIENT_TEMPLATE.FAT&amp;display_string=Audit&amp;VAR:KEY=DUNMRILSFO&amp;VAR:QUERY=UkdGX1BGRF9TVEsoQU5OLDAsLCwsVVNEKQ==&amp;WINDOW=FIRST_POPUP&amp;HEIGHT=450&amp;WIDTH=450&amp;START_MA","XIMIZED=FALSE&amp;VAR:CALENDAR=US&amp;VAR:SYMBOL=63707110&amp;VAR:INDEX=0"}</definedName>
    <definedName name="_785__FDSAUDITLINK__" hidden="1">{"fdsup://directions/FAT Viewer?action=UPDATE&amp;creator=factset&amp;DYN_ARGS=TRUE&amp;DOC_NAME=FAT:FQL_AUDITING_CLIENT_TEMPLATE.FAT&amp;display_string=Audit&amp;VAR:KEY=VQXWVKXANK&amp;VAR:QUERY=UkdGX1BGRF9TVEsoUVRSLDAsLCwsVVNEKQ==&amp;WINDOW=FIRST_POPUP&amp;HEIGHT=450&amp;WIDTH=450&amp;START_MA","XIMIZED=FALSE&amp;VAR:CALENDAR=US&amp;VAR:SYMBOL=63707110&amp;VAR:INDEX=0"}</definedName>
    <definedName name="_786__FDSAUDITLINK__" hidden="1">{"fdsup://directions/FAT Viewer?action=UPDATE&amp;creator=factset&amp;DYN_ARGS=TRUE&amp;DOC_NAME=FAT:FQL_AUDITING_CLIENT_TEMPLATE.FAT&amp;display_string=Audit&amp;VAR:KEY=DUNMRILSFO&amp;VAR:QUERY=UkdGX1BGRF9TVEsoQU5OLDAsLCwsVVNEKQ==&amp;WINDOW=FIRST_POPUP&amp;HEIGHT=450&amp;WIDTH=450&amp;START_MA","XIMIZED=FALSE&amp;VAR:CALENDAR=US&amp;VAR:SYMBOL=63707110&amp;VAR:INDEX=0"}</definedName>
    <definedName name="_787__FDSAUDITLINK__" hidden="1">{"fdsup://directions/FAT Viewer?action=UPDATE&amp;creator=factset&amp;DYN_ARGS=TRUE&amp;DOC_NAME=FAT:FQL_AUDITING_CLIENT_TEMPLATE.FAT&amp;display_string=Audit&amp;VAR:KEY=VQXWVKXANK&amp;VAR:QUERY=UkdGX1BGRF9TVEsoUVRSLDAsLCwsVVNEKQ==&amp;WINDOW=FIRST_POPUP&amp;HEIGHT=450&amp;WIDTH=450&amp;START_MA","XIMIZED=FALSE&amp;VAR:CALENDAR=US&amp;VAR:SYMBOL=63707110&amp;VAR:INDEX=0"}</definedName>
    <definedName name="_788__FDSAUDITLINK__" hidden="1">{"fdsup://IBCentral/FAT Viewer?action=UPDATE&amp;creator=factset&amp;DOC_NAME=fat:reuters_qtrly_source_window.fat&amp;display_string=Audit&amp;DYN_ARGS=TRUE&amp;VAR:ID1=63707110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89__FDSAUDITLINK__" hidden="1">{"fdsup://IBCentral/FAT Viewer?action=UPDATE&amp;creator=factset&amp;DOC_NAME=fat:reuters_qtrly_source_window.fat&amp;display_string=Audit&amp;DYN_ARGS=TRUE&amp;VAR:ID1=63707110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9__FDSAUDITLINK__" hidden="1">{"fdsup://directions/FAT Viewer?action=UPDATE&amp;creator=factSet&amp;DYN_ARGS=true&amp;DOC_NAME=FAT:RGQ_ENTRPR_VAL_MV_SOURCE_WINDOW.FAT&amp;VAR:ID1=FAV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79_0__123Graph_C商" hidden="1">#REF!</definedName>
    <definedName name="_79_0__123Graph_X乗" hidden="1">#REF!</definedName>
    <definedName name="_790__FDSAUDITLINK__" hidden="1">{"fdsup://IBCentral/FAT Viewer?action=UPDATE&amp;creator=factset&amp;DOC_NAME=fat:reuters_annual_source_window.fat&amp;display_string=Audit&amp;DYN_ARGS=TRUE&amp;VAR:ID1=63707110&amp;VAR:RCODE=STLD&amp;VAR:SDATE=20091299&amp;VAR:FREQ=Y&amp;VAR:RELITEM=RP&amp;VAR:CURRENCY=USD&amp;VAR:CURRSOURCE=EXSHAR","E&amp;VAR:NATFREQ=ANNUAL&amp;VAR:RFIELD=FINALIZED&amp;VAR:DB_TYPE=NR&amp;VAR:UNITS=M&amp;window=popup&amp;width=450&amp;height=300&amp;START_MAXIMIZED=FALSE"}</definedName>
    <definedName name="_791__FDSAUDITLINK__" hidden="1">{"fdsup://IBCentral/FAT Viewer?action=UPDATE&amp;creator=factset&amp;DOC_NAME=fat:reuters_qtrly_source_window.fat&amp;display_string=Audit&amp;DYN_ARGS=TRUE&amp;VAR:ID1=63707110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92__FDSAUDITLINK__" hidden="1">{"fdsup://directions/FAT Viewer?action=UPDATE&amp;creator=factset&amp;DYN_ARGS=TRUE&amp;DOC_NAME=FAT:FQL_AUDITING_CLIENT_TEMPLATE.FAT&amp;display_string=Audit&amp;VAR:KEY=HCVIBEZELA&amp;VAR:QUERY=UkdGX1BGRF9TVEsoQU5OLDAsLCwsVVNEKQ==&amp;WINDOW=FIRST_POPUP&amp;HEIGHT=450&amp;WIDTH=450&amp;START_MA","XIMIZED=FALSE&amp;VAR:CALENDAR=US&amp;VAR:SYMBOL=40621610&amp;VAR:INDEX=0"}</definedName>
    <definedName name="_793__FDSAUDITLINK__" hidden="1">{"fdsup://directions/FAT Viewer?action=UPDATE&amp;creator=factset&amp;DYN_ARGS=TRUE&amp;DOC_NAME=FAT:FQL_AUDITING_CLIENT_TEMPLATE.FAT&amp;display_string=Audit&amp;VAR:KEY=NMVGNWLYZS&amp;VAR:QUERY=UkdGX1BGRF9TVEsoUVRSLDAsLCwsVVNEKQ==&amp;WINDOW=FIRST_POPUP&amp;HEIGHT=450&amp;WIDTH=450&amp;START_MA","XIMIZED=FALSE&amp;VAR:CALENDAR=US&amp;VAR:SYMBOL=40621610&amp;VAR:INDEX=0"}</definedName>
    <definedName name="_794__FDSAUDITLINK__" hidden="1">{"fdsup://directions/FAT Viewer?action=UPDATE&amp;creator=factset&amp;DYN_ARGS=TRUE&amp;DOC_NAME=FAT:FQL_AUDITING_CLIENT_TEMPLATE.FAT&amp;display_string=Audit&amp;VAR:KEY=HCVIBEZELA&amp;VAR:QUERY=UkdGX1BGRF9TVEsoQU5OLDAsLCwsVVNEKQ==&amp;WINDOW=FIRST_POPUP&amp;HEIGHT=450&amp;WIDTH=450&amp;START_MA","XIMIZED=FALSE&amp;VAR:CALENDAR=US&amp;VAR:SYMBOL=40621610&amp;VAR:INDEX=0"}</definedName>
    <definedName name="_795__FDSAUDITLINK__" hidden="1">{"fdsup://directions/FAT Viewer?action=UPDATE&amp;creator=factset&amp;DYN_ARGS=TRUE&amp;DOC_NAME=FAT:FQL_AUDITING_CLIENT_TEMPLATE.FAT&amp;display_string=Audit&amp;VAR:KEY=NMVGNWLYZS&amp;VAR:QUERY=UkdGX1BGRF9TVEsoUVRSLDAsLCwsVVNEKQ==&amp;WINDOW=FIRST_POPUP&amp;HEIGHT=450&amp;WIDTH=450&amp;START_MA","XIMIZED=FALSE&amp;VAR:CALENDAR=US&amp;VAR:SYMBOL=40621610&amp;VAR:INDEX=0"}</definedName>
    <definedName name="_796__FDSAUDITLINK__" hidden="1">{"fdsup://IBCentral/FAT Viewer?action=UPDATE&amp;creator=factset&amp;DOC_NAME=fat:reuters_qtrly_source_window.fat&amp;display_string=Audit&amp;DYN_ARGS=TRUE&amp;VAR:ID1=40621610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97__FDSAUDITLINK__" hidden="1">{"fdsup://IBCentral/FAT Viewer?action=UPDATE&amp;creator=factset&amp;DOC_NAME=fat:reuters_qtrly_source_window.fat&amp;display_string=Audit&amp;DYN_ARGS=TRUE&amp;VAR:ID1=40621610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98__FDSAUDITLINK__" hidden="1">{"fdsup://IBCentral/FAT Viewer?action=UPDATE&amp;creator=factset&amp;DOC_NAME=fat:reuters_annual_source_window.fat&amp;display_string=Audit&amp;DYN_ARGS=TRUE&amp;VAR:ID1=40621610&amp;VAR:RCODE=STLD&amp;VAR:SDATE=20091299&amp;VAR:FREQ=Y&amp;VAR:RELITEM=RP&amp;VAR:CURRENCY=USD&amp;VAR:CURRSOURCE=EXSHAR","E&amp;VAR:NATFREQ=ANNUAL&amp;VAR:RFIELD=FINALIZED&amp;VAR:DB_TYPE=NR&amp;VAR:UNITS=M&amp;window=popup&amp;width=450&amp;height=300&amp;START_MAXIMIZED=FALSE"}</definedName>
    <definedName name="_799__FDSAUDITLINK__" hidden="1">{"fdsup://IBCentral/FAT Viewer?action=UPDATE&amp;creator=factset&amp;DOC_NAME=fat:reuters_qtrly_source_window.fat&amp;display_string=Audit&amp;DYN_ARGS=TRUE&amp;VAR:ID1=40621610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7M_Fenster_.Datensatz_einfügen">#REF!</definedName>
    <definedName name="_7M_Fenster_.KSBlatthinzu">#N/A</definedName>
    <definedName name="_7Print_Area">#REF!</definedName>
    <definedName name="_8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8_______0__123Graph_D乗" hidden="1">#REF!</definedName>
    <definedName name="_8___123Graph_DCHART_4" hidden="1">#REF!</definedName>
    <definedName name="_8__123Graph_A????_5" hidden="1">#REF!</definedName>
    <definedName name="_8__123Graph_AINTR_MONT" hidden="1">#REF!</definedName>
    <definedName name="_8__123Graph_Aｸﾞﾗﾌ_3" hidden="1">#REF!</definedName>
    <definedName name="_8__123Graph_BHORES_EXTRES" hidden="1">#REF!</definedName>
    <definedName name="_8__123Graph_C4X4W_G" hidden="1">#REF!</definedName>
    <definedName name="_8__123Graph_Xｸﾞﾗﾌ_3" hidden="1">#REF!</definedName>
    <definedName name="_8__FDSAUDITLINK__" hidden="1">{"fdsup://directions/FAT Viewer?action=UPDATE&amp;creator=factSet&amp;DYN_ARGS=true&amp;DOC_NAME=FAT:RGQ_ENTRPR_VAL_MV_SOURCE_WINDOW.FAT&amp;VAR:ID1=GAPN&amp;VAR:SDATE=20100721&amp;VAR:FDATE=19920930&amp;VAR:FREQ=DAILY&amp;VAR:RELITEM=&amp;VAR:CURRENCY=&amp;VAR:DB_TYPE=&amp;VAR:UNITS=M&amp;VAR:SHS_OUT_TY","PE=&amp;window=popup&amp;width=535&amp;height=425&amp;START_MAXIMIZED=FALSE&amp;Y=120"}</definedName>
    <definedName name="_8_123Grap" hidden="1">#REF!</definedName>
    <definedName name="_80__123Graph_LBL_BSOLDA_PINTURA" hidden="1">#REF!</definedName>
    <definedName name="_80__FDSAUDITLINK__" hidden="1">{"fdsup://directions/FAT Viewer?action=UPDATE&amp;creator=factSet&amp;DYN_ARGS=true&amp;DOC_NAME=FAT:RGQ_ENTRPR_VAL_MV_SOURCE_WINDOW.FAT&amp;VAR:ID1=FAVS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80_0__123Graph_C商" hidden="1">#REF!</definedName>
    <definedName name="_80_0__123Graph_X商" hidden="1">#REF!</definedName>
    <definedName name="_800__FDSAUDITLINK__" hidden="1">{"fdsup://directions/FAT Viewer?action=UPDATE&amp;creator=factset&amp;DYN_ARGS=TRUE&amp;DOC_NAME=FAT:FQL_AUDITING_CLIENT_TEMPLATE.FAT&amp;display_string=Audit&amp;VAR:KEY=TITEHYHIJO&amp;VAR:QUERY=UkdGX1BGRF9TVEsoQU5OLDAsLCwsVVNEKQ==&amp;WINDOW=FIRST_POPUP&amp;HEIGHT=450&amp;WIDTH=450&amp;START_MA","XIMIZED=FALSE&amp;VAR:CALENDAR=US&amp;VAR:SYMBOL=36960410&amp;VAR:INDEX=0"}</definedName>
    <definedName name="_801__FDSAUDITLINK__" hidden="1">{"fdsup://directions/FAT Viewer?action=UPDATE&amp;creator=factset&amp;DYN_ARGS=TRUE&amp;DOC_NAME=FAT:FQL_AUDITING_CLIENT_TEMPLATE.FAT&amp;display_string=Audit&amp;VAR:KEY=XQPODKZCXG&amp;VAR:QUERY=UkdGX1BGRF9TVEsoUVRSLDAsLCwsVVNEKQ==&amp;WINDOW=FIRST_POPUP&amp;HEIGHT=450&amp;WIDTH=450&amp;START_MA","XIMIZED=FALSE&amp;VAR:CALENDAR=US&amp;VAR:SYMBOL=36960410&amp;VAR:INDEX=0"}</definedName>
    <definedName name="_802__FDSAUDITLINK__" hidden="1">{"fdsup://directions/FAT Viewer?action=UPDATE&amp;creator=factset&amp;DYN_ARGS=TRUE&amp;DOC_NAME=FAT:FQL_AUDITING_CLIENT_TEMPLATE.FAT&amp;display_string=Audit&amp;VAR:KEY=TITEHYHIJO&amp;VAR:QUERY=UkdGX1BGRF9TVEsoQU5OLDAsLCwsVVNEKQ==&amp;WINDOW=FIRST_POPUP&amp;HEIGHT=450&amp;WIDTH=450&amp;START_MA","XIMIZED=FALSE&amp;VAR:CALENDAR=US&amp;VAR:SYMBOL=36960410&amp;VAR:INDEX=0"}</definedName>
    <definedName name="_803__FDSAUDITLINK__" hidden="1">{"fdsup://directions/FAT Viewer?action=UPDATE&amp;creator=factset&amp;DYN_ARGS=TRUE&amp;DOC_NAME=FAT:FQL_AUDITING_CLIENT_TEMPLATE.FAT&amp;display_string=Audit&amp;VAR:KEY=XQPODKZCXG&amp;VAR:QUERY=UkdGX1BGRF9TVEsoUVRSLDAsLCwsVVNEKQ==&amp;WINDOW=FIRST_POPUP&amp;HEIGHT=450&amp;WIDTH=450&amp;START_MA","XIMIZED=FALSE&amp;VAR:CALENDAR=US&amp;VAR:SYMBOL=36960410&amp;VAR:INDEX=0"}</definedName>
    <definedName name="_804__FDSAUDITLINK__" hidden="1">{"fdsup://directions/FAT Viewer?action=UPDATE&amp;creator=factset&amp;DYN_ARGS=TRUE&amp;DOC_NAME=FAT:FQL_AUDITING_CLIENT_TEMPLATE.FAT&amp;display_string=Audit&amp;VAR:KEY=BCTWXWJGVO&amp;VAR:QUERY=UkdGX0VOVFJQUl9WQUwoUVRSLDQwNTQ5LCwsLFVTRCwsTk9BVURJVCk=&amp;WINDOW=FIRST_POPUP&amp;HEIGHT=45","0&amp;WIDTH=450&amp;START_MAXIMIZED=FALSE&amp;VAR:CALENDAR=US&amp;VAR:SYMBOL=36960410&amp;VAR:INDEX=0"}</definedName>
    <definedName name="_805__FDSAUDITLINK__" hidden="1">{"fdsup://directions/FAT Viewer?action=UPDATE&amp;creator=factset&amp;DYN_ARGS=TRUE&amp;DOC_NAME=FAT:FQL_AUDITING_CLIENT_TEMPLATE.FAT&amp;display_string=Audit&amp;VAR:KEY=TITEHYHIJO&amp;VAR:QUERY=UkdGX1BGRF9TVEsoQU5OLDAsLCwsVVNEKQ==&amp;WINDOW=FIRST_POPUP&amp;HEIGHT=450&amp;WIDTH=450&amp;START_MA","XIMIZED=FALSE&amp;VAR:CALENDAR=US&amp;VAR:SYMBOL=36960410&amp;VAR:INDEX=0"}</definedName>
    <definedName name="_806__FDSAUDITLINK__" hidden="1">{"fdsup://directions/FAT Viewer?action=UPDATE&amp;creator=factset&amp;DYN_ARGS=TRUE&amp;DOC_NAME=FAT:FQL_AUDITING_CLIENT_TEMPLATE.FAT&amp;display_string=Audit&amp;VAR:KEY=XQPODKZCXG&amp;VAR:QUERY=UkdGX1BGRF9TVEsoUVRSLDAsLCwsVVNEKQ==&amp;WINDOW=FIRST_POPUP&amp;HEIGHT=450&amp;WIDTH=450&amp;START_MA","XIMIZED=FALSE&amp;VAR:CALENDAR=US&amp;VAR:SYMBOL=36960410&amp;VAR:INDEX=0"}</definedName>
    <definedName name="_807__FDSAUDITLINK__" hidden="1">{"fdsup://directions/FAT Viewer?action=UPDATE&amp;creator=factset&amp;DYN_ARGS=TRUE&amp;DOC_NAME=FAT:FQL_AUDITING_CLIENT_TEMPLATE.FAT&amp;display_string=Audit&amp;VAR:KEY=TITEHYHIJO&amp;VAR:QUERY=UkdGX1BGRF9TVEsoQU5OLDAsLCwsVVNEKQ==&amp;WINDOW=FIRST_POPUP&amp;HEIGHT=450&amp;WIDTH=450&amp;START_MA","XIMIZED=FALSE&amp;VAR:CALENDAR=US&amp;VAR:SYMBOL=36960410&amp;VAR:INDEX=0"}</definedName>
    <definedName name="_808__FDSAUDITLINK__" hidden="1">{"fdsup://directions/FAT Viewer?action=UPDATE&amp;creator=factset&amp;DYN_ARGS=TRUE&amp;DOC_NAME=FAT:FQL_AUDITING_CLIENT_TEMPLATE.FAT&amp;display_string=Audit&amp;VAR:KEY=XQPODKZCXG&amp;VAR:QUERY=UkdGX1BGRF9TVEsoUVRSLDAsLCwsVVNEKQ==&amp;WINDOW=FIRST_POPUP&amp;HEIGHT=450&amp;WIDTH=450&amp;START_MA","XIMIZED=FALSE&amp;VAR:CALENDAR=US&amp;VAR:SYMBOL=36960410&amp;VAR:INDEX=0"}</definedName>
    <definedName name="_809__FDSAUDITLINK__" hidden="1">{"fdsup://IBCentral/FAT Viewer?action=UPDATE&amp;creator=factset&amp;DOC_NAME=fat:reuters_qtrly_source_window.fat&amp;display_string=Audit&amp;DYN_ARGS=TRUE&amp;VAR:ID1=36960410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81__FDSAUDITLINK__" hidden="1">{"fdsup://directions/FAT Viewer?action=UPDATE&amp;creator=factSet&amp;DYN_ARGS=true&amp;DOC_NAME=FAT:RGQ_ENTRPR_VAL_MV_SOURCE_WINDOW.FAT&amp;VAR:ID1=FA&amp;VAR:SDATE=20100721&amp;VAR:FDATE=20080630&amp;VAR:FREQ=DAILY&amp;VAR:RELITEM=&amp;VAR:CURRENCY=&amp;VAR:DB_TYPE=&amp;VAR:UNITS=M&amp;VAR:SHS_OUT_TYPE","=&amp;window=popup&amp;width=535&amp;height=425&amp;START_MAXIMIZED=FALSE&amp;Y=120"}</definedName>
    <definedName name="_81_0__123Graph_D乗" hidden="1">#REF!</definedName>
    <definedName name="_81_0__123Graph_X総" hidden="1">#REF!</definedName>
    <definedName name="_810__FDSAUDITLINK__" hidden="1">{"fdsup://IBCentral/FAT Viewer?action=UPDATE&amp;creator=factset&amp;DOC_NAME=fat:reuters_qtrly_source_window.fat&amp;display_string=Audit&amp;DYN_ARGS=TRUE&amp;VAR:ID1=36960410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811__FDSAUDITLINK__" hidden="1">{"fdsup://IBCentral/FAT Viewer?action=UPDATE&amp;creator=factset&amp;DOC_NAME=fat:reuters_annual_source_window.fat&amp;display_string=Audit&amp;DYN_ARGS=TRUE&amp;VAR:ID1=36960410&amp;VAR:RCODE=STLD&amp;VAR:SDATE=20091299&amp;VAR:FREQ=Y&amp;VAR:RELITEM=RP&amp;VAR:CURRENCY=USD&amp;VAR:CURRSOURCE=EXSHAR","E&amp;VAR:NATFREQ=ANNUAL&amp;VAR:RFIELD=FINALIZED&amp;VAR:DB_TYPE=NR&amp;VAR:UNITS=M&amp;window=popup&amp;width=450&amp;height=300&amp;START_MAXIMIZED=FALSE"}</definedName>
    <definedName name="_812__FDSAUDITLINK__" hidden="1">{"fdsup://IBCentral/FAT Viewer?action=UPDATE&amp;creator=factset&amp;DOC_NAME=fat:reuters_qtrly_source_window.fat&amp;display_string=Audit&amp;DYN_ARGS=TRUE&amp;VAR:ID1=36960410&amp;VAR:RCODE=STLD&amp;VAR:SDATE=20100999&amp;VAR:FREQ=Q&amp;VAR:RELITEM=RP&amp;VAR:CURRENCY=USD&amp;VAR:CURRSOURCE=EXSHARE","&amp;VAR:NATFREQ=QUARTERLY&amp;VAR:RFIELD=FINALIZED&amp;VAR:DB_TYPE=FNR&amp;VAR:UNITS=M&amp;window=popup&amp;width=450&amp;height=300&amp;START_MAXIMIZED=FALSE"}</definedName>
    <definedName name="_82__123Graph_X????_5" hidden="1">#REF!</definedName>
    <definedName name="_82__FDSAUDITLINK__" hidden="1">{"fdsup://directions/FAT Viewer?action=UPDATE&amp;creator=factSet&amp;DYN_ARGS=true&amp;DOC_NAME=FAT:RGQ_ENTRPR_VAL_MV_SOURCE_WINDOW.FAT&amp;VAR:ID1=FA&amp;VAR:SDATE=20100721&amp;VAR:FDATE=20080630&amp;VAR:FREQ=DAILY&amp;VAR:RELITEM=&amp;VAR:CURRENCY=&amp;VAR:DB_TYPE=&amp;VAR:UNITS=M&amp;VAR:SHS_OUT_TYPE","=&amp;window=popup&amp;width=535&amp;height=425&amp;START_MAXIMIZED=FALSE&amp;Y=120"}</definedName>
    <definedName name="_82_0__123Graph_D乗" hidden="1">#REF!</definedName>
    <definedName name="_83__123Graph_Aｸﾞﾗﾌ_5" hidden="1">#REF!</definedName>
    <definedName name="_83__123Graph_Xｸﾞﾗﾌ_1" hidden="1">#REF!</definedName>
    <definedName name="_83__FDSAUDITLINK__" hidden="1">{"fdsup://directions/FAT Viewer?action=UPDATE&amp;creator=factSet&amp;DYN_ARGS=true&amp;DOC_NAME=FAT:RGQ_ENTRPR_VAL_MV_SOURCE_WINDOW.FAT&amp;VAR:ID1=SIF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83_0__123Graph_D乗" hidden="1">#REF!</definedName>
    <definedName name="_84__123Graph_EGRAPHIQUE_1" hidden="1">#REF!</definedName>
    <definedName name="_84__FDSAUDITLINK__" hidden="1">{"fdsup://directions/FAT Viewer?action=UPDATE&amp;creator=factSet&amp;DYN_ARGS=true&amp;DOC_NAME=FAT:RGQ_ENTRPR_VAL_MV_SOURCE_WINDOW.FAT&amp;VAR:ID1=SIF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84_0__123Graph_D乗" hidden="1">#REF!</definedName>
    <definedName name="_85__123Graph_LBL_BTOTAL_DIRECTOS" hidden="1">#REF!</definedName>
    <definedName name="_85__FDSAUDITLINK__" hidden="1">{"fdsup://directions/FAT Viewer?action=UPDATE&amp;creator=factSet&amp;DYN_ARGS=true&amp;DOC_NAME=FAT:RGQ_ENTRPR_VAL_MV_SOURCE_WINDOW.FAT&amp;VAR:ID1=SPA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85_0__123Graph_D乗" hidden="1">#REF!</definedName>
    <definedName name="_86__FDSAUDITLINK__" hidden="1">{"fdsup://directions/FAT Viewer?action=UPDATE&amp;creator=factSet&amp;DYN_ARGS=true&amp;DOC_NAME=FAT:RGQ_ENTRPR_VAL_MV_SOURCE_WINDOW.FAT&amp;VAR:ID1=SPA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86_0__123Graph_D乗" hidden="1">#REF!</definedName>
    <definedName name="_87__FDSAUDITLINK__" hidden="1">{"fdsup://directions/FAT Viewer?action=UPDATE&amp;creator=factSet&amp;DYN_ARGS=true&amp;DOC_NAME=FAT:RGQ_ENTRPR_VAL_MV_SOURCE_WINDOW.FAT&amp;VAR:ID1=STS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87_0__123Graph_D商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88__FDSAUDITLINK__" hidden="1">{"fdsup://directions/FAT Viewer?action=UPDATE&amp;creator=factSet&amp;DYN_ARGS=true&amp;DOC_NAME=FAT:RGQ_ENTRPR_VAL_MV_SOURCE_WINDOW.FAT&amp;VAR:ID1=STST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88_0__123Graph_D商" hidden="1">#REF!</definedName>
    <definedName name="_89__FDSAUDITLINK__" hidden="1">{"fdsup://directions/FAT Viewer?action=UPDATE&amp;creator=factSet&amp;DYN_ARGS=true&amp;DOC_NAME=FAT:RGQ_ENTRPR_VAL_MV_SOURCE_WINDOW.FAT&amp;VAR:ID1=SXE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89_0__123Graph_D商" hidden="1">#REF!</definedName>
    <definedName name="_8M_Fenster_.Datensatz_einfügen">#REF!</definedName>
    <definedName name="_9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9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9_______0__123Graph_D商" hidden="1">#REF!</definedName>
    <definedName name="_9___123Graph_ECHART_3" hidden="1">#REF!</definedName>
    <definedName name="_9__123Graph_Aｸﾞﾗﾌ_1" hidden="1">#REF!</definedName>
    <definedName name="_9__123Graph_Aｸﾞﾗﾌ_4" hidden="1">#REF!</definedName>
    <definedName name="_9__123Graph_BSOLDA_PINTURA" hidden="1">#REF!</definedName>
    <definedName name="_9__123Graph_Xｸﾞﾗﾌ_4" hidden="1">#REF!</definedName>
    <definedName name="_9__FDSAUDITLINK__" hidden="1">{"fdsup://directions/FAT Viewer?action=UPDATE&amp;creator=factSet&amp;DYN_ARGS=true&amp;DOC_NAME=FAT:RGQ_ENTRPR_VAL_MV_SOURCE_WINDOW.FAT&amp;VAR:ID1=MAG-PL&amp;VAR:SDATE=20100721&amp;VAR:FDATE=20100331&amp;VAR:FREQ=DAILY&amp;VAR:RELITEM=&amp;VAR:CURRENCY=&amp;VAR:DB_TYPE=&amp;VAR:UNITS=M&amp;VAR:SHS_OUT_","TYPE=&amp;window=popup&amp;width=535&amp;height=425&amp;START_MAXIMIZED=FALSE&amp;Y=120"}</definedName>
    <definedName name="_9_0__123Grap" hidden="1">#REF!</definedName>
    <definedName name="_9_123Grap" hidden="1">#REF!</definedName>
    <definedName name="_9_123Graph_C乗" hidden="1">#REF!</definedName>
    <definedName name="_90__123Graph_XHORES_EXTRES" hidden="1">#REF!</definedName>
    <definedName name="_90__FDSAUDITLINK__" hidden="1">{"fdsup://directions/FAT Viewer?action=UPDATE&amp;creator=factSet&amp;DYN_ARGS=true&amp;DOC_NAME=FAT:RGQ_ENTRPR_VAL_MV_SOURCE_WINDOW.FAT&amp;VAR:ID1=SXE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90_0__123Graph_D商" hidden="1">#REF!</definedName>
    <definedName name="_91__FDSAUDITLINK__" hidden="1">{"fdsup://directions/FAT Viewer?action=UPDATE&amp;creator=factSet&amp;DYN_ARGS=true&amp;DOC_NAME=FAT:RGQ_ENTRPR_VAL_MV_SOURCE_WINDOW.FAT&amp;VAR:ID1=ADG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91_0__123Graph_D商" hidden="1">#REF!</definedName>
    <definedName name="_92__FDSAUDITLINK__" hidden="1">{"fdsup://directions/FAT Viewer?action=UPDATE&amp;creator=factSet&amp;DYN_ARGS=true&amp;DOC_NAME=FAT:RGQ_ENTRPR_VAL_MV_SOURCE_WINDOW.FAT&amp;VAR:ID1=ADG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92_0__123Graph_D商" hidden="1">#REF!</definedName>
    <definedName name="_93">#REF!</definedName>
    <definedName name="_93__123Graph_X????_2" hidden="1">#REF!</definedName>
    <definedName name="_93__123Graph_Xｸﾞﾗﾌ_3" hidden="1">#REF!</definedName>
    <definedName name="_93__FDSAUDITLINK__" hidden="1">{"fdsup://directions/FAT Viewer?action=UPDATE&amp;creator=factSet&amp;DYN_ARGS=true&amp;DOC_NAME=FAT:RGQ_ENTRPR_VAL_MV_SOURCE_WINDOW.FAT&amp;VAR:ID1=ISS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93_0__123Graph_D総" hidden="1">#REF!</definedName>
    <definedName name="_93A">#REF!</definedName>
    <definedName name="_93B">#REF!</definedName>
    <definedName name="_94">#REF!</definedName>
    <definedName name="_94__123Graph_Xｸﾞﾗﾌ_2" hidden="1">#REF!</definedName>
    <definedName name="_94__FDSAUDITLINK__" hidden="1">{"fdsup://directions/FAT Viewer?action=UPDATE&amp;creator=factSet&amp;DYN_ARGS=true&amp;DOC_NAME=FAT:RGQ_ENTRPR_VAL_MV_SOURCE_WINDOW.FAT&amp;VAR:ID1=ISSC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94_0__123Graph_D総" hidden="1">#REF!</definedName>
    <definedName name="_95__123Graph_XINTR_DIR" hidden="1">#REF!</definedName>
    <definedName name="_95__FDSAUDITLINK__" hidden="1">{"fdsup://directions/FAT Viewer?action=UPDATE&amp;creator=factSet&amp;DYN_ARGS=true&amp;DOC_NAME=FAT:RGQ_ENTRPR_VAL_MV_SOURCE_WINDOW.FAT&amp;VAR:ID1=GNBA&amp;VAR:SDATE=20100721&amp;VAR:FDATE=20090331&amp;VAR:FREQ=DAILY&amp;VAR:RELITEM=&amp;VAR:CURRENCY=&amp;VAR:DB_TYPE=&amp;VAR:UNITS=M&amp;VAR:SHS_OUT_TY","PE=&amp;window=popup&amp;width=535&amp;height=425&amp;START_MAXIMIZED=FALSE&amp;Y=120"}</definedName>
    <definedName name="_95_0__123Graph_D総" hidden="1">#REF!</definedName>
    <definedName name="_96__123Graph_EGRAPHIQUE_15" hidden="1">#REF!</definedName>
    <definedName name="_96__FDSAUDITLINK__" hidden="1">{"fdsup://directions/FAT Viewer?action=UPDATE&amp;creator=factSet&amp;DYN_ARGS=true&amp;DOC_NAME=FAT:RGQ_ENTRPR_VAL_MV_SOURCE_WINDOW.FAT&amp;VAR:ID1=GNBA&amp;VAR:SDATE=20100721&amp;VAR:FDATE=20090331&amp;VAR:FREQ=DAILY&amp;VAR:RELITEM=&amp;VAR:CURRENCY=&amp;VAR:DB_TYPE=&amp;VAR:UNITS=M&amp;VAR:SHS_OUT_TY","PE=&amp;window=popup&amp;width=535&amp;height=425&amp;START_MAXIMIZED=FALSE&amp;Y=120"}</definedName>
    <definedName name="_96_0__123Graph_D総" hidden="1">#REF!</definedName>
    <definedName name="_97__FDSAUDITLINK__" hidden="1">{"fdsup://directions/FAT Viewer?action=UPDATE&amp;creator=factSet&amp;DYN_ARGS=true&amp;DOC_NAME=FAT:RGQ_ENTRPR_VAL_MV_SOURCE_WINDOW.FAT&amp;VAR:ID1=CVU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97_0__123Graph_D総" hidden="1">#REF!</definedName>
    <definedName name="_98__123Graph_X????_3" hidden="1">#REF!</definedName>
    <definedName name="_98__123Graph_Xｸﾞﾗﾌ_4" hidden="1">#REF!</definedName>
    <definedName name="_98__FDSAUDITLINK__" hidden="1">{"fdsup://directions/FAT Viewer?action=UPDATE&amp;creator=factSet&amp;DYN_ARGS=true&amp;DOC_NAME=FAT:RGQ_ENTRPR_VAL_MV_SOURCE_WINDOW.FAT&amp;VAR:ID1=CVU&amp;VAR:SDATE=20100721&amp;VAR:FDATE=20100331&amp;VAR:FREQ=DAILY&amp;VAR:RELITEM=&amp;VAR:CURRENCY=&amp;VAR:DB_TYPE=&amp;VAR:UNITS=M&amp;VAR:SHS_OUT_TYP","E=&amp;window=popup&amp;width=535&amp;height=425&amp;START_MAXIMIZED=FALSE&amp;Y=120"}</definedName>
    <definedName name="_98_0__123Graph_D総" hidden="1">#REF!</definedName>
    <definedName name="_99">#REF!</definedName>
    <definedName name="_99__FDSAUDITLINK__" hidden="1">{"fdsup://directions/FAT Viewer?action=UPDATE&amp;creator=factSet&amp;DYN_ARGS=true&amp;DOC_NAME=FAT:RGQ_ENTRPR_VAL_MV_SOURCE_WINDOW.FAT&amp;VAR:ID1=AERG&amp;VAR:SDATE=20100721&amp;VAR:FDATE=20100331&amp;VAR:FREQ=DAILY&amp;VAR:RELITEM=&amp;VAR:CURRENCY=&amp;VAR:DB_TYPE=&amp;VAR:UNITS=M&amp;VAR:SHS_OUT_TY","PE=&amp;window=popup&amp;width=535&amp;height=425&amp;START_MAXIMIZED=FALSE&amp;Y=120"}</definedName>
    <definedName name="_99_0__123Graph_E乗" hidden="1">#REF!</definedName>
    <definedName name="_9M_Fenster_.Datensatz_einfügen">#N/A</definedName>
    <definedName name="_9M_Fenster_.KSBlatthinzu">#N/A</definedName>
    <definedName name="_a1" hidden="1">{"'Sheet1'!$L$16"}</definedName>
    <definedName name="_a1_1" hidden="1">{"'Sheet1'!$L$16"}</definedName>
    <definedName name="_a10" hidden="1">{"'Sheet1'!$L$16"}</definedName>
    <definedName name="_a11" hidden="1">{"'Sheet1'!$L$16"}</definedName>
    <definedName name="_a12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4" hidden="1">{"TAG1AGMS",#N/A,FALSE,"TAG 1A"}</definedName>
    <definedName name="_a15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1s" hidden="1">{"'Sheet1'!$L$16"}</definedName>
    <definedName name="_a2" hidden="1">{"'Sheet1'!$L$16"}</definedName>
    <definedName name="_a2v1" hidden="1">{"'Sheet1'!$L$16"}</definedName>
    <definedName name="_a3" hidden="1">{"'Sheet1'!$L$16"}</definedName>
    <definedName name="_a32" hidden="1">{"'Sheet1'!$L$16"}</definedName>
    <definedName name="_a33" hidden="1">{"fleisch",#N/A,FALSE,"WG HK";"food",#N/A,FALSE,"WG HK";"hartwaren",#N/A,FALSE,"WG HK";"weichwaren",#N/A,FALSE,"WG HK"}</definedName>
    <definedName name="_A4" hidden="1">{#N/A,#N/A,FALSE,"India - 3f";#N/A,#N/A,FALSE,"India - 3";#N/A,#N/A,FALSE,"India - 4f";#N/A,#N/A,FALSE,"India - 4";#N/A,#N/A,FALSE,"Retail Spider"}</definedName>
    <definedName name="_a5" hidden="1">{"'Sheet1'!$L$16"}</definedName>
    <definedName name="_a55" hidden="1">{"Tages_D",#N/A,FALSE,"Tagesbericht";"Tages_PL",#N/A,FALSE,"Tagesbericht"}</definedName>
    <definedName name="_a66" hidden="1">{"TAG1AGMS",#N/A,FALSE,"TAG 1A"}</definedName>
    <definedName name="_a7" hidden="1">{"'Sheet1'!$L$16"}</definedName>
    <definedName name="_á7" hidden="1">{"TAG1AGMS",#N/A,FALSE,"TAG 1A"}</definedName>
    <definedName name="_a8" hidden="1">{"'Sheet1'!$L$16"}</definedName>
    <definedName name="_a9" hidden="1">{"'Sheet1'!$L$16"}</definedName>
    <definedName name="_aa22" hidden="1">{"Tages_D",#N/A,FALSE,"Tagesbericht";"Tages_PL",#N/A,FALSE,"Tagesbericht"}</definedName>
    <definedName name="_ABC1" hidden="1">{"'Sheet1'!$L$16"}</definedName>
    <definedName name="_add1">#REF!</definedName>
    <definedName name="_AL2" hidden="1">{#N/A,#N/A,FALSE,"Chi tiÆt"}</definedName>
    <definedName name="_All2003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MO_ContentDefinition_467123702" hidden="1">"'Partitions:5'"</definedName>
    <definedName name="_AMO_ContentDefinition_467123702.0" hidden="1">"'&lt;ContentDefinition name=""SASMain:CFCPUB.RETURN"" rsid=""467123702"" type=""PivotTable"" format=""REPORTXML"" imgfmt=""ACTIVEX"" created=""02/10/2009 14:46:12"" modifed=""02/10/2009 17:11:27"" user="" "" apply=""False"" thread=""BACKGROUND"" css=""C:\'"</definedName>
    <definedName name="_AMO_ContentDefinition_467123702.1" hidden="1">"'Program Files\SAS\Shared Files\BIClientStyles\AMODefault.css"" range=""SASMain_CFCPUB_RETURN"" auto=""False"" rdc=""False"" mig=""False"" xTime=""00:00:00.0156254"" rTime=""00:00:06.4064140"" bgnew=""False"" nFmt=""False"" grphSet=""False"" imgY=""'"</definedName>
    <definedName name="_AMO_ContentDefinition_467123702.2" hidden="1">"'0"" imgX=""0""&gt;_x000D_&lt;files /&gt;_x000D_&lt;param n=""DisplayName"" v=""SASMain:CFCPUB.RETURN"" /&gt;_x000D_&lt;param n=""AMO_Version"" v=""2.1"" /&gt;_x000D_&lt;param n=""NamedRange"" v=""_AMO_SingleObject_467123702_PivotTable_467123702"" /&gt;_x000D_&lt;param n=""DataSourceType"" v=""S'"</definedName>
    <definedName name="_AMO_ContentDefinition_467123702.3" hidden="1">"'AS DATASET"" /&gt;_x000D_&lt;param n=""DataSource"" v=""&amp;lt;SasDataSource Version=&amp;quot;2.1&amp;quot; Type=&amp;quot;SAS.Servers.Dataset&amp;quot; Svr=&amp;quot;SASMain&amp;quot; Lib=&amp;quot;CFCPUB&amp;quot; UseLbls=&amp;quot;true&amp;quot; ColSelFlg=&amp;quot;0&amp;quot; Name=&amp;quot;RETURN&amp;quot; /&amp;gt'"</definedName>
    <definedName name="_AMO_ContentDefinition_467123702.4" hidden="1">"';"" /&gt;_x000D_&lt;param n=""ServerName"" v=""SASMain"" /&gt;_x000D_&lt;param n=""SASFilter"" v="""" /&gt;_x000D_&lt;param n=""ClassName"" v=""SAS.OfficeAddin.PivotTable"" /&gt;_x000D_&lt;/ContentDefinition&gt;'"</definedName>
    <definedName name="_AMO_ContentLocation_467123702_PivotTable_467123702" hidden="1">"'&lt;ContentLocation path=""467123702"" rsid=""467123702"" tag=""PivotTable"" fid=""0"" /&gt;'"</definedName>
    <definedName name="_AMO_RefreshMultipleList" hidden="1">"'467123702'"</definedName>
    <definedName name="_AMO_XmlVersion" hidden="1">"'1'"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1" hidden="1">{#VALUE!,#N/A,FALSE,0;#N/A,#N/A,FALSE,0;#N/A,#N/A,FALSE,0;#N/A,#N/A,FALSE,0}</definedName>
    <definedName name="_B1">#REF!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B2">#REF!</definedName>
    <definedName name="_B3">#REF!</definedName>
    <definedName name="_bac3">12413</definedName>
    <definedName name="_bac4">13529</definedName>
    <definedName name="_bac5">15483</definedName>
    <definedName name="_bdm.07049616CAB54047B0190720E70C3449.edm" hidden="1">#REF!</definedName>
    <definedName name="_bdm.14C33C185FE54D098A064B25830B6D47.edm" hidden="1">#REF!</definedName>
    <definedName name="_bdm.2504E04DEE664488B58DCAE5C6170EA1.edm" hidden="1">#REF!</definedName>
    <definedName name="_bdm.266BFA0F8510490BBA0C7435BACDC92D.edm" hidden="1">#REF!</definedName>
    <definedName name="_bdm.284429D74C0549F29D068057709138B0.edm" hidden="1">#REF!</definedName>
    <definedName name="_bdm.28F1E7FFF7A74184B2564FC8D3930129.edm" hidden="1">#REF!</definedName>
    <definedName name="_bdm.2A586A6C19174F95B75B28D968023D48.edm" hidden="1">#REF!</definedName>
    <definedName name="_bdm.2AB193F3ACAD4B2B9F1116C2F62C313A.edm" hidden="1">#REF!</definedName>
    <definedName name="_bdm.2C1FCB836A2649C893F24DB5E984CBFC.edm" hidden="1">#REF!</definedName>
    <definedName name="_bdm.2EE5AC6AFE4E4131BD8189EE808FA4BE.edm" hidden="1">#REF!</definedName>
    <definedName name="_bdm.31c660ddb09d4bdaa93a9233c5c63302.edm" hidden="1">#REF!</definedName>
    <definedName name="_bdm.32FA8FDF39AB410781150C4F86E484F8.edm" hidden="1">#REF!</definedName>
    <definedName name="_bdm.3678126B6F7546D086641D39F35D6981.edm" hidden="1">#REF!</definedName>
    <definedName name="_bdm.3B7B3DF7092A414E94343609DA424950.edm" hidden="1">#REF!</definedName>
    <definedName name="_bdm.3C16685F7E3D4DF9996FFC5ABFE20385.edm" hidden="1">#REF!</definedName>
    <definedName name="_bdm.3FAEA116F3C54770A014CEDE6860486D.edm" hidden="1">#REF!</definedName>
    <definedName name="_bdm.4360FC276F564435B41784CE00F038E9.edm" hidden="1">#REF!</definedName>
    <definedName name="_bdm.4ABCC63F258F49CEAE4B4BB895964A9A.edm" hidden="1">#REF!</definedName>
    <definedName name="_bdm.4CFE18DECBEC47DB87FF39CC1F7528CC.edm" hidden="1">#REF!</definedName>
    <definedName name="_bdm.4D3C2CA150094A1C99AA59AC51CB410E.edm" hidden="1">#REF!</definedName>
    <definedName name="_bdm.5112C973A12C46D486356BCE22CB3428.edm" hidden="1">#REF!</definedName>
    <definedName name="_bdm.56CB8CE76E844FEEA999160C74526D62.edm" hidden="1">#REF!</definedName>
    <definedName name="_bdm.592972CE513A4DEF9CE21E45CF0DBCBC.edm" hidden="1">#REF!</definedName>
    <definedName name="_bdm.59F5341085B74605A69BDDD9102F31C1.edm" hidden="1">#REF!</definedName>
    <definedName name="_bdm.5A3F06E95AE849498021F01F86CCA567.edm" hidden="1">#REF!</definedName>
    <definedName name="_bdm.5B55EC15D59D494AA5E3D74BF9AE6CDB.edm" hidden="1">#REF!</definedName>
    <definedName name="_bdm.60F397F3D7F6457D8E50440AD44AA9EB.edm" hidden="1">#REF!</definedName>
    <definedName name="_bdm.620A99D04A214AF686B11407FFC1FE4D.edm" hidden="1">#REF!</definedName>
    <definedName name="_bdm.6839641805FE451EB3F630E0150D85CE.edm" hidden="1">#REF!</definedName>
    <definedName name="_bdm.68A7F6B12CDB43A29290E5A027D6A2F4.edm" hidden="1">#REF!</definedName>
    <definedName name="_bdm.6ECC9F15799B41C5B17D1FAAC55B5BED.edm" hidden="1">#REF!</definedName>
    <definedName name="_bdm.6F3C38D7311140AF91744DA629E3FD08.edm" hidden="1">#REF!</definedName>
    <definedName name="_bdm.7BB5C085329D47D7862123ED1CBB9BCF.edm" hidden="1">#REF!</definedName>
    <definedName name="_bdm.7c31859236364ff78545ed2efb5ba1b5.edm" hidden="1">#REF!</definedName>
    <definedName name="_bdm.7DBDA030E1AD41FC9FDB644EC8B70ECF.edm" hidden="1">#REF!</definedName>
    <definedName name="_bdm.7EC2D4ACD3C64C378D4DE15476F588A7.edm" hidden="1">#REF!</definedName>
    <definedName name="_bdm.84694478ABDB4985A7366A9A70B512E5.edm" hidden="1">#REF!</definedName>
    <definedName name="_bdm.86EBCF092F3946A29D0FCF046EB01016.edm" hidden="1">#REF!</definedName>
    <definedName name="_bdm.8806bfb13c9d41058661e86e5f12d514.edm" hidden="1">#REF!</definedName>
    <definedName name="_bdm.8b836dd0c0b04b75b54a937ffe98d588.edm" hidden="1">#REF!</definedName>
    <definedName name="_bdm.8DCDF7DE86DC4104A6A1FE24177227C1.edm" hidden="1">#REF!</definedName>
    <definedName name="_bdm.8E37E434CD0A4D7CA101F0C3D0FFBDB5.edm" hidden="1">#REF!</definedName>
    <definedName name="_bdm.8F72A13F129F4015A577693386E0C288.edm" hidden="1">#REF!</definedName>
    <definedName name="_bdm.92B3F664291E4077993D00FEA4AFB75F.edm" hidden="1">#REF!</definedName>
    <definedName name="_bdm.939A0E1812314A538B106BABF4296B5A.edm" hidden="1">#REF!</definedName>
    <definedName name="_bdm.959F387AA22343529A5AD89CC7B302E8.edm" hidden="1">#REF!</definedName>
    <definedName name="_bdm.96D0063BDAED47EAAC3A47D643798FA0.edm" hidden="1">#REF!</definedName>
    <definedName name="_bdm.97665A94C8BC4776B417F134037C33C5.edm" hidden="1">#REF!</definedName>
    <definedName name="_bdm.981F3D716DD0458A96C671BFB3B17BD2.edm" hidden="1">#REF!</definedName>
    <definedName name="_bdm.9B3A5B7FB2794DB798AD56302595A423.edm" hidden="1">#REF!</definedName>
    <definedName name="_bdm.9CBEF80F04E041D69C8F302D2C6BE261.edm" hidden="1">#REF!</definedName>
    <definedName name="_bdm.9CDC35CDB7B143079762F320F757C403.edm" hidden="1">#REF!</definedName>
    <definedName name="_bdm.A186F40BC883499DB9A1EB8BBE569A39.edm" hidden="1">#REF!</definedName>
    <definedName name="_bdm.AA21185748A04CDB9F8733A1DC2D0BD3.edm" hidden="1">#REF!</definedName>
    <definedName name="_bdm.AC5F6FFBE20F49EABBC268598374E20A.edm" hidden="1">#REF!</definedName>
    <definedName name="_bdm.ad0def2649fb41cfb15c075af3bad634.edm" hidden="1">#REF!</definedName>
    <definedName name="_bdm.be6f6cc2eab8453d953117c653b9cf4f.edm" hidden="1">#REF!</definedName>
    <definedName name="_bdm.C0264B6FE5C346429F871721BB124994.edm" hidden="1">#REF!</definedName>
    <definedName name="_bdm.C12EDDAF2448475CBA6796BBDFED5325.edm" hidden="1">#REF!</definedName>
    <definedName name="_bdm.c4d660fc06654e30a3f124ae0e676e33.edm" hidden="1">#REF!</definedName>
    <definedName name="_bdm.cb86c94edc1e4e298a4ece4dc106c990.edm" hidden="1">#REF!</definedName>
    <definedName name="_bdm.CFDBAA12E57E4079A277B811262DE6FF.edm" hidden="1">#REF!</definedName>
    <definedName name="_bdm.D25E96AA40C24ACD92BD9B9D1DE471A7.edm" hidden="1">#REF!</definedName>
    <definedName name="_bdm.DAB8F82A15B14513BD07385F1CE14879.edm" hidden="1">#REF!</definedName>
    <definedName name="_bdm.DB532E19E1024187875B38658C500AFB.edm" hidden="1">#REF!</definedName>
    <definedName name="_bdm.DE2CB22D62CA4B2F903D9C458D61ACB1.edm" hidden="1">#REF!</definedName>
    <definedName name="_bdm.DEBF460477AD474689BDE520ABD14785.edm" hidden="1">#REF!</definedName>
    <definedName name="_bdm.DFA5813033DB4E30BD6A7091F7B8C6E2.edm" hidden="1">#REF!</definedName>
    <definedName name="_bdm.E04EE01E0A884E26814A8FCFB11A061D.edm" hidden="1">#REF!</definedName>
    <definedName name="_bdm.e14225b5eca24c50a41d6ca6f3e88e0b.edm" hidden="1">#REF!</definedName>
    <definedName name="_bdm.E1C64B6A08634E5AB5A0AB937EFDED03.edm" hidden="1">#REF!</definedName>
    <definedName name="_bdm.E3B166A3A4ED425AB73EA4C5DF2A7CAF.edm" hidden="1">#REF!</definedName>
    <definedName name="_bdm.E5F4C914674F4FA58F8333ACEBF5CAFC.edm" hidden="1">#REF!</definedName>
    <definedName name="_bdm.EA9EF849A941453FB4D01CEB62EE5D61.edm" hidden="1">#REF!</definedName>
    <definedName name="_bdm.EC1066DC94624BE99991086044C2D009.edm" hidden="1">#REF!</definedName>
    <definedName name="_bdm.F1CA440B53EF4B1C8884A562EDC3DBC8.edm" hidden="1">#REF!</definedName>
    <definedName name="_bdm.F6F0742B0C4F47E185F16AC79498C5B4.edm" hidden="1">#REF!</definedName>
    <definedName name="_bdm.F94AE808429A4F59986EE904CDFA79EF.edm" hidden="1">#REF!</definedName>
    <definedName name="_bdm.FA206C7EF05344A1ADB2599D6DDD41D6.edm" hidden="1">#REF!</definedName>
    <definedName name="_bdm.FAA19A23E59A48E98D08793A05440061.edm" hidden="1">#REF!</definedName>
    <definedName name="_bdm.FE620E65140148B2BC7C91FE3167D023.edm" hidden="1">#REF!</definedName>
    <definedName name="_bdm.FF3BD2C0C1944C2389D9A3CF18889D5F.edm" hidden="1">#REF!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BQ4.5" hidden="1">#REF!</definedName>
    <definedName name="_BRZ42">#REF!</definedName>
    <definedName name="_Builtin0" hidden="1">#REF!</definedName>
    <definedName name="_Builtin155" hidden="1">#N/A</definedName>
    <definedName name="_c" hidden="1">{"Tages_D",#N/A,FALSE,"Tagesbericht";"Tages_PL",#N/A,FALSE,"Tagesbericht"}</definedName>
    <definedName name="_CAN1">#REF!</definedName>
    <definedName name="_cc1" hidden="1">{"'Sheet1'!$L$16"}</definedName>
    <definedName name="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D2" hidden="1">{"'Sheet1'!$L$16"}</definedName>
    <definedName name="_CF1" hidden="1">{"'2003'!$A$1:$AH$6"}</definedName>
    <definedName name="_CN1" hidden="1">{"'Sheet1'!$L$16"}</definedName>
    <definedName name="_Coc39" hidden="1">{"'Sheet1'!$L$16"}</definedName>
    <definedName name="_Cty50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#REF!</definedName>
    <definedName name="_Dist_Values" hidden="1">#REF!</definedName>
    <definedName name="_dt1" hidden="1">{"'Sheet1'!$L$16"}</definedName>
    <definedName name="_edede">#REF!</definedName>
    <definedName name="_F1" hidden="1">{"'Sheet1'!$L$16"}</definedName>
    <definedName name="_f5" hidden="1">{"'Sheet1'!$L$16"}</definedName>
    <definedName name="_FAB4" hidden="1">#REF!</definedName>
    <definedName name="_Fam2">#REF!</definedName>
    <definedName name="_feb02">#REF!</definedName>
    <definedName name="_FEB97">#REF!</definedName>
    <definedName name="_FER2" hidden="1">{"REVISED",#N/A,FALSE,"Sheet1"}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B" hidden="1">#REF!</definedName>
    <definedName name="_Filll" hidden="1">#REF!</definedName>
    <definedName name="_xlnm._FilterDatabase" localSheetId="1" hidden="1">'Kết quả cấp NVL'!$B$6:$M$3232</definedName>
    <definedName name="_xlnm._FilterDatabase" localSheetId="0" hidden="1">'Tình trạng cấp NVL'!$B$5:$Y$3687</definedName>
    <definedName name="_xlnm._FilterDatabase" hidden="1">#REF!</definedName>
    <definedName name="_fkefjnfehfn">#REF!</definedName>
    <definedName name="_fullfill" hidden="1">#REF!</definedName>
    <definedName name="_GD1" hidden="1">{#N/A,#N/A,FALSE,"Chi tiÆt"}</definedName>
    <definedName name="_GD2" hidden="1">{"'Sheet1'!$L$16"}</definedName>
    <definedName name="_GEN01">#REF!</definedName>
    <definedName name="_GEN97">#REF!</definedName>
    <definedName name="_ggt1" hidden="1">{"RUN3A",#N/A,FALSE,"BS-exist";"RUN3A","GROWTH RATE 8-5-7",FALSE,"IS-exist";"RUN3A","3rdRun without EquityInfusion;Sale of land(50-50)",FALSE,"CF-exist"}</definedName>
    <definedName name="_ggt2" hidden="1">{"RUN5A",#N/A,FALSE,"BS-exist";"RUN5A","GROWTH RATE 8-5-7",FALSE,"IS-exist";"RUN5A","5th Run without EquityInfusion;Sale of asset(75-35)",FALSE,"CF-exist"}</definedName>
    <definedName name="_ggt3" hidden="1">{"RUN3A",#N/A,FALSE,"BS-exist";"RUN3A","GROWTH RATE 8-5-7",FALSE,"IS-exist";"RUN3A","3rdRun without EquityInfusion;Sale of land(50-50)",FALSE,"CF-exist"}</definedName>
    <definedName name="_ggt5" hidden="1">{"RUN3A",#N/A,FALSE,"BS-exist";"RUN3A","GROWTH RATE 8-5-7",FALSE,"IS-exist";"RUN3A","3rdRun without EquityInfusion;Sale of land(50-50)",FALSE,"CF-exist"}</definedName>
    <definedName name="_ggt6" hidden="1">{"RUN3A",#N/A,FALSE,"BS-exist";"RUN3A","GROWTH RATE 8-5-7",FALSE,"IS-exist";"RUN3A","3rdRun without EquityInfusion;Sale of land(50-50)",FALSE,"CF-exist"}</definedName>
    <definedName name="_ggt7" hidden="1">{"RUN4A",#N/A,FALSE,"BS-exist";"RUN4A","GROWTH RATE 8-5-7",FALSE,"IS-exist";"RUN4A","4thRun without EquityInfusion;Sale of land 75M",FALSE,"CF-exist"}</definedName>
    <definedName name="_ggt8" hidden="1">{"RUN6A",#N/A,FALSE,"BS-exist";"RUN6A","GROWTH RATE 10-5-8",FALSE,"IS-exist";"RUN6A","4thRun without EquityInfusion;Sale of land 75M",FALSE,"CF-exist"}</definedName>
    <definedName name="_ggt9" hidden="1">{"RUN3B",#N/A,FALSE,"BS-exist";"RUN3B","GROWTH RATE 10-5-8",FALSE,"IS-exist";"RUN3B","3rdRun without EquityInfusion;Sale of land(50-50)",FALSE,"CF-exist"}</definedName>
    <definedName name="_Goi8" hidden="1">{"'Sheet1'!$L$16"}</definedName>
    <definedName name="_Goi8_1" hidden="1">{"'Sheet1'!$L$16"}</definedName>
    <definedName name="_Goi8_1_1" hidden="1">{"'Sheet1'!$L$16"}</definedName>
    <definedName name="_Goi8_1_1_1" hidden="1">{"'Sheet1'!$L$16"}</definedName>
    <definedName name="_Goi8_1_2" hidden="1">{"'Sheet1'!$L$16"}</definedName>
    <definedName name="_Goi8_1_2_1" hidden="1">{"'Sheet1'!$L$16"}</definedName>
    <definedName name="_Goi8_1_3" hidden="1">{"'Sheet1'!$L$16"}</definedName>
    <definedName name="_Goi8_1_3_1" hidden="1">{"'Sheet1'!$L$16"}</definedName>
    <definedName name="_Goi8_1_4" hidden="1">{"'Sheet1'!$L$16"}</definedName>
    <definedName name="_Goi8_1_4_1" hidden="1">{"'Sheet1'!$L$16"}</definedName>
    <definedName name="_Goi8_1_5" hidden="1">{"'Sheet1'!$L$16"}</definedName>
    <definedName name="_Goi8_2" hidden="1">{"'Sheet1'!$L$16"}</definedName>
    <definedName name="_Goi8_2_1" hidden="1">{"'Sheet1'!$L$16"}</definedName>
    <definedName name="_Goi8_3" hidden="1">{"'Sheet1'!$L$16"}</definedName>
    <definedName name="_Goi8_3_1" hidden="1">{"'Sheet1'!$L$16"}</definedName>
    <definedName name="_Goi8_4" hidden="1">{"'Sheet1'!$L$16"}</definedName>
    <definedName name="_Goi8_4_1" hidden="1">{"'Sheet1'!$L$16"}</definedName>
    <definedName name="_Goi8_5" hidden="1">{"'Sheet1'!$L$16"}</definedName>
    <definedName name="_h1" hidden="1">{"'Sheet1'!$L$16"}</definedName>
    <definedName name="_h2" hidden="1">{"'Sheet1'!$L$16"}</definedName>
    <definedName name="_hh1219" hidden="1">{"'Sheet1'!$L$16"}</definedName>
    <definedName name="_hsm2">1.1289</definedName>
    <definedName name="_hu1" hidden="1">{"'Sheet1'!$L$16"}</definedName>
    <definedName name="_hu2" hidden="1">{"'Sheet1'!$L$16"}</definedName>
    <definedName name="_hu5" hidden="1">{"'Sheet1'!$L$16"}</definedName>
    <definedName name="_hu57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INT2" hidden="1">{#N/A,#N/A,TRUE,"일정"}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46" hidden="1">{"'Sheet1'!$L$16"}</definedName>
    <definedName name="_K400" hidden="1">{"'Sheet1'!$L$16"}</definedName>
    <definedName name="_K600" hidden="1">{"'Sheet1'!$L$16"}</definedName>
    <definedName name="_K700" hidden="1">{"'Sheet1'!$L$16"}</definedName>
    <definedName name="_ke2" hidden="1">#REF!</definedName>
    <definedName name="_Key1" hidden="1">#REF!</definedName>
    <definedName name="_KEY12" hidden="1">#REF!</definedName>
    <definedName name="_Key13" hidden="1">#REF!</definedName>
    <definedName name="_Key2" hidden="1">#REF!</definedName>
    <definedName name="_Key3" hidden="1">#REF!</definedName>
    <definedName name="_Key4" hidden="1">#REF!</definedName>
    <definedName name="_Key6" hidden="1">#REF!</definedName>
    <definedName name="_Key7" hidden="1">#REF!</definedName>
    <definedName name="_keydd" hidden="1">#REF!</definedName>
    <definedName name="_KH12" hidden="1">{#N/A,#N/A,FALSE,"Chi tiÆt"}</definedName>
    <definedName name="_KKK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L0421">#REF!</definedName>
    <definedName name="_Lan1" hidden="1">{"'Sheet1'!$L$16"}</definedName>
    <definedName name="_Lan2" hidden="1">{"'Sheet1'!$L$16"}</definedName>
    <definedName name="_LAN3" hidden="1">{"'Sheet1'!$L$16"}</definedName>
    <definedName name="_ld2" hidden="1">{"'Sheet1'!$L$16"}</definedName>
    <definedName name="_lk2" hidden="1">{"'Sheet1'!$L$16"}</definedName>
    <definedName name="_LL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M10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r03">#REF!</definedName>
    <definedName name="_MatInverse_In" hidden="1">#REF!</definedName>
    <definedName name="_MatInverse_Out" hidden="1">#REF!</definedName>
    <definedName name="_MCC3" hidden="1">{#N/A,#N/A,FALSE,"CCTV"}</definedName>
    <definedName name="_me04">#REF!</definedName>
    <definedName name="_me10" hidden="1">{#N/A,#N/A,FALSE,"1996 P&amp;L TOWTAC(pk)";#N/A,#N/A,FALSE,"ONGOING P&amp;L TOWTAC(pk)";#N/A,#N/A,FALSE,"ATL6TOWTAC COST CARD"}</definedName>
    <definedName name="_MMT6" hidden="1">{"REVISED",#N/A,FALSE,"Sheet1"}</definedName>
    <definedName name="_MTC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MTC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MTC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NK5" hidden="1">{"'Sheet1'!$L$16"}</definedName>
    <definedName name="_NO2" hidden="1">#REF!</definedName>
    <definedName name="_NOT13" hidden="1">#REF!</definedName>
    <definedName name="_NOT14" hidden="1">#REF!</definedName>
    <definedName name="_NOT15" hidden="1">#REF!</definedName>
    <definedName name="_NOT16" hidden="1">#REF!</definedName>
    <definedName name="_NOT17" hidden="1">#REF!</definedName>
    <definedName name="_NOT18" hidden="1">#REF!</definedName>
    <definedName name="_NOT19" hidden="1">#REF!</definedName>
    <definedName name="_NOT20" hidden="1">#REF!</definedName>
    <definedName name="_NOT22" hidden="1">#REF!</definedName>
    <definedName name="_NOT23" hidden="1">#REF!</definedName>
    <definedName name="_NOT24" hidden="1">#REF!</definedName>
    <definedName name="_NOT25" hidden="1">#REF!</definedName>
    <definedName name="_NOT26" hidden="1">#REF!</definedName>
    <definedName name="_NS02" hidden="1">{"'Sheet1'!$L$16"}</definedName>
    <definedName name="_NSO2" hidden="1">{"'Sheet1'!$L$16"}</definedName>
    <definedName name="_NSO21" hidden="1">{"'Sheet1'!$L$16"}</definedName>
    <definedName name="_NSO3" hidden="1">{"'Sheet1'!$L$16"}</definedName>
    <definedName name="_oke" hidden="1">{"'Sheet1'!$L$16"}</definedName>
    <definedName name="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op1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_op2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_Order1" hidden="1">255</definedName>
    <definedName name="_Order2" hidden="1">255</definedName>
    <definedName name="_P_oder" hidden="1">#REF!</definedName>
    <definedName name="_P3" hidden="1">{#N/A,#N/A,FALSE,"特殊室（ＢＱ表）"}</definedName>
    <definedName name="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A3" hidden="1">{"'Sheet1'!$L$16"}</definedName>
    <definedName name="_pa4" hidden="1">{"'Sheet1'!$L$16"}</definedName>
    <definedName name="_PAG1">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rse_In" hidden="1">#REF!</definedName>
    <definedName name="_Parse_Out" hidden="1">#REF!</definedName>
    <definedName name="_PF2">#REF!</definedName>
    <definedName name="_PG1">#REF!</definedName>
    <definedName name="_PG2">#REF!</definedName>
    <definedName name="_PG3">#REF!</definedName>
    <definedName name="_PG4">#REF!</definedName>
    <definedName name="_pl1" hidden="1">#REF!</definedName>
    <definedName name="_pL12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PP08" hidden="1">#REF!</definedName>
    <definedName name="_PP09" hidden="1">#REF!</definedName>
    <definedName name="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pl2003">[0]!_ppl2003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RN2" hidden="1">{"adj95mult",#N/A,FALSE,"COMPCO";"adj95est",#N/A,FALSE,"COMPCO"}</definedName>
    <definedName name="_pro04">#REF!</definedName>
    <definedName name="_pro1">#REF!</definedName>
    <definedName name="_PU7" hidden="1">{#N/A,#N/A,TRUE,"일정"}</definedName>
    <definedName name="_qa1">#REF!</definedName>
    <definedName name="_QLO7" hidden="1">#REF!</definedName>
    <definedName name="_qp04">#REF!</definedName>
    <definedName name="_QUY4" hidden="1">{"'Sheet1'!$L$16"}</definedName>
    <definedName name="_qw1" hidden="1">{#N/A,#N/A,FALSE,"15"}</definedName>
    <definedName name="_R">[0]!_R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p1">#REF!</definedName>
    <definedName name="_REV1" hidden="1">{#N/A,#N/A,TRUE,"Str.";#N/A,#N/A,TRUE,"Steel &amp; Roof";#N/A,#N/A,TRUE,"Arc.";#N/A,#N/A,TRUE,"Preliminary";#N/A,#N/A,TRUE,"Sum_Prelim"}</definedName>
    <definedName name="_run2" hidden="1">{"RUN2",#N/A,FALSE,"BS-exist";"RUN2","GROWTH RATE 8-5-7",FALSE,"IS-exist";"RUN2","2ndRun without Equity Infusion",FALSE,"CF-exist"}</definedName>
    <definedName name="_run3" hidden="1">{"RUN3B",#N/A,FALSE,"BS-exist";"RUN3B","GROWTH RATE 10-5-8",FALSE,"IS-exist";"RUN3B","3rdRun without EquityInfusion;Sale of land(50-50)",FALSE,"CF-exist"}</definedName>
    <definedName name="_run4" hidden="1">{"RUN4A",#N/A,FALSE,"BS-exist";"RUN4A","GROWTH RATE 8-5-7",FALSE,"IS-exist";"RUN4A","4thRun without EquityInfusion;Sale of land 75M",FALSE,"CF-exist"}</definedName>
    <definedName name="_SA1">#N/A</definedName>
    <definedName name="_SA2">#N/A</definedName>
    <definedName name="_SA4">#N/A</definedName>
    <definedName name="_sc1701">#REF!</definedName>
    <definedName name="_sc1702">#REF!</definedName>
    <definedName name="_sc1703">#REF!</definedName>
    <definedName name="_sc1704">#REF!</definedName>
    <definedName name="_sc1705">#REF!</definedName>
    <definedName name="_sc1706">#REF!</definedName>
    <definedName name="_sc1707">#REF!</definedName>
    <definedName name="_sc1708">#REF!</definedName>
    <definedName name="_sc1709">#REF!</definedName>
    <definedName name="_sc1710">#REF!</definedName>
    <definedName name="_SCL4" hidden="1">{"'Sheet1'!$L$16"}</definedName>
    <definedName name="_SCL4_1" hidden="1">{"'Sheet1'!$L$16"}</definedName>
    <definedName name="_SDJHKdbk">#REF!</definedName>
    <definedName name="_SH1701">#REF!</definedName>
    <definedName name="_Sort" hidden="1">#REF!</definedName>
    <definedName name="_Sort12" hidden="1">#REF!</definedName>
    <definedName name="_Sortmoi" hidden="1">#REF!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S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01" hidden="1">#REF!</definedName>
    <definedName name="_T1" hidden="1">{"'Sheet1'!$L$16"}</definedName>
    <definedName name="_T10" hidden="1">{"'Sheet1'!$L$16"}</definedName>
    <definedName name="_t112" hidden="1">{#N/A,#N/A,FALSE,"Chi tiÆt"}</definedName>
    <definedName name="_T12" hidden="1">{"'Sheet1'!$L$16"}</definedName>
    <definedName name="_T2" hidden="1">{"'Sheet1'!$L$16"}</definedName>
    <definedName name="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8" hidden="1">{"'Sheet1'!$L$16"}</definedName>
    <definedName name="_t9" hidden="1">{"'Sheet1'!$L$16"}</definedName>
    <definedName name="_table_ou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td1" hidden="1">{"'Sheet1'!$L$16"}</definedName>
    <definedName name="_tha1" hidden="1">{"'Sheet1'!$L$16"}</definedName>
    <definedName name="_Tir1" hidden="1">{#N/A,#N/A,TRUE,"일정"}</definedName>
    <definedName name="_TIR2" hidden="1">{#N/A,#N/A,TRUE,"일정"}</definedName>
    <definedName name="_TIR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K211" hidden="1">{"'Sheet1'!$L$16"}</definedName>
    <definedName name="_TM2" hidden="1">{"'Sheet1'!$L$16"}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t3" hidden="1">{"'Sheet1'!$L$16"}</definedName>
    <definedName name="_tt3_1" hidden="1">{"'Sheet1'!$L$16"}</definedName>
    <definedName name="_tt3_1_1" hidden="1">{"'Sheet1'!$L$16"}</definedName>
    <definedName name="_tt3_1_1_1" hidden="1">{"'Sheet1'!$L$16"}</definedName>
    <definedName name="_tt3_1_2" hidden="1">{"'Sheet1'!$L$16"}</definedName>
    <definedName name="_tt3_1_2_1" hidden="1">{"'Sheet1'!$L$16"}</definedName>
    <definedName name="_tt3_1_3" hidden="1">{"'Sheet1'!$L$16"}</definedName>
    <definedName name="_tt3_1_3_1" hidden="1">{"'Sheet1'!$L$16"}</definedName>
    <definedName name="_tt3_1_4" hidden="1">{"'Sheet1'!$L$16"}</definedName>
    <definedName name="_tt3_1_4_1" hidden="1">{"'Sheet1'!$L$16"}</definedName>
    <definedName name="_tt3_1_5" hidden="1">{"'Sheet1'!$L$16"}</definedName>
    <definedName name="_tt3_2" hidden="1">{"'Sheet1'!$L$16"}</definedName>
    <definedName name="_tt3_2_1" hidden="1">{"'Sheet1'!$L$16"}</definedName>
    <definedName name="_tt3_3" hidden="1">{"'Sheet1'!$L$16"}</definedName>
    <definedName name="_tt3_3_1" hidden="1">{"'Sheet1'!$L$16"}</definedName>
    <definedName name="_tt3_4" hidden="1">{"'Sheet1'!$L$16"}</definedName>
    <definedName name="_tt3_4_1" hidden="1">{"'Sheet1'!$L$16"}</definedName>
    <definedName name="_tt3_5" hidden="1">{"'Sheet1'!$L$16"}</definedName>
    <definedName name="_tu4" hidden="1">{"'Sheet1'!$L$16"}</definedName>
    <definedName name="_u18" hidden="1">{"Tages_D",#N/A,FALSE,"Tagesbericht";"Tages_PL",#N/A,FALSE,"Tagesbericht"}</definedName>
    <definedName name="_u20" hidden="1">{"fleisch",#N/A,FALSE,"WG HK";"food",#N/A,FALSE,"WG HK";"hartwaren",#N/A,FALSE,"WG HK";"weichwaren",#N/A,FALSE,"WG HK"}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w2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w3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w4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w5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w6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_wq1" hidden="1">{#N/A,#N/A,FALSE,"15"}</definedName>
    <definedName name="_wrn1" hidden="1">{#N/A,#N/A,FALSE,"Bare Battery F.G."}</definedName>
    <definedName name="_WRN11" hidden="1">{#N/A,#N/A,FALSE,"Bare Battery F.G."}</definedName>
    <definedName name="_WW2" hidden="1">{"'Sheet1'!$L$16"}</definedName>
    <definedName name="_XG2" hidden="1">{#N/A,#N/A,FALSE,"단축1";#N/A,#N/A,FALSE,"단축2";#N/A,#N/A,FALSE,"단축3";#N/A,#N/A,FALSE,"장축";#N/A,#N/A,FALSE,"4WD"}</definedName>
    <definedName name="_xlcn.WorksheetConnection_Recap_QtyFCB7DS1782" hidden="1">#REF!</definedName>
    <definedName name="_xlcn.WorksheetConnection_VFe34MedianPurchasepriceB2F8051" hidden="1">#REF!</definedName>
    <definedName name="_xlcn.WorksheetConnection_VFUSrateB17H1861" hidden="1">#REF!</definedName>
    <definedName name="_Y2005" hidden="1">{"Jan-June",#N/A,FALSE,"Sheet4";"Jul-Dec",#N/A,FALSE,"Sheet4"}</definedName>
    <definedName name="_ytnn" hidden="1">#REF!</definedName>
    <definedName name="_zz1">#REF!</definedName>
    <definedName name="¸df" hidden="1">#REF!</definedName>
    <definedName name="¸dfsad" hidden="1">#REF!</definedName>
    <definedName name="「" hidden="1">#REF!</definedName>
    <definedName name="」">#REF!</definedName>
    <definedName name="○×">#REF!</definedName>
    <definedName name="¼QRWERQWR" hidden="1">#REF!</definedName>
    <definedName name="—12" hidden="1">#REF!</definedName>
    <definedName name="­234w4q324q32" hidden="1">#REF!</definedName>
    <definedName name="Ⅱ" hidden="1">{"tenancy detail",#N/A,FALSE,"Tenancies";"years1_2",#N/A,FALSE,"Tenancies";"years3_4",#N/A,FALSE,"Tenancies"}</definedName>
    <definedName name="A" hidden="1">#REF!</definedName>
    <definedName name="Á" hidden="1">#REF!</definedName>
    <definedName name="â" hidden="1">#REF!</definedName>
    <definedName name="ấ" hidden="1">#REF!</definedName>
    <definedName name="ầ" hidden="1">{"'Sheet1'!$L$16"}</definedName>
    <definedName name="ằ" hidden="1">{"'Sheet1'!$L$16"}</definedName>
    <definedName name="a.">(#REF!-1)*100+#REF!</definedName>
    <definedName name="A.1">#REF!</definedName>
    <definedName name="A.2">#REF!</definedName>
    <definedName name="A.3">#REF!</definedName>
    <definedName name="A_impresión_IM">#REF!</definedName>
    <definedName name="A_impresión_IM2">#REF!</definedName>
    <definedName name="a_man">#REF!</definedName>
    <definedName name="a_man_date">#REF!</definedName>
    <definedName name="a_man_resp">#REF!</definedName>
    <definedName name="a_val">#REF!</definedName>
    <definedName name="a_val_date">#REF!</definedName>
    <definedName name="a_val_resp">#REF!</definedName>
    <definedName name="A01Roof">#REF!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29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{"F3 detail",#N/A,FALSE,"F1";"F3 Presentation",#N/A,FALSE,"F3 "}</definedName>
    <definedName name="aâ" hidden="1">{"F3 detail",#N/A,FALSE,"F1";"F3 Presentation",#N/A,FALSE,"F3 "}</definedName>
    <definedName name="aaa" hidden="1">{"TAG1AGMS",#N/A,FALSE,"TAG 1A"}</definedName>
    <definedName name="ＡＡＡ" hidden="1">{#VALUE!,#N/A,FALSE,0;#N/A,#N/A,FALSE,0;#N/A,#N/A,FALSE,0;#N/A,#N/A,FALSE,0}</definedName>
    <definedName name="AAA_DOCTOPS" hidden="1">"AAA_SET"</definedName>
    <definedName name="AAA_duser" hidden="1">"OFF"</definedName>
    <definedName name="aaaa">#REF!</definedName>
    <definedName name="A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" hidden="1">#N/A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a" hidden="1">{"Tages_D",#N/A,FALSE,"Tagesbericht";"Tages_PL",#N/A,FALSE,"Tagesbericht"}</definedName>
    <definedName name="aaaaaaaaa" hidden="1">#REF!</definedName>
    <definedName name="aaaaaaaaaa" hidden="1">{#N/A,#N/A,TRUE,"이사님";#N/A,#N/A,TRUE,"이사님"}</definedName>
    <definedName name="AAAAAAAA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A" hidden="1">#N/A</definedName>
    <definedName name="aaaaaaaaaaaaaa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aaaaaaaaaaaaaaaa" hidden="1">{0}</definedName>
    <definedName name="AAAAAAAAAAAAAAAAA" hidden="1">{#N/A,#N/A,FALSE,"sum";#N/A,#N/A,FALSE,"MARTV";#N/A,#N/A,FALSE,"APRTV"}</definedName>
    <definedName name="AAAAAAAAAAAAAAAA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AAAAAAAAAAAAAAAAAAA" hidden="1">{#N/A,#N/A,FALSE,"sum";#N/A,#N/A,FALSE,"MARTV";#N/A,#N/A,FALSE,"APRTV"}</definedName>
    <definedName name="aaaaaqa" hidden="1">{#N/A,#N/A,FALSE,"MONTHDET";#N/A,#N/A,FALSE,"ACTUAL"}</definedName>
    <definedName name="aaag" hidden="1">{#N/A,#N/A,TRUE,"SUM";#N/A,#N/A,TRUE,"EE";#N/A,#N/A,TRUE,"AC";#N/A,#N/A,TRUE,"SN"}</definedName>
    <definedName name="AAANNULLA">#REF!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Ââdad" hidden="1">{"'Sheet1'!$L$16"}</definedName>
    <definedName name="aaddaa">#N/A</definedName>
    <definedName name="aadsdsadsadsadfsafsadf" hidden="1">{"年販売台数計画",#N/A,FALSE,"販売台数計画";"月販売台数計画",#N/A,FALSE,"販売台数計画"}</definedName>
    <definedName name="a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sasas" hidden="1">#REF!</definedName>
    <definedName name="aass" hidden="1">{"'Sheet1'!$L$16"}</definedName>
    <definedName name="aassdffgb" hidden="1">#REF!</definedName>
    <definedName name="aassw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AT" hidden="1">{#N/A,#N/A,TRUE,"일정"}</definedName>
    <definedName name="aau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avavavav" hidden="1">{#N/A,#N/A,FALSE,"Chi tiÆt"}</definedName>
    <definedName name="aawe" hidden="1">{"weichwaren",#N/A,FALSE,"Liste 1";"hartwaren",#N/A,FALSE,"Liste 1";"food",#N/A,FALSE,"Liste 1";"fleisch",#N/A,FALSE,"Liste 1"}</definedName>
    <definedName name="AAWin_Audit_ID">"2a8c40ab742b487ebbb68cd0e08f1397"</definedName>
    <definedName name="AAWin_Doc_ID">"2d2be45b3a774e418a07031c860fc6f9"</definedName>
    <definedName name="AAWin_Window_Handle">1445282</definedName>
    <definedName name="aaww" hidden="1">{"weichwaren",#N/A,FALSE,"Liste 1";"hartwaren",#N/A,FALSE,"Liste 1";"food",#N/A,FALSE,"Liste 1";"fleisch",#N/A,FALSE,"Liste 1"}</definedName>
    <definedName name="a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BAB" hidden="1">{#N/A,#N/A,FALSE,"CCTV"}</definedName>
    <definedName name="àbafsagg" hidden="1">#REF!</definedName>
    <definedName name="abc" hidden="1">{#N/A,#N/A,FALSE,"Sensitivity"}</definedName>
    <definedName name="ABCD" hidden="1">#REF!</definedName>
    <definedName name="ABCDEF">#REF!</definedName>
    <definedName name="abcs" hidden="1">{#N/A,#N/A,FALSE,"sum";#N/A,#N/A,FALSE,"MARTV";#N/A,#N/A,FALSE,"APRTV"}</definedName>
    <definedName name="abkka" localSheetId="1" hidden="1">IF(Loan_Amount*Interest_Rate*Loan_Years*Loan_Start&gt;0,1,0)</definedName>
    <definedName name="abkka" hidden="1">IF(Loan_Amount*Interest_Rate*Loan_Years*Loan_Start&gt;0,1,0)</definedName>
    <definedName name="ABlock_Cell">#REF!</definedName>
    <definedName name="ABS_2B1" hidden="1">{"COMPARISON",#N/A,FALSE,"Sheet1"}</definedName>
    <definedName name="ac">#REF!</definedName>
    <definedName name="acb">#REF!</definedName>
    <definedName name="acc.dgm">#REF!</definedName>
    <definedName name="acc.fa">#REF!</definedName>
    <definedName name="acc.gm">#REF!</definedName>
    <definedName name="acc.hr">#REF!</definedName>
    <definedName name="acc.me">#REF!</definedName>
    <definedName name="acc.pe">#REF!</definedName>
    <definedName name="acc.pro">#REF!</definedName>
    <definedName name="acc.qa">#REF!</definedName>
    <definedName name="acc.sm">#REF!</definedName>
    <definedName name="accdgm">#REF!</definedName>
    <definedName name="accdgm_goal">#REF!</definedName>
    <definedName name="Access_Button" hidden="1">"tpds0409_RAW_DATA_0318_List"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Documents\New MMR\INPUT.mdb"</definedName>
    <definedName name="accfa">#REF!</definedName>
    <definedName name="accfa_goal">#REF!</definedName>
    <definedName name="accgm">#REF!</definedName>
    <definedName name="accgm_goal">#REF!</definedName>
    <definedName name="acchr">#REF!</definedName>
    <definedName name="acchr_goal">#REF!</definedName>
    <definedName name="accme">#REF!</definedName>
    <definedName name="accme_goal">#REF!</definedName>
    <definedName name="Accounts">#REF!</definedName>
    <definedName name="AccountType">#REF!</definedName>
    <definedName name="accpro">#REF!</definedName>
    <definedName name="accpro_goal">#REF!</definedName>
    <definedName name="accqa_goal">#REF!</definedName>
    <definedName name="accqp">#REF!</definedName>
    <definedName name="accqp_goal">#REF!</definedName>
    <definedName name="accsm">#REF!</definedName>
    <definedName name="accsm_goal">#REF!</definedName>
    <definedName name="ACDA" hidden="1">#REF!</definedName>
    <definedName name="ACMV" hidden="1">{"'Sheet1'!$L$16"}</definedName>
    <definedName name="ACMV_1" hidden="1">{"'Sheet1'!$L$16"}</definedName>
    <definedName name="aço">#REF!</definedName>
    <definedName name="ACON" hidden="1">{#N/A,#N/A,TRUE,"일정"}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t">#REF!</definedName>
    <definedName name="actionplan">#REF!</definedName>
    <definedName name="Activity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tual">#REF!</definedName>
    <definedName name="ActualBeyond">PeriodInActual*(#REF!&gt;0)</definedName>
    <definedName name="ACwvu.inputs._.raw._.data." hidden="1">#REF!</definedName>
    <definedName name="ACwvu.MDC1." hidden="1">#REF!</definedName>
    <definedName name="ACwvu.MDC2." hidden="1">#REF!</definedName>
    <definedName name="ACwvu.MDC3." hidden="1">#REF!</definedName>
    <definedName name="ACwvu.MDC4." hidden="1">#REF!</definedName>
    <definedName name="ACwvu.summary1." hidden="1">#REF!</definedName>
    <definedName name="ACwvu.summary2." hidden="1">#REF!</definedName>
    <definedName name="ACwvu.summary3." hidden="1">#REF!</definedName>
    <definedName name="AD" hidden="1">#REF!</definedName>
    <definedName name="ád" localSheetId="1" hidden="1">Main.SAPF4Help()</definedName>
    <definedName name="ád" hidden="1">Main.SAPF4Help()</definedName>
    <definedName name="AD_1" hidden="1">{"'Sheet1'!$L$16"}</definedName>
    <definedName name="ada" hidden="1">{"'Trend_Total'!$A$7:$V$10","'Trend_Total'!$A$1:$V$4"}</definedName>
    <definedName name="ádád" hidden="1">#REF!</definedName>
    <definedName name="adadada" hidden="1">{0,0,0,0;0,0,0,0;0,0,0,0;0,0,0,0;0,0,0,0;0,0,0,0;0,0,0,0}</definedName>
    <definedName name="adadsa" hidden="1">#REF!</definedName>
    <definedName name="ádaf" hidden="1">#REF!</definedName>
    <definedName name="adasasdda" hidden="1">#REF!</definedName>
    <definedName name="ádasd">PeriodInActual*(#REF!&gt;0)</definedName>
    <definedName name="ádasdasd">#REF!</definedName>
    <definedName name="adasfgdsg" hidden="1">{"'Sheet1'!$L$16"}</definedName>
    <definedName name="adc" hidden="1">{#N/A,#N/A,FALSE,"CCTV"}</definedName>
    <definedName name="add" hidden="1">{"'表紙'!$A$1:$W$39"}</definedName>
    <definedName name="ade" hidden="1">{#N/A,#N/A,FALSE,"Chi tiÆt"}</definedName>
    <definedName name="adf" hidden="1">{"'Trend_Total'!$A$7:$V$10","'Trend_Total'!$A$1:$V$4"}</definedName>
    <definedName name="ÁDFA" hidden="1">{"'Sheet1'!$L$16"}</definedName>
    <definedName name="adfas" hidden="1">{"'Sheet1'!$L$16"}</definedName>
    <definedName name="ÁDFASDF" hidden="1">{"F3 detail",#N/A,FALSE,"F1";"F3 Presentation",#N/A,FALSE,"F3 "}</definedName>
    <definedName name="ÁDFASDFASFASDFF" hidden="1">{#N/A,#N/A,FALSE,"Sensitivity"}</definedName>
    <definedName name="ÁDFASDFASFASDFFASFS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ÁDFASDFSFASFFAFSFASASF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ẤDFASFA" hidden="1">{"F3 detail",#N/A,FALSE,"F1";"F3 Presentation",#N/A,FALSE,"F3 "}</definedName>
    <definedName name="ÁDFASFASFSD" hidden="1">{#N/A,#N/A,FALSE,"Chi tiÆt"}</definedName>
    <definedName name="ÁDFASFS" hidden="1">{"'Sheet2'!$I$8"}</definedName>
    <definedName name="adfdsaf" hidden="1">{"AQUIRORDCF",#N/A,FALSE,"Merger consequences";"Acquirorassns",#N/A,FALSE,"Merger consequences"}</definedName>
    <definedName name="ÁDFFAF" hidden="1">#REF!</definedName>
    <definedName name="ADFHJGKG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ÁDFSDFAF" hidden="1">{"'Sheet1'!$L$16"}</definedName>
    <definedName name="ÁDFSĐFGDGGDGSDG" hidden="1">{"F3 Presentation",#N/A,FALSE,"F3 ";"F3 detail",#N/A,FALSE,"F3 "}</definedName>
    <definedName name="ÁDFSDFS" hidden="1">{#N/A,#N/A,FALSE,"Income State.";#N/A,#N/A,FALSE,"B-S"}</definedName>
    <definedName name="ÁDFSDFSAFD" hidden="1">{#N/A,#N/A,FALSE,"Income State.";#N/A,#N/A,FALSE,"B-S"}</definedName>
    <definedName name="ÁDFSF" hidden="1">{"F3 detail",#N/A,FALSE,"F3 ";"F3 Presentation",#N/A,FALSE,"F3 "}</definedName>
    <definedName name="ÁDFSFAFSDFAS" hidden="1">{#N/A,#N/A,TRUE,"Titles";#N/A,#N/A,TRUE,"Actual vs Budget";#N/A,#N/A,TRUE,"Total by Mngnt I";#N/A,#N/A,TRUE,"Total by Mngnt II";#N/A,#N/A,TRUE,"Personnel";#N/A,#N/A,TRUE,"TTL ΓΕΝΙΚΗ ΔΝΣΗ I";#N/A,#N/A,TRUE,"TTL ΓΕΝΙΚΗ ΔΝΣΗ ΙΙ";#N/A,#N/A,TRUE,"ΔΝΣΗ ΑΝΘΡΩΠΙΝΟΥ ΔΥΝ.";#N/A,#N/A,TRUE,"ΔΝΣΗ ΟΙΚΟΝ. &amp; ΔΙΟΙΚ.";#N/A,#N/A,TRUE,"TTL ΔΝΣΗ ΠΩΛΗΣΕΩΝ";#N/A,#N/A,TRUE,"TTL ΔΝΣΗ MARKETING";#N/A,#N/A,TRUE,"TTL ΔΝΣΗ  ΠΙΣΤΩΣΕΩΝ";#N/A,#N/A,TRUE,"ΔΝΣΗ IT ";#N/A,#N/A,TRUE,"BACK OFFICE &amp; OPS";#N/A,#N/A,TRUE,"CUSTOMER SERVICE";#N/A,#N/A,TRUE,"ΔΝΣΗ RISK MNGNT";#N/A,#N/A,TRUE,"ΔΝΣΗ AUTO MOTO"}</definedName>
    <definedName name="ẤDFSFSAFSDFA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ádg" hidden="1">{"'Sheet1'!$L$16"}</definedName>
    <definedName name="ad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k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ohf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r_date">#REF!</definedName>
    <definedName name="Adr_high">#REF!</definedName>
    <definedName name="Adr_phase">#REF!</definedName>
    <definedName name="Adr_PM">#REF!</definedName>
    <definedName name="Adr_risk">#REF!</definedName>
    <definedName name="Adr_Rl">#REF!</definedName>
    <definedName name="Adr_site">#REF!</definedName>
    <definedName name="ads" hidden="1">{"RUN1",#N/A,FALSE,"BS-exist";"RUN1","GROWTH RATE 8-5-7",FALSE,"IS-exist";"RUN1","1stScenario(Sale of land 90-50);(EquityInfusion 70);(New loan 150);Collection of Advances(110)",FALSE,"CF-exist"}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dghtyyuiui" hidden="1">#REF!</definedName>
    <definedName name="adsfadf" hidden="1">{"'Staffing'!$A$1:$D$62"}</definedName>
    <definedName name="adsfdff" hidden="1">{"RUN1",#N/A,FALSE,"BS-exist";"RUN1","GROWTH RATE 8-5-7",FALSE,"IS-exist";"RUN1","1stScenario(Sale of land 90-50);(EquityInfusion 70);(New loan 150);Collection of Advances(110)",FALSE,"CF-exist"}</definedName>
    <definedName name="adsk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vances">#REF!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sde" hidden="1">{#N/A,#N/A,FALSE,"CCTV"}</definedName>
    <definedName name="aetawfawf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hidden="1">{#N/A,#N/A,FALSE,"Chi tiÆt"}</definedName>
    <definedName name="AF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âfA" hidden="1">{"'Sheet1'!$L$16"}</definedName>
    <definedName name="AFAFA" hidden="1">{#N/A,#N/A,FALSE,"6"}</definedName>
    <definedName name="afafaf" hidden="1">{#N/A,#N/A,FALSE,"4"}</definedName>
    <definedName name="afafdsafds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afaff" hidden="1">{#N/A,#N/A,FALSE,"7"}</definedName>
    <definedName name="AFasdf" hidden="1">{#N/A,#N/A,FALSE,"17"}</definedName>
    <definedName name="AFASF" hidden="1">{#N/A,#N/A,FALSE,"16"}</definedName>
    <definedName name="afasfa" hidden="1">{#N/A,#N/A,FALSE,"2"}</definedName>
    <definedName name="afasfsagfas" hidden="1">{#N/A,#N/A,FALSE,"Chi tiÆt"}</definedName>
    <definedName name="AFD" hidden="1">#REF!</definedName>
    <definedName name="afdf" hidden="1">{"'Sheet1'!$L$16"}</definedName>
    <definedName name="AFDFD" hidden="1">{#N/A,#N/A,FALSE,"Chi tiÆt"}</definedName>
    <definedName name="afdfdsaf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AFHT電流検出ゲイン">#REF!</definedName>
    <definedName name="AFIXOCP">#REF!</definedName>
    <definedName name="AFNERO" hidden="1">{#N/A,#N/A,TRUE,"일정"}</definedName>
    <definedName name="ÂFSDÀD" hidden="1">{"F3 Presentation",#N/A,FALSE,"F3 ";"F3 detail",#N/A,FALSE,"F3 "}</definedName>
    <definedName name="AFSFASDF" hidden="1">{#N/A,#N/A,FALSE,"13"}</definedName>
    <definedName name="AFセンサアドミタンス補正抵抗">#REF!</definedName>
    <definedName name="ＡＦセンサその他情報">#REF!</definedName>
    <definedName name="AFヒータ通電カット実施回数">#REF!</definedName>
    <definedName name="AF駆動タイプ">#REF!</definedName>
    <definedName name="ag" hidden="1">#N/A</definedName>
    <definedName name="ăg" hidden="1">{"'Sheet1'!$L$16"}</definedName>
    <definedName name="âgag" hidden="1">#REF!</definedName>
    <definedName name="agdbf" hidden="1">{"Tages_D",#N/A,FALSE,"Tagesbericht";"Tages_PL",#N/A,FALSE,"Tagesbericht"}</definedName>
    <definedName name="AGE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ầgfabg" hidden="1">#REF!</definedName>
    <definedName name="agfdgads" hidden="1">{"Fcst II",#N/A,FALSE,"(1)-PROFIT SUM.";"Risk_Adj._Fcst.",#N/A,FALSE,"(2)-Risk Adj. Fcst.";"Fcst._to_Budget",#N/A,FALSE,"(3)-Fcst. to Bdgt.";"Yr._O_Yr",#N/A,FALSE,"(4)-Yr.-O-Yr."}</definedName>
    <definedName name="ẩgg" hidden="1">{"'Sheet1'!$L$16"}</definedName>
    <definedName name="ầgga" hidden="1">{"'Sheet1'!$L$16"}</definedName>
    <definedName name="aggregateNames">OFFSET(#REF!,0,0,64-COUNTBLANK(#REF!))</definedName>
    <definedName name="àghfgkfg">#REF!</definedName>
    <definedName name="ágrty" hidden="1">{"'Sheet1'!$L$16"}</definedName>
    <definedName name="ấgs" hidden="1">#REF!</definedName>
    <definedName name="ah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ẢHJÝMJ" hidden="1">{"'Sheet1'!$L$16"}</definedName>
    <definedName name="ahtjht" hidden="1">{"'Sheet1'!$L$16"}</definedName>
    <definedName name="A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ka">#REF!</definedName>
    <definedName name="akdljlvjosld" hidden="1">{"'Sheet1'!$L$16"}</definedName>
    <definedName name="akdu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khds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álf">#REF!</definedName>
    <definedName name="alire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LKFJFH" hidden="1">{#N/A,#N/A,FALSE,"CCTV"}</definedName>
    <definedName name="ALL" hidden="1">{"RUN2",#N/A,FALSE,"BS-exist";"RUN2","GROWTH RATE 8-5-7",FALSE,"IS-exist";"RUN2","2ndRun without Equity Infusion",FALSE,"CF-exist"}</definedName>
    <definedName name="ALL_INJURY">#REF!</definedName>
    <definedName name="ALLAN" hidden="1">{"RUN2",#N/A,FALSE,"BS-exist";"RUN2","GROWTH RATE 8-5-7",FALSE,"IS-exist";"RUN2","2ndRun without Equity Infusion",FALSE,"CF-exist"}</definedName>
    <definedName name="Allotment">#REF!</definedName>
    <definedName name="Allotment2">#REF!</definedName>
    <definedName name="Allowance" hidden="1">{"'Trend_Total'!$A$7:$V$10","'Trend_Total'!$A$1:$V$4"}</definedName>
    <definedName name="alumínio">#REF!</definedName>
    <definedName name="AmountCurDebit">#REF!</definedName>
    <definedName name="amthuc">#REF!</definedName>
    <definedName name="Amusement">#REF!</definedName>
    <definedName name="AmusementAmusement_Others">#REF!</definedName>
    <definedName name="Analysis">#REF!</definedName>
    <definedName name="AnCa">#REF!</definedName>
    <definedName name="anh" hidden="1">#REF!</definedName>
    <definedName name="anna" hidden="1">{#N/A,#N/A,FALSE,"India - 3f";#N/A,#N/A,FALSE,"India - 3";#N/A,#N/A,FALSE,"India - 4f";#N/A,#N/A,FALSE,"India - 4";#N/A,#N/A,FALSE,"Retail Spider"}</definedName>
    <definedName name="anno">#REF!</definedName>
    <definedName name="AnnualBonus">#REF!</definedName>
    <definedName name="anscount" hidden="1">1</definedName>
    <definedName name="Antoan" hidden="1">{"'Sheet1'!$L$16"}</definedName>
    <definedName name="AnzahlBlattZeilen">#REF!</definedName>
    <definedName name="äöüp" hidden="1">{"TAG1AGMS",#N/A,FALSE,"TAG 1A"}</definedName>
    <definedName name="AP" hidden="1">{"'Sheet1'!$L$16"}</definedName>
    <definedName name="apfel">#REF!</definedName>
    <definedName name="APLICAÇÕES">#REF!</definedName>
    <definedName name="APLS">#REF!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endix" hidden="1">{#N/A,#N/A,FALSE,"Cover Page";#N/A,#N/A,FALSE,"Facing Page";#N/A,#N/A,FALSE,"Main Page";#N/A,#N/A,FALSE,"Risk-Adjusted";#N/A,#N/A,FALSE,"Profit Improvement"}</definedName>
    <definedName name="Application">#REF!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ackage">#REF!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roach">#REF!</definedName>
    <definedName name="Apps">#REF!</definedName>
    <definedName name="aq" hidden="1">{#N/A,#N/A,FALSE,"Sensitivity"}</definedName>
    <definedName name="A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qwrw" hidden="1">{"Tages_D",#N/A,FALSE,"Tagesbericht";"Tages_PL",#N/A,FALSE,"Tagesbericht"}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CPUBURL">""</definedName>
    <definedName name="AREA">#REF!</definedName>
    <definedName name="Área_impressão_IM">#REF!</definedName>
    <definedName name="AREA_STAMPA_MI">#REF!</definedName>
    <definedName name="AREAS">#REF!</definedName>
    <definedName name="arer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ARMAZENAGEM">#REF!</definedName>
    <definedName name="arrrararrr" hidden="1">{"'Sheet1'!$L$16"}</definedName>
    <definedName name="ArticleBasicLoad4">#REF!</definedName>
    <definedName name="aRW" hidden="1">#REF!</definedName>
    <definedName name="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fsdfgd">#REF!</definedName>
    <definedName name="asas" hidden="1">{#N/A,#N/A,FALSE,"Sheet2";#N/A,#N/A,FALSE,"Sheet4";#N/A,#N/A,FALSE,"Sheet6"}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" hidden="1">{#N/A,#N/A,FALSE,"CCTV"}</definedName>
    <definedName name="asdadasda" hidden="1">#REF!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das" hidden="1">#REF!</definedName>
    <definedName name="asdasdasd" hidden="1">#REF!</definedName>
    <definedName name="asdcad" hidden="1">{#N/A,#N/A,FALSE,"CCTV"}</definedName>
    <definedName name="asdd" hidden="1">{"'Sheet1'!$L$16"}</definedName>
    <definedName name="asddfasdfa" hidden="1">{#N/A,#N/A,FALSE,"개발계획표지";#N/A,#N/A,FALSE,"목차";#N/A,#N/A,FALSE,"개요"}</definedName>
    <definedName name="ASDE" hidden="1">{#N/A,#N/A,TRUE,"일정"}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" hidden="1">#REF!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fgggh" hidden="1">{"'Sheet1'!$L$16"}</definedName>
    <definedName name="asdfg" hidden="1">{"'Sheet1'!$L$16"}</definedName>
    <definedName name="asdfgfgfg" hidden="1">{"the池台数表",#N/A,TRUE,"負荷見通し(the池)";"the池グラフ",#N/A,TRUE,"負荷見通し(the池)";"the滋台数表",#N/A,TRUE,"負荷見通し(the滋)";"the滋グラフ",#N/A,TRUE,"負荷見通し(the滋)"}</definedName>
    <definedName name="asdfs" hidden="1">{"RUN2",#N/A,FALSE,"BS-exist";"RUN2","GROWTH RATE 8-5-7",FALSE,"IS-exist";"RUN2","2ndRun without Equity Infusion",FALSE,"CF-exist"}</definedName>
    <definedName name="asdfsdf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asdgsadhbfdfhb" hidden="1">#N/A</definedName>
    <definedName name="ASDSAS">#N/A</definedName>
    <definedName name="ASD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erasdea" hidden="1">{"'Sheet1'!$L$16"}</definedName>
    <definedName name="asf" hidden="1">{"'Sheet1'!$L$16"}</definedName>
    <definedName name="asfafq" hidden="1">#N/A</definedName>
    <definedName name="asfasf" hidden="1">{"'Sheet1'!$L$16"}</definedName>
    <definedName name="asfd">#N/A</definedName>
    <definedName name="asg" hidden="1">#N/A</definedName>
    <definedName name="ASIL">#REF!</definedName>
    <definedName name="Ass" hidden="1">#REF!</definedName>
    <definedName name="as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ertions">#REF!</definedName>
    <definedName name="Assessableincome">#REF!</definedName>
    <definedName name="Assessing_Performance">#REF!</definedName>
    <definedName name="AssetClass">#REF!</definedName>
    <definedName name="assets">#REF!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s" hidden="1">{"'Sheet1'!$L$16"}</definedName>
    <definedName name="assss" hidden="1">#REF!</definedName>
    <definedName name="asssss" hidden="1">{"'Sheet1'!$L$16"}</definedName>
    <definedName name="Assumptions">#REF!</definedName>
    <definedName name="ASSYUKU_RIYU">#REF!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6nhom">#REF!</definedName>
    <definedName name="ATE" hidden="1">{"RUN5A",#N/A,FALSE,"BS-exist";"RUN5A","GROWTH RATE 8-5-7",FALSE,"IS-exist";"RUN5A","5th Run without EquityInfusion;Sale of asset(75-35)",FALSE,"CF-exist"}</definedName>
    <definedName name="ATGT" hidden="1">{"'Sheet1'!$L$16"}</definedName>
    <definedName name="ATIVOFLP">#REF!</definedName>
    <definedName name="atmt">#REF!</definedName>
    <definedName name="Attachment_Key">"1b9aadb5cd7142c09836f1ed6bd80206"</definedName>
    <definedName name="AU" hidden="1">{"'Sheet1'!$L$16"}</definedName>
    <definedName name="Aug" hidden="1">#REF!</definedName>
    <definedName name="Author">#REF!</definedName>
    <definedName name="Automotive">#REF!</definedName>
    <definedName name="AutomotiveAerospace">#REF!</definedName>
    <definedName name="AutomotiveAgricultual_Equipment">#REF!</definedName>
    <definedName name="AutomotiveAirplane">#REF!</definedName>
    <definedName name="AutomotiveAutomotive_Equipment">#REF!</definedName>
    <definedName name="AutomotiveAutomotive_Others">#REF!</definedName>
    <definedName name="AutomotiveBicycle">#REF!</definedName>
    <definedName name="AutomotiveCar">#REF!</definedName>
    <definedName name="AutomotiveMotorcycle">#REF!</definedName>
    <definedName name="AutomotiveRailway">#REF!</definedName>
    <definedName name="AutomotiveShip">#REF!</definedName>
    <definedName name="AutomotiveSpecial_Vehicle">#REF!</definedName>
    <definedName name="avaaaaav" hidden="1">#N/A</definedName>
    <definedName name="avađsf" hidden="1">{0,#N/A,FALSE,0;0,#N/A,FALSE,0;0,#N/A,FALSE,0;0,#N/A,FALSE,0;0,#N/A,FALSE,0;0,#N/A,FALSE,0;0,#N/A,FALSE,0}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awqewe" hidden="1">#REF!</definedName>
    <definedName name="aws" hidden="1">#REF!</definedName>
    <definedName name="awswedr" hidden="1">{#N/A,#N/A,FALSE,"Chi tiÆt"}</definedName>
    <definedName name="ax">#REF!</definedName>
    <definedName name="ay">#REF!</definedName>
    <definedName name="azzdasdf99" hidden="1">{"'Sheet1'!$L$16"}</definedName>
    <definedName name="B" hidden="1">#REF!</definedName>
    <definedName name="b.">(#REF!-1)*100+#REF!</definedName>
    <definedName name="B.1">#REF!</definedName>
    <definedName name="B.2">#REF!</definedName>
    <definedName name="b14b" hidden="1">{"'Sheet1'!$L$16"}</definedName>
    <definedName name="b14b1" hidden="1">{"'Sheet1'!$L$16"}</definedName>
    <definedName name="B6a" hidden="1">{"'Sheet1'!$L$16"}</definedName>
    <definedName name="ba" hidden="1">{"'Sheet1'!$L$16"}</definedName>
    <definedName name="ba2r">#REF!</definedName>
    <definedName name="BA3R">#REF!</definedName>
    <definedName name="bac">20000</definedName>
    <definedName name="BACKU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ll1">#REF!</definedName>
    <definedName name="ball2">#REF!</definedName>
    <definedName name="ball3">#REF!</definedName>
    <definedName name="ball4">#REF!</definedName>
    <definedName name="ball5">#REF!</definedName>
    <definedName name="ball6">#REF!</definedName>
    <definedName name="ball7">#REF!</definedName>
    <definedName name="ball8">#REF!</definedName>
    <definedName name="balo">#REF!</definedName>
    <definedName name="BALTPULL">#REF!</definedName>
    <definedName name="BALTRET">#REF!</definedName>
    <definedName name="balufdh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ama">#REF!</definedName>
    <definedName name="bame">#REF!</definedName>
    <definedName name="BANCOS">#REF!</definedName>
    <definedName name="Bangphu">#REF!</definedName>
    <definedName name="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QL" hidden="1">{"'Sheet1'!$L$16"}</definedName>
    <definedName name="baocao" hidden="1">{#N/A,#N/A,FALSE,"sum";#N/A,#N/A,FALSE,"MARTV";#N/A,#N/A,FALSE,"APRTV"}</definedName>
    <definedName name="baogio" hidden="1">{#N/A,#N/A,FALSE,"CCTV"}</definedName>
    <definedName name="Base">#REF!</definedName>
    <definedName name="Batch">#REF!</definedName>
    <definedName name="batt">#REF!</definedName>
    <definedName name="bavt">#REF!</definedName>
    <definedName name="bay">#REF!</definedName>
    <definedName name="bb" hidden="1">{#VALUE!,#N/A,FALSE,0;#N/A,#N/A,FALSE,0;#N/A,#N/A,FALSE,0;#N/A,#N/A,FALSE,0}</definedName>
    <definedName name="bbb" hidden="1">{"TAG1AGMS",#N/A,FALSE,"TAG 1A"}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bbbbb">#REF!</definedName>
    <definedName name="ｂｂｂｂｂ" hidden="1">{"'Sheet1'!$L$16"}</definedName>
    <definedName name="bbbbb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BBB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bbffeww" hidden="1">{"'Sheet1'!$L$16"}</definedName>
    <definedName name="BBBG" hidden="1">{"'Sheet1'!$L$16"}</definedName>
    <definedName name="BBKK" hidden="1">{"'Sheet1'!$L$16"}</definedName>
    <definedName name="bc" hidden="1">{"'Sheet1'!$L$16"}</definedName>
    <definedName name="bca">#REF!</definedName>
    <definedName name="bcf" hidden="1">#REF!</definedName>
    <definedName name="bchcj" hidden="1">#REF!</definedName>
    <definedName name="bchvch" hidden="1">#REF!</definedName>
    <definedName name="bcong5.03" hidden="1">{"'Sheet1'!$L$16"}</definedName>
    <definedName name="BCTHUET6" hidden="1">{"'Sheet1'!$L$16"}</definedName>
    <definedName name="BCTQ" hidden="1">{"'Sheet1'!$L$16"}</definedName>
    <definedName name="BD" hidden="1">#REF!</definedName>
    <definedName name="BD_CB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Bé_phËn____éi_xe">#REF!</definedName>
    <definedName name="Bé_phËn____V_n_Phßng_C_ng_ty">#REF!</definedName>
    <definedName name="Bé_phËn___B_o_vÖ">#REF!</definedName>
    <definedName name="Bé_phËn___Baccarat">#REF!</definedName>
    <definedName name="Bé_phËn___Big___Small">#REF!</definedName>
    <definedName name="Bé_phËn___Black_jack">#REF!</definedName>
    <definedName name="Bé_phËn___Boule">#REF!</definedName>
    <definedName name="Bé_phËn___Cung_ti_u">#REF!</definedName>
    <definedName name="Bé_phËn___Gi_m__Þnh_tiÒn">#REF!</definedName>
    <definedName name="Bé_phËn___Nh_n_vi_n_phôc_vô">#REF!</definedName>
    <definedName name="Bé_phËn___Phßng_H_nh_ChÝnh">#REF!</definedName>
    <definedName name="Bé_phËn___Phßng_KÕ_to_n_C_ng_ty">#REF!</definedName>
    <definedName name="Bé_phËn___Phßng_Quü">#REF!</definedName>
    <definedName name="Bé_phËn___QuÇy__æi_chip">#REF!</definedName>
    <definedName name="Bé_phËn___QuÇy__æi_coin">#REF!</definedName>
    <definedName name="Bé_phËn___QuÇy_Bar_Casino">#REF!</definedName>
    <definedName name="Bé_phËn___QuÇy_gi___å">#REF!</definedName>
    <definedName name="Bé_phËn___Roulette">#REF!</definedName>
    <definedName name="Bé_phËn___Tæ___nh__ång">#REF!</definedName>
    <definedName name="Bé_phËn___Tæ_l_m_v_ên">#REF!</definedName>
    <definedName name="Bé_phËn___Tæ_m_y_ph_t____iÖn___L_nh">#REF!</definedName>
    <definedName name="Bé_phËn___Tæ_söa_ch_a">#REF!</definedName>
    <definedName name="Bé_phËn___Tæ_t_p_vô">#REF!</definedName>
    <definedName name="Bé_phËn___Tæ_vÖ_sinh_toilet">#REF!</definedName>
    <definedName name="Bé_phËn___Theo_dâi_Ca_me_ra">#REF!</definedName>
    <definedName name="Bé_phËn___Tr_m_Y_tÕ">#REF!</definedName>
    <definedName name="Bé_phËn___X_y_dùng_c__b_n">#REF!</definedName>
    <definedName name="BEANall">#REF!</definedName>
    <definedName name="bef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ernd" hidden="1">{"weichwaren",#N/A,FALSE,"Liste 1";"hartwaren",#N/A,FALSE,"Liste 1";"food",#N/A,FALSE,"Liste 1";"fleisch",#N/A,FALSE,"Liste 1"}</definedName>
    <definedName name="bfgbf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iang" hidden="1">{"'Sheet1'!$L$16"}</definedName>
    <definedName name="bgj" hidden="1">{"RUN3A",#N/A,FALSE,"BS-exist";"RUN3A","GROWTH RATE 8-5-7",FALSE,"IS-exist";"RUN3A","3rdRun without EquityInfusion;Sale of land(50-50)",FALSE,"CF-exist"}</definedName>
    <definedName name="BGJK" hidden="1">{#N/A,#N/A,FALSE,"단축1";#N/A,#N/A,FALSE,"단축2";#N/A,#N/A,FALSE,"단축3";#N/A,#N/A,FALSE,"장축";#N/A,#N/A,FALSE,"4WD"}</definedName>
    <definedName name="bh">#REF!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tn">#REF!</definedName>
    <definedName name="bhxh">#REF!</definedName>
    <definedName name="bhyt">#REF!</definedName>
    <definedName name="BIA" hidden="1">{"'Sheet1'!$L$16"}</definedName>
    <definedName name="bidon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BIGC" hidden="1">{#N/A,#N/A,TRUE,"Str.";#N/A,#N/A,TRUE,"Steel &amp; Roof";#N/A,#N/A,TRUE,"Arc.";#N/A,#N/A,TRUE,"Preliminary";#N/A,#N/A,TRUE,"Sum_Prelim"}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N">OFFSET(#REF!,,,COUNTA(#REF!),2)</definedName>
    <definedName name="binh" hidden="1">{"'Sheet1'!$L$16"}</definedName>
    <definedName name="bio">10^9</definedName>
    <definedName name="bj">#REF!</definedName>
    <definedName name="BJJ" hidden="1">{#N/A,#N/A,FALSE,"CCTV"}</definedName>
    <definedName name="b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KS">#REF!</definedName>
    <definedName name="BLANK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eine.erg" hidden="1">{"fleisch",#N/A,FALSE,"WG HK";"food",#N/A,FALSE,"WG HK";"hartwaren",#N/A,FALSE,"WG HK";"weichwaren",#N/A,FALSE,"WG HK"}</definedName>
    <definedName name="BLPB1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MS" hidden="1">{"'Sheet1'!$L$16"}</definedName>
    <definedName name="BN" hidden="1">{"'Sheet1'!$L$16"}</definedName>
    <definedName name="BNK">#REF!</definedName>
    <definedName name="bo_phan">#REF!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n">#REF!</definedName>
    <definedName name="Bonus">#REF!</definedName>
    <definedName name="BONUSPG">#REF!</definedName>
    <definedName name="book1" hidden="1">{#N/A,#N/A,FALSE,"Contr. Margin"}</definedName>
    <definedName name="bophan">#REF!</definedName>
    <definedName name="B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QA2" hidden="1">{"'Sheet1'!$L$16"}</definedName>
    <definedName name="BOQCongtruong" hidden="1">#REF!</definedName>
    <definedName name="borderline">#REF!</definedName>
    <definedName name="bosung" hidden="1">{"'Sheet1'!$L$16"}</definedName>
    <definedName name="BottomRow">#REF!</definedName>
    <definedName name="BPAGE">"1"</definedName>
    <definedName name="BR4663C29rt">#REF!</definedName>
    <definedName name="BRANCHCELL">#REF!</definedName>
    <definedName name="BRANCHIDCELL">#REF!</definedName>
    <definedName name="BRANCHIDSIGNLIST">#REF!</definedName>
    <definedName name="BRANCHLIST">OFFSET(#REF!,0,0,COUNTA(#REF!)-2)</definedName>
    <definedName name="BRANCHSELECT">OFFSET(INDIRECT(ADDRESS(MATCH(BRANCHCELL,BRANCHTEMPLIST,0)+2,2,,,"DIV")),0,0,COUNTIF(BRANCHTEMPLIST,BRANCHCELL),1)</definedName>
    <definedName name="BRANCHTEMPLIST">#REF!</definedName>
    <definedName name="BRANIDSIGNSELECT">OFFSET(INDIRECT(ADDRESS(MATCH(BRANCHIDCELL,BRANCHIDSIGNLIST,0)+2,2,,,"SIGN_PER")),0,0,COUNTIF(BRANCHIDSIGNLIST,BRANCHIDCELL),1)</definedName>
    <definedName name="BRASTEMP">#REF!</definedName>
    <definedName name="BREAK" hidden="1">{#N/A,#N/A,FALSE,"CCTV"}</definedName>
    <definedName name="BRL">#REF!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Z">#REF!</definedName>
    <definedName name="bsk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t">#REF!</definedName>
    <definedName name="btdc2" hidden="1">#REF!</definedName>
    <definedName name="BTH" hidden="1">{"'Sheet1'!$L$16"}</definedName>
    <definedName name="btk">#REF!</definedName>
    <definedName name="btl" hidden="1">{"'Sheet1'!$L$16"}</definedName>
    <definedName name="btoan" hidden="1">{"'Sheet1'!$L$16"}</definedName>
    <definedName name="BU">#REF!</definedName>
    <definedName name="bud">#REF!</definedName>
    <definedName name="budget">#REF!</definedName>
    <definedName name="buhad" hidden="1">{#N/A,#N/A,FALSE,"Chi tiÆt"}</definedName>
    <definedName name="BUSITOT">#REF!</definedName>
    <definedName name="Button_2">"PILOTo_REPORT_Sheet1_List"</definedName>
    <definedName name="Button_26">"SOKTMAY1003_SOQUI_VND__List"</definedName>
    <definedName name="Button_28">"SOKTMAY1003_SOQUI_VND__List"</definedName>
    <definedName name="buy">#REF!</definedName>
    <definedName name="bvc">#REF!</definedName>
    <definedName name="bvhjggj" hidden="1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.1">#REF!</definedName>
    <definedName name="C.2">#REF!</definedName>
    <definedName name="C.3">#REF!</definedName>
    <definedName name="C.L.PO12">#REF!</definedName>
    <definedName name="C.M.B.">#REF!</definedName>
    <definedName name="C.Transflimite">[0]!C.Transflimite</definedName>
    <definedName name="C.Transflimite2">[0]!C.Transflimite2</definedName>
    <definedName name="c_days_per_year">365</definedName>
    <definedName name="c_months_per_year">12</definedName>
    <definedName name="C_Value">#REF!</definedName>
    <definedName name="C1.">#REF!</definedName>
    <definedName name="CA">#REF!</definedName>
    <definedName name="câ">#REF!</definedName>
    <definedName name="ca2r">#REF!</definedName>
    <definedName name="Cable" hidden="1">{"'Sheet1'!$L$16"}</definedName>
    <definedName name="cáccascsacac">#REF!</definedName>
    <definedName name="caccccc" hidden="1">{"'Sheet1'!$L$16"}</definedName>
    <definedName name="cadca" hidden="1">#REF!</definedName>
    <definedName name="CAIXA">#REF!</definedName>
    <definedName name="CALBE" hidden="1">{"'Sheet1'!$L$16"}</definedName>
    <definedName name="calc">1</definedName>
    <definedName name="calcbasis_machinery">#REF!</definedName>
    <definedName name="calcbasis_tooling">#REF!</definedName>
    <definedName name="cald" hidden="1">{#N/A,#N/A,FALSE,"CCTV"}</definedName>
    <definedName name="CALENDARIO">#REF!</definedName>
    <definedName name="CALFERM">#REF!</definedName>
    <definedName name="calo">#REF!</definedName>
    <definedName name="cama">#REF!</definedName>
    <definedName name="came">#REF!</definedName>
    <definedName name="CAN">#REF!</definedName>
    <definedName name="CAN１_A">#REF!</definedName>
    <definedName name="CAN1閉じ分">#REF!</definedName>
    <definedName name="CANall">#REF!</definedName>
    <definedName name="CaNam" localSheetId="1">NoiThang([0]!Thang01,[0]!Thang12)</definedName>
    <definedName name="CaNam">NoiThang(Thang01,Thang12)</definedName>
    <definedName name="CANtoBEANｹﾞｰﾄｳｪｲ">#REF!</definedName>
    <definedName name="CANtoBEAN元">#REF!</definedName>
    <definedName name="CANtoECTｹﾞｰﾄｳｪｲ">#REF!</definedName>
    <definedName name="CANtoECT元">#REF!</definedName>
    <definedName name="CAN内車間toXtoX">#REF!</definedName>
    <definedName name="CAN通信ﾋﾞｯﾄｱｻｲﾝ表">#REF!</definedName>
    <definedName name="CAN通信設定値">#REF!</definedName>
    <definedName name="Cao_cấp_">#REF!</definedName>
    <definedName name="CaododayGa" hidden="1">{"'Sheet1'!$L$16"}</definedName>
    <definedName name="CAP">#REF!</definedName>
    <definedName name="CAPA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CAPA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apCB5">#REF!</definedName>
    <definedName name="CapitalCriteria">#REF!</definedName>
    <definedName name="Capitalizing_on_Change">#REF!</definedName>
    <definedName name="CAREERLIST">OFFSET(#REF!,0,0,COUNTA(#REF!)-2)</definedName>
    <definedName name="CARL" hidden="1">{#N/A,#N/A,FALSE,"CCTV"}</definedName>
    <definedName name="CARL1" hidden="1">{#N/A,#N/A,FALSE,"CCTV"}</definedName>
    <definedName name="CARL2" hidden="1">{#N/A,#N/A,FALSE,"CCTV"}</definedName>
    <definedName name="carr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s">{"DCF1",#N/A,FALSE,"SIERRA DCF";"MATRIX1",#N/A,FALSE,"SIERRA DCF"}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hflow2" hidden="1">{#N/A,#N/A,FALSE,"10"}</definedName>
    <definedName name="casting" hidden="1">{"'Sheet1'!$L$16"}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">#REF!</definedName>
    <definedName name="Category_Col">#REF!</definedName>
    <definedName name="Category_Table">#REF!</definedName>
    <definedName name="Category1">#REF!</definedName>
    <definedName name="CATEGORY2">OFFSET(#REF!,0,0,COUNTIF(#REF!,"*?"),1)</definedName>
    <definedName name="Caùp_ñoàng_traàn_75mm2">#REF!</definedName>
    <definedName name="cavt">#REF!</definedName>
    <definedName name="cay" hidden="1">{"'Sheet1'!$L$16"}</definedName>
    <definedName name="cb_Chart_1" hidden="1">#REF!</definedName>
    <definedName name="cb_Chart_1_opts" hidden="1">"1, 5, 1, False, 2, True, False, , 0, False, False, 1, 1"</definedName>
    <definedName name="cb_Chart_2" hidden="1">#REF!</definedName>
    <definedName name="cb_Chart_2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A">#REF!</definedName>
    <definedName name="cbld">#REF!</definedName>
    <definedName name="cbnnbn" hidden="1">{"'Sheet1'!$L$16"}</definedName>
    <definedName name="CBWorkbookPriority" hidden="1">-1807836116</definedName>
    <definedName name="cc">#REF!</definedName>
    <definedName name="ccc" hidden="1">{"weichwaren",#N/A,FALSE,"Liste 1";"hartwaren",#N/A,FALSE,"Liste 1";"food",#N/A,FALSE,"Liste 1";"fleisch",#N/A,FALSE,"Liste 1"}</definedName>
    <definedName name="cccc">#REF!</definedName>
    <definedName name="ＣＣＣＣ" hidden="1">#REF!</definedName>
    <definedName name="ccccc" hidden="1">{"weichwaren",#N/A,FALSE,"Liste 1";"hartwaren",#N/A,FALSE,"Liste 1";"food",#N/A,FALSE,"Liste 1";"fleisch",#N/A,FALSE,"Liste 1"}</definedName>
    <definedName name="cccccc" hidden="1">{"'Sheet1'!$L$16"}</definedName>
    <definedName name="cccccccccz" hidden="1">{"'Sheet1'!$L$16"}</definedName>
    <definedName name="CCDC" hidden="1">{"'Sheet1'!$L$16"}</definedName>
    <definedName name="CCNT">#REF!</definedName>
    <definedName name="CCode">#REF!</definedName>
    <definedName name="cddd1p">#REF!</definedName>
    <definedName name="cddd3p">#REF!</definedName>
    <definedName name="cde" hidden="1">{#N/A,#N/A,FALSE,"Sensitivity"}</definedName>
    <definedName name="cdhbkjbkjnkjnlmmn" hidden="1">{#N/A,#N/A,TRUE,"일정"}</definedName>
    <definedName name="cds" hidden="1">#REF!</definedName>
    <definedName name="cehk">#REF!</definedName>
    <definedName name="Celling" hidden="1">{"'Sheet1'!$L$16"}</definedName>
    <definedName name="cem">#REF!</definedName>
    <definedName name="cemese">#REF!</definedName>
    <definedName name="ceprog">#REF!</definedName>
    <definedName name="cfdsfdsfds" hidden="1">#REF!</definedName>
    <definedName name="cfffff">#REF!</definedName>
    <definedName name="CFNoibo">#REF!</definedName>
    <definedName name="cg" hidden="1">{"'Sheet1'!$L$16"}</definedName>
    <definedName name="CGDF" hidden="1">#REF!</definedName>
    <definedName name="CGIROCP">#REF!</definedName>
    <definedName name="chamcongt3" hidden="1">{"'Sheet1'!$L$16"}</definedName>
    <definedName name="Change">#REF!</definedName>
    <definedName name="ChangeRange" hidden="1">#N/A</definedName>
    <definedName name="Changes">#REF!</definedName>
    <definedName name="chart" hidden="1">"c4977"</definedName>
    <definedName name="CHART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hart3" hidden="1">{"'Sheet1'!$L$16"}</definedName>
    <definedName name="ChartArea">#REF!,#REF!</definedName>
    <definedName name="ChartSubtitle" hidden="1">#REF!</definedName>
    <definedName name="ChartTitle" hidden="1">#REF!</definedName>
    <definedName name="Chaytrienkhaikhathi">#REF!</definedName>
    <definedName name="chcvjgvjvjgu" hidden="1">{"F3 detail",#N/A,FALSE,"F1";"F3 Presentation",#N/A,FALSE,"F3 "}</definedName>
    <definedName name="Chdate" hidden="1">#REF!</definedName>
    <definedName name="CHE" hidden="1">{"RUN6A",#N/A,FALSE,"BS-exist";"RUN6A","GROWTH RATE 10-5-8",FALSE,"IS-exist";"RUN6A","4thRun without EquityInfusion;Sale of land 75M",FALSE,"CF-exist"}</definedName>
    <definedName name="Check">#REF!</definedName>
    <definedName name="check_BCTDVCSH" hidden="1">#REF!</definedName>
    <definedName name="CHECKLIST">#REF!</definedName>
    <definedName name="checklist2">#REF!</definedName>
    <definedName name="checklistmoit9">#REF!</definedName>
    <definedName name="checklistT8">#REF!</definedName>
    <definedName name="checklistt9">#REF!</definedName>
    <definedName name="CHEM">#REF!</definedName>
    <definedName name="CHF">#REF!</definedName>
    <definedName name="chietchai2" hidden="1">{"'Sheet1'!$L$16"}</definedName>
    <definedName name="chilk" hidden="1">{"'Sheet1'!$L$16"}</definedName>
    <definedName name="chin">#REF!</definedName>
    <definedName name="Chiphi">#REF!</definedName>
    <definedName name="chitiet3" hidden="1">{"'Sheet1'!$L$16"}</definedName>
    <definedName name="chitietbgiang2" hidden="1">{"'Sheet1'!$L$16"}</definedName>
    <definedName name="CHKGSTD1_Click">#REF!</definedName>
    <definedName name="CHKGSTD2_Click">#REF!</definedName>
    <definedName name="CHKGSTD2_ClickT">#REF!</definedName>
    <definedName name="CHKGSTD3_Click">#REF!</definedName>
    <definedName name="chl" hidden="1">{"'Sheet1'!$L$16"}</definedName>
    <definedName name="cho" hidden="1">{"'Monthly 1997'!$A$3:$S$89"}</definedName>
    <definedName name="chó" hidden="1">{"'Sheet1'!$L$16"}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hoices">#REF!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OUSEI_NAME">#REF!</definedName>
    <definedName name="ChouseiName" hidden="1">#REF!</definedName>
    <definedName name="ChouseuName2" hidden="1">#REF!</definedName>
    <definedName name="ChucNang">#REF!</definedName>
    <definedName name="ChucNang51">#REF!</definedName>
    <definedName name="chung">66</definedName>
    <definedName name="chuyen" hidden="1">{"'Sheet1'!$L$16"}</definedName>
    <definedName name="Chuyen_khoa">#REF!</definedName>
    <definedName name="CID">#REF!</definedName>
    <definedName name="CIQWBGuid" hidden="1">"939e8b84-519f-4040-b59f-09745cd7f172"</definedName>
    <definedName name="CITYIDCELL">#REF!</definedName>
    <definedName name="CITYIDSELECT">OFFSET(INDIRECT(ADDRESS(MATCH(CITYIDCELL,CITYTEMPLIST,0)+2,2,,,"LOCATION")),0,0,COUNTIF(CITYTEMPLIST,CITYIDCELL),1)</definedName>
    <definedName name="CITYLIST">OFFSET(#REF!,0,0,COUNTA(#REF!)-2)</definedName>
    <definedName name="CITYTEMPLIST">#REF!</definedName>
    <definedName name="cjh" hidden="1">#REF!</definedName>
    <definedName name="C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KD_CBU">#REF!</definedName>
    <definedName name="CKX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L">#REF!</definedName>
    <definedName name="ClearData">#REF!</definedName>
    <definedName name="CLIENTESEX">#REF!</definedName>
    <definedName name="CLIENTESP">#REF!</definedName>
    <definedName name="CLIEXIN">#REF!</definedName>
    <definedName name="CLIINTER">#REF!</definedName>
    <definedName name="CLVC3">0.1</definedName>
    <definedName name="CMC" hidden="1">{"'Sheet1'!$L$16"}</definedName>
    <definedName name="cmdCancel">"Button 3"</definedName>
    <definedName name="cmdOK">"Button 2"</definedName>
    <definedName name="cn" hidden="1">{"'Sheet1'!$L$16"}</definedName>
    <definedName name="CN_EIGYO_BIKO">#REF!</definedName>
    <definedName name="CN_EIGYO_TANTO_CD">#REF!</definedName>
    <definedName name="CN_EIGYO_TANTO_NM">#REF!</definedName>
    <definedName name="CN_ENDUSER">#REF!</definedName>
    <definedName name="CN_ENDUSER_CD">#REF!</definedName>
    <definedName name="CN_GYOSHU">#REF!</definedName>
    <definedName name="CN_GYOSHU_NM">#REF!</definedName>
    <definedName name="CN_HINMEI_SIZE">#REF!</definedName>
    <definedName name="CN_HYOMENSHORI_YURUMIDOME">#REF!</definedName>
    <definedName name="CN_JOUKYOU_LIST">#REF!</definedName>
    <definedName name="CN_JUYO_HOANBU_FLG">#REF!</definedName>
    <definedName name="CN_KAITO_KIBO_KIGEN">#REF!</definedName>
    <definedName name="CN_KYOGO">#REF!</definedName>
    <definedName name="CN_MITSUMORI_LOT_1">#REF!</definedName>
    <definedName name="CN_MITSUMORI_LOT_2">#REF!</definedName>
    <definedName name="CN_MITSUMORI_LOT_3">#REF!</definedName>
    <definedName name="CN_MITSUMORI_LOT_4">#REF!</definedName>
    <definedName name="CN_MITSUMORI_LOT_5">#REF!</definedName>
    <definedName name="CN_NETSUSHORO_KYODO_KBN">#REF!</definedName>
    <definedName name="CN_RYOSAN_KAISHI_JIKI">#REF!</definedName>
    <definedName name="CN_SASHINE">#REF!</definedName>
    <definedName name="CN_SHIYO_KIKAN">#REF!</definedName>
    <definedName name="CN_SHIYO_KYOTEN">#REF!</definedName>
    <definedName name="CN_SHOZOKUCHO_CD">#REF!</definedName>
    <definedName name="CN_SHOZOKUCHO_NM">#REF!</definedName>
    <definedName name="CN_TOKUI_CD">#REF!</definedName>
    <definedName name="CN_TOKUI_CHU_BUNRUI">#REF!</definedName>
    <definedName name="CN_TOKUI_CHU_BUNRUI_NM">#REF!</definedName>
    <definedName name="CN_TOKUI_DAI_BUNRUI">#REF!</definedName>
    <definedName name="CN_TOKUI_DAI_BUNRUI_NM">#REF!</definedName>
    <definedName name="CN_TOKUI_HINBAN">#REF!</definedName>
    <definedName name="CN_TOKUI_NM">#REF!</definedName>
    <definedName name="CN_TOKUI_SHO_BUNRUI">#REF!</definedName>
    <definedName name="CN_TSUKA">#REF!</definedName>
    <definedName name="CN_TSUKI_SHIYO_SU">#REF!</definedName>
    <definedName name="CN_ZAISHITSU">#REF!</definedName>
    <definedName name="CN_ZUMEN_FLG">#REF!</definedName>
    <definedName name="CNchung" hidden="1">{"'Sheet1'!$L$16"}</definedName>
    <definedName name="CNSCL" hidden="1">{"'Sheet1'!$L$16"}</definedName>
    <definedName name="coba" hidden="1">#REF!</definedName>
    <definedName name="cobre">#REF!</definedName>
    <definedName name="cobre_cementavel">#REF!</definedName>
    <definedName name="cobre1">#REF!</definedName>
    <definedName name="Coc_60" hidden="1">{"'Sheet1'!$L$16"}</definedName>
    <definedName name="coccat" hidden="1">{"'Sheet1'!$L$16"}</definedName>
    <definedName name="Code" hidden="1">#REF!</definedName>
    <definedName name="CodeArea">#REF!</definedName>
    <definedName name="COFINSREC">#REF!</definedName>
    <definedName name="Color">#REF!</definedName>
    <definedName name="column" hidden="1">#REF!</definedName>
    <definedName name="ColumnTitle1">#REF!</definedName>
    <definedName name="COMAGPG">#REF!</definedName>
    <definedName name="COMBO">OFFSET(#REF!,,,COUNTA(#REF!),)</definedName>
    <definedName name="COMMENT">#REF!</definedName>
    <definedName name="Commission">#REF!</definedName>
    <definedName name="Commodities">#REF!</definedName>
    <definedName name="Comp" hidden="1">{#N/A,#N/A,TRUE,"??"}</definedName>
    <definedName name="CompactArea">#REF!</definedName>
    <definedName name="Company">#REF!</definedName>
    <definedName name="Company2013" hidden="1">#REF!</definedName>
    <definedName name="CompanyName">#REF!</definedName>
    <definedName name="Compco1">{"Page1",#N/A,FALSE,"CompCo";"Page2",#N/A,FALSE,"CompCo"}</definedName>
    <definedName name="Compco2">{"Page1",#N/A,FALSE,"CompCo";"Page2",#N/A,FALSE,"CompCo"}</definedName>
    <definedName name="compDate">#REF!</definedName>
    <definedName name="CONCEPT2" hidden="1">{#N/A,#N/A,TRUE,"일정"}</definedName>
    <definedName name="Conclusion">#REF!</definedName>
    <definedName name="CONFEC" hidden="1">{"RUN2",#N/A,FALSE,"BS-exist";"RUN2","GROWTH RATE 8-5-7",FALSE,"IS-exist";"RUN2","2ndRun without Equity Infusion",FALSE,"CF-exist"}</definedName>
    <definedName name="Confidentiality" hidden="1">#REF!</definedName>
    <definedName name="Confined">#REF!</definedName>
    <definedName name="CONGPA1" hidden="1">{"'Sheet1'!$L$16"}</definedName>
    <definedName name="congty">#REF!</definedName>
    <definedName name="Congvien" hidden="1">{"'Sheet1'!$L$16"}</definedName>
    <definedName name="CONSUL">#REF!</definedName>
    <definedName name="consumable">#REF!</definedName>
    <definedName name="consumi_mese_di_luglio">#REF!</definedName>
    <definedName name="consumi_mese_di_maggio">#REF!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sHelp" hidden="1">#N/A</definedName>
    <definedName name="CONTRACTLIST">OFFSET(#REF!,0,0,COUNTA(#REF!)-2)</definedName>
    <definedName name="Control">#REF!</definedName>
    <definedName name="Control_1">#REF!</definedName>
    <definedName name="ControlChanges">#REF!</definedName>
    <definedName name="ControlObjective">#REF!</definedName>
    <definedName name="ControlRef">#REF!</definedName>
    <definedName name="ControlType">#REF!</definedName>
    <definedName name="ControlTypes">#REF!</definedName>
    <definedName name="CONVERT">13030000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phathepviÎttung" hidden="1">{"'Sheet1'!$L$16"}</definedName>
    <definedName name="C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y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py1" hidden="1">{"'Customer Support Trends'!$A$1:$AB$13"}</definedName>
    <definedName name="copy2" hidden="1">{"'Customer Support Trends'!$A$1:$AB$13"}</definedName>
    <definedName name="COSO">#REF!</definedName>
    <definedName name="COST">#REF!</definedName>
    <definedName name="cost.c" hidden="1">#N/A</definedName>
    <definedName name="cost1">#REF!</definedName>
    <definedName name="cost2">#REF!</definedName>
    <definedName name="cost3">#REF!</definedName>
    <definedName name="Costcenter">#REF!</definedName>
    <definedName name="CountOrg">OFFSET(#REF!,,,COUNTA(#REF!),1)</definedName>
    <definedName name="CountReason">OFFSET(#REF!,,,COUNTA(#REF!),1)</definedName>
    <definedName name="Country">#REF!</definedName>
    <definedName name="cov" hidden="1">{#N/A,#N/A,FALSE,"Chi tiÆt"}</definedName>
    <definedName name="COVE" hidden="1">{"'Sheet1'!$L$16"}</definedName>
    <definedName name="CP" hidden="1">#REF!</definedName>
    <definedName name="CPAGE">"37"</definedName>
    <definedName name="CPBD">#REF!+#REF!+#REF!+#REF!+#REF!</definedName>
    <definedName name="Cpk_LCLX">#REF!:OFFSET(#REF!,COUNTA(#REF!)-1,0)</definedName>
    <definedName name="Cpk_Mean">#REF!:OFFSET(#REF!,COUNTA(#REF!)-1,0)</definedName>
    <definedName name="Cpk_NumDataPoints">#REF!:OFFSET(#REF!,COUNTA(#REF!)-1,0)</definedName>
    <definedName name="Cpk_RangeAverage">#REF!:OFFSET(#REF!,COUNTA(#REF!)-1,0)</definedName>
    <definedName name="Cpk_TestValue">#REF!:OFFSET(#REF!,COUNTA(#REF!)-1,0)</definedName>
    <definedName name="Cpk_UCLR">#REF!:OFFSET(#REF!,COUNTA(#REF!)-1,0)</definedName>
    <definedName name="Cpk_UCLX">#REF!:OFFSET(#REF!,COUNTA(#REF!)-1,0)</definedName>
    <definedName name="Cpk_XmR">#REF!:OFFSET(#REF!,COUNTA(#REF!)-1,0)</definedName>
    <definedName name="CPNMB">"1"</definedName>
    <definedName name="CPTMB">#REF!</definedName>
    <definedName name="CPTMB2">#REF!</definedName>
    <definedName name="CPTMB2N">#REF!</definedName>
    <definedName name="CPTMB3">#REF!</definedName>
    <definedName name="CPTMBN1">#REF!</definedName>
    <definedName name="CPXD" hidden="1">{"'Sheet1'!$L$16"}</definedName>
    <definedName name="CR" hidden="1">#N/A</definedName>
    <definedName name="CreateTable" hidden="1">#N/A</definedName>
    <definedName name="crit">#REF!</definedName>
    <definedName name="_xlnm.Criteria" hidden="1">#REF!</definedName>
    <definedName name="cs" hidden="1">{#N/A,#N/A,FALSE,"10"}</definedName>
    <definedName name="csAllowDetailBudgeting">0</definedName>
    <definedName name="csAllowLocalConsolidation">0</definedName>
    <definedName name="csAppName">"EME"</definedName>
    <definedName name="ＣＳＣＸＣＳ" hidden="1">#REF!</definedName>
    <definedName name="csDesignMode">1</definedName>
    <definedName name="csdsd" hidden="1">#REF!</definedName>
    <definedName name="csKeepAlive">5</definedName>
    <definedName name="csLocalConsolidationOnSubmit">0</definedName>
    <definedName name="CSODJWO" hidden="1">{#N/A,#N/A,TRUE,"SUM";#N/A,#N/A,TRUE,"EE";#N/A,#N/A,TRUE,"AC";#N/A,#N/A,TRUE,"SN"}</definedName>
    <definedName name="csRefreshOnOpen">1</definedName>
    <definedName name="csRefreshOnRotate">1</definedName>
    <definedName name="CT" hidden="1">{#N/A,#N/A,TRUE,"BT M200 da 10x20"}</definedName>
    <definedName name="CT_2R">#REF!</definedName>
    <definedName name="CT_distr">#REF!</definedName>
    <definedName name="CT_LCTT" hidden="1">#REF!</definedName>
    <definedName name="CT_persi">#REF!</definedName>
    <definedName name="CT_TMinh" hidden="1">#REF!</definedName>
    <definedName name="ct1_2" hidden="1">{"'Sheet1'!$L$16"}</definedName>
    <definedName name="ctbbt" hidden="1">{"'Sheet1'!$L$16"}</definedName>
    <definedName name="CTBT1" hidden="1">#N/A</definedName>
    <definedName name="CTBT2" hidden="1">#N/A</definedName>
    <definedName name="ctct" hidden="1">{"'Sheet1'!$L$16"}</definedName>
    <definedName name="CTCT1" hidden="1">{"'Sheet1'!$L$16"}</definedName>
    <definedName name="CTCT1_1" hidden="1">{"'Sheet1'!$L$16"}</definedName>
    <definedName name="ctctct" hidden="1">{"'Sheet1'!$L$16"}</definedName>
    <definedName name="ctieu" hidden="1">{"'Sheet1'!$L$16"}</definedName>
    <definedName name="CTIM2">"114604"</definedName>
    <definedName name="CTRCOPV01" hidden="1">#REF!</definedName>
    <definedName name="CTXT" hidden="1">{"'Sheet1'!$L$16"}</definedName>
    <definedName name="cty_bp">#REF!</definedName>
    <definedName name="cty_cthd">#REF!</definedName>
    <definedName name="cty_phi">#REF!</definedName>
    <definedName name="cuckimetmoi">#REF!</definedName>
    <definedName name="cung" hidden="1">{"'Sheet1'!$L$16"}</definedName>
    <definedName name="cuong" hidden="1">{"'Sheet1'!$L$16"}</definedName>
    <definedName name="Cur_mth">2</definedName>
    <definedName name="Cur_mth_update">2</definedName>
    <definedName name="CurDate" hidden="1">#REF!</definedName>
    <definedName name="Currency">#REF!</definedName>
    <definedName name="CurrencyCode">#REF!</definedName>
    <definedName name="Current_month">4</definedName>
    <definedName name="Current_Period">#REF!</definedName>
    <definedName name="Current_Period_F_X">#REF!</definedName>
    <definedName name="Current_Period_Tax_Rate">#REF!</definedName>
    <definedName name="cust">#REF!</definedName>
    <definedName name="Custo">#REF!</definedName>
    <definedName name="Customer_contribution_machinery">#REF!</definedName>
    <definedName name="Customer_contribution_tooling">#REF!</definedName>
    <definedName name="Customer_participation">#REF!</definedName>
    <definedName name="Custos_não_Inflacionado">#REF!</definedName>
    <definedName name="cvb">#REF!</definedName>
    <definedName name="cvc">[0]!cvc</definedName>
    <definedName name="cvfr" hidden="1">{"'Sheet1'!$L$16"}</definedName>
    <definedName name="cvxz" hidden="1">{"COMPARISON",#N/A,FALSE,"Sheet1"}</definedName>
    <definedName name="Cwvu.Rollierend." hidden="1">#REF!,#REF!,#REF!,#REF!,#REF!,#REF!,#REF!,#REF!,#REF!,#REF!,#REF!,#REF!</definedName>
    <definedName name="ＣＸＸＺ" hidden="1">#REF!</definedName>
    <definedName name="ＣＸＺＣＺ" hidden="1">#REF!</definedName>
    <definedName name="cxzczxcasdasd" hidden="1">{#N/A,#N/A,TRUE,"일정"}</definedName>
    <definedName name="cy">#REF!</definedName>
    <definedName name="CY_Bdgt_Rpt">#REF!</definedName>
    <definedName name="CY_Budget">#REF!</definedName>
    <definedName name="CY_FCST_Rpt">#REF!</definedName>
    <definedName name="CY_Forecast">#REF!</definedName>
    <definedName name="CY2012_SUMMARY">#REF!</definedName>
    <definedName name="Cycles">#REF!</definedName>
    <definedName name="d" hidden="1">{"'Sheet1'!$L$16"}</definedName>
    <definedName name="Đ" hidden="1">#REF!</definedName>
    <definedName name="Ð" hidden="1">{"'Sheet1'!$L$16"}</definedName>
    <definedName name="d.">(#REF!-1)*100+1&amp;":"&amp;(#REF!-1)*100+12</definedName>
    <definedName name="D_COMPACSS">#REF!</definedName>
    <definedName name="d_d" hidden="1">{"'Sheet1'!$L$16"}</definedName>
    <definedName name="D_FCHECKUSER_TMC">#REF!</definedName>
    <definedName name="d0_a">#REF!</definedName>
    <definedName name="d1_a">#REF!</definedName>
    <definedName name="d1_f">#REF!</definedName>
    <definedName name="d10_a">#REF!</definedName>
    <definedName name="d10_f">#REF!</definedName>
    <definedName name="d11_a">#REF!</definedName>
    <definedName name="d11_f">#REF!</definedName>
    <definedName name="d12_a">#REF!</definedName>
    <definedName name="d12_f">#REF!</definedName>
    <definedName name="d13_a">#REF!</definedName>
    <definedName name="d13_f">#REF!</definedName>
    <definedName name="d14_a">#REF!</definedName>
    <definedName name="d14_f">#REF!</definedName>
    <definedName name="d2_a">#REF!</definedName>
    <definedName name="d2_f">#REF!</definedName>
    <definedName name="d3_a">#REF!</definedName>
    <definedName name="d3_f">#REF!</definedName>
    <definedName name="d4_a">#REF!</definedName>
    <definedName name="d4_f">#REF!</definedName>
    <definedName name="d5_a">#REF!</definedName>
    <definedName name="d5_f">#REF!</definedName>
    <definedName name="d6_a">#REF!</definedName>
    <definedName name="d6_f">#REF!</definedName>
    <definedName name="d7_a">#REF!</definedName>
    <definedName name="d7_f">#REF!</definedName>
    <definedName name="d8_a">#REF!</definedName>
    <definedName name="d8_f">#REF!</definedName>
    <definedName name="d9_a">#REF!</definedName>
    <definedName name="d9_f">#REF!</definedName>
    <definedName name="da">#REF!</definedName>
    <definedName name="dá" hidden="1">{"'Sheet1'!$L$16"}</definedName>
    <definedName name="dà" hidden="1">{"'Sheet1'!$L$16"}</definedName>
    <definedName name="đá" hidden="1">{"'Sheet1'!$L$16"}</definedName>
    <definedName name="đấ" hidden="1">{"'Sheet1'!$L$16"}</definedName>
    <definedName name="daD" hidden="1">{#N/A,#N/A,FALSE,"11"}</definedName>
    <definedName name="dadaad" hidden="1">{"'Sheet1'!$L$16"}</definedName>
    <definedName name="Dados">#REF!</definedName>
    <definedName name="Dados_completo">#REF!</definedName>
    <definedName name="dafag">#REF!</definedName>
    <definedName name="dafd" hidden="1">{"LBO Summary",#N/A,FALSE,"Summary"}</definedName>
    <definedName name="dafdsf">{"qchm_dcf",#N/A,FALSE,"QCHMDCF2";"qchm_terminal",#N/A,FALSE,"QCHMDCF2"}</definedName>
    <definedName name="daf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aily">#REF!</definedName>
    <definedName name="DAINr">#REF!</definedName>
    <definedName name="ＤＡＩＳＵＵ" hidden="1">{#VALUE!,#N/A,FALSE,0;#N/A,#N/A,FALSE,0;#N/A,#N/A,FALSE,0;#N/A,#N/A,FALSE,0}</definedName>
    <definedName name="Dalamlayoutmixns">#REF!</definedName>
    <definedName name="dam">78000</definedName>
    <definedName name="DANH_MUC_KY_THUAT">#REF!</definedName>
    <definedName name="Danh_sach">#REF!</definedName>
    <definedName name="dao" hidden="1">{"'Sheet1'!$L$16"}</definedName>
    <definedName name="daomuong" hidden="1">{"'Sheet1'!$L$16"}</definedName>
    <definedName name="đâs" hidden="1">#REF!</definedName>
    <definedName name="đasa">#REF!</definedName>
    <definedName name="đasadas" hidden="1">#REF!</definedName>
    <definedName name="Dasd" hidden="1">{#N/A,#N/A,FALSE,"8"}</definedName>
    <definedName name="DASDAS" hidden="1">#REF!</definedName>
    <definedName name="DASDSA" hidden="1">#REF!</definedName>
    <definedName name="DASDSAD" hidden="1">#REF!</definedName>
    <definedName name="dase" hidden="1">{#N/A,#N/A,FALSE,"CCTV"}</definedName>
    <definedName name="daSFSSASADSD" hidden="1">#REF!</definedName>
    <definedName name="dat" hidden="1">{#N/A,#N/A,FALSE,"Sheet1"}</definedName>
    <definedName name="data">#REF!</definedName>
    <definedName name="Data_Area">#N/A</definedName>
    <definedName name="DATA_NV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1">#REF!</definedName>
    <definedName name="DATA10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82">#REF!</definedName>
    <definedName name="data183">#REF!</definedName>
    <definedName name="data184">#REF!</definedName>
    <definedName name="data185">#REF!</definedName>
    <definedName name="data186">#REF!</definedName>
    <definedName name="data187">#REF!</definedName>
    <definedName name="data188">#REF!</definedName>
    <definedName name="data189">#REF!</definedName>
    <definedName name="DATA19">#REF!</definedName>
    <definedName name="data190">#REF!</definedName>
    <definedName name="data191">#REF!</definedName>
    <definedName name="data192">#REF!</definedName>
    <definedName name="data193">#REF!</definedName>
    <definedName name="data194">#REF!</definedName>
    <definedName name="data195">#REF!</definedName>
    <definedName name="data196">#REF!</definedName>
    <definedName name="data197">#REF!</definedName>
    <definedName name="data198">#REF!</definedName>
    <definedName name="data199">#REF!</definedName>
    <definedName name="DATA2">#REF!</definedName>
    <definedName name="DATA20">#REF!</definedName>
    <definedName name="data200">#REF!</definedName>
    <definedName name="data201">#REF!</definedName>
    <definedName name="data202">#REF!</definedName>
    <definedName name="data203">#REF!</definedName>
    <definedName name="data204">#REF!</definedName>
    <definedName name="data205">#REF!</definedName>
    <definedName name="data206">#REF!</definedName>
    <definedName name="data207">#REF!</definedName>
    <definedName name="data208">#REF!</definedName>
    <definedName name="data209">#REF!</definedName>
    <definedName name="DATA21">#REF!</definedName>
    <definedName name="data210">#REF!</definedName>
    <definedName name="data211">#REF!</definedName>
    <definedName name="data212">#REF!</definedName>
    <definedName name="data213">#REF!</definedName>
    <definedName name="data214">#REF!</definedName>
    <definedName name="data215">#REF!</definedName>
    <definedName name="data216">#REF!</definedName>
    <definedName name="data217">#REF!</definedName>
    <definedName name="data218">#REF!</definedName>
    <definedName name="data219">#REF!</definedName>
    <definedName name="DATA22">#REF!</definedName>
    <definedName name="data220">#REF!</definedName>
    <definedName name="data221">#REF!</definedName>
    <definedName name="data222">#REF!</definedName>
    <definedName name="data223">#REF!</definedName>
    <definedName name="data224">#REF!</definedName>
    <definedName name="data225">#REF!</definedName>
    <definedName name="data226">#REF!</definedName>
    <definedName name="data227">#REF!</definedName>
    <definedName name="data228">#REF!</definedName>
    <definedName name="data229">#REF!</definedName>
    <definedName name="DATA23">#REF!</definedName>
    <definedName name="data230">#REF!</definedName>
    <definedName name="data231">#REF!</definedName>
    <definedName name="data232">#REF!</definedName>
    <definedName name="data233">#REF!</definedName>
    <definedName name="data234">#REF!</definedName>
    <definedName name="data235">#REF!</definedName>
    <definedName name="data236">#REF!</definedName>
    <definedName name="data237">#REF!</definedName>
    <definedName name="data238">#REF!</definedName>
    <definedName name="data239">#REF!</definedName>
    <definedName name="DATA24">#REF!</definedName>
    <definedName name="data240">#REF!</definedName>
    <definedName name="data241">#REF!</definedName>
    <definedName name="data242">#REF!</definedName>
    <definedName name="data243">#REF!</definedName>
    <definedName name="data244">#REF!</definedName>
    <definedName name="data245">#REF!</definedName>
    <definedName name="data246">#REF!</definedName>
    <definedName name="data247">#REF!</definedName>
    <definedName name="data248">#REF!</definedName>
    <definedName name="data249">#REF!</definedName>
    <definedName name="DATA25">#REF!</definedName>
    <definedName name="data250">#REF!</definedName>
    <definedName name="data251">#REF!</definedName>
    <definedName name="data252">#REF!</definedName>
    <definedName name="data253">#REF!</definedName>
    <definedName name="data254">#REF!</definedName>
    <definedName name="data255">#REF!</definedName>
    <definedName name="data256">#REF!</definedName>
    <definedName name="data257">#REF!</definedName>
    <definedName name="data258">#REF!</definedName>
    <definedName name="data259">#REF!</definedName>
    <definedName name="DATA26">#REF!</definedName>
    <definedName name="data260">#REF!</definedName>
    <definedName name="data261">#REF!</definedName>
    <definedName name="data262">#REF!</definedName>
    <definedName name="data263">#REF!</definedName>
    <definedName name="data264">#REF!</definedName>
    <definedName name="data265">#REF!</definedName>
    <definedName name="data266">#REF!</definedName>
    <definedName name="data267">#REF!</definedName>
    <definedName name="data268">#REF!</definedName>
    <definedName name="data269">#REF!</definedName>
    <definedName name="DATA27">#REF!</definedName>
    <definedName name="data270">#REF!</definedName>
    <definedName name="data271">#REF!</definedName>
    <definedName name="data272">#REF!</definedName>
    <definedName name="data273">#REF!</definedName>
    <definedName name="data274">#REF!</definedName>
    <definedName name="data275">#REF!</definedName>
    <definedName name="data276">#REF!</definedName>
    <definedName name="data277">#REF!</definedName>
    <definedName name="data278">#REF!</definedName>
    <definedName name="data279">#REF!</definedName>
    <definedName name="DATA28">#REF!</definedName>
    <definedName name="data280">#REF!</definedName>
    <definedName name="data281">#REF!</definedName>
    <definedName name="data282">#REF!</definedName>
    <definedName name="data283">#REF!</definedName>
    <definedName name="data284">#REF!</definedName>
    <definedName name="data285">#REF!</definedName>
    <definedName name="data286">#REF!</definedName>
    <definedName name="data287">#REF!</definedName>
    <definedName name="data288">#REF!</definedName>
    <definedName name="data289">#REF!</definedName>
    <definedName name="DATA29">#REF!</definedName>
    <definedName name="data290">#REF!</definedName>
    <definedName name="data291">#REF!</definedName>
    <definedName name="data292">#REF!</definedName>
    <definedName name="data293">#REF!</definedName>
    <definedName name="data294">#REF!</definedName>
    <definedName name="data295">#REF!</definedName>
    <definedName name="data296">#REF!</definedName>
    <definedName name="data297">#REF!</definedName>
    <definedName name="data298">#REF!</definedName>
    <definedName name="data299">#REF!</definedName>
    <definedName name="DATA3">#REF!</definedName>
    <definedName name="DATA30">#REF!</definedName>
    <definedName name="data300">#REF!</definedName>
    <definedName name="data301">#REF!</definedName>
    <definedName name="data302">#REF!</definedName>
    <definedName name="data303">#REF!</definedName>
    <definedName name="data304">#REF!</definedName>
    <definedName name="data305">#REF!</definedName>
    <definedName name="data306">#REF!</definedName>
    <definedName name="data307">#REF!</definedName>
    <definedName name="data308">#REF!</definedName>
    <definedName name="data309">#REF!</definedName>
    <definedName name="DATA31">#REF!</definedName>
    <definedName name="data310">#REF!</definedName>
    <definedName name="data311">#REF!</definedName>
    <definedName name="data312">#REF!</definedName>
    <definedName name="data313">#REF!</definedName>
    <definedName name="data314">#REF!</definedName>
    <definedName name="data315">#REF!</definedName>
    <definedName name="data316">#REF!</definedName>
    <definedName name="data317">#REF!</definedName>
    <definedName name="data318">#REF!</definedName>
    <definedName name="data319">#REF!</definedName>
    <definedName name="DATA32">#REF!</definedName>
    <definedName name="data320">#REF!</definedName>
    <definedName name="data321">#REF!</definedName>
    <definedName name="data322">#REF!</definedName>
    <definedName name="data323">#REF!</definedName>
    <definedName name="data324">#REF!</definedName>
    <definedName name="data325">#REF!</definedName>
    <definedName name="data326">#REF!</definedName>
    <definedName name="data327">#REF!</definedName>
    <definedName name="data328">#REF!</definedName>
    <definedName name="data329">#REF!</definedName>
    <definedName name="DATA33">#REF!</definedName>
    <definedName name="data330">#REF!</definedName>
    <definedName name="data331">#REF!</definedName>
    <definedName name="data332">#REF!</definedName>
    <definedName name="data333">#REF!</definedName>
    <definedName name="data334">#REF!</definedName>
    <definedName name="data335">#REF!</definedName>
    <definedName name="data336">#REF!</definedName>
    <definedName name="data337">#REF!</definedName>
    <definedName name="data338">#REF!</definedName>
    <definedName name="data339">#REF!</definedName>
    <definedName name="DATA34">#REF!</definedName>
    <definedName name="data340">#REF!</definedName>
    <definedName name="data341">#REF!</definedName>
    <definedName name="data342">#REF!</definedName>
    <definedName name="data343">#REF!</definedName>
    <definedName name="data344">#REF!</definedName>
    <definedName name="data345">#REF!</definedName>
    <definedName name="data346">#REF!</definedName>
    <definedName name="data347">#REF!</definedName>
    <definedName name="data348">#REF!</definedName>
    <definedName name="data349">#REF!</definedName>
    <definedName name="DATA35">#REF!</definedName>
    <definedName name="data350">#REF!</definedName>
    <definedName name="data351">#REF!</definedName>
    <definedName name="data352">#REF!</definedName>
    <definedName name="data353">#REF!</definedName>
    <definedName name="data354">#REF!</definedName>
    <definedName name="data355">#REF!</definedName>
    <definedName name="data356">#REF!</definedName>
    <definedName name="data357">#REF!</definedName>
    <definedName name="data358">#REF!</definedName>
    <definedName name="data359">#REF!</definedName>
    <definedName name="DATA36">#REF!</definedName>
    <definedName name="data360">#REF!</definedName>
    <definedName name="data361">#REF!</definedName>
    <definedName name="data362">#REF!</definedName>
    <definedName name="data363">#REF!</definedName>
    <definedName name="data364">#REF!</definedName>
    <definedName name="data365">#REF!</definedName>
    <definedName name="data366">#REF!</definedName>
    <definedName name="data367">#REF!</definedName>
    <definedName name="data368">#REF!</definedName>
    <definedName name="data369">#REF!</definedName>
    <definedName name="DATA37">#REF!</definedName>
    <definedName name="data370">#REF!</definedName>
    <definedName name="data371">#REF!</definedName>
    <definedName name="data372">#REF!</definedName>
    <definedName name="data373">#REF!</definedName>
    <definedName name="data374">#REF!</definedName>
    <definedName name="data375">#REF!</definedName>
    <definedName name="data376">#REF!</definedName>
    <definedName name="data377">#REF!</definedName>
    <definedName name="data378">#REF!</definedName>
    <definedName name="data379">#REF!</definedName>
    <definedName name="DATA38">#REF!</definedName>
    <definedName name="data380">#REF!</definedName>
    <definedName name="data381">#REF!</definedName>
    <definedName name="data382">#REF!</definedName>
    <definedName name="data383">#REF!</definedName>
    <definedName name="data384">#REF!</definedName>
    <definedName name="data385">#REF!</definedName>
    <definedName name="data386">#REF!</definedName>
    <definedName name="data387">#REF!</definedName>
    <definedName name="data388">#REF!</definedName>
    <definedName name="data389">#REF!</definedName>
    <definedName name="DATA39">#REF!</definedName>
    <definedName name="data390">#REF!</definedName>
    <definedName name="data391">#REF!</definedName>
    <definedName name="data392">#REF!</definedName>
    <definedName name="data393">#REF!</definedName>
    <definedName name="data394">#REF!</definedName>
    <definedName name="data395">#REF!</definedName>
    <definedName name="data396">#REF!</definedName>
    <definedName name="data397">#REF!</definedName>
    <definedName name="data398">#REF!</definedName>
    <definedName name="data399">#REF!</definedName>
    <definedName name="DATA4">#REF!</definedName>
    <definedName name="DATA40">#REF!</definedName>
    <definedName name="data400">#REF!</definedName>
    <definedName name="data401">#REF!</definedName>
    <definedName name="data402">#REF!</definedName>
    <definedName name="data403">#REF!</definedName>
    <definedName name="data404">#REF!</definedName>
    <definedName name="data405">#REF!</definedName>
    <definedName name="data406">#REF!</definedName>
    <definedName name="data407">#REF!</definedName>
    <definedName name="data408">#REF!</definedName>
    <definedName name="data409">#REF!</definedName>
    <definedName name="DATA41">#REF!</definedName>
    <definedName name="data410">#REF!</definedName>
    <definedName name="data411">#REF!</definedName>
    <definedName name="data412">#REF!</definedName>
    <definedName name="data413">#REF!</definedName>
    <definedName name="data414">#REF!</definedName>
    <definedName name="data415">#REF!</definedName>
    <definedName name="data416">#REF!</definedName>
    <definedName name="data417">#REF!</definedName>
    <definedName name="data418">#REF!</definedName>
    <definedName name="data419">#REF!</definedName>
    <definedName name="DATA42">#REF!</definedName>
    <definedName name="data420">#REF!</definedName>
    <definedName name="data421">#REF!</definedName>
    <definedName name="data422">#REF!</definedName>
    <definedName name="data423">#REF!</definedName>
    <definedName name="data424">#REF!</definedName>
    <definedName name="data425">#REF!</definedName>
    <definedName name="data426">#REF!</definedName>
    <definedName name="data427">#REF!</definedName>
    <definedName name="data428">#REF!</definedName>
    <definedName name="data429">#REF!</definedName>
    <definedName name="DATA43">#REF!</definedName>
    <definedName name="data430">#REF!</definedName>
    <definedName name="data431">#REF!</definedName>
    <definedName name="data432">#REF!</definedName>
    <definedName name="data433">#REF!</definedName>
    <definedName name="data434">#REF!</definedName>
    <definedName name="data435">#REF!</definedName>
    <definedName name="data436">#REF!</definedName>
    <definedName name="data437">#REF!</definedName>
    <definedName name="data438">#REF!</definedName>
    <definedName name="data439">#REF!</definedName>
    <definedName name="DATA44">#REF!</definedName>
    <definedName name="data440">#REF!</definedName>
    <definedName name="data441">#REF!</definedName>
    <definedName name="data442">#REF!</definedName>
    <definedName name="data443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hidden="1">#REF!</definedName>
    <definedName name="dataNhom">#REF!</definedName>
    <definedName name="Date">#REF!</definedName>
    <definedName name="DATE_10853">#REF!</definedName>
    <definedName name="date_range">"Celladd2, Celladd3"</definedName>
    <definedName name="Date1">#REF!</definedName>
    <definedName name="DateE">#REF!</definedName>
    <definedName name="Datensatz_einfügen">#N/A</definedName>
    <definedName name="DateRangePrice" hidden="1">#N/A</definedName>
    <definedName name="DateRangePriceMain">#REF!</definedName>
    <definedName name="DateStart" hidden="1">#REF!</definedName>
    <definedName name="DauNam">#N/A</definedName>
    <definedName name="DauNamTruoc">#N/A</definedName>
    <definedName name="Dautu" hidden="1">{"'Sheet1'!$L$16"}</definedName>
    <definedName name="Day">#REF!</definedName>
    <definedName name="db">#REF!</definedName>
    <definedName name="dbh">#REF!</definedName>
    <definedName name="DBKL">#REF!</definedName>
    <definedName name="dbpmth">#REF!</definedName>
    <definedName name="dc" hidden="1">{"'Sheet1'!$L$16"}</definedName>
    <definedName name="DCF" hidden="1">{"RUN3A",#N/A,FALSE,"BS-exist";"RUN3A","GROWTH RATE 8-5-7",FALSE,"IS-exist";"RUN3A","3rdRun without EquityInfusion;Sale of land(50-50)",FALSE,"CF-exist"}</definedName>
    <definedName name="DCG" hidden="1">{"RUN2",#N/A,FALSE,"BS-exist";"RUN2","GROWTH RATE 8-5-7",FALSE,"IS-exist";"RUN2","2ndRun without Equity Infusion",FALSE,"CF-exist"}</definedName>
    <definedName name="dcha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" hidden="1">{"weichwaren",#N/A,FALSE,"Liste 1";"hartwaren",#N/A,FALSE,"Liste 1";"food",#N/A,FALSE,"Liste 1";"fleisch",#N/A,FALSE,"Liste 1"}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{#VALUE!,#N/A,FALSE,0;#N/A,#N/A,FALSE,0;#N/A,#N/A,FALSE,0;#N/A,#N/A,FALSE,0}</definedName>
    <definedName name="ＤＤＤ" hidden="1">#REF!</definedName>
    <definedName name="dddd" hidden="1">#REF!</definedName>
    <definedName name="ddddd" hidden="1">{"'Sheet1'!$L$16"}</definedName>
    <definedName name="ＤＤＤＤＤ" hidden="1">#REF!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" hidden="1">#REF!</definedName>
    <definedName name="DDDDDDDD" hidden="1">{#N/A,#N/A,TRUE,"SUM";#N/A,#N/A,TRUE,"EE";#N/A,#N/A,TRUE,"AC";#N/A,#N/A,TRUE,"SN"}</definedName>
    <definedName name="DDDDDDDDD" hidden="1">{#N/A,#N/A,TRUE,"일정"}</definedName>
    <definedName name="dddddddddd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dddd">#N/A</definedName>
    <definedName name="ddddddddddddddd">#N/A</definedName>
    <definedName name="ddddddddddddddddd" hidden="1">{#N/A,#N/A,FALSE,"Income State.";#N/A,#N/A,FALSE,"B-S"}</definedName>
    <definedName name="ddddddddddddddddddd" hidden="1">{"'Sheet1'!$L$16"}</definedName>
    <definedName name="DDDDDDDDDDDDDDDDDDDDDDDDDDDDDDDDDDDD" hidden="1">#REF!</definedName>
    <definedName name="dddddf" hidden="1">{#N/A,#N/A,FALSE,"단축1";#N/A,#N/A,FALSE,"단축2";#N/A,#N/A,FALSE,"단축3";#N/A,#N/A,FALSE,"장축";#N/A,#N/A,FALSE,"4WD"}</definedName>
    <definedName name="dddddkflkjkl" hidden="1">{"'2공장'!$A$1:$H$216"}</definedName>
    <definedName name="ＤＤＤＤＦＤＦ" hidden="1">#REF!</definedName>
    <definedName name="ＤＤＤＦ" hidden="1">#REF!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ghhjjjj" hidden="1">#REF!</definedName>
    <definedName name="dDQWD">#REF!</definedName>
    <definedName name="de" hidden="1">{#N/A,#N/A,FALSE,"Sensitivity"}</definedName>
    <definedName name="DEANr">#REF!</definedName>
    <definedName name="Dec" hidden="1">#N/A</definedName>
    <definedName name="Decree">#REF!</definedName>
    <definedName name="dÊd" hidden="1">#REF!</definedName>
    <definedName name="dede" hidden="1">{"'Sheet1'!$L$16"}</definedName>
    <definedName name="Deduction">#REF!</definedName>
    <definedName name="DEEE">#N/A</definedName>
    <definedName name="def">#REF!</definedName>
    <definedName name="def_row">#REF!</definedName>
    <definedName name="defect">#REF!</definedName>
    <definedName name="defeito">#REF!</definedName>
    <definedName name="defrefef" hidden="1">{"the池台数表",#N/A,TRUE,"負荷見通し(the池)";"the池グラフ",#N/A,TRUE,"負荷見通し(the池)";"the滋台数表",#N/A,TRUE,"負荷見通し(the滋)";"the滋グラフ",#N/A,TRUE,"負荷見通し(the滋)"}</definedName>
    <definedName name="DEL">#REF!</definedName>
    <definedName name="DeleteRange" hidden="1">#N/A</definedName>
    <definedName name="DeleteRows">#REF!</definedName>
    <definedName name="DeleteTable" hidden="1">#N/A</definedName>
    <definedName name="DeleteTaktLine">#REF!</definedName>
    <definedName name="Delivery" hidden="1">#REF!</definedName>
    <definedName name="DeliveryStatus">#REF!</definedName>
    <definedName name="DELP">#REF!</definedName>
    <definedName name="DELTA">#REF!</definedName>
    <definedName name="Delta02" hidden="1">#REF!</definedName>
    <definedName name="deltainflators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DELTAPROG">#REF!</definedName>
    <definedName name="Dem_TMCode" hidden="1">#N/A</definedName>
    <definedName name="Demand">#REF!</definedName>
    <definedName name="Demand02">#REF!</definedName>
    <definedName name="DenDK" hidden="1">{"'Sheet1'!$L$16"}</definedName>
    <definedName name="dentsu" hidden="1">#REF!</definedName>
    <definedName name="DEP">#REF!</definedName>
    <definedName name="Dep.t">#REF!</definedName>
    <definedName name="Dep_ID">#REF!</definedName>
    <definedName name="DepArea">#REF!</definedName>
    <definedName name="Department">#REF!</definedName>
    <definedName name="DEPCELL">#REF!</definedName>
    <definedName name="Dependant">#REF!</definedName>
    <definedName name="Deposit">#REF!</definedName>
    <definedName name="DEPREC">#REF!</definedName>
    <definedName name="depreinc">#REF!</definedName>
    <definedName name="DEPSELECT">OFFSET(INDIRECT(ADDRESS(MATCH(DEPCELL,DEPTEMPLIST,0)+2,2,,,"SEC")),0,0,COUNTIF(DEPTEMPLIST,DEPCELL),1)</definedName>
    <definedName name="Dept.">#REF!</definedName>
    <definedName name="Dept_Data">#REF!</definedName>
    <definedName name="DEPTEMPLIST">#REF!</definedName>
    <definedName name="DES">#N/A</definedName>
    <definedName name="Desc">#REF!</definedName>
    <definedName name="descript">#REF!</definedName>
    <definedName name="desp">#REF!</definedName>
    <definedName name="DESPADM">#REF!</definedName>
    <definedName name="DESPAN">#REF!</definedName>
    <definedName name="destinazione">#REF!</definedName>
    <definedName name="DESTIT">#REF!</definedName>
    <definedName name="det" hidden="1">{#N/A,#N/A,FALSE,"PROCUREMENT"}</definedName>
    <definedName name="DETAIL">OFFSET(#REF!,MATCH(#REF!,CATEGORY2,0),,COUNTIF(CATEGORY2,#REF!),)</definedName>
    <definedName name="DETPULL">#REF!</definedName>
    <definedName name="DETRET">#REF!</definedName>
    <definedName name="deviation" hidden="1">{#N/A,#N/A,FALSE,"CCTV"}</definedName>
    <definedName name="DEWSLDW" hidden="1">{#N/A,#N/A,TRUE,"SUM";#N/A,#N/A,TRUE,"EE";#N/A,#N/A,TRUE,"AC";#N/A,#N/A,TRUE,"SN"}</definedName>
    <definedName name="df" hidden="1">{#N/A,#N/A,FALSE,"DK1VER";#N/A,#N/A,FALSE,"DK1VER"}</definedName>
    <definedName name="DFA" hidden="1">{#N/A,#N/A,FALSE,"단축1";#N/A,#N/A,FALSE,"단축2";#N/A,#N/A,FALSE,"단축3";#N/A,#N/A,FALSE,"장축";#N/A,#N/A,FALSE,"4WD"}</definedName>
    <definedName name="dfadfadsfa" hidden="1">{#VALUE!,#N/A,FALSE,0;#N/A,#N/A,FALSE,0;#N/A,#N/A,FALSE,0;#N/A,#N/A,FALSE,0}</definedName>
    <definedName name="dfadfdfg" hidden="1">{"'2공장'!$A$1:$H$216"}</definedName>
    <definedName name="df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fas" hidden="1">#REF!</definedName>
    <definedName name="dfasd" hidden="1">{"RUN3B",#N/A,FALSE,"BS-exist";"RUN3B","GROWTH RATE 10-5-8",FALSE,"IS-exist";"RUN3B","3rdRun without EquityInfusion;Sale of land(50-50)",FALSE,"CF-exist"}</definedName>
    <definedName name="dfb" hidden="1">#REF!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d" hidden="1">{#N/A,#N/A,FALSE,"Sheet1";#N/A,#N/A,FALSE,"Sheet3";#N/A,#N/A,FALSE,"Sheet5"}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as" hidden="1">{#N/A,#N/A,FALSE,"sum";#N/A,#N/A,FALSE,"MARTV";#N/A,#N/A,FALSE,"APRTV"}</definedName>
    <definedName name="dfdfd" hidden="1">{"'Sheet1'!$L$16"}</definedName>
    <definedName name="DFDFDS" hidden="1">{#N/A,#N/A,TRUE,"SUM";#N/A,#N/A,TRUE,"EE";#N/A,#N/A,TRUE,"AC";#N/A,#N/A,TRUE,"SN"}</definedName>
    <definedName name="DFDFSDFSD" hidden="1">{#N/A,#N/A,TRUE,"SUM";#N/A,#N/A,TRUE,"EE";#N/A,#N/A,TRUE,"AC";#N/A,#N/A,TRUE,"SN"}</definedName>
    <definedName name="DFDFSFD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gg" hidden="1">#REF!</definedName>
    <definedName name="dfdgtyu" hidden="1">{"F3 detail",#N/A,FALSE,"F1";"F3 Presentation",#N/A,FALSE,"F3 "}</definedName>
    <definedName name="DFF" hidden="1">{#N/A,#N/A,TRUE,"SUM";#N/A,#N/A,TRUE,"EE";#N/A,#N/A,TRUE,"AC";#N/A,#N/A,TRUE,"SN"}</definedName>
    <definedName name="DFFFF">#N/A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df" hidden="1">#REF!</definedName>
    <definedName name="DFGDFG">#REF!</definedName>
    <definedName name="DFGDFGDFG">#REF!</definedName>
    <definedName name="dfgfdg" hidden="1">{"'Sheet1'!$L$16"}</definedName>
    <definedName name="dfgfg" hidden="1">#REF!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gg" hidden="1">{"'Sheet1'!$L$16"}</definedName>
    <definedName name="dfgh" hidden="1">{#N/A,#N/A,FALSE,"Chi tiÆt"}</definedName>
    <definedName name="dfgsdgf" hidden="1">#REF!</definedName>
    <definedName name="DFGSDGSD" hidden="1">{#N/A,#N/A,FALSE,"Sensitivity"}</definedName>
    <definedName name="dfgzxdf" hidden="1">{0,#N/A,FALSE,0;0,#N/A,FALSE,0;0,#N/A,FALSE,0;0,#N/A,FALSE,0;0,#N/A,FALSE,0;0,#N/A,FALSE,0;0,#N/A,FALSE,0}</definedName>
    <definedName name="dfh" hidden="1">{"'Sheet1'!$L$16"}</definedName>
    <definedName name="dfhdag" hidden="1">#REF!</definedName>
    <definedName name="dfhdznsns" hidden="1">{"'Sheet1'!$L$16"}</definedName>
    <definedName name="dfhf" hidden="1">{"'Sheet1'!$L$16"}</definedName>
    <definedName name="dfhgfgdjgd">{"Matrix",#N/A,FALSE,"ACQMTRX";"Fees",#N/A,FALSE,"ACQMTRX"}</definedName>
    <definedName name="DFHJ" hidden="1">{#N/A,#N/A,FALSE,"단축1";#N/A,#N/A,FALSE,"단축2";#N/A,#N/A,FALSE,"단축3";#N/A,#N/A,FALSE,"장축";#N/A,#N/A,FALSE,"4WD"}</definedName>
    <definedName name="dfjhfkg" hidden="1">{#N/A,#N/A,FALSE,"sum";#N/A,#N/A,FALSE,"MARTV";#N/A,#N/A,FALSE,"APRTV"}</definedName>
    <definedName name="dfjsdhldfgkfd" hidden="1">{"'Sheet1'!$L$16"}</definedName>
    <definedName name="đfnfndfn" hidden="1">{#N/A,#N/A,FALSE,"Chi tiÆt"}</definedName>
    <definedName name="dfs" hidden="1">{#N/A,#N/A,TRUE,"SUM";#N/A,#N/A,TRUE,"EE";#N/A,#N/A,TRUE,"AC";#N/A,#N/A,TRUE,"SN"}</definedName>
    <definedName name="dfsa" hidden="1">#REF!</definedName>
    <definedName name="đfsda" hidden="1">#REF!</definedName>
    <definedName name="dfsdf" hidden="1">#REF!</definedName>
    <definedName name="dfsdfd" hidden="1">#REF!</definedName>
    <definedName name="dfsdfsd">#REF!</definedName>
    <definedName name="dfsdfsf" hidden="1">#REF!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sfsd" hidden="1">{"'Sheet1'!$L$16"}</definedName>
    <definedName name="DF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GCT_L.SON1" hidden="1">#N/A</definedName>
    <definedName name="dgdfb" hidden="1">{"'Sheet1'!$L$16"}</definedName>
    <definedName name="dgdfbf" hidden="1">{"'Sheet1'!$L$16"}</definedName>
    <definedName name="dgdfg" hidden="1">{#N/A,#N/A,TRUE,"일정"}</definedName>
    <definedName name="ＤＧＤＦＧ" hidden="1">#REF!</definedName>
    <definedName name="dgdg" localSheetId="1" hidden="1">Main.SAPF4Help()</definedName>
    <definedName name="dgdg" hidden="1">Main.SAPF4Help()</definedName>
    <definedName name="dgdjdkgd" hidden="1">{#N/A,#N/A,FALSE,"CCTV"}</definedName>
    <definedName name="dgdshjshjisjhilsdhjlshlsknhldnhlshnlhdnhsldhndls" hidden="1">{"'Sheet1'!$L$16"}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g" hidden="1">{"'Sheet1'!$L$16"}</definedName>
    <definedName name="dggsgdsgsdgffgjfjjhgj" hidden="1">{"'Sheet1'!$L$16"}</definedName>
    <definedName name="dgh" hidden="1">#REF!</definedName>
    <definedName name="dghjyuk" hidden="1">{"'Sheet1'!$L$16"}</definedName>
    <definedName name="DGJSRGH" hidden="1">{#N/A,#N/A,FALSE,"단축1";#N/A,#N/A,FALSE,"단축2";#N/A,#N/A,FALSE,"단축3";#N/A,#N/A,FALSE,"장축";#N/A,#N/A,FALSE,"4WD"}</definedName>
    <definedName name="DGKL" hidden="1">#REF!</definedName>
    <definedName name="dgm">#REF!</definedName>
    <definedName name="dgma">#REF!</definedName>
    <definedName name="dgmfy">#REF!</definedName>
    <definedName name="dgvdfbgd" hidden="1">{"'Sheet1'!$L$16"}</definedName>
    <definedName name="DGVT">#REF!</definedName>
    <definedName name="ĐGYOC">#REF!</definedName>
    <definedName name="dh" hidden="1">{#N/A,#N/A,FALSE,"Chi tiÆt"}</definedName>
    <definedName name="đhf" hidden="1">{"'Sheet1'!$L$16"}</definedName>
    <definedName name="dhfbv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hfj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hfsd" hidden="1">#REF!</definedName>
    <definedName name="dhfsg" hidden="1">#REF!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hung" hidden="1">{"'Sheet1'!$L$16"}</definedName>
    <definedName name="DIC">#REF!</definedName>
    <definedName name="DichVuOto">#REF!</definedName>
    <definedName name="DichVuXeMay">#REF!</definedName>
    <definedName name="dien" hidden="1">{"'Sheet1'!$L$16"}</definedName>
    <definedName name="diengiai" hidden="1">{"'Sheet1'!$L$16"}</definedName>
    <definedName name="Diengiaikhoiluong" hidden="1">#REF!</definedName>
    <definedName name="dieuhanh">#REF!</definedName>
    <definedName name="DIFER">#REF!</definedName>
    <definedName name="DIFERIDOA">#REF!</definedName>
    <definedName name="DIFERIDOP">#REF!</definedName>
    <definedName name="Discount" hidden="1">#REF!</definedName>
    <definedName name="display_area_2" hidden="1">#REF!</definedName>
    <definedName name="display_area_3">#REF!</definedName>
    <definedName name="display_area_4">#REF!</definedName>
    <definedName name="display_area_5">#REF!</definedName>
    <definedName name="display_area_6">#REF!</definedName>
    <definedName name="display_area_7">#REF!</definedName>
    <definedName name="display_area_8">#REF!</definedName>
    <definedName name="display_area_9">#REF!</definedName>
    <definedName name="Display_Week">#REF!</definedName>
    <definedName name="DISPONIVEL">#REF!</definedName>
    <definedName name="Div_Industrial">{"adj95mult",#N/A,FALSE,"COMPCO";"adj95est",#N/A,FALSE,"COMPCO"}</definedName>
    <definedName name="DIVCELL">#REF!</definedName>
    <definedName name="DIVID">#REF!</definedName>
    <definedName name="Division">#REF!</definedName>
    <definedName name="DIVSELECT">OFFSET(INDIRECT(ADDRESS(MATCH(DIVCELL,DIVTEMPLIST,0)+2,2,,,"DEP")),0,0,COUNTIF(DIVTEMPLIST,DIVCELL),1)</definedName>
    <definedName name="DIVTEMPLIST">#REF!</definedName>
    <definedName name="dj" hidden="1">{"'Sheet1'!$L$16"}</definedName>
    <definedName name="dja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FHJ" hidden="1">{#N/A,#N/A,FALSE,"단축1";#N/A,#N/A,FALSE,"단축2";#N/A,#N/A,FALSE,"단축3";#N/A,#N/A,FALSE,"장축";#N/A,#N/A,FALSE,"4WD"}</definedName>
    <definedName name="djf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>#REF!</definedName>
    <definedName name="dkdk" hidden="1">{#N/A,#N/A,FALSE,"단축1";#N/A,#N/A,FALSE,"단축2";#N/A,#N/A,FALSE,"단축3";#N/A,#N/A,FALSE,"장축";#N/A,#N/A,FALSE,"4WD"}</definedName>
    <definedName name="dkf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">#REF!</definedName>
    <definedName name="dl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LF" hidden="1">{#N/A,#N/A,TRUE,"일정"}</definedName>
    <definedName name="dlkj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lshlsjhljhlfdlhkflfklnblfnblsdnblsdnldh" hidden="1">{"'Sheet1'!$L$16"}</definedName>
    <definedName name="DLUQ18">#REF!</definedName>
    <definedName name="DLUQ19">#REF!</definedName>
    <definedName name="dm">#REF!</definedName>
    <definedName name="DM_denchieusang">#REF!</definedName>
    <definedName name="DM_hoaduoc">#REF!</definedName>
    <definedName name="DM_TMCode" hidden="1">#N/A</definedName>
    <definedName name="dmKH" hidden="1">OFFSET(#REF!,0,0,COUNTA(#REF!))</definedName>
    <definedName name="dmKHLoai" hidden="1">OFFSET(#REF!,0,0,COUNTA(#REF!))</definedName>
    <definedName name="dmMaKH" hidden="1">OFFSET(#REF!,0,0,COUNTA(#REF!))</definedName>
    <definedName name="dmMaVV" hidden="1">OFFSET(#REF!,0,0,COUNTA(#REF!))</definedName>
    <definedName name="dmObj" hidden="1">#N/A</definedName>
    <definedName name="dmObject" hidden="1">#N/A</definedName>
    <definedName name="dmTKObj" hidden="1">#REF!</definedName>
    <definedName name="DN1_CT5" hidden="1">{"'Sheet1'!$L$16"}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NPL">"DNPL13;DNPL12"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" hidden="1">{"'Sheet1'!$L$16"}</definedName>
    <definedName name="do_f">#REF!</definedName>
    <definedName name="DOC">#REF!</definedName>
    <definedName name="Document_array">{"Book1","AR0306.xls"}</definedName>
    <definedName name="DocumentDate">#REF!</definedName>
    <definedName name="DocumentNum">#REF!</definedName>
    <definedName name="Doi_tuong">#REF!</definedName>
    <definedName name="Doiten">#REF!</definedName>
    <definedName name="Domain" hidden="1">#REF!</definedName>
    <definedName name="Don_vi">#REF!</definedName>
    <definedName name="donviDT">#REF!</definedName>
    <definedName name="DonViTinh">#REF!</definedName>
    <definedName name="DO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PF" hidden="1">{"'Monthly 1997'!$A$3:$S$89"}</definedName>
    <definedName name="dqư" hidden="1">#REF!</definedName>
    <definedName name="dr" hidden="1">{#N/A,#N/A,FALSE,"sum";#N/A,#N/A,FALSE,"MARTV";#N/A,#N/A,FALSE,"APRTV"}</definedName>
    <definedName name="drbfm_engine">#REF!</definedName>
    <definedName name="drbfm_trans">#REF!</definedName>
    <definedName name="drbfmNo">#REF!</definedName>
    <definedName name="DRC">{"fdsup://IBCentral/FAT Viewer?action=UPDATE&amp;creator=factset&amp;DOC_NAME=fat:reuters_qtrly_source_window.fat&amp;display_string=Audit&amp;DYN_ARGS=TRUE&amp;VAR:ID1=90921810&amp;VAR:RCODE=SCSI&amp;VAR:SDATE=20100399&amp;VAR:FREQ=Quarterly&amp;VAR:RELITEM=R44&amp;VAR:CURRENCY=&amp;VAR:CURRSOURCE=E","XSHARE&amp;VAR:NATFREQ=QUARTERLY&amp;VAR:RFIELD=FINALIZED&amp;VAR:DB_TYPE=&amp;VAR:UNITS=M&amp;window=popup&amp;width=450&amp;height=300&amp;START_MAXIMIZED=FALSE"}</definedName>
    <definedName name="DRE">#REF!</definedName>
    <definedName name="DRIVEABILITY" hidden="1">{#N/A,#N/A,FALSE,"단축1";#N/A,#N/A,FALSE,"단축2";#N/A,#N/A,FALSE,"단축3";#N/A,#N/A,FALSE,"장축";#N/A,#N/A,FALSE,"4WD"}</definedName>
    <definedName name="Driver">#REF!</definedName>
    <definedName name="drrrrrrr">#N/A</definedName>
    <definedName name="drtyuio" hidden="1">{#N/A,#N/A,FALSE,"Income State.";#N/A,#N/A,FALSE,"B-S"}</definedName>
    <definedName name="DRWISS">#REF!</definedName>
    <definedName name="DRWRCV">#REF!</definedName>
    <definedName name="ds" hidden="1">{"'Sheet1'!$L$16"}</definedName>
    <definedName name="DS_NV">#REF!</definedName>
    <definedName name="DS0_S0">OFFSET(#REF!,1,-1,MAX(2,COUNTA(OFFSET(#REF!,1,0,16368,1))+1),1)</definedName>
    <definedName name="DS0_S1">OFFSET(#REF!,1,0,MAX(2,COUNTA(OFFSET(#REF!,1,0,16368,1))+1),1)</definedName>
    <definedName name="DS1_S0">OFFSET(#REF!,1,-1,MAX(2,COUNTA(OFFSET(#REF!,1,0,16368,1))+1),1)</definedName>
    <definedName name="DS1_S1">OFFSET(#REF!,1,0,MAX(2,COUNTA(OFFSET(#REF!,1,0,16368,1))+1),1)</definedName>
    <definedName name="DSA">#REF!</definedName>
    <definedName name="dsad" hidden="1">#REF!</definedName>
    <definedName name="DSADS" hidden="1">#REF!</definedName>
    <definedName name="DSADSA" hidden="1">#REF!</definedName>
    <definedName name="DSADSAD" hidden="1">#REF!</definedName>
    <definedName name="dsaf" hidden="1">{"'Sheet1'!$L$16"}</definedName>
    <definedName name="DSAFDA" hidden="1">#REF!</definedName>
    <definedName name="DSAFDF" hidden="1">#REF!</definedName>
    <definedName name="dsasdasdasd" hidden="1">#REF!</definedName>
    <definedName name="DsBan">#REF!</definedName>
    <definedName name="ds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D">#REF!</definedName>
    <definedName name="đsd">#REF!</definedName>
    <definedName name="dSDda" hidden="1">{#N/A,#N/A,FALSE,"12"}</definedName>
    <definedName name="DSDL" hidden="1">{"'Sheet1'!$L$16"}</definedName>
    <definedName name="dsds" hidden="1">{#N/A,#N/A,TRUE,"일정"}</definedName>
    <definedName name="dsdsd" hidden="1">#REF!</definedName>
    <definedName name="dsdwdw" hidden="1">#REF!</definedName>
    <definedName name="dsdwdwe" hidden="1">#REF!</definedName>
    <definedName name="dsf" hidden="1">{"'Sheet1'!$L$16"}</definedName>
    <definedName name="dsfâfsda" hidden="1">#REF!</definedName>
    <definedName name="DSFAR" hidden="1">{#N/A,#N/A,FALSE,"CCTV"}</definedName>
    <definedName name="dsfasf" localSheetId="1" hidden="1">Main.SAPF4Help()</definedName>
    <definedName name="dsfasf" hidden="1">Main.SAPF4Help()</definedName>
    <definedName name="dsfd" hidden="1">#REF!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S" hidden="1">{"'Sheet1'!$L$16"}</definedName>
    <definedName name="dsfdsgdg" hidden="1">{"F3 detail",#N/A,FALSE,"F1";"F3 Presentation",#N/A,FALSE,"F3 "}</definedName>
    <definedName name="dsfsdf" hidden="1">{"'Sheet1'!$L$16"}</definedName>
    <definedName name="dsgfhtyjjt" hidden="1">#REF!</definedName>
    <definedName name="dsgsw.sgrs.grsg_.sg" hidden="1">{#N/A,#N/A,FALSE,"Chi tiÆt"}</definedName>
    <definedName name="DSJKLDE" hidden="1">{#N/A,#N/A,TRUE,"SUM";#N/A,#N/A,TRUE,"EE";#N/A,#N/A,TRUE,"AC";#N/A,#N/A,TRUE,"SN"}</definedName>
    <definedName name="d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STEN">OFFSET(#REF!,0,0,COUNTA(#REF!)-1,1)</definedName>
    <definedName name="DSX">OFFSET(#REF!,0,0,COUNTA(#REF!)-1,10)</definedName>
    <definedName name="dtctnd" hidden="1">{"'Sheet1'!$L$16"}</definedName>
    <definedName name="DTGraph_Show">#REF!</definedName>
    <definedName name="DTGSTD1_Click">#REF!</definedName>
    <definedName name="ＤＴＧＹＤＦ" hidden="1">#REF!</definedName>
    <definedName name="dthft" hidden="1">{"'Sheet1'!$L$16"}</definedName>
    <definedName name="DTKT3" hidden="1">{"'Sheet1'!$L$16"}</definedName>
    <definedName name="DTMG_vumua" hidden="1">{#N/A,#N/A,FALSE,"Chi tiÆt"}</definedName>
    <definedName name="dToday">19930811</definedName>
    <definedName name="DTTK" hidden="1">{"'Sheet1'!$L$16"}</definedName>
    <definedName name="dtvp" hidden="1">{"'Sheet1'!$L$16"}</definedName>
    <definedName name="du" hidden="1">{"'Sheet1'!$L$16"}</definedName>
    <definedName name="DuAn">#REF!</definedName>
    <definedName name="duc" hidden="1">{"'Sheet1'!$L$16"}</definedName>
    <definedName name="DucO" hidden="1">{"'Sheet1'!$L$16"}</definedName>
    <definedName name="DUCT" hidden="1">{#N/A,#N/A,FALSE,"Sheet1"}</definedName>
    <definedName name="dudT3" hidden="1">{"'Sheet1'!$L$16"}</definedName>
    <definedName name="dumbwaiter" hidden="1">{#N/A,#N/A,FALSE,"Sheet1";#N/A,#N/A,FALSE,"Sheet3";#N/A,#N/A,FALSE,"Sheet5"}</definedName>
    <definedName name="dummy2" hidden="1">{"REVISED",#N/A,FALSE,"Sheet1"}</definedName>
    <definedName name="dummy3" hidden="1">{"REVISED",#N/A,FALSE,"Sheet1"}</definedName>
    <definedName name="DummyEstYears">3</definedName>
    <definedName name="DUNG" hidden="1">{"'Sheet1'!$L$16"}</definedName>
    <definedName name="dung1">#REF!</definedName>
    <definedName name="dung2">#REF!</definedName>
    <definedName name="dung3">#REF!</definedName>
    <definedName name="dung4">#REF!</definedName>
    <definedName name="dung5">#REF!</definedName>
    <definedName name="dung6">#REF!</definedName>
    <definedName name="Duoc" hidden="1">{"'Sheet1'!$L$16"}</definedName>
    <definedName name="duoi">#REF!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et">#REF!</definedName>
    <definedName name="dvafw">#REF!</definedName>
    <definedName name="DVNAM">""</definedName>
    <definedName name="DVNgoaiVC">#REF!</definedName>
    <definedName name="DVOT51">#REF!</definedName>
    <definedName name="dvt">1000000</definedName>
    <definedName name="DVTYP">"PRINTER"</definedName>
    <definedName name="DVXM51">#REF!</definedName>
    <definedName name="dwdwewewe" hidden="1">#REF!</definedName>
    <definedName name="dwedweewqeeqe" hidden="1">#REF!</definedName>
    <definedName name="dwg_nu">#REF!</definedName>
    <definedName name="DWPRICE" hidden="1">#REF!</definedName>
    <definedName name="dwq">#REF!</definedName>
    <definedName name="DWQFDH" hidden="1">{#N/A,#N/A,FALSE,"Income State.";#N/A,#N/A,FALSE,"B-S"}</definedName>
    <definedName name="dwqwq" hidden="1">#REF!</definedName>
    <definedName name="dwsdwdwd" hidden="1">{#N/A,#N/A,FALSE,"Chi tiÆt"}</definedName>
    <definedName name="DY" hidden="1">#REF!</definedName>
    <definedName name="dz">#REF!</definedName>
    <definedName name="ＤさだＳＤさ" hidden="1">#REF!</definedName>
    <definedName name="ｄふぁふぁｄｆ">#REF!</definedName>
    <definedName name="E" hidden="1">{#VALUE!,#N/A,FALSE,0;#N/A,#N/A,FALSE,0;#N/A,#N/A,FALSE,0;#N/A,#N/A,FALSE,0}</definedName>
    <definedName name="è">#REF!</definedName>
    <definedName name="E_Value">#REF!</definedName>
    <definedName name="E18VF02S021">#REF!</definedName>
    <definedName name="eak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RTH">#REF!</definedName>
    <definedName name="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u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WR" hidden="1">{#N/A,#N/A,FALSE,"단축1";#N/A,#N/A,FALSE,"단축2";#N/A,#N/A,FALSE,"단축3";#N/A,#N/A,FALSE,"장축";#N/A,#N/A,FALSE,"4WD"}</definedName>
    <definedName name="ＥＣＴリニア駆動方式">#REF!</definedName>
    <definedName name="ED" hidden="1">{#N/A,#N/A,FALSE,"CCTV"}</definedName>
    <definedName name="edwfrhjy" hidden="1">#REF!</definedName>
    <definedName name="edwtgfdsgf" hidden="1">{"'Sheet1'!$L$16"}</definedName>
    <definedName name="ee">#REF!</definedName>
    <definedName name="eee" hidden="1">{#N/A,#N/A,FALSE,"Income State.";#N/A,#N/A,FALSE,"B-S"}</definedName>
    <definedName name="eeee" hidden="1">{"'Sheet1'!$L$16"}</definedName>
    <definedName name="E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eeeee" hidden="1">{"'Sheet1'!$L$16"}</definedName>
    <definedName name="eeeeeeeeee" hidden="1">{"'Sheet1'!$L$16"}</definedName>
    <definedName name="eeeeeeeeeee" hidden="1">#REF!</definedName>
    <definedName name="eeeeeeeeeeeee">#N/A</definedName>
    <definedName name="eeerer" hidden="1">{"年販売台数計画",#N/A,FALSE,"販売台数計画";"月販売台数計画",#N/A,FALSE,"販売台数計画"}</definedName>
    <definedName name="eef" hidden="1">{"'Sheet1'!$L$16"}</definedName>
    <definedName name="EEPROM">#REF!</definedName>
    <definedName name="EEPROM1">#REF!</definedName>
    <definedName name="eewrq" hidden="1">{"'DocTypeCode'!$A$142:$A$226"}</definedName>
    <definedName name="ef" hidden="1">{#N/A,#N/A,FALSE,"Chi tiÆt"}</definedName>
    <definedName name="Effect">#REF!</definedName>
    <definedName name="effectiveness">#REF!</definedName>
    <definedName name="EFFOG" hidden="1">{#N/A,#N/A,FALSE,"단축1";#N/A,#N/A,FALSE,"단축2";#N/A,#N/A,FALSE,"단축3";#N/A,#N/A,FALSE,"장축";#N/A,#N/A,FALSE,"4WD"}</definedName>
    <definedName name="efsfg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egsf" hidden="1">{"'Sheet1'!$L$16"}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ir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rg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K" hidden="1">#REF!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as" hidden="1">{#N/A,#N/A,FALSE,"Income State.";#N/A,#N/A,FALSE,"B-S"}</definedName>
    <definedName name="Electric">#REF!</definedName>
    <definedName name="ELET">#REF!</definedName>
    <definedName name="ELETROBRAS">#REF!</definedName>
    <definedName name="eli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MBIADCR">#REF!</definedName>
    <definedName name="EMBMESE">#REF!</definedName>
    <definedName name="EMBRPROG">#REF!</definedName>
    <definedName name="EMBTADUS">#REF!</definedName>
    <definedName name="EMC_종평보고" hidden="1">#REF!</definedName>
    <definedName name="EMPCLP">#REF!</definedName>
    <definedName name="EMPLOYEELEVEL">OFFSET(#REF!,0,0,COUNTA(#REF!)-2)</definedName>
    <definedName name="EMPOBJ">OFFSET(#REF!,0,0,COUNTA(#REF!)-2)</definedName>
    <definedName name="EMPSTATE_LIST">OFFSET(#REF!,0,0,COUNTA(#REF!)-2)</definedName>
    <definedName name="End_Page" hidden="1">#REF!</definedName>
    <definedName name="ENG" hidden="1">{#N/A,#N/A,FALSE,"단축1";#N/A,#N/A,FALSE,"단축2";#N/A,#N/A,FALSE,"단축3";#N/A,#N/A,FALSE,"장축";#N/A,#N/A,FALSE,"4WD"}</definedName>
    <definedName name="ENG_BI_EXE_NAME" hidden="1">"BICORE.EXE"</definedName>
    <definedName name="ENG_BI_EXEC_CMD_ARGS" hidden="1">"03304607807808310008509207808203605007003304907412708906908707207908410406808007306906511409712410411511812412612407206608809408007806805412513209611311910512210211611007706608707408308707308206512010110609809609510212010611509109910009305805705112912"</definedName>
    <definedName name="ENG_BI_EXEC_CMD_ARGS_2" hidden="1">"80961131181051221021161100750670670740850660810790750661091061240951191191201261270951161191051271041171010770670860880690860661081261081051041041121111191171121211051191101261231041131151101181011211010770750800690880840880830820720660830760890660770"</definedName>
    <definedName name="ENG_BI_EXEC_CMD_ARGS_3" hidden="1">"67051049062059055062059066068052055064051051063056052064057058066051051058060052061059058055059058065052063055049050063050052056059058058052059059049053064056052064051065068052054064050058059059054055051068064051059059054052064049058060059058064052129"</definedName>
    <definedName name="ENG_BI_EXEC_CMD_ARGS_4" hidden="1">"128096113121098112110099085072079071076080069074061105115125132088082072074083070072080069087065086090062049134"</definedName>
    <definedName name="ENG_BI_GEN_LIC" hidden="1">"0"</definedName>
    <definedName name="ENG_BI_GEN_LIC_WS" hidden="1">"False"</definedName>
    <definedName name="ENG_BI_LBI" hidden="1">"GUOHRYMMD3"</definedName>
    <definedName name="ENG_BI_TLA" hidden="1">"86;195;147;245;32;8;91;48;218;119;124;65;173;29;54;258;109;225;121;103;43;225;209;133;226;53;28;110;244;211;208;125"</definedName>
    <definedName name="Entering_Date">#REF!</definedName>
    <definedName name="ENTITY">#REF!</definedName>
    <definedName name="EOI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eojh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O계획" hidden="1">#REF!</definedName>
    <definedName name="EPAGE">"14"</definedName>
    <definedName name="EPMWorkbookOptions_1" hidden="1">"|TUAAB|LCAAAAAAABADtm91yokoQgO|3at/B4l5|BNRNEbdw1IRaBVYwOXtSWxbKGKlFYAeMyVuchzoPtiP|gWLW9XBSQrgKmenu6fno7hmHGuHz88wuPUHkW65zTTAkTZSgM3ZNy3m8JubBpMxUic|Njx|Eexf9GLnuD8ULsKhfwnqOf/Xsm9fENAi8K4paLBbkgiVd9EhVaJqh/up1tfEUzgxiK2z9XrhsOX5gOGNI4FFLJQG4jgPHyzF1F8w"</definedName>
    <definedName name="EPMWorkbookOptions_2" hidden="1">"1F1phhB0/L4F50FnpLsOfLBqxe0KmMDlZTeX9OFkOkNWcM2eB1EHwRHE/oaQxNPIVwfNTntQ60jKI0MPnlaDGJpkGIbkeZKhyzdlmqYpD0wpYzqkfgyeOl21PpA0/AnH4bm2ZYJFKPjvEbA9uPktUIt4ttGJ06ltDUGI5NFRrn1EvYSaV5OvRiLaCWCJbkszRx3surdMEzp1awIdLwj3sOk2VC9ig620sTvf+JBc20VVH82gQMV0vDc0mEXM"</definedName>
    <definedName name="EPMWorkbookOptions_3" hidden="1">"yL3ZrQZiCD589ZvgxUWWj+MK7sdy8F7fEeObFvL8UADx/TuONlEeBnSsVdiu51i/ZjCYuShJak/RBSqu8z0fS+K4yHmaYctMyEHcvQjGqsiEqEoL1PJDrHdvaoO3DnKnEPlvVYYv8iNojAi+aHIEVxhViDIPIUEDWOBMo8SVDHZx5eioGMct4PkatHG9Q7MNJwaWrRizaFLGGmCT5fgQpqcVxB/kU0fsNhT9nsEfpaZcx+W7Z33A670FEUDD"</definedName>
    <definedName name="EPMWorkbookOptions_4" hidden="1">"8dvWNIdl78ax7Nv8Im3yO/Xz/o09bqxA/W6+ZwRSkx7+eMiQRJH883cGJASEY+ik8xCoY8QmpJf/n7b36rKud0W5dbq80zSHty7HqzuTQnXfYIzm6rJd1cVW0lP23GT0gax0enqGJYolgFLIqESp9EUt6UguR/IlUW/cqd3vJws+y/I8x3HHC34hfYK/hrgj95Leu16pj2dy1atfPJKa/JektpPO5HIUDXOV9dP1rFhi6HK5dLyesenTsyXC"</definedName>
    <definedName name="EPMWorkbookOptions_5" hidden="1">"HTV7KPFJT9Lz8mAyHmEeYkYjREOhmYxHiIecfB6Xs8Q1W+rjf3lDUyyy7Ade0XDpW+EWBKMZ2hxItaRn6HloFAIaV71T308PXcv0Kz7ME/RLVvRGV1I/8TtEPn0StoIYrVt5oKhKI+mZelYkfVnJeERSRBSTvxk7N5IazWZIwl89DO5aai35O4DLWfS6HV3qdTFg6fSXUx9f+IrpW/hCIHGi4p+WlPQsPRuKvpL4/5e5nIrVJLXT+MRaLaWv"</definedName>
    <definedName name="EPMWorkbookOptions_6" hidden="1">"VgOE0ZXl7qq3qLFAUrBFvZyq1eX2ZxZt+QNFC2DFqFS4CmEaBktwPFMmjFEJEKBoskaF5QuFkXkBRbsgGE3RAs2USLqS9CQ9KxCevN5HhkMZUsyAhIBwZCpeol6OtLcbotbrNrRPlPdK+vZka4rLJ4bvevbE8CGjSDTxRgIVd14q0ro2x972j5WFG/ePogldOELQG6uOOoXO+phRtDGwk2wI0MKp6mjgBa4td5sD2/WZO5yWfoBxbb3fEbWf"</definedName>
    <definedName name="EPMWorkbookOptions_7" hidden="1">"m6u7JsheHyALGDZsQ/S89bDX/vXL1u3qjF/1X1qXee8eOAAA"</definedName>
    <definedName name="epw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" hidden="1">{"'Sheet1'!$L$16"}</definedName>
    <definedName name="eqbgroieq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ip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oui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r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trwy" hidden="1">{"'Sheet1'!$L$16"}</definedName>
    <definedName name="EQUITY">#REF!</definedName>
    <definedName name="ẻqwerwr" hidden="1">{#N/A,#N/A,TRUE,"일정"}</definedName>
    <definedName name="er" hidden="1">{0,0,0,0;0,0,0,0;0,0,0,0;0,0,0,0;0,0,0,0;0,0,0,0;0,0,0,0}</definedName>
    <definedName name="erbge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E" hidden="1">#REF!</definedName>
    <definedName name="ereer">[0]!ereer</definedName>
    <definedName name="­erewarqewrqr" hidden="1">#REF!</definedName>
    <definedName name="eric" hidden="1">{#N/A,#N/A,FALSE,"Profit Status";#N/A,#N/A,FALSE,"Invest";#N/A,#N/A,FALSE,"Revenue";#N/A,#N/A,FALSE,"Variable Cost";#N/A,#N/A,FALSE,"Options &amp; Series"}</definedName>
    <definedName name="erl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re" hidden="1">{"weichwaren",#N/A,FALSE,"Liste 1";"hartwaren",#N/A,FALSE,"Liste 1";"food",#N/A,FALSE,"Liste 1";"fleisch",#N/A,FALSE,"Liste 1"}</definedName>
    <definedName name="errr">[0]!errr</definedName>
    <definedName name="erste_zahlung">#REF!</definedName>
    <definedName name="erster_preis">#REF!</definedName>
    <definedName name="erster_preis2">#REF!</definedName>
    <definedName name="ERT" hidden="1">{"'Sheet1'!$L$16"}</definedName>
    <definedName name="erw" hidden="1">#REF!</definedName>
    <definedName name="êr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rwe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Y" hidden="1">{"'Sheet1'!$L$16"}</definedName>
    <definedName name="eryhrtgabqergerggbvrth" hidden="1">#REF!</definedName>
    <definedName name="es" hidden="1">{"'Sheet1'!$L$16"}</definedName>
    <definedName name="esgtew" hidden="1">{#N/A,#N/A,FALSE,"Chi tiÆt"}</definedName>
    <definedName name="eshr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ssLatest">"Quarter 1"</definedName>
    <definedName name="est">#REF!</definedName>
    <definedName name="ESTIMATE">#N/A</definedName>
    <definedName name="Estrazione_CT_Malattia_Sciopero">#REF!</definedName>
    <definedName name="etethtehbdex" hidden="1">{#N/A,#N/A,FALSE,"Chi tiÆt"}</definedName>
    <definedName name="ẻtfyui" hidden="1">#REF!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qgsg_đhs" hidden="1">{"'Sheet1'!$L$16"}</definedName>
    <definedName name="êtrg" hidden="1">#REF!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ETRYU" hidden="1">{#N/A,#N/A,FALSE,"단축1";#N/A,#N/A,FALSE,"단축2";#N/A,#N/A,FALSE,"단축3";#N/A,#N/A,FALSE,"장축";#N/A,#N/A,FALSE,"4WD"}</definedName>
    <definedName name="etuiuti" hidden="1">{"'Sheet1'!$L$16"}</definedName>
    <definedName name="etwetwte" hidden="1">#REF!</definedName>
    <definedName name="ẻtyhju" hidden="1">#REF!</definedName>
    <definedName name="ẻtyrui" hidden="1">{#N/A,#N/A,FALSE,"Sensitivity"}</definedName>
    <definedName name="ETYUI" hidden="1">{#N/A,#N/A,FALSE,"단축1";#N/A,#N/A,FALSE,"단축2";#N/A,#N/A,FALSE,"단축3";#N/A,#N/A,FALSE,"장축";#N/A,#N/A,FALSE,"4WD"}</definedName>
    <definedName name="ẻtyuio" hidden="1">{"'Sheet1'!$L$16"}</definedName>
    <definedName name="eu">21930000000</definedName>
    <definedName name="EUR">#REF!</definedName>
    <definedName name="EUR_USD">#REF!</definedName>
    <definedName name="EUR_VND">#REF!</definedName>
    <definedName name="Euro_ER">17450</definedName>
    <definedName name="Euro_ER_Cat_Q">17450</definedName>
    <definedName name="EV">"V"</definedName>
    <definedName name="ev.Calculation" hidden="1">-4105</definedName>
    <definedName name="ev.Initialized" hidden="1">FALSE</definedName>
    <definedName name="EV__ALLOWSTOPEXPAND__" hidden="1">1</definedName>
    <definedName name="EV__CVPARAMS__" hidden="1">"Any by Any!$C$11:$D$32;"</definedName>
    <definedName name="EV__DECIMALSYMBOL__" hidden="1">","</definedName>
    <definedName name="EV__EXPOPTIONS__" hidden="1">0</definedName>
    <definedName name="EV__LASTREFTIME__" hidden="1">"20/11/2009 10.45.26"</definedName>
    <definedName name="EV__LASTREFTIME___1" hidden="1">40225.407349537</definedName>
    <definedName name="EV__LOCKEDCVW__CAPEX" hidden="1">"A_CE_GR,DES_TOT,PiaggioConsol,MK_TOT,PR_TOT,RES_TOT,FA,ACTUAL,TotalAdjIAS,EURO,2004.TOTAL,YTD,"</definedName>
    <definedName name="EV__LOCKEDCVW__COSTISTD" hidden="1">"UNITSTDCOST,NBDGV1_CC,PiaggioGroup,APP_PA,2009.TOTAL,YTD,"</definedName>
    <definedName name="EV__LOCKEDCVW__FINANCIALS_PORTAL" hidden="1">"TotalAdjIAS,AR_QC,ACTUAL,DEST_TOT_PL,TOT_RESP_2009,2004.TOTAL,YTD,"</definedName>
    <definedName name="EV__LOCKEDCVW__FINANCIALSGROUP" hidden="1">"A_PDC_GR,BR_TOT,BU_ADV_ST_CEN,BUDGET_CC,TOTALADJIAS,VT01,FLOW_SP,ALL_INTERCO,MK_VN,EURO,2010.TOTAL,YTD,"</definedName>
    <definedName name="EV__LOCKEDCVW__FINANCIALSPEC" hidden="1">"A_CER,ACTUAL,TotalAdjIAS,E_GELE,2004.TOTAL,YTD,"</definedName>
    <definedName name="EV__LOCKEDCVW__FLASH" hidden="1">"QC,A_TotArea,BU_TOTGROUP,ACTUAL,CH_TotChannel,Piaggio,TotCompany,TotalTurnover,EURO,2002.TOTAL,YTD,"</definedName>
    <definedName name="EV__LOCKEDCVW__GESTIONALEGRUPPO" hidden="1">"A_CE_GR,A_SOC,ACTUAL,TotalAdj,IN00,F_DUMMY,I_A12,LC,2006.JUL,YTD,"</definedName>
    <definedName name="EV__LOCKEDCVW__GESTIONALEPEC" hidden="1">"A_CER,ACTUAL,TotalAdjIAS,E_97000000,2002.TOTAL,YTD,"</definedName>
    <definedName name="EV__LOCKEDCVW__MEZZI_E_SERVIZI" hidden="1">"A_TOT,ACTUAL,TotalAdjIAS,E_TOT,2002.TOTAL,YTD,"</definedName>
    <definedName name="EV__LOCKEDCVW__PIAGGIOBDG" hidden="1">"A_BS_GR,A_GELE,ACTUAL,US00,ZZ5816,0,LC,2005.TOTAL,YTD,"</definedName>
    <definedName name="EV__LOCKEDCVW__PIAGGIOCRD" hidden="1">"ACCOUNTCRD:APPOGGIO,TOT_BRAND,TOT_BU,ACTUAL,TOTALADJ,VT01,M_VN,TOT_MODEL,LC,2010.JUN,PERIODIC,"</definedName>
    <definedName name="EV__LOCKEDCVW__RATE" hidden="1">"ACTUAL,USD,AVG,RateInput,2005.TOTAL,YTD,"</definedName>
    <definedName name="EV__LOCKEDCVW__VARIANZE" hidden="1">"un_Consolstd,A_TotArea,BU_TOTGROUP,ACTUAL,EURO,TotalAdjIAS,Piaggio,TotCustThird,0_FL,2002.TOTAL,YTD,"</definedName>
    <definedName name="EV__LOCKEDCVW__VEICOLI" hidden="1">"QCMonth,A_TotArea,B_TotGroupBrand,BU_TOTGROUP,ACTUAL,CH_TotChannel,TotCust,TotalAdjIAS,Piaggio,TOTPIAGGIOSTD,0_FL,EURO,2006.DEC,YTD,"</definedName>
    <definedName name="EV__LOCKSTATUS__" hidden="1">4</definedName>
    <definedName name="EV__MAXEXPCOLS__" hidden="1">100</definedName>
    <definedName name="EV__MAXEXPROWS__" hidden="1">65000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"$$finance2007$$"</definedName>
    <definedName name="EVA">#REF!</definedName>
    <definedName name="eval_col">#REF!</definedName>
    <definedName name="Eval1">#REF!</definedName>
    <definedName name="EVAPPlan2000YTD">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t" hidden="1">{"'Sheet1'!$L$16"}</definedName>
    <definedName name="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ẺW" hidden="1">{"F3 detail",#N/A,FALSE,"F3 ";"F3 Presentation",#N/A,FALSE,"F3 "}</definedName>
    <definedName name="ewewe" hidden="1">#REF!</definedName>
    <definedName name="ewg2erh2" hidden="1">#REF!</definedName>
    <definedName name="EWKK_V1b">#REF!</definedName>
    <definedName name="EWKK_V2">#REF!</definedName>
    <definedName name="EWKK_V3">#REF!</definedName>
    <definedName name="ewk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KV_V1">#REF!</definedName>
    <definedName name="EWKV_V1b">#REF!</definedName>
    <definedName name="EWKV_V2">#REF!</definedName>
    <definedName name="EWKV_V3">#REF!</definedName>
    <definedName name="ewpo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rfqewrrefeqrftr" hidden="1">{"'Sheet1'!$L$16"}</definedName>
    <definedName name="ewrtyu" hidden="1">#REF!</definedName>
    <definedName name="ews" hidden="1">{0}</definedName>
    <definedName name="EWY" hidden="1">{#N/A,#N/A,FALSE,"단축1";#N/A,#N/A,FALSE,"단축2";#N/A,#N/A,FALSE,"단축3";#N/A,#N/A,FALSE,"장축";#N/A,#N/A,FALSE,"4WD"}</definedName>
    <definedName name="Ex">22500</definedName>
    <definedName name="Ex_K">24660000</definedName>
    <definedName name="ExactAddinConnection" hidden="1">"034"</definedName>
    <definedName name="ExactAddinConnection.002" hidden="1">"CPNT01;003;mengtalekk;1"</definedName>
    <definedName name="ExactAddinConnection.003" hidden="1">"CPNT01;006;mengtalekk;1"</definedName>
    <definedName name="ExactAddinConnection.034" hidden="1">"NOIVU;034;gl4;1"</definedName>
    <definedName name="ExactAddinConnection.100" hidden="1">"NGOM19645-2;175;Administrator;1"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89" hidden="1">"NGOM19645-1;889;VAIO;1"</definedName>
    <definedName name="ExactAddinReports" hidden="1">1</definedName>
    <definedName name="Exampl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c" hidden="1">{"RUN1",#N/A,FALSE,"BS-exist";"RUN1","GROWTH RATE 8-5-7",FALSE,"IS-exist";"RUN1","1stScenario(Sale of land 90-50);(EquityInfusion 70);(New loan 150);Collection of Advances(110)",FALSE,"CF-exist"}</definedName>
    <definedName name="Excel_BuiltIn__FilterDatabase_1">#REF!</definedName>
    <definedName name="Excel_BuiltIn__FilterDatabase_10">#REF!</definedName>
    <definedName name="Excel_BuiltIn__FilterDatabase_12">#REF!</definedName>
    <definedName name="Excel_BuiltIn__FilterDatabase_13">#REF!</definedName>
    <definedName name="Excel_BuiltIn__FilterDatabase_14">#REF!</definedName>
    <definedName name="Excel_BuiltIn__FilterDatabase_15">#REF!</definedName>
    <definedName name="Excel_BuiltIn__FilterDatabase_2">#REF!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Print_Titles">#REF!</definedName>
    <definedName name="exchange">#REF!</definedName>
    <definedName name="Exchange_Rate">#REF!</definedName>
    <definedName name="exchangerate">#REF!</definedName>
    <definedName name="EXCHR">#REF!</definedName>
    <definedName name="Execsumm" hidden="1">{"RUN1",#N/A,FALSE,"BS-exist";"RUN1","GROWTH RATE 8-5-7",FALSE,"IS-exist";"RUN1","1stScenario(Sale of land 90-50);(EquityInfusion 70);(New loan 150);Collection of Advances(110)",FALSE,"CF-exist"}</definedName>
    <definedName name="ExpenseCriteria">#REF!</definedName>
    <definedName name="Exposure">#REF!</definedName>
    <definedName name="ExRate">#REF!</definedName>
    <definedName name="EXT" hidden="1">{#N/A,#N/A,TRUE,"일정"}</definedName>
    <definedName name="_xlnm.Extract">#N/A</definedName>
    <definedName name="EXTT" hidden="1">{#N/A,#N/A,TRUE,"일정"}</definedName>
    <definedName name="extView">#REF!</definedName>
    <definedName name="eygswgq" hidden="1">{#N/A,#N/A,FALSE,"Chi tiÆt"}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EYRU" hidden="1">{#N/A,#N/A,FALSE,"단축1";#N/A,#N/A,FALSE,"단축2";#N/A,#N/A,FALSE,"단축3";#N/A,#N/A,FALSE,"장축";#N/A,#N/A,FALSE,"4WD"}</definedName>
    <definedName name="f" hidden="1">{#N/A,#N/A,TRUE,"Time";#N/A,#N/A,TRUE,"VER";#N/A,#N/A,TRUE,"K1_R";#N/A,#N/A,TRUE,"K2_R";#N/A,#N/A,TRUE,"K3_R";#N/A,#N/A,TRUE,"K4_R";#N/A,#N/A,TRUE,"K5_R";#N/A,#N/A,TRUE,"K6_R";#N/A,#N/A,TRUE,"K7_R"}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_Cap" hidden="1">#N/A</definedName>
    <definedName name="f_mot" hidden="1">#REF!</definedName>
    <definedName name="F5TF" hidden="1">#REF!</definedName>
    <definedName name="F6A" hidden="1">{"'Sheet1'!$L$16"}</definedName>
    <definedName name="F6B" hidden="1">{"'Sheet1'!$L$16"}</definedName>
    <definedName name="fa">#REF!</definedName>
    <definedName name="faa">#REF!</definedName>
    <definedName name="fáaafafaf" hidden="1">{"'Sheet1'!$L$16"}</definedName>
    <definedName name="Faafadf" hidden="1">{#N/A,#N/A,FALSE,"14"}</definedName>
    <definedName name="facfy">#REF!</definedName>
    <definedName name="FACTORY" hidden="1">{#N/A,#N/A,TRUE,"SUM";#N/A,#N/A,TRUE,"EE";#N/A,#N/A,TRUE,"AC";#N/A,#N/A,TRUE,"SN"}</definedName>
    <definedName name="Faculty">#REF!</definedName>
    <definedName name="fadzil" hidden="1">{"'Sheet3 (2)'!$D$43:$E$46"}</definedName>
    <definedName name="faefeaw" hidden="1">#REF!</definedName>
    <definedName name="FAF" hidden="1">{#N/A,#N/A,FALSE,"17"}</definedName>
    <definedName name="FAFAF" hidden="1">{#N/A,#N/A,FALSE,"5"}</definedName>
    <definedName name="fafafaf" hidden="1">{#N/A,#N/A,FALSE,"3"}</definedName>
    <definedName name="fafafsdgsdg" localSheetId="1" hidden="1">Main.SAPF4Help()</definedName>
    <definedName name="fafafsdgsdg" hidden="1">Main.SAPF4Help()</definedName>
    <definedName name="fafagg" hidden="1">#REF!</definedName>
    <definedName name="fafaSF" hidden="1">{#N/A,#N/A,FALSE,"15"}</definedName>
    <definedName name="fafdsfsadfasda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FAFGF" hidden="1">#REF!</definedName>
    <definedName name="fafsda" hidden="1">#REF!</definedName>
    <definedName name="fagsrtyrhutra">#REF!</definedName>
    <definedName name="FAM">#REF!</definedName>
    <definedName name="Família">#REF!</definedName>
    <definedName name="FAMILIA2">#REF!</definedName>
    <definedName name="FAMS">#REF!</definedName>
    <definedName name="FARRES">#REF!</definedName>
    <definedName name="FASADM">#REF!</definedName>
    <definedName name="FASCOML">#REF!</definedName>
    <definedName name="fasfa" hidden="1">{"'Sheet1'!$L$16"}</definedName>
    <definedName name="fasfaF" hidden="1">{#N/A,#N/A,FALSE,"4"}</definedName>
    <definedName name="fasfaga" hidden="1">{"'Sheet1'!$L$16"}</definedName>
    <definedName name="fasfgaFaf" hidden="1">{#N/A,#N/A,FALSE,"8"}</definedName>
    <definedName name="FASGGF">#REF!</definedName>
    <definedName name="Fashion">#REF!</definedName>
    <definedName name="FashionFashion_Others">#REF!</definedName>
    <definedName name="fasldkjfs" hidden="1">{#N/A,#N/A,FALSE,"ACQ_GRAPHS";#N/A,#N/A,FALSE,"T_1 GRAPHS";#N/A,#N/A,FALSE,"T_2 GRAPHS";#N/A,#N/A,FALSE,"COMB_GRAPHS"}</definedName>
    <definedName name="Fat_1">#REF!</definedName>
    <definedName name="Fat_não_Inflacionado">#REF!</definedName>
    <definedName name="Faturam">#REF!</definedName>
    <definedName name="FAVA">#REF!</definedName>
    <definedName name="ＦＢＤＺＦ" hidden="1">#REF!</definedName>
    <definedName name="fbheibhhb" hidden="1">{"'Sheet1'!$L$16"}</definedName>
    <definedName name="fÇ" hidden="1">{"'Sheet1'!$L$16"}</definedName>
    <definedName name="FCode" hidden="1">#REF!</definedName>
    <definedName name="fd" hidden="1">{#VALUE!,#N/A,FALSE,0;#N/A,#N/A,FALSE,0;#N/A,#N/A,FALSE,0;#N/A,#N/A,FALSE,0}</definedName>
    <definedName name="fda">#REF!</definedName>
    <definedName name="fdasfd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d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ED" hidden="1">#REF!</definedName>
    <definedName name="fdf" hidden="1">{#N/A,#N/A,FALSE,"CCTV"}</definedName>
    <definedName name="fdfdf" hidden="1">#REF!</definedName>
    <definedName name="fdfdsd" hidden="1">{#N/A,#N/A,FALSE,"sum";#N/A,#N/A,FALSE,"MARTV";#N/A,#N/A,FALSE,"APRTV"}</definedName>
    <definedName name="FDFDSF" hidden="1">{#N/A,#N/A,TRUE,"SUM";#N/A,#N/A,TRUE,"EE";#N/A,#N/A,TRUE,"AC";#N/A,#N/A,TRUE,"SN"}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f" hidden="1">{#N/A,#N/A,FALSE,"Chi tiÆt"}</definedName>
    <definedName name="fdg" hidden="1">{"'Sheet1'!$L$16"}</definedName>
    <definedName name="fdgdfgdg" hidden="1">{#N/A,#N/A,TRUE,"일정"}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" hidden="1">{"'Sheet1'!$L$16"}</definedName>
    <definedName name="fdgfg" hidden="1">{"'Sheet1'!$L$16"}</definedName>
    <definedName name="fdgfgjghhk" hidden="1">#REF!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đhbfbd" hidden="1">{#N/A,#N/A,FALSE,"Chi tiÆt"}</definedName>
    <definedName name="fdhfhfjncv" hidden="1">{#N/A,#N/A,TRUE,"일정"}</definedName>
    <definedName name="fđhh" hidden="1">{"'Sheet1'!$L$16"}</definedName>
    <definedName name="FDJGDFHJ" hidden="1">{#N/A,#N/A,FALSE,"단축1";#N/A,#N/A,FALSE,"단축2";#N/A,#N/A,FALSE,"단축3";#N/A,#N/A,FALSE,"장축";#N/A,#N/A,FALSE,"4WD"}</definedName>
    <definedName name="F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RGraph_Show">#REF!</definedName>
    <definedName name="FDSA" hidden="1">{#N/A,#N/A,TRUE,"일정"}</definedName>
    <definedName name="fdsf">#N/A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đs" hidden="1">#REF!</definedName>
    <definedName name="fdsff" hidden="1">{"'Sheet1'!$L$16"}</definedName>
    <definedName name="fdsfsdfd" hidden="1">{"'Sheet1'!$L$16"}</definedName>
    <definedName name="FDSG" hidden="1">{#N/A,#N/A,FALSE,"Sheet1"}</definedName>
    <definedName name="fefgreter" hidden="1">{"年販売台数計画",#N/A,FALSE,"販売台数計画";"月販売台数計画",#N/A,FALSE,"販売台数計画"}</definedName>
    <definedName name="fefrefewfe" hidden="1">#REF!</definedName>
    <definedName name="feineer" hidden="1">{"fleisch",#N/A,FALSE,"WG HK";"food",#N/A,FALSE,"WG HK";"hartwaren",#N/A,FALSE,"WG HK";"weichwaren",#N/A,FALSE,"WG HK"}</definedName>
    <definedName name="FER" hidden="1">{"REVISED",#N/A,FALSE,"Sheet1"}</definedName>
    <definedName name="FERIASPG">#REF!</definedName>
    <definedName name="fERWtr" hidden="1">{#N/A,#N/A,FALSE,"9"}</definedName>
    <definedName name="ferytrfhb" hidden="1">{"TAG1AGMS",#N/A,FALSE,"TAG 1A"}</definedName>
    <definedName name="ff" hidden="1">#REF!</definedName>
    <definedName name="ＦＦ" hidden="1">#REF!</definedName>
    <definedName name="ff_mot">#REF!</definedName>
    <definedName name="ffas" hidden="1">{"'Sheet1'!$L$16"}</definedName>
    <definedName name="ffdffd" hidden="1">{"'Sheet1'!$L$16"}</definedName>
    <definedName name="fff" hidden="1">{"'Sheet1'!$L$16"}</definedName>
    <definedName name="ffff" hidden="1">{#VALUE!,#N/A,FALSE,0;#N/A,#N/A,FALSE,0;#N/A,#N/A,FALSE,0;#N/A,#N/A,FALSE,0}</definedName>
    <definedName name="ffffaseee">#REF!</definedName>
    <definedName name="ffffd" hidden="1">{#N/A,#N/A,TRUE,"SUM";#N/A,#N/A,TRUE,"EE";#N/A,#N/A,TRUE,"AC";#N/A,#N/A,TRUE,"SN"}</definedName>
    <definedName name="FFFFF" hidden="1">{#VALUE!,#N/A,FALSE,0;#N/A,#N/A,FALSE,0;#N/A,#N/A,FALSE,0;#N/A,#N/A,FALSE,0}</definedName>
    <definedName name="ffffff">#REF!</definedName>
    <definedName name="ＦＦＦＦＦＦ" hidden="1">#REF!</definedName>
    <definedName name="fffffff" hidden="1">{#N/A,#N/A,FALSE,"자재관리";#N/A,#N/A,FALSE,"자재관리";#N/A,#N/A,FALSE,"자재관리"}</definedName>
    <definedName name="ffffff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FFF" hidden="1">{#N/A,#N/A,TRUE,"일정"}</definedName>
    <definedName name="fffffffffffff" hidden="1">{"'Sheet1'!$L$16"}</definedName>
    <definedName name="ffffffffffffff" hidden="1">{"'Sheet1'!$L$16"}</definedName>
    <definedName name="fffffffffffffff" hidden="1">{"'Sheet1'!$L$16"}</definedName>
    <definedName name="ＦＦＦＦＲＲ" hidden="1">#REF!</definedName>
    <definedName name="fffgfg" hidden="1">{#N/A,#N/A,FALSE,"단축1";#N/A,#N/A,FALSE,"단축2";#N/A,#N/A,FALSE,"단축3";#N/A,#N/A,FALSE,"장축";#N/A,#N/A,FALSE,"4WD"}</definedName>
    <definedName name="ＦＦＦＧＦＧ" hidden="1">#REF!</definedName>
    <definedName name="fgaergrea" hidden="1">#REF!</definedName>
    <definedName name="fgd" hidden="1">{"'Sheet1'!$L$16"}</definedName>
    <definedName name="fgdf" hidden="1">{"'Sheet1'!$L$16"}</definedName>
    <definedName name="fgdfgsd" hidden="1">#REF!</definedName>
    <definedName name="fgefgef">{"qchm_dcf",#N/A,FALSE,"QCHMDCF2";"qchm_terminal",#N/A,FALSE,"QCHMDCF2"}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FGFGFFG" hidden="1">#REF!</definedName>
    <definedName name="fgfgf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fgfgfhh" hidden="1">{"'Sheet1'!$L$16"}</definedName>
    <definedName name="fgfh" hidden="1">#REF!</definedName>
    <definedName name="FGGHJ" hidden="1">{#N/A,#N/A,FALSE,"CCTV"}</definedName>
    <definedName name="FGH" hidden="1">{#N/A,#N/A,FALSE,"단축1";#N/A,#N/A,FALSE,"단축2";#N/A,#N/A,FALSE,"단축3";#N/A,#N/A,FALSE,"장축";#N/A,#N/A,FALSE,"4WD"}</definedName>
    <definedName name="ＦＧＨ" hidden="1">#REF!</definedName>
    <definedName name="fghbys" hidden="1">#REF!</definedName>
    <definedName name="fghf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hjk" hidden="1">#REF!</definedName>
    <definedName name="fgjj" hidden="1">{"'Sheet1'!$L$16"}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n" hidden="1">{"'Sheet1'!$L$16"}</definedName>
    <definedName name="fgn_1" hidden="1">{"'Sheet1'!$L$16"}</definedName>
    <definedName name="fgn_1_1" hidden="1">{"'Sheet1'!$L$16"}</definedName>
    <definedName name="fgn_1_1_1" hidden="1">{"'Sheet1'!$L$16"}</definedName>
    <definedName name="fgn_1_2" hidden="1">{"'Sheet1'!$L$16"}</definedName>
    <definedName name="fgn_1_2_1" hidden="1">{"'Sheet1'!$L$16"}</definedName>
    <definedName name="fgn_1_3" hidden="1">{"'Sheet1'!$L$16"}</definedName>
    <definedName name="fgn_1_3_1" hidden="1">{"'Sheet1'!$L$16"}</definedName>
    <definedName name="fgn_1_4" hidden="1">{"'Sheet1'!$L$16"}</definedName>
    <definedName name="fgn_1_4_1" hidden="1">{"'Sheet1'!$L$16"}</definedName>
    <definedName name="fgn_1_5" hidden="1">{"'Sheet1'!$L$16"}</definedName>
    <definedName name="fgn_2" hidden="1">{"'Sheet1'!$L$16"}</definedName>
    <definedName name="fgn_2_1" hidden="1">{"'Sheet1'!$L$16"}</definedName>
    <definedName name="fgn_3" hidden="1">{"'Sheet1'!$L$16"}</definedName>
    <definedName name="fgn_3_1" hidden="1">{"'Sheet1'!$L$16"}</definedName>
    <definedName name="fgn_4" hidden="1">{"'Sheet1'!$L$16"}</definedName>
    <definedName name="fgn_4_1" hidden="1">{"'Sheet1'!$L$16"}</definedName>
    <definedName name="fgn_5" hidden="1">{"'Sheet1'!$L$16"}</definedName>
    <definedName name="fgsegsgsgsdgsdgsgsg" hidden="1">{"'Sheet1'!$L$16"}</definedName>
    <definedName name="FGTSPG">#REF!</definedName>
    <definedName name="fgzdf" hidden="1">{"'Sheet1'!$L$16"}</definedName>
    <definedName name="fh" hidden="1">#REF!</definedName>
    <definedName name="fhrghgrd">{"DCF1",#N/A,FALSE,"SIERRA DCF";"MATRIX1",#N/A,FALSE,"SIERRA DCF"}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htu" hidden="1">#REF!</definedName>
    <definedName name="file" hidden="1">{"REVISED",#N/A,FALSE,"Sheet1"}</definedName>
    <definedName name="fill" hidden="1">#REF!</definedName>
    <definedName name="FILLL" hidden="1">#REF!</definedName>
    <definedName name="FIN_Approval">OFFSET(#REF!,0,0,COUNTA(#REF!)-1,1)</definedName>
    <definedName name="Finame_And">#REF!</definedName>
    <definedName name="Finame_Projeção">#REF!</definedName>
    <definedName name="financ">#REF!</definedName>
    <definedName name="Financ_Contas">#REF!</definedName>
    <definedName name="Finance" hidden="1">{#N/A,#N/A,FALSE,"Cover";#N/A,#N/A,FALSE,"Profits";#N/A,#N/A,FALSE,"ABS";#N/A,#N/A,FALSE,"TFLE Detail";#N/A,#N/A,FALSE,"TFLE Walk";#N/A,#N/A,FALSE,"Variable Cost";#N/A,#N/A,FALSE,"V.C. Walk"}</definedName>
    <definedName name="Finance_Essentials">#REF!</definedName>
    <definedName name="fincance" hidden="1">{#N/A,#N/A,FALSE,"Assumptions";#N/A,#N/A,FALSE,"Volumes";#N/A,#N/A,FALSE,"Pricing";#N/A,#N/A,FALSE,"Variable Cost";#N/A,#N/A,FALSE,"Investment";#N/A,#N/A,FALSE,"Profitability";#N/A,#N/A,FALSE,"Business Comparison"}</definedName>
    <definedName name="Findings">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ne">#REF!</definedName>
    <definedName name="First">#REF!</definedName>
    <definedName name="First_Name">#REF!</definedName>
    <definedName name="FirstPlotDate" hidden="1">#REF!</definedName>
    <definedName name="Fixedoverhea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whf" hidden="1">{#N/A,#N/A,FALSE,"Profit Status";#N/A,#N/A,FALSE,"Invest";#N/A,#N/A,FALSE,"Revenue";#N/A,#N/A,FALSE,"Variable Cost";#N/A,#N/A,FALSE,"Options &amp; Series"}</definedName>
    <definedName name="fkfj">#REF!</definedName>
    <definedName name="fkgjk" hidden="1">{"'Sheet1'!$L$16"}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INTPULL">#REF!</definedName>
    <definedName name="FLINTRET">#REF!</definedName>
    <definedName name="FMEA" hidden="1">{#N/A,#N/A,FALSE,"단축1";#N/A,#N/A,FALSE,"단축2";#N/A,#N/A,FALSE,"단축3";#N/A,#N/A,FALSE,"장축";#N/A,#N/A,FALSE,"4WD"}</definedName>
    <definedName name="FMEA_comments">#REF!</definedName>
    <definedName name="FMEA_objective">#REF!</definedName>
    <definedName name="FMEA_scope">#REF!</definedName>
    <definedName name="FMEA_status">#REF!</definedName>
    <definedName name="FMEA_type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MGraph_Show">#REF!</definedName>
    <definedName name="fml_CDKT_NN_DcCo" hidden="1">#N/A</definedName>
    <definedName name="fml_CDKT_NN_DcNo" hidden="1">#N/A</definedName>
    <definedName name="fml_CDKT_NT_DcCo" hidden="1">#N/A</definedName>
    <definedName name="fml_CDKT_NT_DcNo" hidden="1">#N/A</definedName>
    <definedName name="fml_ChuoiDK" hidden="1">IF(ISERROR(FIND("*",#REF!&amp;"-"&amp;#REF!)),#REF!&amp;"-"&amp;#REF!,REPLACE(#REF!&amp;"-"&amp;#REF!,FIND("*",#REF!&amp;"-"&amp;#REF!),1,""))</definedName>
    <definedName name="fml_DoRongCT" hidden="1">#N/A</definedName>
    <definedName name="fml_KQKD_NN_DcCo" hidden="1">#N/A</definedName>
    <definedName name="fml_KQKD_NN_DcNo" hidden="1">#N/A</definedName>
    <definedName name="fml_KQKD_NT_DcCo" hidden="1">#N/A</definedName>
    <definedName name="fml_KQKD_NT_DcNo" hidden="1">#N/A</definedName>
    <definedName name="fml_LCTT_KT" hidden="1">#N/A</definedName>
    <definedName name="fml_LCTT_NN_DcCo" hidden="1">#N/A</definedName>
    <definedName name="fml_LCTT_NN_DcNo" hidden="1">#N/A</definedName>
    <definedName name="fml_LCTT_NT_DcCo" hidden="1">#N/A</definedName>
    <definedName name="fml_LCTT_NT_DcNo" hidden="1">#N/A</definedName>
    <definedName name="fml_TMChiTieu_CDKT_VungDk" hidden="1">#N/A</definedName>
    <definedName name="fml_TMChiTieu_CDKT_VungDkDB" hidden="1">#N/A</definedName>
    <definedName name="fml2_LCGT_KN" hidden="1">#N/A</definedName>
    <definedName name="fml2_LCTT_KN" hidden="1">#N/A</definedName>
    <definedName name="FMTYP">"*STD"</definedName>
    <definedName name="fndngjgkhgkgkghggkhgkh" hidden="1">{"'Sheet1'!$L$16"}</definedName>
    <definedName name="folderAVL">#REF!</definedName>
    <definedName name="folderVF">#REF!</definedName>
    <definedName name="Fom">#N/A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R" hidden="1">{#N/A,#N/A,FALSE,"CCTV"}</definedName>
    <definedName name="For_Notes">#N/A</definedName>
    <definedName name="Forecast">#REF!</definedName>
    <definedName name="forecast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mat">#REF!</definedName>
    <definedName name="FORNEC">#REF!</definedName>
    <definedName name="FORNINT">#REF!</definedName>
    <definedName name="FPENSÃO">#REF!</definedName>
    <definedName name="FQWERWE" hidden="1">#REF!</definedName>
    <definedName name="FR">#REF!</definedName>
    <definedName name="FRAMELEVELLIST">#REF!</definedName>
    <definedName name="Fraud">#REF!</definedName>
    <definedName name="Fraud1">#REF!</definedName>
    <definedName name="frct">#REF!</definedName>
    <definedName name="Frequency">#REF!</definedName>
    <definedName name="FRETEEXPPG">#REF!</definedName>
    <definedName name="frgthytui" hidden="1">{#N/A,#N/A,FALSE,"Sensitivity"}</definedName>
    <definedName name="frmotor" hidden="1">{#N/A,#N/A,FALSE,"단축1";#N/A,#N/A,FALSE,"단축2";#N/A,#N/A,FALSE,"단축3";#N/A,#N/A,FALSE,"장축";#N/A,#N/A,FALSE,"4WD"}</definedName>
    <definedName name="frog" hidden="1">{#N/A,#N/A,FALSE,"Plant Tot. Record";#N/A,#N/A,FALSE,"BT Tot. Record";#N/A,#N/A,FALSE,"Plant Lost Days";#N/A,#N/A,FALSE,"Top 5 Record";#N/A,#N/A,FALSE,"BT Lost Days";#N/A,#N/A,FALSE,"BT Top 5 Lost Days"}</definedName>
    <definedName name="FRONT" hidden="1">{#N/A,#N/A,FALSE,"단축1";#N/A,#N/A,FALSE,"단축2";#N/A,#N/A,FALSE,"단축3";#N/A,#N/A,FALSE,"장축";#N/A,#N/A,FALSE,"4WD"}</definedName>
    <definedName name="ＦＲＲＲＲＲ" hidden="1">#REF!</definedName>
    <definedName name="frsusp01">#REF!</definedName>
    <definedName name="fs" hidden="1">{#N/A,#N/A,FALSE,"9"}</definedName>
    <definedName name="FSDAFSDG" hidden="1">#REF!</definedName>
    <definedName name="fsdf" hidden="1">#REF!</definedName>
    <definedName name="fsdfdfa">{"page1",#N/A,FALSE,"BHCOMPC5";"page2",#N/A,FALSE,"BHCOMPC5";"page3",#N/A,FALSE,"BHCOMPC5";"page4",#N/A,FALSE,"BHCOMPC5"}</definedName>
    <definedName name="fsdfdsf" hidden="1">{"'Sheet1'!$L$16"}</definedName>
    <definedName name="fsdfghgs">#REF!</definedName>
    <definedName name="fsdfgsdrtse">#REF!</definedName>
    <definedName name="FSDFSDF" hidden="1">{#N/A,#N/A,TRUE,"SUM";#N/A,#N/A,TRUE,"EE";#N/A,#N/A,TRUE,"AC";#N/A,#N/A,TRUE,"SN"}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gfgsfgus" hidden="1">{"tenancy detail",#N/A,FALSE,"Tenancies";"years1_2",#N/A,FALSE,"Tenancies";"years3_4",#N/A,FALSE,"Tenancies"}</definedName>
    <definedName name="fsghgfjhggkjhkhkhjljhghgnn" hidden="1">{"'Sheet1'!$L$16"}</definedName>
    <definedName name="FTQ">#REF!</definedName>
    <definedName name="ftrjk" hidden="1">{"'Sheet1'!$L$16"}</definedName>
    <definedName name="FTWAYPULL">#REF!</definedName>
    <definedName name="FTWAYRET">#REF!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FUCK" hidden="1">#REF!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ßzeile_links">#REF!</definedName>
    <definedName name="Fußzeile_mitte">#REF!</definedName>
    <definedName name="ＦＶＦＶＶＶ" hidden="1">#REF!</definedName>
    <definedName name="ＦＶＶＶＶ" hidden="1">#REF!</definedName>
    <definedName name="fw" hidden="1">#REF!</definedName>
    <definedName name="fwef" hidden="1">#REF!</definedName>
    <definedName name="fx">#REF!</definedName>
    <definedName name="FX_DEC17">22735</definedName>
    <definedName name="fx_n">23540</definedName>
    <definedName name="Fx_Nov">22755</definedName>
    <definedName name="FX_Oct">22745</definedName>
    <definedName name="FX_SEP17">22760</definedName>
    <definedName name="fxd" hidden="1">{"COMPARISON",#N/A,FALSE,"Sheet1"}</definedName>
    <definedName name="Fxnew">22300</definedName>
    <definedName name="Fxold">21800</definedName>
    <definedName name="FXUSDVND">23600</definedName>
    <definedName name="FY">1999</definedName>
    <definedName name="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Ｇ" hidden="1">#REF!</definedName>
    <definedName name="ga" hidden="1">{"'Sheet1'!$L$16"}</definedName>
    <definedName name="gab" hidden="1">{"'Sheet1'!$L$16"}</definedName>
    <definedName name="gad">#REF!</definedName>
    <definedName name="GARAN">#REF!</definedName>
    <definedName name="GARANTIA">#REF!</definedName>
    <definedName name="GARCIA">#REF!</definedName>
    <definedName name="gbb" hidden="1">{"'Sheet1'!$L$16"}</definedName>
    <definedName name="gc">#REF!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" hidden="1">{#N/A,#N/A,FALSE,"Assumptions";#N/A,#N/A,FALSE,"Volumes";#N/A,#N/A,FALSE,"Pricing";#N/A,#N/A,FALSE,"Variable Cost";#N/A,#N/A,FALSE,"Investment";#N/A,#N/A,FALSE,"Profitability";#N/A,#N/A,FALSE,"Business Comparison"}</definedName>
    <definedName name="gdafgda" hidden="1">#REF!</definedName>
    <definedName name="gdfa">{1,2,3,4,5,6,7}</definedName>
    <definedName name="gdfg" hidden="1">{"'Sheet1'!$L$16"}</definedName>
    <definedName name="ＧＤＦＧＤＦ" hidden="1">#REF!</definedName>
    <definedName name="gdfgdfgdf" hidden="1">{"'Sheet1'!$L$16"}</definedName>
    <definedName name="GDFGDFGFDGDFGD" hidden="1">#REF!</definedName>
    <definedName name="GDFGFDGGF" hidden="1">#REF!</definedName>
    <definedName name="GDFGFGFGFGG" hidden="1">#REF!</definedName>
    <definedName name="gdfgfjgjghkghkghkhgkhghgk" hidden="1">{"'Sheet1'!$L$16"}</definedName>
    <definedName name="ＧＤＦＴＧＦ" hidden="1">#REF!</definedName>
    <definedName name="GDGDFG" hidden="1">#REF!</definedName>
    <definedName name="gdhgh" hidden="1">{"'Sheet1'!$L$16"}</definedName>
    <definedName name="gdmhgdmhg" hidden="1">{#N/A,#N/A,TRUE,"일정"}</definedName>
    <definedName name="ＧＤＴＧＦ" hidden="1">#REF!</definedName>
    <definedName name="ge" hidden="1">{"'Sheet1'!$L$16"}</definedName>
    <definedName name="GEFGDTERTEYEHFH" hidden="1">#REF!</definedName>
    <definedName name="gegE" hidden="1">#REF!</definedName>
    <definedName name="gehe" hidden="1">{"Tages_D",#N/A,FALSE,"Tagesbericht";"Tages_PL",#N/A,FALSE,"Tagesbericht"}</definedName>
    <definedName name="GEN_KIN">#REF!</definedName>
    <definedName name="GENERAL">#N/A</definedName>
    <definedName name="GENSEN">#REF!</definedName>
    <definedName name="GenthermPC_data">#REF!</definedName>
    <definedName name="GenthermPC_header">#REF!</definedName>
    <definedName name="ges_invest">#REF!</definedName>
    <definedName name="ges_marge2">#REF!</definedName>
    <definedName name="get_LCTT_KN" hidden="1">#N/A</definedName>
    <definedName name="gewg" hidden="1">{#N/A,#N/A,FALSE,"CCTV"}</definedName>
    <definedName name="GF">#REF!</definedName>
    <definedName name="GFD" hidden="1">{#N/A,#N/A,TRUE,"일정"}</definedName>
    <definedName name="gfdg" hidden="1">{"'Sheet1'!$L$16"}</definedName>
    <definedName name="gfdgfdgdfg" hidden="1">{"'2공장'!$A$1:$H$216"}</definedName>
    <definedName name="gfdsged" hidden="1">{"REVISED",#N/A,FALSE,"Sheet1"}</definedName>
    <definedName name="GFF" hidden="1">#REF!</definedName>
    <definedName name="gfg" hidden="1">{"'Sheet1'!$L$16"}</definedName>
    <definedName name="gfgdfg" hidden="1">#REF!</definedName>
    <definedName name="gfgf" hidden="1">{#N/A,#N/A,FALSE,"MONTHDET";#N/A,#N/A,FALSE,"ACTUAL"}</definedName>
    <definedName name="gfgfdgdfg" hidden="1">{"'Sheet1'!$L$16"}</definedName>
    <definedName name="gfgfgfg" hidden="1">{#N/A,#N/A,FALSE,"Chi tiÆt"}</definedName>
    <definedName name="gf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JG" hidden="1">{#N/A,#N/A,FALSE,"단축1";#N/A,#N/A,FALSE,"단축2";#N/A,#N/A,FALSE,"단축3";#N/A,#N/A,FALSE,"장축";#N/A,#N/A,FALSE,"4WD"}</definedName>
    <definedName name="gfjgjfnfh" hidden="1">{"F3 Presentation",#N/A,FALSE,"F3 ";"F3 detail",#N/A,FALSE,"F3 "}</definedName>
    <definedName name="GFJHJ" hidden="1">{"'Sheet1'!$L$16"}</definedName>
    <definedName name="gfsd" hidden="1">{#N/A,#N/A,TRUE,"일정"}</definedName>
    <definedName name="gfsfdg" hidden="1">{"'Sheet1'!$L$16"}</definedName>
    <definedName name="gg" hidden="1">{#N/A,#N/A,TRUE,"일정"}</definedName>
    <definedName name="ＧＧ" hidden="1">#REF!</definedName>
    <definedName name="GG_scorta_2003">#REF!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DS" hidden="1">#REF!</definedName>
    <definedName name="ggegewg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GGF">#REF!</definedName>
    <definedName name="GGFFAS">#REF!</definedName>
    <definedName name="ggg" hidden="1">{#VALUE!,#N/A,FALSE,0;#N/A,#N/A,FALSE,0;#N/A,#N/A,FALSE,0;#N/A,#N/A,FALSE,0}</definedName>
    <definedName name="gggg" hidden="1">{"'Sheet1'!$L$16"}</definedName>
    <definedName name="GGGGG" hidden="1">{#N/A,#N/A,TRUE,"SUM";#N/A,#N/A,TRUE,"EE";#N/A,#N/A,TRUE,"AC";#N/A,#N/A,TRUE,"SN"}</definedName>
    <definedName name="GGGGGG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ggggggggg">#N/A</definedName>
    <definedName name="gghfh" hidden="1">{"'Sheet1'!$L$16"}</definedName>
    <definedName name="ggjkDJGETRW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sf" hidden="1">#REF!</definedName>
    <definedName name="ggt" hidden="1">{"RUN3A",#N/A,FALSE,"BS-exist";"RUN3A","GROWTH RATE 8-5-7",FALSE,"IS-exist";"RUN3A","3rdRun without EquityInfusion;Sale of land(50-50)",FALSE,"CF-exist"}</definedName>
    <definedName name="gh" hidden="1">{"'Sheet1'!$L$16"}</definedName>
    <definedName name="GHDF" hidden="1">{"'Sheet1'!$L$16"}</definedName>
    <definedName name="GHDFH">#REF!</definedName>
    <definedName name="ghdghs" hidden="1">{#N/A,#N/A,FALSE,"sum";#N/A,#N/A,FALSE,"MARTV";#N/A,#N/A,FALSE,"APRTV"}</definedName>
    <definedName name="ghdmkhdcg" hidden="1">#REF!</definedName>
    <definedName name="ghg" hidden="1">{"'Sheet1'!$L$16"}</definedName>
    <definedName name="ＧＨＧ" hidden="1">#REF!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gh" hidden="1">{"'Sheet1'!$L$16"}</definedName>
    <definedName name="ghhfdhg" hidden="1">{"Fcst II",#N/A,FALSE,"(1)-PROFIT SUM.";"Risk_Adj._Fcst.",#N/A,FALSE,"(2)-Risk Adj. Fcst.";"Fcst._to_Budget",#N/A,FALSE,"(3)-Fcst. to Bdgt.";"Yr._O_Yr",#N/A,FALSE,"(4)-Yr.-O-Yr."}</definedName>
    <definedName name="ghhh" hidden="1">{"'Sheet1'!$L$16"}</definedName>
    <definedName name="ghhhh" hidden="1">{#N/A,#N/A,FALSE,"단축1";#N/A,#N/A,FALSE,"단축2";#N/A,#N/A,FALSE,"단축3";#N/A,#N/A,FALSE,"장축";#N/A,#N/A,FALSE,"4WD"}</definedName>
    <definedName name="GHHHS" hidden="1">{"'Sheet1'!$L$16"}</definedName>
    <definedName name="GHI">#REF!</definedName>
    <definedName name="ghj" hidden="1">{#N/A,#N/A,FALSE,"Chi tiÆt"}</definedName>
    <definedName name="ghjhgj" hidden="1">{"'Sheet1'!$L$16"}</definedName>
    <definedName name="G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rehtrjytkyktrkteje" hidden="1">{"'Sheet1'!$L$16"}</definedName>
    <definedName name="ghxfg" hidden="1">#REF!</definedName>
    <definedName name="gi" hidden="1">#REF!</definedName>
    <definedName name="gÎ" hidden="1">#REF!</definedName>
    <definedName name="giacenze_materiali_P_e_K">#REF!</definedName>
    <definedName name="GIAIDOAN">#REF!</definedName>
    <definedName name="GiaiDoan51">#REF!</definedName>
    <definedName name="GIRO">#REF!</definedName>
    <definedName name="GIROLP">#REF!</definedName>
    <definedName name="GIROT">#REF!</definedName>
    <definedName name="giving_recieving_feedback">#REF!</definedName>
    <definedName name="gj">#REF!</definedName>
    <definedName name="gjgh" hidden="1">{"'Sheet1'!$L$16"}</definedName>
    <definedName name="gjh" hidden="1">{"'Sheet1'!$L$16"}</definedName>
    <definedName name="gjhg" hidden="1">{"'Sheet1'!$L$16"}</definedName>
    <definedName name="GJHHGJ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gjhhn" hidden="1">{"'Sheet1'!$L$16"}</definedName>
    <definedName name="gjjutyerw">#REF!</definedName>
    <definedName name="GJKGJK" hidden="1">{#N/A,#N/A,FALSE,"단축1";#N/A,#N/A,FALSE,"단축2";#N/A,#N/A,FALSE,"단축3";#N/A,#N/A,FALSE,"장축";#N/A,#N/A,FALSE,"4WD"}</definedName>
    <definedName name="gjkj" hidden="1">{"'Sheet1'!$L$16"}</definedName>
    <definedName name="gjrđjsjs" hidden="1">{"'Sheet1'!$L$16"}</definedName>
    <definedName name="gjsjhsijhsjhljlhkjfdklhjfldknbsndbjndslbnadgshis" hidden="1">{"'Sheet1'!$L$16"}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dfgjldg" hidden="1">{#N/A,#N/A,FALSE,"신규dep";#N/A,#N/A,FALSE,"신규dep-금형상각후";#N/A,#N/A,FALSE,"신규dep-연구비상각후";#N/A,#N/A,FALSE,"신규dep-기계,공구상각후"}</definedName>
    <definedName name="GKH" hidden="1">{#N/A,#N/A,FALSE,"Chi tiÆt"}</definedName>
    <definedName name="gl">#REF!</definedName>
    <definedName name="GLA">#REF!</definedName>
    <definedName name="GLB">#REF!</definedName>
    <definedName name="GLGARANTIA">#REF!</definedName>
    <definedName name="glhlhl" hidden="1">{"'Sheet1'!$L$16"}</definedName>
    <definedName name="glllhlh" hidden="1">{"'Sheet1'!$L$16"}</definedName>
    <definedName name="GLMAT">#REF!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OTAL" hidden="1">#REF!</definedName>
    <definedName name="gls_PERIOD_TYPE" hidden="1">#REF!</definedName>
    <definedName name="gls_PrincipalStockClass" hidden="1">#REF!</definedName>
    <definedName name="gls_Recommendations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REQ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">#REF!</definedName>
    <definedName name="gma">#REF!</definedName>
    <definedName name="GME">#REF!</definedName>
    <definedName name="gmfy">#REF!</definedName>
    <definedName name="GMI">#REF!</definedName>
    <definedName name="GNFKD" hidden="1">{#N/A,#N/A,TRUE,"SUM";#N/A,#N/A,TRUE,"EE";#N/A,#N/A,TRUE,"AC";#N/A,#N/A,TRUE,"SN"}</definedName>
    <definedName name="GoalBreakdown" hidden="1">{#N/A,#N/A,FALSE,"Plant Tot. Record";#N/A,#N/A,FALSE,"BT Tot. Record";#N/A,#N/A,FALSE,"Plant Lost Days";#N/A,#N/A,FALSE,"Top 5 Record";#N/A,#N/A,FALSE,"BT Lost Days";#N/A,#N/A,FALSE,"BT Top 5 Lost Days"}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r_1">#REF!</definedName>
    <definedName name="Gr_2">#REF!</definedName>
    <definedName name="Gr_4">#REF!</definedName>
    <definedName name="Gr_5">#REF!</definedName>
    <definedName name="Gr_6">#REF!</definedName>
    <definedName name="Gr_7">#REF!</definedName>
    <definedName name="Gr1_chem">#REF!</definedName>
    <definedName name="Gr2_Chem">#REF!</definedName>
    <definedName name="Gr3_Chem">#REF!</definedName>
    <definedName name="Grade">#REF!</definedName>
    <definedName name="Gráfico">[0]!Gráfico</definedName>
    <definedName name="Grand_Total">#REF!</definedName>
    <definedName name="grap_b" hidden="1">#REF!</definedName>
    <definedName name="graph" hidden="1">{"monthly",#N/A,FALSE,"GASODEM";"qtr to yr",#N/A,FALSE,"GASODEM"}</definedName>
    <definedName name="Graph_data">#N/A</definedName>
    <definedName name="GraphPage" hidden="1">#REF!</definedName>
    <definedName name="GREG4E" hidden="1">{"'Sheet1'!$L$16"}</definedName>
    <definedName name="grew" hidden="1">#REF!</definedName>
    <definedName name="gr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idlines" hidden="1">#REF!</definedName>
    <definedName name="gro" hidden="1">{"RUN2",#N/A,FALSE,"BS-exist";"RUN2","GROWTH RATE 8-5-7",FALSE,"IS-exist";"RUN2","2ndRun without Equity Infusion",FALSE,"CF-exist"}</definedName>
    <definedName name="group">#REF!</definedName>
    <definedName name="Group_11053">"DATE_11053,WEEKS_11053"</definedName>
    <definedName name="Group_11249">"Freeform 2,TextBox 28,DATE_10853,WEEKS_10853"</definedName>
    <definedName name="GROUP_11571">"DATE_11571,Bar_11571,SW_11571"</definedName>
    <definedName name="Group_AAAAA">"Freeform 1449,Rectangle 1061,WEEKS_10160,Rectangle 1063,DATE_10160"</definedName>
    <definedName name="group_why">"Freeform 2,TextBox 28,DATE_10853,WEEKS_10853"</definedName>
    <definedName name="GROUPCELL">#REF!</definedName>
    <definedName name="GROUPSELECT">OFFSET(INDIRECT(ADDRESS(MATCH(GROUPCELL,GROUPTEMPLIST,0)+2,2,,,"TEAM")),0,0,COUNTIF(GROUPTEMPLIST,GROUPCELL),1)</definedName>
    <definedName name="GROUPTEMPLIST">#REF!</definedName>
    <definedName name="GRP_11053">"DATE_11053,WEEKS_11053,Group 132"</definedName>
    <definedName name="gs">#REF!</definedName>
    <definedName name="GSDGDS" hidden="1">#REF!</definedName>
    <definedName name="GSDGDSGDSGDS" hidden="1">#REF!</definedName>
    <definedName name="GSDGDSGSD" hidden="1">#REF!</definedName>
    <definedName name="GSDGDSXZASRE" hidden="1">#REF!</definedName>
    <definedName name="GSDGSD" hidden="1">#REF!</definedName>
    <definedName name="GSDGSDG" hidden="1">#REF!</definedName>
    <definedName name="GSDGSDGSDg" hidden="1">#REF!</definedName>
    <definedName name="gsfgsd" hidden="1">{"'Sheet1'!$L$16"}</definedName>
    <definedName name="GSGSD" hidden="1">#REF!</definedName>
    <definedName name="GSWK1">#REF!</definedName>
    <definedName name="GSWK2">#REF!</definedName>
    <definedName name="GSWK3">#REF!</definedName>
    <definedName name="GSWK4">#REF!</definedName>
    <definedName name="GSWK5">#REF!</definedName>
    <definedName name="GSWKTotal">#REF!</definedName>
    <definedName name="gteyhưez" hidden="1">{"'Sheet1'!$L$16"}</definedName>
    <definedName name="GTIN">OFFSET(#REF!,0,0,COUNTA(#REF!),COUNTA(#REF!))</definedName>
    <definedName name="GTM" hidden="1">{"'Sheet1'!$L$16"}</definedName>
    <definedName name="GTOTAL" hidden="1">{"'Sheet1'!$L$16"}</definedName>
    <definedName name="gui">#REF!</definedName>
    <definedName name="gvdasskv" hidden="1">{#N/A,#N/A,TRUE,"일정"}</definedName>
    <definedName name="gwf" hidden="1">{#N/A,#N/A,FALSE,"Chi tiÆt"}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Ｈ" hidden="1">#REF!</definedName>
    <definedName name="h_1" hidden="1">{"'Sheet1'!$L$16"}</definedName>
    <definedName name="h_xoa" hidden="1">{"'Sheet1'!$L$16"}</definedName>
    <definedName name="h_xoa_1" hidden="1">{"'Sheet1'!$L$16"}</definedName>
    <definedName name="h_xoa2" hidden="1">{"'Sheet1'!$L$16"}</definedName>
    <definedName name="h_xoa2_1" hidden="1">{"'Sheet1'!$L$16"}</definedName>
    <definedName name="h_xoa3" hidden="1">{"'Sheet1'!$L$16"}</definedName>
    <definedName name="h43g">#REF!</definedName>
    <definedName name="HA" hidden="1">{"'Sheet1'!$L$16"}</definedName>
    <definedName name="haha" hidden="1">{#N/A,#N/A,FALSE,"India - 3f";#N/A,#N/A,FALSE,"India - 3";#N/A,#N/A,FALSE,"India - 4f";#N/A,#N/A,FALSE,"India - 4";#N/A,#N/A,FALSE,"Retail Spider"}</definedName>
    <definedName name="hai" hidden="1">{"'Sheet1'!$L$16"}</definedName>
    <definedName name="haiacc" hidden="1">{"'Sheet1'!$L$16"}</definedName>
    <definedName name="Haivan" localSheetId="1" hidden="1">Main.SAPF4Help()</definedName>
    <definedName name="Haivan" hidden="1">Main.SAPF4Help()</definedName>
    <definedName name="haiyo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ophaivt" hidden="1">{"'Sheet1'!$L$16"}</definedName>
    <definedName name="happy">[0]!happy</definedName>
    <definedName name="hb" hidden="1">{"'Sheet1'!$L$16"}</definedName>
    <definedName name="hba">#REF!</definedName>
    <definedName name="hbbbbbb" hidden="1">{"'Sheet1'!$L$16"}</definedName>
    <definedName name="hbon">#REF!</definedName>
    <definedName name="hchdsvf" hidden="1">{"'Sheet1'!$L$16"}</definedName>
    <definedName name="HCM">#REF!</definedName>
    <definedName name="HCNA" hidden="1">{"'Sheet1'!$L$16"}</definedName>
    <definedName name="hd" hidden="1">{#N/A,#N/A,FALSE,"M1";#N/A,#N/A,FALSE,"K7";#N/A,#N/A,FALSE,"K6";#N/A,#N/A,FALSE,"K5";#N/A,#N/A,FALSE,"K4";#N/A,#N/A,FALSE,"K3";#N/A,#N/A,FALSE,"K2";#N/A,#N/A,FALSE,"K1"}</definedName>
    <definedName name="HDFHD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dsa57r62ru2q" hidden="1">{"weichwaren",#N/A,FALSE,"Liste 1";"hartwaren",#N/A,FALSE,"Liste 1";"food",#N/A,FALSE,"Liste 1";"fleisch",#N/A,FALSE,"Liste 1"}</definedName>
    <definedName name="HDSFGDFGDGDF" hidden="1">#REF!</definedName>
    <definedName name="he" hidden="1">{"'Sheet1'!$L$16"}</definedName>
    <definedName name="Heä_soá_laép_xaø_H">1.7</definedName>
    <definedName name="Header">#REF!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hidden="1">{"'Sheet1'!$L$16"}</definedName>
    <definedName name="heeeew" hidden="1">{#N/A,#N/A,FALSE,"Chi tiÆt"}</definedName>
    <definedName name="hello" hidden="1">{"'Sheet1'!$L$16"}</definedName>
    <definedName name="her" hidden="1">{"'Sheet1'!$L$16"}</definedName>
    <definedName name="hethongthoatnuocngoainha" hidden="1">#REF!</definedName>
    <definedName name="hevv" hidden="1">{#N/A,#N/A,FALSE,"Chi tiÆt"}</definedName>
    <definedName name="hẻy" hidden="1">{"'Sheet1'!$L$16"}</definedName>
    <definedName name="hfc">#REF!</definedName>
    <definedName name="hfca">#REF!</definedName>
    <definedName name="ＨＦＧＨＧ" hidden="1">#REF!</definedName>
    <definedName name="hfgsdf" hidden="1">{"'Sheet1'!$L$16"}</definedName>
    <definedName name="hfgsdf_1" hidden="1">{"'Sheet1'!$L$16"}</definedName>
    <definedName name="HFJ" hidden="1">{#N/A,#N/A,TRUE,"일정"}</definedName>
    <definedName name="hfjjgjgjg" hidden="1">{"'Sheet1'!$L$16"}</definedName>
    <definedName name="hfjjgjgjg1" hidden="1">{"'Sheet1'!$L$16"}</definedName>
    <definedName name="hg" hidden="1">{"'Sheet1'!$L$16"}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fagl" hidden="1">#REF!</definedName>
    <definedName name="hgffjhgjhgkjkjhkjhk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shg" hidden="1">{#N/A,#N/A,TRUE,"일정"}</definedName>
    <definedName name="hgfxd" hidden="1">{#N/A,#N/A,TRUE,"일정"}</definedName>
    <definedName name="hggg" hidden="1">{"'Sheet1'!$L$16"}</definedName>
    <definedName name="hgh" hidden="1">{"'Sheet1'!$L$16"}</definedName>
    <definedName name="ＨＧＨＧ" hidden="1">#REF!</definedName>
    <definedName name="hghgjghjgj" hidden="1">{"'Sheet1'!$L$16"}</definedName>
    <definedName name="hgj" hidden="1">{"'Sheet1'!$L$16"}</definedName>
    <definedName name="hgjghj" hidden="1">{"'Sheet1'!$L$16"}</definedName>
    <definedName name="hgjhkh" hidden="1">{"'Sheet1'!$L$16"}</definedName>
    <definedName name="hgjsdgslkgslhlshldhgldshgldhglsdhgjsdhg" hidden="1">{"'Sheet1'!$L$16"}</definedName>
    <definedName name="hgre_zdfhgfd" hidden="1">{"'Sheet1'!$L$16"}</definedName>
    <definedName name="hh" hidden="1">{#N/A,#N/A,TRUE,"일정"}</definedName>
    <definedName name="hhai">#REF!</definedName>
    <definedName name="hhb" hidden="1">{"'Sheet1'!$L$16"}</definedName>
    <definedName name="hhgggggg" hidden="1">{"'Sheet1'!$L$16"}</definedName>
    <definedName name="hhgjghj" hidden="1">{"DCF1",#N/A,FALSE,"SIERRA DCF";"MATRIX1",#N/A,FALSE,"SIERRA DCF"}</definedName>
    <definedName name="H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hh" hidden="1">{"'Sheet1'!$L$16"}</definedName>
    <definedName name="hhhhh" hidden="1">{"weichwaren",#N/A,FALSE,"Liste 1";"hartwaren",#N/A,FALSE,"Liste 1";"food",#N/A,FALSE,"Liste 1";"fleisch",#N/A,FALSE,"Liste 1"}</definedName>
    <definedName name="hhhhhh" hidden="1">#REF!</definedName>
    <definedName name="hhhhhhh">#N/A</definedName>
    <definedName name="hhhhhhhhhhhhh" hidden="1">{"Page1",#N/A,FALSE,"CompCo";"Page2",#N/A,FALSE,"CompCo"}</definedName>
    <definedName name="hhhhhhhhhhhhhhhhbbb" hidden="1">{#N/A,#N/A,FALSE,"Chi tiÆt"}</definedName>
    <definedName name="HHHHHHHHHHHHHHHHHHHHHHHHHHHHHH">[0]!HHHHHHHHHHHHHHHHHHHHHHHHHHHHHH</definedName>
    <definedName name="hhhhhu" hidden="1">{"'Sheet1'!$L$16"}</definedName>
    <definedName name="hhhlll" hidden="1">{"'Sheet1'!$L$16"}</definedName>
    <definedName name="hhhthrh" hidden="1">{#N/A,#N/A,FALSE,"Chi tiÆt"}</definedName>
    <definedName name="hi" hidden="1">{"'Sheet1'!$L$16"}</definedName>
    <definedName name="HiddenRows" hidden="1">#REF!</definedName>
    <definedName name="hieu" hidden="1">{"'Sheet1'!$L$16"}</definedName>
    <definedName name="HIGH" hidden="1">#REF!</definedName>
    <definedName name="High_risk">#REF!</definedName>
    <definedName name="High_voltage">#REF!</definedName>
    <definedName name="HighlightDate">#REF!</definedName>
    <definedName name="hilygh">#REF!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ình_thức_thanh_toán">#REF!</definedName>
    <definedName name="Hit_K1___Truck_arrangement">11</definedName>
    <definedName name="hj" hidden="1">{"Tages_D",#N/A,FALSE,"Tagesbericht";"Tages_PL",#N/A,FALSE,"Tagesbericht"}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j" hidden="1">{#N/A,#N/A,FALSE,"Chi tiÆt"}</definedName>
    <definedName name="hjjk" hidden="1">{#N/A,#N/A,FALSE,"Chi tiÆt"}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h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KJ">#REF!</definedName>
    <definedName name="hjkl" hidden="1">{"'Sheet1'!$L$16"}</definedName>
    <definedName name="hkhjg" hidden="1">#REF!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lhj" hidden="1">{"'Sheet1'!$L$16"}</definedName>
    <definedName name="hl">#REF!</definedName>
    <definedName name="hllgljl" hidden="1">{"'Sheet1'!$L$16"}</definedName>
    <definedName name="hluyil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MC" hidden="1">{#N/A,#N/A,FALSE,"단축1";#N/A,#N/A,FALSE,"단축2";#N/A,#N/A,FALSE,"단축3";#N/A,#N/A,FALSE,"장축";#N/A,#N/A,FALSE,"4WD"}</definedName>
    <definedName name="HMC분석" hidden="1">{#N/A,#N/A,FALSE,"단축1";#N/A,#N/A,FALSE,"단축2";#N/A,#N/A,FALSE,"단축3";#N/A,#N/A,FALSE,"장축";#N/A,#N/A,FALSE,"4WD"}</definedName>
    <definedName name="HMC분석TOP10" hidden="1">{#N/A,#N/A,FALSE,"단축1";#N/A,#N/A,FALSE,"단축2";#N/A,#N/A,FALSE,"단축3";#N/A,#N/A,FALSE,"장축";#N/A,#N/A,FALSE,"4WD"}</definedName>
    <definedName name="HML">#REF!</definedName>
    <definedName name="hmot">#REF!</definedName>
    <definedName name="hmuoi">#REF!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am">#REF!</definedName>
    <definedName name="hnu" hidden="1">{"RUN3A",#N/A,FALSE,"BS-exist";"RUN3A","GROWTH RATE 8-5-7",FALSE,"IS-exist";"RUN3A","3rdRun without EquityInfusion;Sale of land(50-50)",FALSE,"CF-exist"}</definedName>
    <definedName name="Hoa">#REF!</definedName>
    <definedName name="hoc" hidden="1">{"'Sheet1'!$L$16"}</definedName>
    <definedName name="hoh" hidden="1">{#N/A,#N/A,FALSE,"Chi tiÆt"}</definedName>
    <definedName name="Holidays">#REF!</definedName>
    <definedName name="hong" hidden="1">{"'Sheet1'!$L$16"}</definedName>
    <definedName name="hope" hidden="1">{"'Sheet1'!$L$16"}</definedName>
    <definedName name="HORYU">#REF!</definedName>
    <definedName name="H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OUJIN_NAME">#REF!</definedName>
    <definedName name="Housing_Facilities">#REF!</definedName>
    <definedName name="Housing_FacilitiesDisaster_Prevention">#REF!</definedName>
    <definedName name="Housing_FacilitiesDoor_Window">#REF!</definedName>
    <definedName name="Housing_FacilitiesGas_Equipment">#REF!</definedName>
    <definedName name="Housing_FacilitiesHousing_Facilities_Others">#REF!</definedName>
    <definedName name="Housing_FacilitiesKitchen">#REF!</definedName>
    <definedName name="Housing_Facilitiestoilet">#REF!</definedName>
    <definedName name="Housing_FacilitiesWater_Equipment">#REF!</definedName>
    <definedName name="HOUY" hidden="1">{#N/A,#N/A,FALSE,"CCTV"}</definedName>
    <definedName name="hp" hidden="1">{"'Sheet1'!$L$16"}</definedName>
    <definedName name="HPV">#REF!</definedName>
    <definedName name="HPVHEADS">#REF!</definedName>
    <definedName name="hq" hidden="1">{"'Sheet1'!$L$16"}</definedName>
    <definedName name="HR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hra">#REF!</definedName>
    <definedName name="hrehrhehrjrtjytjrj" hidden="1">{"'Sheet1'!$L$16"}</definedName>
    <definedName name="hrehrhrhrehwsegege" hidden="1">{"'Sheet1'!$L$16"}</definedName>
    <definedName name="hrfy">#REF!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rhjtrjtrjjtrjrjtr4j6664" hidden="1">{"'Sheet1'!$L$16"}</definedName>
    <definedName name="HRRHW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HSCT3">0.1</definedName>
    <definedName name="HSD" hidden="1">#REF!</definedName>
    <definedName name="HSDN">2.5</definedName>
    <definedName name="HSFJDS" hidden="1">#REF!</definedName>
    <definedName name="hsgbhtgrư" hidden="1">{#N/A,#N/A,FALSE,"Chi tiÆt"}</definedName>
    <definedName name="HSLXH">1.7</definedName>
    <definedName name="hsm">1.1289</definedName>
    <definedName name="hsnc_cau">1.626</definedName>
    <definedName name="hsnc_cau2">1.626</definedName>
    <definedName name="hsnc_d">1.6356</definedName>
    <definedName name="hsnc_d2">1.6356</definedName>
    <definedName name="hsvl">1</definedName>
    <definedName name="hsvl2">1</definedName>
    <definedName name="HT_Lanh">#REF!</definedName>
    <definedName name="htg" hidden="1">{#N/A,#N/A,TRUE,"BT M200 da 10x20"}</definedName>
    <definedName name="htgrer" hidden="1">{"page1",#N/A,FALSE,"BHCOMPC5";"page2",#N/A,FALSE,"BHCOMPC5";"page3",#N/A,FALSE,"BHCOMPC5";"page4",#N/A,FALSE,"BHCOMPC5"}</definedName>
    <definedName name="hþ" hidden="1">{"'Sheet1'!$L$16"}</definedName>
    <definedName name="hþwr" hidden="1">{"'Sheet1'!$L$16"}</definedName>
    <definedName name="htjhtjftj" hidden="1">{#N/A,#N/A,FALSE,"Chi tiÆt"}</definedName>
    <definedName name="htlm" hidden="1">{"'Sheet1'!$L$16"}</definedName>
    <definedName name="HTML" hidden="1">{"'Sheet1'!$L$16"}</definedName>
    <definedName name="HTML_CodePage" hidden="1">1252</definedName>
    <definedName name="HTML_Control" hidden="1">{"'Section1'!$A$1:$AN$53","'Section1'!$A$1:$AO$59"}</definedName>
    <definedName name="HTML_Control_1" hidden="1">{"'Sheet1'!$L$16"}</definedName>
    <definedName name="HTML_Control_1_1" hidden="1">{"'Sheet1'!$L$16"}</definedName>
    <definedName name="HTML_Control_1_1_1" hidden="1">{"'Sheet1'!$L$16"}</definedName>
    <definedName name="HTML_Control_1_2" hidden="1">{"'Sheet1'!$L$16"}</definedName>
    <definedName name="HTML_Control_1_2_1" hidden="1">{"'Sheet1'!$L$16"}</definedName>
    <definedName name="HTML_Control_1_3" hidden="1">{"'Sheet1'!$L$16"}</definedName>
    <definedName name="HTML_Control_1_3_1" hidden="1">{"'Sheet1'!$L$16"}</definedName>
    <definedName name="HTML_Control_1_4" hidden="1">{"'Sheet1'!$L$16"}</definedName>
    <definedName name="HTML_Control_1_4_1" hidden="1">{"'Sheet1'!$L$16"}</definedName>
    <definedName name="HTML_Control_1_5" hidden="1">{"'Sheet1'!$L$16"}</definedName>
    <definedName name="HTML_Control_2" hidden="1">{"'Sheet1'!$L$16"}</definedName>
    <definedName name="HTML_Control_2_1" hidden="1">{"'Sheet1'!$L$16"}</definedName>
    <definedName name="HTML_Control_3" hidden="1">{"'Sheet1'!$L$16"}</definedName>
    <definedName name="HTML_Control_3_1" hidden="1">{"'Sheet1'!$L$16"}</definedName>
    <definedName name="HTML_Control_4" hidden="1">{"'Sheet1'!$L$16"}</definedName>
    <definedName name="HTML_Control_4_1" hidden="1">{"'Sheet1'!$L$16"}</definedName>
    <definedName name="HTML_Control_bkup" hidden="1">{"'表紙'!$A$1:$W$39"}</definedName>
    <definedName name="html_control_xoa2" hidden="1">{"'Sheet1'!$L$16"}</definedName>
    <definedName name="html_control_xoa2_1" hidden="1">{"'Sheet1'!$L$16"}</definedName>
    <definedName name="html_control1" hidden="1">{"'Sheet1'!$L$16"}</definedName>
    <definedName name="HTML_Control1_1" hidden="1">{"'Sheet1'!$L$16"}</definedName>
    <definedName name="html_control2" hidden="1">{"'연구소 (게시용)'!$A$2:$H$12"}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"Section1"</definedName>
    <definedName name="HTML_LastUpdate" hidden="1">"6/25/99"</definedName>
    <definedName name="HTML_LineAfter" hidden="1">FALSE</definedName>
    <definedName name="HTML_LineBefore" hidden="1">FALSE</definedName>
    <definedName name="HTML_Name" hidden="1">"Larry F. Liotino"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"A:\MyHTML.htm"</definedName>
    <definedName name="HTML_PathFileMac" hidden="1">"Macintosh HD:HomePageStuff:New_Home_Page:datafile:ctryprem.html"</definedName>
    <definedName name="HTML_PathFilemoi" hidden="1">"C:\2689\Q\國內\00q3961台化龍德PTA3建造\MyHTML.htm"</definedName>
    <definedName name="HTML_PathTemplate" hidden="1">"C:\BOTHomepage\DataBank\FinMarkets\InterestRate\Int_F_his2003_T.htm"</definedName>
    <definedName name="HTML_Title" hidden="1">"instr_2f_a"</definedName>
    <definedName name="HTML1" hidden="1">{"'Trend_Total'!$A$7:$V$10","'Trend_Total'!$A$1:$V$4"}</definedName>
    <definedName name="HTML1_1" hidden="1">"[CERTV4.XLS]CERTV2!$A$2:$AR$288"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2" hidden="1">{"'Sheet1'!$L$16"}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
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1</definedName>
    <definedName name="HTMLcpnmtrol" hidden="1">{"'Sheet1'!$L$16"}</definedName>
    <definedName name="htmll" hidden="1">{"'Sheet1'!$L$16"}</definedName>
    <definedName name="htriu4" hidden="1">{#N/A,#N/A,FALSE,"Chi tiÆt"}</definedName>
    <definedName name="H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u" hidden="1">{"'Sheet1'!$L$16"}</definedName>
    <definedName name="hu_1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cuutoi">#REF!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3" hidden="1">{"'Sheet1'!$L$16"}</definedName>
    <definedName name="HUONG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huy" hidden="1">{"'Sheet1'!$L$16"}</definedName>
    <definedName name="huy_1" hidden="1">{"'Sheet1'!$L$16"}</definedName>
    <definedName name="huy_1_1" hidden="1">{"'Sheet1'!$L$16"}</definedName>
    <definedName name="huy_1_1_1" hidden="1">{"'Sheet1'!$L$16"}</definedName>
    <definedName name="huy_1_2" hidden="1">{"'Sheet1'!$L$16"}</definedName>
    <definedName name="huy_1_2_1" hidden="1">{"'Sheet1'!$L$16"}</definedName>
    <definedName name="huy_1_3" hidden="1">{"'Sheet1'!$L$16"}</definedName>
    <definedName name="huy_1_3_1" hidden="1">{"'Sheet1'!$L$16"}</definedName>
    <definedName name="huy_1_4" hidden="1">{"'Sheet1'!$L$16"}</definedName>
    <definedName name="huy_1_4_1" hidden="1">{"'Sheet1'!$L$16"}</definedName>
    <definedName name="huy_1_5" hidden="1">{"'Sheet1'!$L$16"}</definedName>
    <definedName name="huy_2" hidden="1">{"'Sheet1'!$L$16"}</definedName>
    <definedName name="huy_2_1" hidden="1">{"'Sheet1'!$L$16"}</definedName>
    <definedName name="huy_3" hidden="1">{"'Sheet1'!$L$16"}</definedName>
    <definedName name="huy_3_1" hidden="1">{"'Sheet1'!$L$16"}</definedName>
    <definedName name="huy_4" hidden="1">{"'Sheet1'!$L$16"}</definedName>
    <definedName name="huy_4_1" hidden="1">{"'Sheet1'!$L$16"}</definedName>
    <definedName name="huy_5" hidden="1">{"'Sheet1'!$L$16"}</definedName>
    <definedName name="huy_xoa" hidden="1">{"'Sheet1'!$L$16"}</definedName>
    <definedName name="huy_xoa_1" hidden="1">{"'Sheet1'!$L$16"}</definedName>
    <definedName name="huy_xoa2" hidden="1">{"'Sheet1'!$L$16"}</definedName>
    <definedName name="huy_xoa2_1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Ø" hidden="1">{"'Sheet1'!$L$16"}</definedName>
    <definedName name="huyy" hidden="1">{"'Sheet1'!$L$16"}</definedName>
    <definedName name="huyyy" hidden="1">{"'Sheet1'!$L$16"}</definedName>
    <definedName name="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HW">#REF!</definedName>
    <definedName name="hw_d">#REF!</definedName>
    <definedName name="hx">#REF!</definedName>
    <definedName name="hy" hidden="1">{"'Sheet1'!$L$16"}</definedName>
    <definedName name="hyhy" hidden="1">{"'Sheet1'!$L$16"}</definedName>
    <definedName name="HYL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zdgm">#REF!</definedName>
    <definedName name="hzdm">#REF!</definedName>
    <definedName name="hzfa">#REF!</definedName>
    <definedName name="hzhr">#REF!</definedName>
    <definedName name="hzme">#REF!</definedName>
    <definedName name="hzpro">#REF!</definedName>
    <definedName name="hzqp">#REF!</definedName>
    <definedName name="hzsm">#REF!</definedName>
    <definedName name="i" hidden="1">#REF!</definedName>
    <definedName name="I.R.">#REF!</definedName>
    <definedName name="I.T.SCH" hidden="1">{#N/A,#N/A,FALSE,"9"}</definedName>
    <definedName name="i_1" hidden="1">{"Qtr Op Mgd Q3",#N/A,FALSE,"Qtr-Op (Mng)";"Qtr Op Rpt Q3",#N/A,FALSE,"Qtr-Op (Rpt)";"Operating Vs Reported",#N/A,FALSE,"Rpt-Op Inc"}</definedName>
    <definedName name="ic">(#REF!-1)*100+#REF!</definedName>
    <definedName name="ICM_base_header">#REF!</definedName>
    <definedName name="icm_data">#REF!</definedName>
    <definedName name="ICMSREC">#REF!</definedName>
    <definedName name="ID_Card">#REF!</definedName>
    <definedName name="idiot" hidden="1">{#N/A,#N/A,FALSE,"Chi tiÆt"}</definedName>
    <definedName name="iequ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ierj" hidden="1">{"weichwaren",#N/A,FALSE,"Liste 1";"hartwaren",#N/A,FALSE,"Liste 1";"food",#N/A,FALSE,"Liste 1";"fleisch",#N/A,FALSE,"Liste 1"}</definedName>
    <definedName name="IF">#REF!</definedName>
    <definedName name="IGLESIA">#REF!</definedName>
    <definedName name="II" hidden="1">{"tenancy detail",#N/A,FALSE,"Tenancies";"years1_2",#N/A,FALSE,"Tenancies";"years3_4",#N/A,FALSE,"Tenancies"}</definedName>
    <definedName name="iiiii" hidden="1">{"Tages_D",#N/A,FALSE,"Tagesbericht";"Tages_PL",#N/A,FALSE,"Tagesbericht"}</definedName>
    <definedName name="II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jhgfddffth" hidden="1">{"'Sheet1'!$L$16"}</definedName>
    <definedName name="IJN">#REF!</definedName>
    <definedName name="IKIDTT" hidden="1">#REF!</definedName>
    <definedName name="ikol" hidden="1">#REF!</definedName>
    <definedName name="IMOBILIZADO">#REF!</definedName>
    <definedName name="IMP_FILE_BKNAME">#REF!</definedName>
    <definedName name="IMP_FILE_CELL">#REF!</definedName>
    <definedName name="IMP_FILE_CNT">#REF!</definedName>
    <definedName name="IMP_FILE_LOC">#REF!</definedName>
    <definedName name="IMP_FILE_SHT">#REF!</definedName>
    <definedName name="IMP_SHT_BKNAME">#REF!</definedName>
    <definedName name="IMP_SHT_CNT">#REF!</definedName>
    <definedName name="IMP_SHT_FROM">#REF!</definedName>
    <definedName name="IMP_SHT_LOC">#REF!</definedName>
    <definedName name="IMP_SHT_PASTETYP">#REF!</definedName>
    <definedName name="IMP_SHT_TO">#REF!</definedName>
    <definedName name="ImpactRating">#REF!</definedName>
    <definedName name="IMPAP">#REF!</definedName>
    <definedName name="Import_And">#REF!</definedName>
    <definedName name="Import_Projeção">#REF!</definedName>
    <definedName name="ImportDuty">#REF!</definedName>
    <definedName name="IMPOSTOS">#REF!</definedName>
    <definedName name="IMPRESIÓ">#REF!</definedName>
    <definedName name="IN" hidden="1">#REF!</definedName>
    <definedName name="inbound" hidden="1">#REF!</definedName>
    <definedName name="Incentive" hidden="1">{"F3 detail",#N/A,FALSE,"F1";"F3 Presentation",#N/A,FALSE,"F3 "}</definedName>
    <definedName name="INCFISCAL">#REF!</definedName>
    <definedName name="InClass">#REF!=MEDIAN(#REF!,#REF!,#REF!+#REF!-1)</definedName>
    <definedName name="Incor">#REF!</definedName>
    <definedName name="INDEX">#REF!</definedName>
    <definedName name="indicform">#REF!</definedName>
    <definedName name="IndType" hidden="1">#REF!</definedName>
    <definedName name="Industrial">#REF!</definedName>
    <definedName name="Industrial_Equipment">#REF!</definedName>
    <definedName name="Industrial_EquipmentElevator">#REF!</definedName>
    <definedName name="Industrial_EquipmentEngineering_Equipment">#REF!</definedName>
    <definedName name="Industrial_EquipmentIndustrial_Equipment_Others">#REF!</definedName>
    <definedName name="Industrial_EquipmentInspection_Equipment">#REF!</definedName>
    <definedName name="Industrial_EquipmentPower_Equipment">#REF!</definedName>
    <definedName name="Inf_Comerciais">#REF!</definedName>
    <definedName name="INFO_BI_EXE_NAME" hidden="1">"BICORE.EXE"</definedName>
    <definedName name="INFO_INSTANCE_ID" hidden="1">"0"</definedName>
    <definedName name="INFO_INSTANCE_NAME" hidden="1">"Consolidated Combined Financials_Internal_20130121_19_43_09_4343.xls"</definedName>
    <definedName name="INFO_REPORT_CODE" hidden="1">"MAS-XLC01-2-5"</definedName>
    <definedName name="INFO_REPORT_ID" hidden="1">"69"</definedName>
    <definedName name="INFO_REPORT_NAME" hidden="1">"Consolidated Combined Financials_Internal"</definedName>
    <definedName name="INFO_RUN_WORKSTATION" hidden="1">"SEA-WIN-205"</definedName>
    <definedName name="InherentRisk">#REF!</definedName>
    <definedName name="Início_Caixa">#REF!</definedName>
    <definedName name="Inicio_Custos">#REF!</definedName>
    <definedName name="Inicio_Despesas">#REF!</definedName>
    <definedName name="Inicio_Faturamento">#REF!</definedName>
    <definedName name="Inicio_Financeiro">#REF!</definedName>
    <definedName name="Inicio_Folha">#REF!</definedName>
    <definedName name="Inicio_Material">#REF!</definedName>
    <definedName name="Inicio_Preços">#REF!</definedName>
    <definedName name="Inicio_Premissas">#REF!</definedName>
    <definedName name="Inicio_Unitario">#REF!</definedName>
    <definedName name="Inicio_Volumes">#REF!</definedName>
    <definedName name="InitialConnecter">#REF!</definedName>
    <definedName name="Inizio">#REF!</definedName>
    <definedName name="INN" hidden="1">#REF!</definedName>
    <definedName name="InputNumEikyu1" hidden="1">#REF!</definedName>
    <definedName name="InputNumEikyu2" hidden="1">#REF!</definedName>
    <definedName name="InputNumEikyu3" hidden="1">#REF!</definedName>
    <definedName name="InputNumEikyu4" hidden="1">#REF!</definedName>
    <definedName name="InputNumEikyu5" hidden="1">#REF!</definedName>
    <definedName name="InputNumEikyu6" hidden="1">#REF!</definedName>
    <definedName name="InputNumIGai1" hidden="1">#REF!</definedName>
    <definedName name="InputNumIGai2" hidden="1">#REF!</definedName>
    <definedName name="InputNumIGai3" hidden="1">#REF!</definedName>
    <definedName name="InputNumIGai4" hidden="1">#REF!</definedName>
    <definedName name="InputNumIGai5" hidden="1">#REF!</definedName>
    <definedName name="InputNumIGai6" hidden="1">#REF!</definedName>
    <definedName name="InputNumSai1" hidden="1">#REF!</definedName>
    <definedName name="InputNumSai2" hidden="1">#REF!</definedName>
    <definedName name="InputNumSai3" hidden="1">#REF!</definedName>
    <definedName name="InputNumSai4" hidden="1">#REF!</definedName>
    <definedName name="InputNumSai5" hidden="1">#REF!</definedName>
    <definedName name="InputNumSai6" hidden="1">#REF!</definedName>
    <definedName name="InputNumShyorai1" hidden="1">#REF!,#REF!,#REF!,#REF!,#REF!,#REF!</definedName>
    <definedName name="InputNumShyorai2" hidden="1">#REF!,#REF!,#REF!,#REF!,#REF!</definedName>
    <definedName name="InputNumShyorai3" hidden="1">#REF!,#REF!,#REF!,#REF!,#REF!</definedName>
    <definedName name="InputNumShyorai4" hidden="1">#REF!,#REF!,#REF!,#REF!,#REF!</definedName>
    <definedName name="InputNumShyorai5" hidden="1">#REF!,#REF!,#REF!,#REF!,#REF!</definedName>
    <definedName name="InputNumShyorai6" hidden="1">#REF!,#REF!</definedName>
    <definedName name="InsertRows">#REF!</definedName>
    <definedName name="instr">#REF!</definedName>
    <definedName name="Instruct">#REF!</definedName>
    <definedName name="instruction">#N/A</definedName>
    <definedName name="INT" hidden="1">{#N/A,#N/A,TRUE,"일정"}</definedName>
    <definedName name="Intake">#REF!=MEDIAN(#REF!,#REF!+#REF!+#REF!,#REF!+#REF!+#REF!+#REF!-1)</definedName>
    <definedName name="Interest." hidden="1">{"tenancy detail",#N/A,FALSE,"Tenancies";"years1_2",#N/A,FALSE,"Tenancies";"years3_4",#N/A,FALSE,"Tenancies"}</definedName>
    <definedName name="INTERLOANS">#REF!</definedName>
    <definedName name="Internal">#REF!</definedName>
    <definedName name="internalFB">#REF!</definedName>
    <definedName name="intruction">#N/A</definedName>
    <definedName name="INVEST">#REF!</definedName>
    <definedName name="invest_anlagen">#REF!</definedName>
    <definedName name="invest_motor">#REF!</definedName>
    <definedName name="invest_tooling">#REF!</definedName>
    <definedName name="invest_tooling_imposed">#REF!</definedName>
    <definedName name="Ìnvfdbgfghfg">#N/A</definedName>
    <definedName name="Iout">#REF!</definedName>
    <definedName name="IPATH">"G:\Corporate Services\MIS\As400 Department\Compleo - GaryH"</definedName>
    <definedName name="IPIREC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"c2108"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"c100"</definedName>
    <definedName name="IQ_BV_SHARE" hidden="1">"c100"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"c373"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"c552"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REUT" hidden="1">"c5409"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FFO_REUT" hidden="1">"c3843"</definedName>
    <definedName name="IQ_EST_ACT_FFO_THOM" hidden="1">"c4005"</definedName>
    <definedName name="IQ_EST_BV_DIFF_REUT" hidden="1">"c5433"</definedName>
    <definedName name="IQ_EST_BV_SURPRISE_PERCENT_REUT" hidden="1">"c5434"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URPRISE" hidden="1">"c1635"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43137.2050694444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39779.4527893519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>#REF!</definedName>
    <definedName name="IRAN" hidden="1">{"RUN4A",#N/A,FALSE,"BS-exist";"RUN4A","GROWTH RATE 8-5-7",FALSE,"IS-exist";"RUN4A","4thRun without EquityInfusion;Sale of land 75M",FALSE,"CF-exist"}</definedName>
    <definedName name="iris" hidden="1">{"RUN3A",#N/A,FALSE,"BS-exist";"RUN3A","GROWTH RATE 8-5-7",FALSE,"IS-exist";"RUN3A","3rdRun without EquityInfusion;Sale of land(50-50)",FALSE,"CF-exist"}</definedName>
    <definedName name="iriskowner">#REF!</definedName>
    <definedName name="IRMStatus">#REF!</definedName>
    <definedName name="IRPJCSPG">#REF!</definedName>
    <definedName name="IRPJPG">#REF!</definedName>
    <definedName name="IRR">#REF!</definedName>
    <definedName name="IRRFPG">#REF!</definedName>
    <definedName name="IsColHidden" hidden="1">FALSE</definedName>
    <definedName name="IsLTMColHidden" hidden="1">FALSE</definedName>
    <definedName name="istawic">#REF!</definedName>
    <definedName name="it" hidden="1">{"'Sheet1'!$L$16"}</definedName>
    <definedName name="Item_list___target">#REF!</definedName>
    <definedName name="ItemStart" hidden="1">#REF!</definedName>
    <definedName name="ịth" hidden="1">{"'Sheet1'!$L$16"}</definedName>
    <definedName name="ITNPEAvgCost">175000</definedName>
    <definedName name="ITPEAvgCost">160000</definedName>
    <definedName name="ITPENPEAvgCost">50000</definedName>
    <definedName name="it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i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it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itttt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ittttt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itttttt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iui">[0]!iui</definedName>
    <definedName name="iui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200NEW" hidden="1">{#N/A,#N/A,TRUE,"일정"}</definedName>
    <definedName name="j22jjdsflkjfdslkjfds" hidden="1">#REF!</definedName>
    <definedName name="J97u" hidden="1">{"COMPARISON",#N/A,FALSE,"Sheet1"}</definedName>
    <definedName name="jáhfa" hidden="1">#REF!</definedName>
    <definedName name="jakljdljlafjlsdjflsjflsjlfklsdlkd" hidden="1">{"'Sheet1'!$L$16"}</definedName>
    <definedName name="jan">#N/A</definedName>
    <definedName name="JANRET">#REF!</definedName>
    <definedName name="Jap" hidden="1">{#N/A,#N/A,FALSE,"Japan";#N/A,#N/A,FALSE,"Taiwan";#N/A,#N/A,FALSE,"Thailand";#N/A,#N/A,FALSE,"Australia"}</definedName>
    <definedName name="jbd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BNAM">"QPADEV0002"</definedName>
    <definedName name="JBNMB">"016439"</definedName>
    <definedName name="jd">#REF!</definedName>
    <definedName name="jd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fn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j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dkalk">#N/A</definedName>
    <definedName name="jd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eine" hidden="1">{"Tages_D",#N/A,FALSE,"Tagesbericht";"Tages_PL",#N/A,FALSE,"Tagesbericht"}</definedName>
    <definedName name="JES" hidden="1">{#N/A,#N/A,TRUE,"일정"}</definedName>
    <definedName name="jfdjfdhjhjdjklnlknlkbnlkfnblsdnldnhhgsdg" hidden="1">{"'Sheet1'!$L$16"}</definedName>
    <definedName name="jf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gfsjhgfsjhgfsdjhgfds" hidden="1">{#N/A,#N/A,TRUE,"일정"}</definedName>
    <definedName name="jggui78" hidden="1">{"'Sheet1'!$L$16"}</definedName>
    <definedName name="JGHJ" hidden="1">{#N/A,#N/A,FALSE,"단축1";#N/A,#N/A,FALSE,"단축2";#N/A,#N/A,FALSE,"단축3";#N/A,#N/A,FALSE,"장축";#N/A,#N/A,FALSE,"4WD"}</definedName>
    <definedName name="jghj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GJ" hidden="1">#REF!</definedName>
    <definedName name="jgjghjfgfh" hidden="1">{"'Sheet1'!$L$16"}</definedName>
    <definedName name="JH">#REF!</definedName>
    <definedName name="jhakjhskjd" hidden="1">{0,0,0,0;0,0,TRUE,0;0,#N/A,FALSE,0;0,#N/A,FALSE,0;0,#N/A,FALSE,0;0,#N/A,FALSE,0;0,#N/A,FALSE,0}</definedName>
    <definedName name="JHDJD" hidden="1">{#N/A,#N/A,TRUE,"일정"}</definedName>
    <definedName name="JHF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h" hidden="1">{"TAG1AGMS",#N/A,FALSE,"TAG 1A"}</definedName>
    <definedName name="JHJ" hidden="1">{"'Sheet1'!$L$16"}</definedName>
    <definedName name="jhjh" hidden="1">{"'Sheet1'!$L$16"}</definedName>
    <definedName name="jhjhjkhk" hidden="1">{"'Sheet1'!$L$16"}</definedName>
    <definedName name="JHJK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jhk" hidden="1">{"'Sheet1'!$L$16"}</definedName>
    <definedName name="jhk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hkj" hidden="1">{#N/A,#N/A,FALSE,"Chi tiÆt"}</definedName>
    <definedName name="jhkjj">#REF!</definedName>
    <definedName name="jhkjlk">#REF!</definedName>
    <definedName name="JHKKJKLKLHJ" hidden="1">{#N/A,#N/A,FALSE,"Sensitivity"}</definedName>
    <definedName name="JIND.PG1" hidden="1">{#N/A,#N/A,FALSE,"1"}</definedName>
    <definedName name="jj" hidden="1">{#N/A,#N/A,FALSE,"Sensitivity"}</definedName>
    <definedName name="jjhh">[0]!jjhh</definedName>
    <definedName name="jjhk">[0]!jjhk</definedName>
    <definedName name="jjj" hidden="1">#REF!</definedName>
    <definedName name="jjjj" hidden="1">#REF!</definedName>
    <definedName name="jjjjj" hidden="1">{"fleisch",#N/A,FALSE,"WG HK";"food",#N/A,FALSE,"WG HK";"hartwaren",#N/A,FALSE,"WG HK";"weichwaren",#N/A,FALSE,"WG HK"}</definedName>
    <definedName name="jjjjjjjj" hidden="1">#REF!</definedName>
    <definedName name="jjjklll" hidden="1">{"fleisch",#N/A,FALSE,"WG HK";"food",#N/A,FALSE,"WG HK";"hartwaren",#N/A,FALSE,"WG HK";"weichwaren",#N/A,FALSE,"WG HK"}</definedName>
    <definedName name="jjkk" hidden="1">{"'Sheet1'!$L$16"}</definedName>
    <definedName name="JKDFSJCSDKJ" hidden="1">{#N/A,#N/A,TRUE,"SUM";#N/A,#N/A,TRUE,"EE";#N/A,#N/A,TRUE,"AC";#N/A,#N/A,TRUE,"SN"}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" hidden="1">#REF!</definedName>
    <definedName name="jkjhk" hidden="1">{"'Sheet1'!$L$16"}</definedName>
    <definedName name="jkjk" hidden="1">{"'Sheet1'!$L$16"}</definedName>
    <definedName name="JKKIO" hidden="1">{#N/A,#N/A,FALSE,"CCTV"}</definedName>
    <definedName name="jkl" hidden="1">{"Tages_D",#N/A,FALSE,"Tagesbericht";"Tages_PL",#N/A,FALSE,"Tagesbericht"}</definedName>
    <definedName name="jkszf" hidden="1">{"'Sheet1'!$L$16"}</definedName>
    <definedName name="jl">#REF!</definedName>
    <definedName name="jla">#REF!</definedName>
    <definedName name="JLJKL" hidden="1">{"'Sheet1'!$L$16"}</definedName>
    <definedName name="jnjhnj">#REF!</definedName>
    <definedName name="jo" hidden="1">{"'Sheet1'!$L$16"}</definedName>
    <definedName name="Job_Code">#REF!</definedName>
    <definedName name="Joe" hidden="1">{#N/A,#N/A,FALSE,"Cover Page";#N/A,#N/A,FALSE,"Facing Page";#N/A,#N/A,FALSE,"Main Page";#N/A,#N/A,FALSE,"Risk-Adjusted";#N/A,#N/A,FALSE,"Profit Improvement"}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hidden="1">{#N/A,#N/A,FALSE,"Profit Status";#N/A,#N/A,FALSE,"Invest";#N/A,#N/A,FALSE,"Revenue";#N/A,#N/A,FALSE,"Variable Cost";#N/A,#N/A,FALSE,"Options &amp; Series"}</definedName>
    <definedName name="jorge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JOSEP">#REF!</definedName>
    <definedName name="JournalName">#REF!</definedName>
    <definedName name="jpy">110</definedName>
    <definedName name="jsdh" hidden="1">{"'Sheet1'!$L$16"}</definedName>
    <definedName name="jsdjs" hidden="1">{"'Sheet1'!$L$16"}</definedName>
    <definedName name="j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sryj" hidden="1">{"'Sheet1'!$L$16"}</definedName>
    <definedName name="jt" hidden="1">{"'Sheet1'!$L$16"}</definedName>
    <definedName name="jtru" hidden="1">{"'Sheet1'!$L$16"}</definedName>
    <definedName name="ＪＴＴＨ" hidden="1">#REF!</definedName>
    <definedName name="jtyk" hidden="1">{"'Sheet1'!$L$16"}</definedName>
    <definedName name="ju" hidden="1">{"'Sheet1'!$L$16"}</definedName>
    <definedName name="JUL" hidden="1">#REF!</definedName>
    <definedName name="June" hidden="1">{"'Sheet1'!$L$16"}</definedName>
    <definedName name="JV066.09" hidden="1">{"'Sheet1'!$L$16"}</definedName>
    <definedName name="JWG" hidden="1">{#N/A,#N/A,FALSE,"단축1";#N/A,#N/A,FALSE,"단축2";#N/A,#N/A,FALSE,"단축3";#N/A,#N/A,FALSE,"장축";#N/A,#N/A,FALSE,"4WD"}</definedName>
    <definedName name="jxcfgnhxcv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YT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yuk" hidden="1">{"'Sheet1'!$L$16"}</definedName>
    <definedName name="jýỵy" hidden="1">{"'Sheet1'!$L$16"}</definedName>
    <definedName name="ＪふＹ" hidden="1">#REF!</definedName>
    <definedName name="k" hidden="1">{"fleisch",#N/A,FALSE,"WG HK";"food",#N/A,FALSE,"WG HK";"hartwaren",#N/A,FALSE,"WG HK";"weichwaren",#N/A,FALSE,"WG HK"}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115부품공급계획" hidden="1">{#N/A,#N/A,TRUE,"일정"}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_WBEVMODE" hidden="1">0</definedName>
    <definedName name="KA" hidden="1">{"weichwaren",#N/A,FALSE,"Liste 1";"hartwaren",#N/A,FALSE,"Liste 1";"food",#N/A,FALSE,"Liste 1";"fleisch",#N/A,FALSE,"Liste 1"}</definedName>
    <definedName name="kaa" hidden="1">{"Tages_D",#N/A,FALSE,"Tagesbericht";"Tages_PL",#N/A,FALSE,"Tagesbericht"}</definedName>
    <definedName name="kaj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amimura" hidden="1">{#VALUE!,#N/A,FALSE,0;#N/A,#N/A,FALSE,0;#N/A,#N/A,FALSE,0;#N/A,#N/A,FALSE,0}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raraer" hidden="1">{#VALUE!,#N/A,FALSE,0;#N/A,#N/A,FALSE,0;#N/A,#N/A,FALSE,0;#N/A,#N/A,FALSE,0}</definedName>
    <definedName name="KB" hidden="1">#REF!</definedName>
    <definedName name="KChart" localSheetId="1">Sheet1.ActiveChart</definedName>
    <definedName name="KChart">Sheet1.ActiveChart</definedName>
    <definedName name="ＫＣＳゲイン">#REF!</definedName>
    <definedName name="KCThep" hidden="1">{"'Sheet1'!$L$16"}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CNThonmoi20_00" hidden="1">{"'Sheet1'!$L$16"}</definedName>
    <definedName name="kdkk" hidden="1">{"'Sheet1'!$L$16"}</definedName>
    <definedName name="KDONR" hidden="1">{#N/A,#N/A,TRUE,"일정"}</definedName>
    <definedName name="kds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d내륙운송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e" hidden="1">#REF!</definedName>
    <definedName name="keajh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y" hidden="1">#REF!</definedName>
    <definedName name="keyrb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H">#REF!</definedName>
    <definedName name="khac">2</definedName>
    <definedName name="Khác">#REF!</definedName>
    <definedName name="KHDau" hidden="1">#REF!</definedName>
    <definedName name="KHĐT" hidden="1">#REF!</definedName>
    <definedName name="khgkhgkjhhmmbvm" hidden="1">{"'Sheet1'!$L$16"}</definedName>
    <definedName name="khkttt" hidden="1">{"'Sheet1'!$L$16"}</definedName>
    <definedName name="KhoHieu">#REF!</definedName>
    <definedName name="khongdung" hidden="1">{"'Sheet1'!$L$16"}</definedName>
    <definedName name="khongtruotgia" hidden="1">{"'Sheet1'!$L$16"}</definedName>
    <definedName name="KHSX" hidden="1">{"'Sheet1'!$L$16"}</definedName>
    <definedName name="khung" hidden="1">{"Tages_D",#N/A,FALSE,"Tagesbericht";"Tages_PL",#N/A,FALSE,"Tagesbericht"}</definedName>
    <definedName name="khuong" hidden="1">#REF!</definedName>
    <definedName name="KhuyenmaiUPS">"AutoShape 264"</definedName>
    <definedName name="khvay" hidden="1">{"'Sheet1'!$L$16"}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NG" hidden="1">#REF!</definedName>
    <definedName name="kinji" hidden="1">#REF!</definedName>
    <definedName name="kiyddfdr" hidden="1">{"'Sheet1'!$L$16"}</definedName>
    <definedName name="kj" hidden="1">{#N/A,#N/A,FALSE,"12"}</definedName>
    <definedName name="kja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a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ajds" hidden="1">{"'Sheet1'!$L$16"}</definedName>
    <definedName name="kj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f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gh" hidden="1">{"RUN3A",#N/A,FALSE,"BS-exist";"RUN3A","GROWTH RATE 8-5-7",FALSE,"IS-exist";"RUN3A","3rdRun without EquityInfusion;Sale of land(50-50)",FALSE,"CF-exist"}</definedName>
    <definedName name="KJGHKK">#REF!</definedName>
    <definedName name="KJH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jjkjgg" hidden="1">{"'Sheet1'!$L$16"}</definedName>
    <definedName name="kjjlll" hidden="1">{"'Sheet1'!$L$16"}</definedName>
    <definedName name="kjk" hidden="1">{"'Sheet1'!$L$16"}</definedName>
    <definedName name="kjkj">[0]!kjkj</definedName>
    <definedName name="kjkjkjk" hidden="1">{"'Sheet1'!$L$16"}</definedName>
    <definedName name="kjkjkjkjkjkjkk" hidden="1">{"年販売台数計画",#N/A,FALSE,"販売台数計画";"月販売台数計画",#N/A,FALSE,"販売台数計画"}</definedName>
    <definedName name="kjkjkjkjkkk" hidden="1">{"年販売台数計画",#N/A,FALSE,"販売台数計画";"月販売台数計画",#N/A,FALSE,"販売台数計画"}</definedName>
    <definedName name="KJYF" hidden="1">{#N/A,#N/A,TRUE,"일정"}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djajsd">#REF!</definedName>
    <definedName name="kkgdss" hidden="1">{"'Sheet1'!$L$16"}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llo" hidden="1">{"'Sheet1'!$L$16"}</definedName>
    <definedName name="kkk" hidden="1">{"tenancy detail",#N/A,FALSE,"Tenancies";"years1_2",#N/A,FALSE,"Tenancies";"years3_4",#N/A,FALSE,"Tenancies"}</definedName>
    <definedName name="ｋｋｋ" hidden="1">{"'Sheet1'!$L$16"}</definedName>
    <definedName name="kkkk" hidden="1">#REF!</definedName>
    <definedName name="kkkkk">#REF!</definedName>
    <definedName name="KKKKKKKKK">#N/A</definedName>
    <definedName name="kkkkkkkkkkkkkkkkkkkkkkkkkkkkkk">[0]!kkkkkkkkkkkkkkkkkkkkkkkkkkkkkk</definedName>
    <definedName name="kkkl" hidden="1">{"'Sheet1'!$L$16"}</definedName>
    <definedName name="kkl" hidden="1">{"'Sheet1'!$L$16"}</definedName>
    <definedName name="kkll" hidden="1">{"'Sheet1'!$L$16"}</definedName>
    <definedName name="kklleinene" hidden="1">{"Tages_D",#N/A,FALSE,"Tagesbericht";"Tages_PL",#N/A,FALSE,"Tagesbericht"}</definedName>
    <definedName name="kklll" hidden="1">{"'Sheet1'!$L$16"}</definedName>
    <definedName name="KLduonggiaods" hidden="1">{"'Sheet1'!$L$16"}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gÈ" hidden="1">{"'Sheet1'!$L$16"}</definedName>
    <definedName name="klhkl" hidden="1">{#N/A,#N/A,FALSE,"CCTV"}</definedName>
    <definedName name="kljzhsdkjfhs">#REF!</definedName>
    <definedName name="klkklk" hidden="1">{#N/A,#N/A,FALSE,"Sheet1";#N/A,#N/A,FALSE,"Sheet3";#N/A,#N/A,FALSE,"Sheet5"}</definedName>
    <definedName name="KLLT" hidden="1">#REF!</definedName>
    <definedName name="klm">#REF!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u" hidden="1">{"RUN2",#N/A,FALSE,"BS-exist";"RUN2","GROWTH RATE 8-5-7",FALSE,"IS-exist";"RUN2","2ndRun without Equity Infusion",FALSE,"CF-exist"}</definedName>
    <definedName name="klvs" hidden="1">{"'Sheet1'!$L$16"}</definedName>
    <definedName name="KMAnsicht">#REF!</definedName>
    <definedName name="KMWorksheetName">#REF!</definedName>
    <definedName name="KN_3411.1" hidden="1">#REF!</definedName>
    <definedName name="KN_3411.2" hidden="1">#REF!</definedName>
    <definedName name="KN_3411.3" hidden="1">#REF!</definedName>
    <definedName name="KN_3412.1" hidden="1">#REF!</definedName>
    <definedName name="KN_3412.2" hidden="1">#REF!</definedName>
    <definedName name="KN_3431.1d" hidden="1">#REF!</definedName>
    <definedName name="KN_3431.1n" hidden="1">#REF!</definedName>
    <definedName name="KN_3431.2" hidden="1">#REF!</definedName>
    <definedName name="KN_3431.3" hidden="1">#REF!</definedName>
    <definedName name="KN_CT121" hidden="1">#REF!</definedName>
    <definedName name="KN_CT157" hidden="1">#REF!</definedName>
    <definedName name="KN_CT251" hidden="1">#REF!</definedName>
    <definedName name="KN_CT253" hidden="1">#REF!</definedName>
    <definedName name="KN_CT255" hidden="1">#REF!</definedName>
    <definedName name="KN_CT327" hidden="1">#REF!</definedName>
    <definedName name="KNDAT_CHUA_SU_DUNG" hidden="1">#REF!</definedName>
    <definedName name="kobe" hidden="1">{"RUN3A",#N/A,FALSE,"BS-exist";"RUN3A","GROWTH RATE 8-5-7",FALSE,"IS-exist";"RUN3A","3rdRun without EquityInfusion;Sale of land(50-50)",FALSE,"CF-exist"}</definedName>
    <definedName name="KOVE" hidden="1">{"RUN3A",#N/A,FALSE,"BS-exist";"RUN3A","GROWTH RATE 8-5-7",FALSE,"IS-exist";"RUN3A","3rdRun without EquityInfusion;Sale of land(50-50)",FALSE,"CF-exist"}</definedName>
    <definedName name="kpcd">#REF!</definedName>
    <definedName name="KPI" hidden="1">{"'연구소 (게시용)'!$A$2:$H$12"}</definedName>
    <definedName name="kre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T">#REF!</definedName>
    <definedName name="KT_3411.1" hidden="1">#REF!</definedName>
    <definedName name="KT_3411.2" hidden="1">#REF!</definedName>
    <definedName name="KT_3411.3" hidden="1">#REF!</definedName>
    <definedName name="KT_3412.1" hidden="1">#REF!</definedName>
    <definedName name="KT_3412.2" hidden="1">#REF!</definedName>
    <definedName name="KT_3431.1d" hidden="1">#REF!</definedName>
    <definedName name="KT_3431.1n" hidden="1">#REF!</definedName>
    <definedName name="KT_3431.2" hidden="1">#REF!</definedName>
    <definedName name="KT_3431.3" hidden="1">#REF!</definedName>
    <definedName name="KT_CT121" hidden="1">#REF!</definedName>
    <definedName name="KT_CT157" hidden="1">#REF!</definedName>
    <definedName name="KT_CT251" hidden="1">#REF!</definedName>
    <definedName name="KT_CT253" hidden="1">#REF!</definedName>
    <definedName name="KT_CT255" hidden="1">#REF!</definedName>
    <definedName name="KT_CT327" hidden="1">#REF!</definedName>
    <definedName name="ktdk0" hidden="1">{#N/A,#N/A,FALSE,"Chi tiÆt"}</definedName>
    <definedName name="KTY" hidden="1">{#N/A,#N/A,FALSE,"단축1";#N/A,#N/A,FALSE,"단축2";#N/A,#N/A,FALSE,"단축3";#N/A,#N/A,FALSE,"장축";#N/A,#N/A,FALSE,"4WD"}</definedName>
    <definedName name="kukek" hidden="1">{"'Sheet1'!$L$16"}</definedName>
    <definedName name="kuklk" hidden="1">{"'Sheet1'!$L$16"}</definedName>
    <definedName name="kung" hidden="1">{"Tages_D",#N/A,FALSE,"Tagesbericht";"Tages_PL",#N/A,FALSE,"Tagesbericht"}</definedName>
    <definedName name="Kurt">#REF!</definedName>
    <definedName name="kurt11">#REF!</definedName>
    <definedName name="kurt12">#REF!</definedName>
    <definedName name="kurt13">#REF!</definedName>
    <definedName name="kurt14">#REF!</definedName>
    <definedName name="kurt15">#REF!</definedName>
    <definedName name="kurt16">#REF!</definedName>
    <definedName name="kurt17">#REF!</definedName>
    <definedName name="kurt2">#REF!</definedName>
    <definedName name="kurt3">#REF!</definedName>
    <definedName name="kurt4">#REF!</definedName>
    <definedName name="kurt5">#REF!</definedName>
    <definedName name="kurt6">#REF!</definedName>
    <definedName name="kurt7">#REF!</definedName>
    <definedName name="kurt8">#REF!</definedName>
    <definedName name="kurt9">#REF!</definedName>
    <definedName name="kutkuk" hidden="1">{"'Sheet1'!$L$16"}</definedName>
    <definedName name="Kye" hidden="1">#REF!</definedName>
    <definedName name="l" hidden="1">{"weichwaren",#N/A,FALSE,"Liste 1";"hartwaren",#N/A,FALSE,"Liste 1";"food",#N/A,FALSE,"Liste 1";"fleisch",#N/A,FALSE,"Liste 1"}</definedName>
    <definedName name="l.">(#REF!-1)*100+#REF!</definedName>
    <definedName name="l.dat" hidden="1">{"'Sheet1'!$L$16"}</definedName>
    <definedName name="L2_FM_LIST">OFFSET(#REF!,0,0,COUNTA(#REF!)-COUNTIF(#REF!,""),1)</definedName>
    <definedName name="L4PULLS">#REF!</definedName>
    <definedName name="L4RET">#REF!</definedName>
    <definedName name="la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e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i" hidden="1">{"'Sheet1'!$L$16"}</definedName>
    <definedName name="lakdbjrvh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m" hidden="1">{"'Sheet1'!$L$16"}</definedName>
    <definedName name="lan" hidden="1">{#N/A,#N/A,TRUE,"BT M200 da 10x20"}</definedName>
    <definedName name="lang">#REF!</definedName>
    <definedName name="lang1">"TV"</definedName>
    <definedName name="langson" hidden="1">{"'Sheet1'!$L$16"}</definedName>
    <definedName name="LANPUL">#REF!</definedName>
    <definedName name="LANRET">#REF!</definedName>
    <definedName name="LAR">#REF!</definedName>
    <definedName name="Last">#REF!</definedName>
    <definedName name="Last_Line">#N/A</definedName>
    <definedName name="Last_Name">#REF!</definedName>
    <definedName name="LastSavedIsMultiplier">1</definedName>
    <definedName name="latxay" hidden="1">{"'Sheet1'!$L$16"}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">#REF!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OSummary" hidden="1">{"LBO Summary",#N/A,FALSE,"Summary"}</definedName>
    <definedName name="LCGT" hidden="1">#REF!</definedName>
    <definedName name="lct">#REF!</definedName>
    <definedName name="LCTT" hidden="1">#REF!</definedName>
    <definedName name="ldarhgea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" hidden="1">{"'Sheet1'!$L$16"}</definedName>
    <definedName name="LeadTime">#REF!</definedName>
    <definedName name="l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ui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ien" hidden="1">{"fleisch",#N/A,FALSE,"WG HK";"food",#N/A,FALSE,"WG HK";"hartwaren",#N/A,FALSE,"WG HK";"weichwaren",#N/A,FALSE,"WG HK"}</definedName>
    <definedName name="lfdka" hidden="1">{"'Sheet1'!$L$16"}</definedName>
    <definedName name="LFKFJFO" hidden="1">{#N/A,#N/A,FALSE,"CCTV"}</definedName>
    <definedName name="Lft">#REF!</definedName>
    <definedName name="lhn" hidden="1">{#N/A,#N/A,FALSE,"CCTV"}</definedName>
    <definedName name="LHSDHSD" hidden="1">{#N/A,#N/A,TRUE,"일정"}</definedName>
    <definedName name="liabilities">#REF!</definedName>
    <definedName name="lich">#N/A</definedName>
    <definedName name="Lift">#REF!</definedName>
    <definedName name="Light_Electrical_Equipment">#REF!</definedName>
    <definedName name="Light_Electrical_EquipmentAudio_Visual_Equipment">#REF!</definedName>
    <definedName name="Light_Electrical_EquipmentConsumer_Electronics">#REF!</definedName>
    <definedName name="Light_Electrical_EquipmentLight_Electrical_Equipment_Others">#REF!</definedName>
    <definedName name="Light_Electrical_EquipmentLighting_Equipment">#REF!</definedName>
    <definedName name="lihao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limcount" hidden="1">1</definedName>
    <definedName name="Line_Number">#N/A</definedName>
    <definedName name="linh" hidden="1">{"'Sheet1'!$L$16"}</definedName>
    <definedName name="link">#REF!</definedName>
    <definedName name="LINPULL">#REF!</definedName>
    <definedName name="LINRET">#REF!</definedName>
    <definedName name="list">OFFSET(#REF!,0,0,COUNTA(#REF!),39)</definedName>
    <definedName name="List1">#REF!</definedName>
    <definedName name="List2a">#REF!</definedName>
    <definedName name="ListCS">#REF!</definedName>
    <definedName name="ListOffset" hidden="1">1</definedName>
    <definedName name="lito" hidden="1">{"RUN2",#N/A,FALSE,"BS-exist";"RUN2","GROWTH RATE 8-5-7",FALSE,"IS-exist";"RUN2","2ndRun without Equity Infusion",FALSE,"CF-exist"}</definedName>
    <definedName name="liurea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jhghg" hidden="1">{"'Sheet1'!$L$16"}</definedName>
    <definedName name="ljk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jklk" hidden="1">{"'Sheet1'!$L$16"}</definedName>
    <definedName name="ljl" hidden="1">#REF!</definedName>
    <definedName name="lj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">#REF!</definedName>
    <definedName name="lka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dajf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j">#REF!</definedName>
    <definedName name="LKJHKU" hidden="1">{#N/A,#N/A,FALSE,"CCTV"}</definedName>
    <definedName name="lk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kklll" hidden="1">{"'Sheet1'!$L$16"}</definedName>
    <definedName name="lkl" hidden="1">{#N/A,#N/A,FALSE,"Chi tiÆt"}</definedName>
    <definedName name="lklkhh" hidden="1">{"'Sheet1'!$L$16"}</definedName>
    <definedName name="LL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>#REF!</definedName>
    <definedName name="ｌｌｌ">#REF!</definedName>
    <definedName name="lllj" hidden="1">{"'Sheet1'!$L$16"}</definedName>
    <definedName name="llll" hidden="1">{"'Sheet1'!$L$16"}</definedName>
    <definedName name="ｌｌｌｌ">#REF!</definedName>
    <definedName name="ｌｌｌｌｌ">#REF!</definedName>
    <definedName name="ｌｌｌｌｌｌ">#REF!</definedName>
    <definedName name="ｌｌｌｌｌｌｌ">#REF!</definedName>
    <definedName name="llllllll">#REF!</definedName>
    <definedName name="ｌｌｌｌｌｌｌｌ">#REF!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" hidden="1">#N/A</definedName>
    <definedName name="lmn">#REF!</definedName>
    <definedName name="LM台数">#N/A</definedName>
    <definedName name="ＬＭ簡易台数" hidden="1">{"年販売台数計画",#N/A,FALSE,"販売台数計画";"月販売台数計画",#N/A,FALSE,"販売台数計画"}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Result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Result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ö" hidden="1">{"fleisch",#N/A,FALSE,"WG HK";"food",#N/A,FALSE,"WG HK";"hartwaren",#N/A,FALSE,"WG HK";"weichwaren",#N/A,FALSE,"WG HK"}</definedName>
    <definedName name="Loai_BCTC" hidden="1">#REF!</definedName>
    <definedName name="Loai_YKien" hidden="1">#REF!*1+#REF!*1+#REF!*1+#REF!*1</definedName>
    <definedName name="LOAN" hidden="1">{#N/A,#N/A,FALSE,"Income State.";#N/A,#N/A,FALSE,"B-S"}</definedName>
    <definedName name="Loan_DoiTac">#REF!</definedName>
    <definedName name="Loan_Khoan">#REF!</definedName>
    <definedName name="Loan_KhoanVay" hidden="1">#REF!</definedName>
    <definedName name="Loan_SoTien">#REF!</definedName>
    <definedName name="Loan_Thang">#REF!</definedName>
    <definedName name="LOANS">#REF!</definedName>
    <definedName name="LOANSAF">#REF!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TION">#REF!</definedName>
    <definedName name="LocCtu" hidden="1">OFFSET(#REF!,0,0,COUNTA(#REF!))</definedName>
    <definedName name="LOCO" hidden="1">{"'Sheet1'!$L$16"}</definedName>
    <definedName name="LOCO2" hidden="1">{"'Sheet1'!$L$16"}</definedName>
    <definedName name="lofm" hidden="1">#REF!</definedName>
    <definedName name="Logistics">#REF!</definedName>
    <definedName name="Logistics1">#REF!</definedName>
    <definedName name="logo">#REF!</definedName>
    <definedName name="loin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ölö" hidden="1">{"fleisch",#N/A,FALSE,"WG HK";"food",#N/A,FALSE,"WG HK";"hartwaren",#N/A,FALSE,"WG HK";"weichwaren",#N/A,FALSE,"WG HK"}</definedName>
    <definedName name="Long" hidden="1">{"'Sheet1'!$L$16"}</definedName>
    <definedName name="long1" hidden="1">{"'Sheet1'!$L$16"}</definedName>
    <definedName name="Lookup_Col1">#REF!</definedName>
    <definedName name="Lookup_Col2">#REF!</definedName>
    <definedName name="Lookup_col3">#REF!</definedName>
    <definedName name="Lop">#REF!</definedName>
    <definedName name="LORDPULL">#REF!</definedName>
    <definedName name="LORDRET">#REF!</definedName>
    <definedName name="lower_specc">#REF!</definedName>
    <definedName name="lowsulfurdiesel" hidden="1">{"PAGE1",#N/A,FALSE,"YIELDS";"PAGE2",#N/A,FALSE,"YIELDS";"PAGE3",#N/A,FALSE,"YIELDS"}</definedName>
    <definedName name="lstOrganization">"List Box 4"</definedName>
    <definedName name="lstRegion">"List Box 5"</definedName>
    <definedName name="lt" hidden="1">#REF!</definedName>
    <definedName name="LTKD" hidden="1">{"'Sheet1'!$L$16"}</definedName>
    <definedName name="LTKDDC" hidden="1">{"'Sheet1'!$L$16"}</definedName>
    <definedName name="LuaChonBan">#REF!</definedName>
    <definedName name="LuaChonPhong">#REF!</definedName>
    <definedName name="luan" hidden="1">{"'Sheet1'!$L$16"}</definedName>
    <definedName name="luc" hidden="1">{"'Sheet1'!$L$16"}</definedName>
    <definedName name="Luca" hidden="1">#REF!</definedName>
    <definedName name="LUCACUM">#REF!</definedName>
    <definedName name="luong" hidden="1">{"'Sheet1'!$L$16"}</definedName>
    <definedName name="LuongCoBan">#REF!</definedName>
    <definedName name="LuyKe" localSheetId="1">NoiThang([0]!Thang01,[0]!ThangNay)</definedName>
    <definedName name="LuyKe">NoiThang(Thang01,ThangNay)</definedName>
    <definedName name="LV" hidden="1">{"'Sheet1'!$L$16"}</definedName>
    <definedName name="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.">(#REF!-1)*100+1&amp;":"&amp;(#REF!-1)*100+12</definedName>
    <definedName name="M.PER">#REF!</definedName>
    <definedName name="M.YTD">#REF!</definedName>
    <definedName name="m_Ausgabe">#REF!</definedName>
    <definedName name="m_Ausgabe_Config">#REF!</definedName>
    <definedName name="m_Ausgabe_ZTs">#REF!</definedName>
    <definedName name="M_CNSLSCOP">#REF!</definedName>
    <definedName name="M_COMPANY">#REF!</definedName>
    <definedName name="M_COMPIDST">#REF!</definedName>
    <definedName name="M_COUNTRY">#REF!</definedName>
    <definedName name="M_EXCGRATE">#REF!</definedName>
    <definedName name="M_PlaceofPath">"F:\MREGAN\win\EXL\CO\HVAC\WLV\WLV_vdf.xls"</definedName>
    <definedName name="M10." hidden="1">{"'Sheet1'!$L$16"}</definedName>
    <definedName name="M5FTQ">#REF!</definedName>
    <definedName name="MA">#REF!</definedName>
    <definedName name="ma_bp">#REF!</definedName>
    <definedName name="ma_cty">#REF!</definedName>
    <definedName name="ma_phi">#REF!</definedName>
    <definedName name="MA_SP">#REF!</definedName>
    <definedName name="MA_TK">#REF!</definedName>
    <definedName name="ma_xdcb">#REF!</definedName>
    <definedName name="Mabophan">#REF!</definedName>
    <definedName name="mabophan1">#REF!</definedName>
    <definedName name="Mabophan2">#REF!</definedName>
    <definedName name="machiphi">#REF!</definedName>
    <definedName name="MACRO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17">#N/A</definedName>
    <definedName name="Macro18">#REF!</definedName>
    <definedName name="Macro19">#REF!</definedName>
    <definedName name="Macro2">#REF!</definedName>
    <definedName name="Macro21">#REF!</definedName>
    <definedName name="Macro23">#REF!</definedName>
    <definedName name="Macro24">#REF!</definedName>
    <definedName name="Macro26">#REF!</definedName>
    <definedName name="Macro27">#REF!</definedName>
    <definedName name="Macro28">#REF!</definedName>
    <definedName name="Macro29">#REF!</definedName>
    <definedName name="Macro3">#REF!</definedName>
    <definedName name="Macro30">#REF!</definedName>
    <definedName name="Macro31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S">#REF!</definedName>
    <definedName name="mada">#REF!</definedName>
    <definedName name="mai" hidden="1">{"'Sheet1'!$L$16"}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Account">#REF!</definedName>
    <definedName name="make">#REF!</definedName>
    <definedName name="MAKH_CO">#REF!</definedName>
    <definedName name="MAKH_NO">#REF!</definedName>
    <definedName name="Makrodreieck">#N/A</definedName>
    <definedName name="Makrokreis">#N/A</definedName>
    <definedName name="Makrokreuz">#N/A</definedName>
    <definedName name="ManagerReview">#REF!</definedName>
    <definedName name="map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marketList">OFFSET(#REF!,0,0,2000-COUNTBLANK(#REF!))</definedName>
    <definedName name="MASTER" hidden="1">{#N/A,#N/A,TRUE,"일정"}</definedName>
    <definedName name="master1">#REF!</definedName>
    <definedName name="master2">#REF!</definedName>
    <definedName name="Mat_US">#REF!</definedName>
    <definedName name="MATERIAL">#REF!</definedName>
    <definedName name="MatGroup">#REF!</definedName>
    <definedName name="Matriz_acompanhamento">[0]!Matriz_acompanhamento</definedName>
    <definedName name="Matriz_acompanhamento2">[0]!Matriz_acompanhamento2</definedName>
    <definedName name="Matriz_acompanhamento3">[0]!Matriz_acompanhamento3</definedName>
    <definedName name="MaType">#REF!</definedName>
    <definedName name="MAU" hidden="1">{"'Sheet1'!$L$16"}</definedName>
    <definedName name="Mau_BCKT" hidden="1">#REF!</definedName>
    <definedName name="MaVatTu">#REF!</definedName>
    <definedName name="MaVatTu1">#REF!</definedName>
    <definedName name="MAY" hidden="1">#REF!</definedName>
    <definedName name="May_2001">#REF!</definedName>
    <definedName name="MAZ">#REF!</definedName>
    <definedName name="MAZ_CO">#REF!</definedName>
    <definedName name="MAZ_NO">#REF!</definedName>
    <definedName name="Mazda62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mba">#REF!</definedName>
    <definedName name="mbay">#REF!</definedName>
    <definedName name="mbm" hidden="1">{"'Sheet1'!$L$16"}</definedName>
    <definedName name="mbon">#REF!</definedName>
    <definedName name="MC" hidden="1">{#N/A,#N/A,FALSE,"자재관리";#N/A,#N/A,FALSE,"자재관리";#N/A,#N/A,FALSE,"자재관리"}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DRWISS">#REF!</definedName>
    <definedName name="MCDRWRCV">#REF!</definedName>
    <definedName name="MCISIR">#REF!</definedName>
    <definedName name="MCITEM">#REF!</definedName>
    <definedName name="mck" hidden="1">{#N/A,#N/A,FALSE,"Chi tiÆt"}</definedName>
    <definedName name="MCMPLAN">#REF!</definedName>
    <definedName name="MCSAMPLAN">#REF!</definedName>
    <definedName name="MCSAMRCVD">#REF!</definedName>
    <definedName name="MDC">1</definedName>
    <definedName name="MDCMII" hidden="1">#REF!</definedName>
    <definedName name="me">#REF!</definedName>
    <definedName name="MECC">#REF!</definedName>
    <definedName name="MECC_TRAD">#REF!</definedName>
    <definedName name="Mech" hidden="1">#REF!</definedName>
    <definedName name="Medical">#REF!</definedName>
    <definedName name="MedicalHealth_Care_Facilities">#REF!</definedName>
    <definedName name="MedicalMedical_Equipment">#REF!</definedName>
    <definedName name="MedicalMedical_Others">#REF!</definedName>
    <definedName name="MEFY">#REF!</definedName>
    <definedName name="megoal">#REF!</definedName>
    <definedName name="menu">#REF!</definedName>
    <definedName name="Menu_Despesas">#REF!</definedName>
    <definedName name="Menu_Dfs">#REF!</definedName>
    <definedName name="Menu_Financ">#REF!</definedName>
    <definedName name="Menu_Operacional">#REF!</definedName>
    <definedName name="Menu_Premissas">#REF!</definedName>
    <definedName name="Menu_Principal">#REF!</definedName>
    <definedName name="merito1" hidden="1">#REF!</definedName>
    <definedName name="MerrillPrintIt" hidden="1">#N/A</definedName>
    <definedName name="MESE">#REF!</definedName>
    <definedName name="MESEB">#REF!</definedName>
    <definedName name="META">OFFSET(#REF!,,,(COUNTA(#REF!)-1),)</definedName>
    <definedName name="Method">#REF!</definedName>
    <definedName name="metmoi">#REF!</definedName>
    <definedName name="metmoivaidai">#REF!</definedName>
    <definedName name="metqua">#REF!</definedName>
    <definedName name="MgrReview">#REF!</definedName>
    <definedName name="MH_출장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HAI">#REF!</definedName>
    <definedName name="mhhfvsda">#REF!</definedName>
    <definedName name="miho" hidden="1">{"RUN2",#N/A,FALSE,"BS-exist";"RUN2","GROWTH RATE 8-5-7",FALSE,"IS-exist";"RUN2","2ndRun without Equity Infusion",FALSE,"CF-exist"}</definedName>
    <definedName name="miho1" hidden="1">{"RUN3A",#N/A,FALSE,"BS-exist";"RUN3A","GROWTH RATE 8-5-7",FALSE,"IS-exist";"RUN3A","3rdRun without EquityInfusion;Sale of land(50-50)",FALSE,"CF-exist"}</definedName>
    <definedName name="miho3" hidden="1">{"RUN3A",#N/A,FALSE,"BS-exist";"RUN3A","GROWTH RATE 8-5-7",FALSE,"IS-exist";"RUN3A","3rdRun without EquityInfusion;Sale of land(50-50)",FALSE,"CF-exist"}</definedName>
    <definedName name="miho4" hidden="1">{"RUN3A",#N/A,FALSE,"BS-exist";"RUN3A","GROWTH RATE 8-5-7",FALSE,"IS-exist";"RUN3A","3rdRun without EquityInfusion;Sale of land(50-50)",FALSE,"CF-exist"}</definedName>
    <definedName name="miho5" hidden="1">{"RUN3A",#N/A,FALSE,"BS-exist";"RUN3A","GROWTH RATE 8-5-7",FALSE,"IS-exist";"RUN3A","3rdRun without EquityInfusion;Sale of land(50-50)",FALSE,"CF-exist"}</definedName>
    <definedName name="miho6" hidden="1">{"RUN2",#N/A,FALSE,"BS-exist";"RUN2","GROWTH RATE 8-5-7",FALSE,"IS-exist";"RUN2","2ndRun without Equity Infusion",FALSE,"CF-exist"}</definedName>
    <definedName name="mil">1000000</definedName>
    <definedName name="mito" hidden="1">{#N/A,#N/A,FALSE,"India - 3f";#N/A,#N/A,FALSE,"India - 3";#N/A,#N/A,FALSE,"India - 4f";#N/A,#N/A,FALSE,"India - 4";#N/A,#N/A,FALSE,"Retail Spider"}</definedName>
    <definedName name="miyazu비교" hidden="1">{#N/A,#N/A,FALSE,"신규dep";#N/A,#N/A,FALSE,"신규dep-금형상각후";#N/A,#N/A,FALSE,"신규dep-연구비상각후";#N/A,#N/A,FALSE,"신규dep-기계,공구상각후"}</definedName>
    <definedName name="miyu" hidden="1">{"'Sheet1'!$L$16"}</definedName>
    <definedName name="MKT" hidden="1">#REF!</definedName>
    <definedName name="mm" hidden="1">{"weichwaren",#N/A,FALSE,"Liste 1";"hartwaren",#N/A,FALSE,"Liste 1";"food",#N/A,FALSE,"Liste 1";"fleisch",#N/A,FALSE,"Liste 1"}</definedName>
    <definedName name="MM_TRAD">#REF!</definedName>
    <definedName name="mmm" hidden="1">{"tenancy detail",#N/A,FALSE,"Tenancies";"years1_2",#N/A,FALSE,"Tenancies";"years3_4",#N/A,FALSE,"Tenancies"}</definedName>
    <definedName name="ｍｍｍ" hidden="1">{"'Sheet1'!$L$16"}</definedName>
    <definedName name="mmmm" hidden="1">{"'Sheet1'!$L$16"}</definedName>
    <definedName name="ｍｍｍｍ" hidden="1">{"'Sheet1'!$L$16"}</definedName>
    <definedName name="mmmmmmmmmmmm" hidden="1">#N/A</definedName>
    <definedName name="mmmmmmmmmmmmjjj" hidden="1">{"'Sheet1'!$L$16"}</definedName>
    <definedName name="mmot">#REF!</definedName>
    <definedName name="mnam">#REF!</definedName>
    <definedName name="mnb">#REF!</definedName>
    <definedName name="mo" hidden="1">{"'Sheet1'!$L$16"}</definedName>
    <definedName name="MOD">#REF!</definedName>
    <definedName name="Mod_regis">#REF!</definedName>
    <definedName name="Model">#REF!</definedName>
    <definedName name="Model_Code">#REF!</definedName>
    <definedName name="Model_year">#REF!</definedName>
    <definedName name="ModGrp">#REF!</definedName>
    <definedName name="Modul">#REF!</definedName>
    <definedName name="modules">#REF!</definedName>
    <definedName name="moi" hidden="1">{"'Sheet1'!$L$16"}</definedName>
    <definedName name="Moicheck">#REF!</definedName>
    <definedName name="MOLESTI">#REF!</definedName>
    <definedName name="MONT">#REF!</definedName>
    <definedName name="Month">#REF!</definedName>
    <definedName name="MONTH19">#REF!</definedName>
    <definedName name="MONTH20">#REF!</definedName>
    <definedName name="MONTH2019">#REF!</definedName>
    <definedName name="MONTH2020">#REF!</definedName>
    <definedName name="MONTH2021">#REF!</definedName>
    <definedName name="MONTH2022">#REF!</definedName>
    <definedName name="MONTH21">#REF!</definedName>
    <definedName name="MONTH22">#REF!</definedName>
    <definedName name="MONTH27">#REF!</definedName>
    <definedName name="monthl" hidden="1">{"'Monthly 1997'!$A$3:$S$89"}</definedName>
    <definedName name="Monthly" hidden="1">{"'Monthly 1997'!$A$3:$S$89"}</definedName>
    <definedName name="monthNames">#REF!</definedName>
    <definedName name="months">#REF!</definedName>
    <definedName name="MonthYear">#REF!</definedName>
    <definedName name="MONTP">#REF!</definedName>
    <definedName name="MORPULL">#REF!</definedName>
    <definedName name="MORRET">#REF!</definedName>
    <definedName name="mot">#REF!</definedName>
    <definedName name="Moviment">#REF!</definedName>
    <definedName name="MP">#REF!</definedName>
    <definedName name="MPC派生前出" hidden="1">{"年販売台数計画",#N/A,FALSE,"販売台数計画";"月販売台数計画",#N/A,FALSE,"販売台数計画"}</definedName>
    <definedName name="MPC派生車前出">#N/A</definedName>
    <definedName name="MPLAN">#REF!</definedName>
    <definedName name="msau">#REF!</definedName>
    <definedName name="mtam">#REF!</definedName>
    <definedName name="mt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THL_Control_2" hidden="1">{"'Sheet1'!$A$1:$H$145"}</definedName>
    <definedName name="Mũ">#REF!</definedName>
    <definedName name="MucTrongYeu" hidden="1">#REF!</definedName>
    <definedName name="MucTrongYeuTH" hidden="1">#REF!</definedName>
    <definedName name="muoi">#REF!</definedName>
    <definedName name="muroi" hidden="1">#REF!</definedName>
    <definedName name="MV" hidden="1">{#N/A,#N/A,FALSE,"Sheet1";#N/A,#N/A,FALSE,"Sheet3";#N/A,#N/A,FALSE,"Sheet5"}</definedName>
    <definedName name="mvac" hidden="1">{"'Sheet1'!$L$16"}</definedName>
    <definedName name="MX_grade">#REF!</definedName>
    <definedName name="MX_marketrelation">#REF!</definedName>
    <definedName name="MX_relationamount">#REF!</definedName>
    <definedName name="MX_salary">#REF!</definedName>
    <definedName name="mxdgm">#REF!</definedName>
    <definedName name="mxfac">#REF!</definedName>
    <definedName name="mxgm">#REF!</definedName>
    <definedName name="mxhr">#REF!</definedName>
    <definedName name="mxme">#REF!</definedName>
    <definedName name="mxpro">#REF!</definedName>
    <definedName name="mxqp">#REF!</definedName>
    <definedName name="mxsm">#REF!</definedName>
    <definedName name="MXStructure_data">#REF!</definedName>
    <definedName name="MXStructure_header">#REF!</definedName>
    <definedName name="my">#REF!</definedName>
    <definedName name="mzt" hidden="1">{"RUN4A",#N/A,FALSE,"BS-exist";"RUN4A","GROWTH RATE 8-5-7",FALSE,"IS-exist";"RUN4A","4thRun without EquityInfusion;Sale of land 75M",FALSE,"CF-exist"}</definedName>
    <definedName name="n" hidden="1">{"F3 detail",#N/A,FALSE,"F1";"F3 Presentation",#N/A,FALSE,"F3 "}</definedName>
    <definedName name="n\">#REF!</definedName>
    <definedName name="Na" hidden="1">{"'Sheet1'!$L$16"}</definedName>
    <definedName name="Nam" hidden="1">#N/A</definedName>
    <definedName name="Namdinh" hidden="1">{"'Sheet1'!$L$16"}</definedName>
    <definedName name="NAME" hidden="1">{#N/A,#N/A,TRUE,"SUM";#N/A,#N/A,TRUE,"EE";#N/A,#N/A,TRUE,"AC";#N/A,#N/A,TRUE,"SN"}</definedName>
    <definedName name="Name1">#REF!</definedName>
    <definedName name="NamePayroll">#REF!</definedName>
    <definedName name="NamTruoc">#N/A</definedName>
    <definedName name="NB" hidden="1">{"'Sheet1'!$L$16"}</definedName>
    <definedName name="Ncode" hidden="1">#REF!</definedName>
    <definedName name="ND">#REF!</definedName>
    <definedName name="Ne" hidden="1">{"'Sheet1'!$L$16"}</definedName>
    <definedName name="neee" hidden="1">{"'Sheet1'!$L$16"}</definedName>
    <definedName name="NegotiationDay">#REF!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o" hidden="1">{"RUN5A",#N/A,FALSE,"BS-exist";"RUN5A","GROWTH RATE 8-5-7",FALSE,"IS-exist";"RUN5A","5th Run without EquityInfusion;Sale of asset(75-35)",FALSE,"CF-exist"}</definedName>
    <definedName name="nepcua" hidden="1">{#N/A,#N/A,FALSE,"Chi tiÆt"}</definedName>
    <definedName name="netn" hidden="1">#REF!</definedName>
    <definedName name="netto_invest">#REF!</definedName>
    <definedName name="neu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ew" hidden="1">{"'Sheet1'!$L$16"}</definedName>
    <definedName name="New_Energy">#REF!</definedName>
    <definedName name="New_EnergyNew_Energy_Others">#REF!</definedName>
    <definedName name="New_EnergySolar_Power">#REF!</definedName>
    <definedName name="new_format" hidden="1">{0}</definedName>
    <definedName name="New_project">#REF!</definedName>
    <definedName name="newformat" hidden="1">{"'TDTGT (theo Dphuong)'!$A$4:$F$75"}</definedName>
    <definedName name="NEWNAME" hidden="1">{#N/A,#N/A,FALSE,"CCTV"}</definedName>
    <definedName name="NewRange" hidden="1">#N/A</definedName>
    <definedName name="nfﾎtｭ">#N/A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AN" hidden="1">#REF!</definedName>
    <definedName name="ngay">#REF!</definedName>
    <definedName name="ngay23" hidden="1">{"'Sheet1'!$L$16"}</definedName>
    <definedName name="Ngaynghi">#REF!</definedName>
    <definedName name="ngfnnfdnnndfndfffffff" hidden="1">{"'Sheet1'!$L$16"}</definedName>
    <definedName name="nghgh" hidden="1">{"'Sheet1'!$L$16"}</definedName>
    <definedName name="ngljlj" hidden="1">{"'Sheet1'!$L$16"}</definedName>
    <definedName name="NgonNgu">#REF!</definedName>
    <definedName name="ngu" hidden="1">{"'Sheet1'!$L$16"}</definedName>
    <definedName name="Nguồn_KH">#REF!</definedName>
    <definedName name="NguyenDiep" hidden="1">{"'Sheet1'!$L$16"}</definedName>
    <definedName name="nguyenthihaivan" localSheetId="1" hidden="1">Main.SAPF4Help()</definedName>
    <definedName name="nguyenthihaivan" hidden="1">Main.SAPF4Help()</definedName>
    <definedName name="NH">#REF!</definedName>
    <definedName name="nha" hidden="1">{"年販売台数計画",#N/A,FALSE,"販売台数計画";"月販売台数計画",#N/A,FALSE,"販売台数計画"}</definedName>
    <definedName name="nham" hidden="1">{0,#VALUE!,0,0;0,#VALUE!,0,#VALUE!;0,0,0,0;#NULL!,0,0,0;0,0,TRUE,0;0,#N/A,FALSE,0;0,#N/A,FALSE,0}</definedName>
    <definedName name="nhan">#REF!</definedName>
    <definedName name="Nhan_su">#REF!</definedName>
    <definedName name="nhanuoc" hidden="1">{"'Sheet1'!$L$16"}</definedName>
    <definedName name="nharac" hidden="1">{#N/A,#N/A,FALSE,"Chi tiÆt"}</definedName>
    <definedName name="Nhiem" hidden="1">{"'Sheet1'!$L$16"}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hjythh" hidden="1">{"DCF","UPSIDE CASE",FALSE,"Sheet1";"DCF","BASE CASE",FALSE,"Sheet1";"DCF","DOWNSIDE CASE",FALSE,"Sheet1"}</definedName>
    <definedName name="NHOM">#REF!</definedName>
    <definedName name="Nhom2ChucNang">#REF!</definedName>
    <definedName name="Nhom3ChucNang">#REF!</definedName>
    <definedName name="nhucthe">#REF!</definedName>
    <definedName name="NHUNG" hidden="1">{"'Sheet1'!$L$16"}</definedName>
    <definedName name="Nhuphat" hidden="1">{"'Sheet1'!$L$16"}</definedName>
    <definedName name="nm" hidden="1">{"'Sheet1'!$L$16"}</definedName>
    <definedName name="nmkljmkl" hidden="1">{#N/A,#N/A,FALSE,"India - 3f";#N/A,#N/A,FALSE,"India - 3";#N/A,#N/A,FALSE,"India - 4f";#N/A,#N/A,FALSE,"India - 4";#N/A,#N/A,FALSE,"Retail Spider"}</definedName>
    <definedName name="nn" hidden="1">{#N/A,#N/A,FALSE,"Sensitivity"}</definedName>
    <definedName name="NN_SoKDieuChinh" hidden="1">#REF!</definedName>
    <definedName name="nn3p" hidden="1">#N/A</definedName>
    <definedName name="NNewname" hidden="1">{"BU Total Print Summary",#N/A,FALSE,"BU Total";"EPC Print Summary",#N/A,FALSE,"EPC";"WPC Print Summary",#N/A,FALSE,"WPC";"HPC Print Summary",#N/A,FALSE,"HPC-Total";"EXP Print Summary",#N/A,FALSE,"EXP";"BUGen Print Summary",#N/A,FALSE,"BU General"}</definedName>
    <definedName name="nnhjkujk" hidden="1">#REF!</definedName>
    <definedName name="NNL" hidden="1">{"'boi duong nang nhoc'!$A$1"}</definedName>
    <definedName name="nnn" hidden="1">{"'Sheet1'!$L$16"}</definedName>
    <definedName name="nnn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">#REF!</definedName>
    <definedName name="nnnnn" hidden="1">{"'Sheet1'!$L$16"}</definedName>
    <definedName name="NNNNNNN" hidden="1">{#N/A,#N/A,FALSE,"단축1";#N/A,#N/A,FALSE,"단축2";#N/A,#N/A,FALSE,"단축3";#N/A,#N/A,FALSE,"장축";#N/A,#N/A,FALSE,"4WD"}</definedName>
    <definedName name="nnnnnnnnnnn" hidden="1">{#N/A,#N/A,FALSE,"Chi tiÆt"}</definedName>
    <definedName name="NO">#REF!</definedName>
    <definedName name="No.10" hidden="1">{"'Sheet1'!$L$16"}</definedName>
    <definedName name="No.9" hidden="1">{"'Sheet1'!$L$16"}</definedName>
    <definedName name="No_Of_Actual">#REF!</definedName>
    <definedName name="NOP">#REF!</definedName>
    <definedName name="NOPEXP">#REF!</definedName>
    <definedName name="Note" hidden="1">#REF!</definedName>
    <definedName name="nouveau_classeur" hidden="1">"="</definedName>
    <definedName name="NOV" hidden="1">#REF!</definedName>
    <definedName name="NPP" hidden="1">#N/A</definedName>
    <definedName name="Nr.">#REF!</definedName>
    <definedName name="nrw" hidden="1">{#N/A,#N/A,FALSE,"6"}</definedName>
    <definedName name="NS">#REF!</definedName>
    <definedName name="NSC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NSOO" hidden="1">{"'Sheet1'!$L$16"}</definedName>
    <definedName name="NT">#REF!</definedName>
    <definedName name="NT_DCCo" hidden="1">#REF!</definedName>
    <definedName name="NT_DCNo" hidden="1">#REF!</definedName>
    <definedName name="NTE" hidden="1">{"'Sheet1'!$L$16"}</definedName>
    <definedName name="NTPL">"NTPL13;NTPL12;DCPL"</definedName>
    <definedName name="nuoc" hidden="1">#N/A</definedName>
    <definedName name="NUOCHKHOAN" hidden="1">{"'Sheet1'!$L$16"}</definedName>
    <definedName name="NUOCHKHOANMOI" hidden="1">{"'Sheet1'!$L$16"}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"V2004-09-30"</definedName>
    <definedName name="NvsAutoDrillOk">"VN"</definedName>
    <definedName name="NvsElapsedTime">0.000115740738692693</definedName>
    <definedName name="NvsEndTime">38274.6109953704</definedName>
    <definedName name="NvsInstLang">"VENG"</definedName>
    <definedName name="NvsInstSpec">"%,LACTUALS,SYTD,FACCOUNT,TEXTERNAL_ACCT_TREE,NRENT_EXP,FBUSINESS_UNIT,TCONSOLIDATED_LEH,NCONSOL_BU"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"%,XZF.ACCOUNT.PSDetail"</definedName>
    <definedName name="NvsPanelEffdt">"V1995-01-01"</definedName>
    <definedName name="NvsPanelSetid">"VMFG"</definedName>
    <definedName name="NvsParentRef">"[TOP_LEH.xls]Sheet1!$AF$287"</definedName>
    <definedName name="NvsReqBU">"VELIM1"</definedName>
    <definedName name="NvsReqBUOnly">"VN"</definedName>
    <definedName name="NvsTransLed">"VN"</definedName>
    <definedName name="NvsTreeASD">"V2004-09-30"</definedName>
    <definedName name="o" hidden="1">#REF!</definedName>
    <definedName name="o.">(#REF!-1)*100+#REF!</definedName>
    <definedName name="O_C_Eng_CAN_WNG">#REF!</definedName>
    <definedName name="O_C_Eng_WH_toDorN">#REF!</definedName>
    <definedName name="O_C_Eng_WH_WNG">#REF!</definedName>
    <definedName name="O_C_Eng2_CAN_toDorN">#REF!</definedName>
    <definedName name="O_C_Eng2_CAN_WNG">#REF!</definedName>
    <definedName name="O_Charge_toDorN">#REF!</definedName>
    <definedName name="O_Charge_WNG">#REF!</definedName>
    <definedName name="O_Child_Lock_CAN_WNG">#REF!</definedName>
    <definedName name="O_Child_Lock_WH_WNG">#REF!</definedName>
    <definedName name="O_Clock_OnOff">#REF!</definedName>
    <definedName name="O_Convertible_WNG">#REF!</definedName>
    <definedName name="O_Cruise_CAN_ACC_IND">#REF!</definedName>
    <definedName name="O_Cruise_CAN_ECM_IND">#REF!</definedName>
    <definedName name="O_Cruise_CAN_WNG">#REF!</definedName>
    <definedName name="O_Cruise_WH_IND">#REF!</definedName>
    <definedName name="O_Cruise_WH_toDorN">#REF!</definedName>
    <definedName name="O_Cruise_WH_WNG">#REF!</definedName>
    <definedName name="O_CVT_Ds_range_IND">#REF!</definedName>
    <definedName name="O_CVT_IND">#REF!</definedName>
    <definedName name="O_CVT_L_range_IND">#REF!</definedName>
    <definedName name="O_CVT_S_range_IND">#REF!</definedName>
    <definedName name="O_CVT_toDorN">#REF!</definedName>
    <definedName name="O_Diff_Oil_toDorN">#REF!</definedName>
    <definedName name="O_Diff_Oil_WNG">#REF!</definedName>
    <definedName name="O_Dr_CAN_WNG">#REF!</definedName>
    <definedName name="O_DrSWALL_WNG">#REF!</definedName>
    <definedName name="O_DrSWFL_ToBCM">#REF!</definedName>
    <definedName name="O_DrSWFL_ToDorN">#REF!</definedName>
    <definedName name="O_DrSWFL_WNG">#REF!</definedName>
    <definedName name="O_DrSWFR_ToBCM">#REF!</definedName>
    <definedName name="O_DrSWFR_ToDorN">#REF!</definedName>
    <definedName name="O_DrSWFR_WNG">#REF!</definedName>
    <definedName name="O_DrSWRL_ToBCM">#REF!</definedName>
    <definedName name="O_DrSWRL_ToDorN">#REF!</definedName>
    <definedName name="O_DrSWRL_WNG">#REF!</definedName>
    <definedName name="O_DrSWRR_ToBCM">#REF!</definedName>
    <definedName name="O_DrSWRR_ToDorN">#REF!</definedName>
    <definedName name="O_DrSWRR_WNG">#REF!</definedName>
    <definedName name="O_DTRL_Output">#REF!</definedName>
    <definedName name="O_E_PS_toDorN">#REF!</definedName>
    <definedName name="O_E_PS_WNG">#REF!</definedName>
    <definedName name="O_EBV_toDorN">#REF!</definedName>
    <definedName name="O_EBV_WNG">#REF!</definedName>
    <definedName name="O_ECO_IND">#REF!</definedName>
    <definedName name="O_FR_Fog_CAN_WNG">#REF!</definedName>
    <definedName name="O_FR_Fog_WH_WNG">#REF!</definedName>
    <definedName name="O_Fuel_Eco_Display">#REF!</definedName>
    <definedName name="O_Fuel_Eco_toDorN">#REF!</definedName>
    <definedName name="O_Fuel_Gg_Ope_WNG">#REF!</definedName>
    <definedName name="O_Fuel_GND">#REF!</definedName>
    <definedName name="O_Fuel_Power">#REF!</definedName>
    <definedName name="O_Fuel_Sig_Gg_Ope_WNG">#REF!</definedName>
    <definedName name="O_Fuel_Sig_To_DorN">#REF!</definedName>
    <definedName name="O_Fuel_Sig_To_ECM">#REF!</definedName>
    <definedName name="O_Fuel_Transmit">#REF!</definedName>
    <definedName name="O_GlassHatch_WNG">#REF!</definedName>
    <definedName name="O_Glow__WNG">#REF!</definedName>
    <definedName name="O_H_FAN">#REF!</definedName>
    <definedName name="O_Hi_Beam_CAN_IND">#REF!</definedName>
    <definedName name="O_Hi_Beam_WH_IND">#REF!</definedName>
    <definedName name="O_HICAS_IND">#REF!</definedName>
    <definedName name="O_Ill_Cont_Input_Ill_Ope">#REF!</definedName>
    <definedName name="O_Ill_Cont_Output_Output">#REF!</definedName>
    <definedName name="O_Ill_Off">#REF!</definedName>
    <definedName name="O_KeyInReminder_Bzr_Ope">#REF!</definedName>
    <definedName name="O_Light_Indicator_IND">#REF!</definedName>
    <definedName name="O_LightOnReminder_Bzr_Ope">#REF!</definedName>
    <definedName name="O_LK_MAS_toDorN">#REF!</definedName>
    <definedName name="O_LK_MAS_WNG">#REF!</definedName>
    <definedName name="O_LowBrakeOil_toDorN">#REF!</definedName>
    <definedName name="O_LowBrakeOil_WNG">#REF!</definedName>
    <definedName name="O_LowTireP_toDorN">#REF!</definedName>
    <definedName name="O_LowTireP_WNG">#REF!</definedName>
    <definedName name="O_Manu_Range">#REF!</definedName>
    <definedName name="O_Mtr4WDFail_toDorN">#REF!</definedName>
    <definedName name="O_Mtr4WDFail_WNG">#REF!</definedName>
    <definedName name="O_Not_Manu_Range">#REF!</definedName>
    <definedName name="O_OD_OFF">#REF!</definedName>
    <definedName name="O_OD_OFF_IND">#REF!</definedName>
    <definedName name="O_Oil_CAN_toDorN">#REF!</definedName>
    <definedName name="O_Oil_CAN_WNG">#REF!</definedName>
    <definedName name="O_Oil_P_Gg_Ope">#REF!</definedName>
    <definedName name="O_Oil_WH__OPS_WNG">#REF!</definedName>
    <definedName name="O_Oil_WH_OilPSens_WNG">#REF!</definedName>
    <definedName name="O_Oil_WH_OPS_toDorN">#REF!</definedName>
    <definedName name="O_OutsideTemp_Disp">#REF!</definedName>
    <definedName name="O_PKB_CANtoBCMDCU">#REF!</definedName>
    <definedName name="O_PKB_toDorN">#REF!</definedName>
    <definedName name="O_PKB_WNG">#REF!</definedName>
    <definedName name="O_R_DEF_ON">#REF!</definedName>
    <definedName name="O_Reverce_Bzr_Ope">#REF!</definedName>
    <definedName name="O_RR_Fog_CAN_WNG">#REF!</definedName>
    <definedName name="O_RR_Fog_WH_WNG">#REF!</definedName>
    <definedName name="O_Security_WNG">#REF!</definedName>
    <definedName name="O_Set_CAN_ACC_IND">#REF!</definedName>
    <definedName name="O_Set_CAN_ECM_IND">#REF!</definedName>
    <definedName name="O_Set_CAN_ECM_toDorN">#REF!</definedName>
    <definedName name="O_Set_WH_IND">#REF!</definedName>
    <definedName name="O_Set_WH_toDorN">#REF!</definedName>
    <definedName name="O_Slip_CAN_IND">#REF!</definedName>
    <definedName name="O_Slip_WH_IND">#REF!</definedName>
    <definedName name="O_Smart_Buzzer_WNG">#REF!</definedName>
    <definedName name="O_Smart_Knob_WNG">#REF!</definedName>
    <definedName name="O_SmartKey_G_WNG">#REF!</definedName>
    <definedName name="O_SmartKey_R_WNG">#REF!</definedName>
    <definedName name="O_Speed_ABSCAN_Meter_Ope">#REF!</definedName>
    <definedName name="O_Speed_ABSHW_Meter_Ope">#REF!</definedName>
    <definedName name="O_Speed_OutPut_2P">#REF!</definedName>
    <definedName name="O_Speed_OutPut_8P">#REF!</definedName>
    <definedName name="O_Speed_OutPut_CAN">#REF!</definedName>
    <definedName name="O_Speed_Sens_Meter_Ope">#REF!</definedName>
    <definedName name="O_SPORT_IND">#REF!</definedName>
    <definedName name="O_SPORT_RJSus_IND">#REF!</definedName>
    <definedName name="O_SPORT_toDorN">#REF!</definedName>
    <definedName name="O_Sync_Mode_IND">#REF!</definedName>
    <definedName name="O_Sync_Mode_toE_TS">#REF!</definedName>
    <definedName name="O_Tacho_Meter_Ope">#REF!</definedName>
    <definedName name="O_TailLamp_CAN_Ill_On">#REF!</definedName>
    <definedName name="O_TailLamp_CAN_Ill_Reduce">#REF!</definedName>
    <definedName name="O_TailLamp_WH_Ill_On">#REF!</definedName>
    <definedName name="O_TailLamp_WH_Ill_Reduce">#REF!</definedName>
    <definedName name="O_TailStop_toDorN">#REF!</definedName>
    <definedName name="O_TailStop_WNG">#REF!</definedName>
    <definedName name="O_TCS_Off_CAN_toDorN">#REF!</definedName>
    <definedName name="O_TCS_Off_CAN_WNG">#REF!</definedName>
    <definedName name="O_TCS_Off_WH_WNG">#REF!</definedName>
    <definedName name="O_TIM_FCM_Cal">#REF!</definedName>
    <definedName name="O_Tow_Mode_IND">#REF!</definedName>
    <definedName name="O_Trunk_toDorN">#REF!</definedName>
    <definedName name="O_Trunk_WNG">#REF!</definedName>
    <definedName name="O_Turn_CAN_Bzr_Ope">#REF!</definedName>
    <definedName name="O_Turn_CAN_WNG">#REF!</definedName>
    <definedName name="O_Turn_WH_WNG">#REF!</definedName>
    <definedName name="O_VDC_Off_CAN_toDorN">#REF!</definedName>
    <definedName name="O_VDC_Off_CAN_WNG">#REF!</definedName>
    <definedName name="O_VDC_Off_WH_WNG">#REF!</definedName>
    <definedName name="O_Volt_Gg_Ope">#REF!</definedName>
    <definedName name="O_Washer_toDorN">#REF!</definedName>
    <definedName name="O_Washer_WNG">#REF!</definedName>
    <definedName name="O_WaterTemp_Gg_Ope">#REF!</definedName>
    <definedName name="O_WaterTemp_toAC">#REF!</definedName>
    <definedName name="O_WaterTemp_toDorN">#REF!</definedName>
    <definedName name="O_WaterTemp_WNG">#REF!</definedName>
    <definedName name="O2ｾﾝｻﾀｲﾌﾟ">#REF!</definedName>
    <definedName name="O2ﾋｰﾀAD入力1">#REF!</definedName>
    <definedName name="O2ﾋｰﾀAD入力2">#REF!</definedName>
    <definedName name="O2ﾋｰﾀAD入力3">#REF!</definedName>
    <definedName name="O2ﾋｰﾀAD入力ｸﾞﾙｰﾌﾟ2">#REF!</definedName>
    <definedName name="O2ﾋｰﾀ駆動ｸﾞﾙｰﾌﾟ">#REF!</definedName>
    <definedName name="O2電流検出ゲイン">#REF!</definedName>
    <definedName name="O2駆動タイプ">#REF!</definedName>
    <definedName name="oa" hidden="1">#REF!</definedName>
    <definedName name="OA_Equipment">#REF!</definedName>
    <definedName name="OA_EquipmentInkjet_Printer">#REF!</definedName>
    <definedName name="OA_EquipmentLaser_Printer">#REF!</definedName>
    <definedName name="OA_EquipmentMFP">#REF!</definedName>
    <definedName name="OA_EquipmentOA_Equipment_Others">#REF!</definedName>
    <definedName name="OA_EquipmentOffice_Supplies">#REF!</definedName>
    <definedName name="OA_EquipmentPrinter">#REF!</definedName>
    <definedName name="oanh" hidden="1">{"'Sheet1'!$L$16"}</definedName>
    <definedName name="OARP" hidden="1">{"'Sheet1'!$L$16"}</definedName>
    <definedName name="OBJ_F_INF_D_TBL">#REF!</definedName>
    <definedName name="Objectives">#REF!</definedName>
    <definedName name="OC" hidden="1">{"'Sheet1'!$L$16"}</definedName>
    <definedName name="OccStatus">#REF!</definedName>
    <definedName name="Oct" hidden="1">{"'Sheet1'!$L$16"}</definedName>
    <definedName name="ＯＣＶ駆動方式">#REF!</definedName>
    <definedName name="öe" hidden="1">{"'Sheet1'!$L$16"}</definedName>
    <definedName name="oeah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iur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MPULL">#REF!</definedName>
    <definedName name="OEMRET">#REF!</definedName>
    <definedName name="oer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ffice">#REF!</definedName>
    <definedName name="OffsetAccount">#REF!</definedName>
    <definedName name="OffsetAccountType">#REF!</definedName>
    <definedName name="OffsetCompany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ehgrcu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eqw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u" hidden="1">{#N/A,#N/A,FALSE,"sum";#N/A,#N/A,FALSE,"MARTV";#N/A,#N/A,FALSE,"APRTV"}</definedName>
    <definedName name="oi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JT">#REF!=MEDIAN(#REF!,#REF!+#REF!,#REF!+#REF!+#REF!-1)</definedName>
    <definedName name="ok" hidden="1">#REF!</definedName>
    <definedName name="oke" hidden="1">{"'Sheet1'!$L$16"}</definedName>
    <definedName name="OKPULL">#REF!</definedName>
    <definedName name="OKRET">#REF!</definedName>
    <definedName name="old" hidden="1">{"RUN3A",#N/A,FALSE,"BS-exist";"RUN3A","GROWTH RATE 8-5-7",FALSE,"IS-exist";"RUN3A","3rdRun without EquityInfusion;Sale of land(50-50)",FALSE,"CF-exist"}</definedName>
    <definedName name="O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mg." hidden="1">{#N/A,#N/A,FALSE,"Chi tiÆt"}</definedName>
    <definedName name="O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" hidden="1">{#N/A,#N/A,FALSE,"Cover";#N/A,#N/A,FALSE,"Profits";#N/A,#N/A,FALSE,"ABS";#N/A,#N/A,FALSE,"TFLE Detail";#N/A,#N/A,FALSE,"TFLE Walk";#N/A,#N/A,FALSE,"Variable Cost";#N/A,#N/A,FALSE,"V.C. Walk"}</definedName>
    <definedName name="OO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ooooo">[0]!oooooooooo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pening">#REF!=#REF!</definedName>
    <definedName name="OPEXP">#REF!</definedName>
    <definedName name="Ops_per_Day">#REF!</definedName>
    <definedName name="optionsegunda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OQLIB">"QGPL"</definedName>
    <definedName name="OQNAM">"QPRINT"</definedName>
    <definedName name="or" hidden="1">#REF!</definedName>
    <definedName name="Order_To_Cash">#REF!</definedName>
    <definedName name="OrderTable" hidden="1">#REF!</definedName>
    <definedName name="Ordertype">#REF!</definedName>
    <definedName name="ORGIDCELL">#REF!</definedName>
    <definedName name="ORGIDSELECT">OFFSET(INDIRECT(ADDRESS(MATCH(ORGIDCELL,ORGIDTEMPLIST,0)+2,3,,,"POS")),0,0,COUNTIF(ORGIDTEMPLIST,ORGIDCELL),1)</definedName>
    <definedName name="ORGIDTEMPLIST">#REF!</definedName>
    <definedName name="origdate">#REF!</definedName>
    <definedName name="orion" hidden="1">#N/A</definedName>
    <definedName name="OSHAPULL">#REF!</definedName>
    <definedName name="OSHAPULL1">#REF!</definedName>
    <definedName name="OSHARET">#REF!</definedName>
    <definedName name="OT.KD_data">#REF!</definedName>
    <definedName name="OT.KD_Month">#REF!</definedName>
    <definedName name="OT.KD_SR">#REF!</definedName>
    <definedName name="OT.KD_tittle">#REF!</definedName>
    <definedName name="OT.XDV_data">#REF!</definedName>
    <definedName name="OT.XDV_month">#REF!</definedName>
    <definedName name="OT.XDV_SR">#REF!</definedName>
    <definedName name="OT.XDV_title">#REF!</definedName>
    <definedName name="OTC">#REF!</definedName>
    <definedName name="Other_Module">#REF!</definedName>
    <definedName name="Others">#REF!</definedName>
    <definedName name="OthersOthers">#REF!</definedName>
    <definedName name="oudom" hidden="1">{"'Sheet1'!$L$16"}</definedName>
    <definedName name="ouioyoigoigyiyugi" hidden="1">#REF!</definedName>
    <definedName name="OUTRAP">#REF!</definedName>
    <definedName name="OUTRASCON">#REF!</definedName>
    <definedName name="OUTRASP">#REF!</definedName>
    <definedName name="OUTROSIN">#REF!</definedName>
    <definedName name="OUTROSLP">#REF!</definedName>
    <definedName name="OVERHEAD_BR">#REF!</definedName>
    <definedName name="OVERHEAD_CN">#REF!</definedName>
    <definedName name="OVERHEAD_SK">#REF!</definedName>
    <definedName name="owiue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yo">#REF!</definedName>
    <definedName name="p" hidden="1">{"'Sheet1'!$L$16"}</definedName>
    <definedName name="PA">#REF!</definedName>
    <definedName name="Packages">#REF!</definedName>
    <definedName name="page\x3total">#REF!</definedName>
    <definedName name="PAGE_3">#REF!</definedName>
    <definedName name="Page_AR" hidden="1">#REF!</definedName>
    <definedName name="Page_BS" hidden="1">#REF!</definedName>
    <definedName name="Page_CF" hidden="1">#REF!</definedName>
    <definedName name="Page_Notes" hidden="1">#REF!</definedName>
    <definedName name="Page_PL" hidden="1">#REF!</definedName>
    <definedName name="PAGE4" hidden="1">{#N/A,#N/A,FALSE,"단축1";#N/A,#N/A,FALSE,"단축2";#N/A,#N/A,FALSE,"단축3";#N/A,#N/A,FALSE,"장축";#N/A,#N/A,FALSE,"4WD"}</definedName>
    <definedName name="PageNumber" hidden="1">#REF!</definedName>
    <definedName name="PAGEW">"132"</definedName>
    <definedName name="PAIII_" hidden="1">{"'Sheet1'!$L$16"}</definedName>
    <definedName name="Paint" hidden="1">#REF!</definedName>
    <definedName name="PAL">#REF!</definedName>
    <definedName name="Panel" hidden="1">{#N/A,#N/A,TRUE,"SUM";#N/A,#N/A,TRUE,"EE";#N/A,#N/A,TRUE,"AC";#N/A,#N/A,TRUE,"SN"}</definedName>
    <definedName name="papa" hidden="1">{#N/A,#N/A,FALSE,"Profit Status";#N/A,#N/A,FALSE,"Invest";#N/A,#N/A,FALSE,"Revenue";#N/A,#N/A,FALSE,"Variable Cost";#N/A,#N/A,FALSE,"Options &amp; Series"}</definedName>
    <definedName name="Parametros">#REF!</definedName>
    <definedName name="Parâmetros">#REF!</definedName>
    <definedName name="paridade">#REF!</definedName>
    <definedName name="part">#REF!</definedName>
    <definedName name="part_name">#REF!</definedName>
    <definedName name="part_nu">#REF!</definedName>
    <definedName name="PARTRESPG">#REF!</definedName>
    <definedName name="parts">#REF!</definedName>
    <definedName name="PART현황" hidden="1">{#N/A,#N/A,TRUE,"일정"}</definedName>
    <definedName name="PAST3">#REF!</definedName>
    <definedName name="pat" hidden="1">{#N/A,#N/A,FALSE,"HIGHNEW";#N/A,#N/A,FALSE,"HIGHOLD";#N/A,#N/A,FALSE,"MTHDET";#N/A,#N/A,FALSE,"ACTDET"}</definedName>
    <definedName name="PATLIQ">#REF!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ay_Back">#REF!</definedName>
    <definedName name="PAYBACK">#REF!</definedName>
    <definedName name="PAYMENT_STATUS">OFFSET(#REF!,0,0,COUNTA(#REF!)-1,1)</definedName>
    <definedName name="PBC">#REF!</definedName>
    <definedName name="PC" hidden="1">{"'Sheet1'!$L$16"}</definedName>
    <definedName name="PCDAT">"12/1/2014"</definedName>
    <definedName name="PCDAY">"01"</definedName>
    <definedName name="PCDT2">"20141201"</definedName>
    <definedName name="PCMON">"12"</definedName>
    <definedName name="pcrange_data">#REF!</definedName>
    <definedName name="pcrange_header">#REF!</definedName>
    <definedName name="PCTIM">"11:46:45 AM"</definedName>
    <definedName name="PCYEA">"2014"</definedName>
    <definedName name="PDCA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DCA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D">#REF!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ẻgtmaegnahr" hidden="1">{"'Sheet1'!$L$16"}</definedName>
    <definedName name="Pension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People" hidden="1">{#N/A,#N/A,FALSE,"Plant Tot. Record";#N/A,#N/A,FALSE,"BT Tot. Record";#N/A,#N/A,FALSE,"Plant Lost Days";#N/A,#N/A,FALSE,"Top 5 Record";#N/A,#N/A,FALSE,"BT Lost Days";#N/A,#N/A,FALSE,"BT Top 5 Lost Days"}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Complete">#N/A</definedName>
    <definedName name="PercentCompleteBeyond">(#REF!=MEDIAN(#REF!,#REF!,#REF!+#REF!)*(#REF!&gt;0))*((#REF!&lt;(INT(#REF!+#REF!*#REF!)))+(#REF!=#REF!))*(#REF!&gt;0)</definedName>
    <definedName name="period">12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ssoas2">[0]!Pessoas2</definedName>
    <definedName name="PESTATPG">#REF!</definedName>
    <definedName name="PFE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RA">#REF!</definedName>
    <definedName name="PGV" hidden="1">#REF!</definedName>
    <definedName name="ph" hidden="1">{"'Sheet1'!$L$16"}</definedName>
    <definedName name="phai" hidden="1">{"'Sheet1'!$L$16"}</definedName>
    <definedName name="PHAN" hidden="1">{#N/A,#N/A,FALSE,"CCTV"}</definedName>
    <definedName name="phan3" hidden="1">{"'Sheet1'!$L$16"}</definedName>
    <definedName name="phan3.3" hidden="1">{"'Sheet1'!$L$16"}</definedName>
    <definedName name="phan4.2" hidden="1">{"'Sheet1'!$L$16"}</definedName>
    <definedName name="phan5" hidden="1">{"'Sheet1'!$L$16"}</definedName>
    <definedName name="phan6" hidden="1">{"'Sheet1'!$L$16"}</definedName>
    <definedName name="phantich3" hidden="1">{"'Sheet1'!$L$16"}</definedName>
    <definedName name="Phase">#REF!</definedName>
    <definedName name="PHASE4" hidden="1">{#N/A,#N/A,FALSE,"삼진정공";#N/A,#N/A,FALSE,"영신금속";#N/A,#N/A,FALSE,"태양금속";#N/A,#N/A,FALSE,"진합정공";#N/A,#N/A,FALSE,"코리아";#N/A,#N/A,FALSE,"풍강금속";#N/A,#N/A,FALSE,"선일기계"}</definedName>
    <definedName name="PHAT" hidden="1">{#N/A,#N/A,FALSE,"CCTV"}</definedName>
    <definedName name="Phiếu" hidden="1">{"Offgrid",#N/A,FALSE,"OFFGRID";"Region",#N/A,FALSE,"REGION";"Offgrid -2",#N/A,FALSE,"OFFGRID";"WTP",#N/A,FALSE,"WTP";"WTP -2",#N/A,FALSE,"WTP";"Project",#N/A,FALSE,"PROJECT";"Summary -2",#N/A,FALSE,"SUMMARY"}</definedName>
    <definedName name="phñto2" hidden="1">{"'Sheet1'!$L$16"}</definedName>
    <definedName name="PHOTO" hidden="1">#REF!</definedName>
    <definedName name="PhuCapDH">#REF!</definedName>
    <definedName name="PhuCapTT">#REF!</definedName>
    <definedName name="PhuCapVT">#REF!</definedName>
    <definedName name="Phuong" hidden="1">{"'Sheet1'!$L$16"}</definedName>
    <definedName name="PHUONGPLT6" hidden="1">#REF!</definedName>
    <definedName name="phuongptl6" hidden="1">#REF!</definedName>
    <definedName name="PH단계별" hidden="1">{#N/A,#N/A,TRUE,"일정"}</definedName>
    <definedName name="pi" hidden="1">{#N/A,#N/A,FALSE,"Japan";#N/A,#N/A,FALSE,"Taiwan";#N/A,#N/A,FALSE,"Thailand";#N/A,#N/A,FALSE,"Australia"}</definedName>
    <definedName name="pi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LOTo_REPORT_Sheet1_List">#REF!</definedName>
    <definedName name="PILOT추진조직도2" hidden="1">{#N/A,#N/A,TRUE,"일정"}</definedName>
    <definedName name="Pimary___Secondary_Control">#REF!</definedName>
    <definedName name="pio" hidden="1">#REF!</definedName>
    <definedName name="Pipe" hidden="1">{#N/A,#N/A,FALSE,"CCTV"}</definedName>
    <definedName name="pippa">#N/A</definedName>
    <definedName name="Pippo">#N/A</definedName>
    <definedName name="PIPPO20">#REF!</definedName>
    <definedName name="PIPPO22">#REF!</definedName>
    <definedName name="PIPPO23">#REF!</definedName>
    <definedName name="PIPPO24">#REF!</definedName>
    <definedName name="PIPPO25">#REF!</definedName>
    <definedName name="PIPPO26">#REF!</definedName>
    <definedName name="PIPPO27">#REF!</definedName>
    <definedName name="PIPPO28">#REF!</definedName>
    <definedName name="PIPPO29">#REF!</definedName>
    <definedName name="PIPPO3">#REF!</definedName>
    <definedName name="PIPPO30">#REF!</definedName>
    <definedName name="PIPPO31">#REF!</definedName>
    <definedName name="PIPPO4">#REF!</definedName>
    <definedName name="PIPPO5">#REF!</definedName>
    <definedName name="PIPPO6">#REF!</definedName>
    <definedName name="PIPPOMEC">#REF!</definedName>
    <definedName name="PISREC">#REF!</definedName>
    <definedName name="PIT">#REF!</definedName>
    <definedName name="pitak" hidden="1">{#N/A,#N/A,FALSE,"Japan";#N/A,#N/A,FALSE,"Taiwan";#N/A,#N/A,FALSE,"Thailand";#N/A,#N/A,FALSE,"Australia"}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jt_n">#REF!</definedName>
    <definedName name="pkesh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KTN." hidden="1">{"'Sheet1'!$L$16"}</definedName>
    <definedName name="PL">#REF!</definedName>
    <definedName name="PL_3" hidden="1">#REF!</definedName>
    <definedName name="PL_list">#REF!</definedName>
    <definedName name="PL02_cond_br">"Data_HTK!$A:$A,""Inv"",HTK_div,PL02_store,HTK_brand,$E44"</definedName>
    <definedName name="pla">[0]!pla</definedName>
    <definedName name="Plan">PeriodInPlan*(#REF!&gt;0)</definedName>
    <definedName name="Plano_de_Contas">#REF!</definedName>
    <definedName name="Plant">#REF!</definedName>
    <definedName name="Plant1">#REF!</definedName>
    <definedName name="PLAPRO">#REF!</definedName>
    <definedName name="PLK" hidden="1">{#N/A,#N/A,FALSE,"CCTV"}</definedName>
    <definedName name="plm" hidden="1">{"RUN2",#N/A,FALSE,"BS-exist";"RUN2","GROWTH RATE 8-5-7",FALSE,"IS-exist";"RUN2","2ndRun without Equity Infusion",FALSE,"CF-exist"}</definedName>
    <definedName name="PlucBcaoTD" hidden="1">{"'Sheet1'!$L$16"}</definedName>
    <definedName name="PMM">#REF!</definedName>
    <definedName name="PMS" hidden="1">{"'Sheet1'!$L$16"}</definedName>
    <definedName name="PNT">#REF!</definedName>
    <definedName name="PO_QTY">17500</definedName>
    <definedName name="PO04_Spagna">#REF!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u" hidden="1">{"'Sheet1'!$L$16"}</definedName>
    <definedName name="poiuuoihjk" hidden="1">{#N/A,#N/A,FALSE,"CCTV"}</definedName>
    <definedName name="PONTPULL">#REF!</definedName>
    <definedName name="PONTRET">#REF!</definedName>
    <definedName name="POO" hidden="1">{#N/A,#N/A,TRUE,"일정"}</definedName>
    <definedName name="Popn" hidden="1">{"'Sheet1'!$L$16"}</definedName>
    <definedName name="Port1" hidden="1">{#N/A,#N/A,FALSE,"特殊室（ＢＱ表）"}</definedName>
    <definedName name="port11" hidden="1">{#N/A,#N/A,FALSE,"特殊室（ＢＱ表）"}</definedName>
    <definedName name="Position">#REF!</definedName>
    <definedName name="PP">#REF!</definedName>
    <definedName name="PP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cp">#REF!</definedName>
    <definedName name="PPLap_P2_LCTT" hidden="1">#REF!</definedName>
    <definedName name="PPLSP403" hidden="1">{"'Sheet1'!$L$16"}</definedName>
    <definedName name="PPO" hidden="1">{#N/A,#N/A,TRUE,"일정"}</definedName>
    <definedName name="ppp">#REF!</definedName>
    <definedName name="PPPP" hidden="1">{"'Sheet1'!$L$16"}</definedName>
    <definedName name="ｐｐｐｐ" hidden="1">{"'Sheet1'!$L$16"}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PPP">[0]!PPPPPPPPPP</definedName>
    <definedName name="ppppppppppppppppppppppppppppppppp">[0]!ppppppppppppppppppppppppppppppppp</definedName>
    <definedName name="pqiej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r_area">#N/A</definedName>
    <definedName name="PRD_NM_C">"ABS   PA-707   NU-0199"</definedName>
    <definedName name="PRD_UP">1.49</definedName>
    <definedName name="Precision">#REF!</definedName>
    <definedName name="PrecisionCamera_Accessories">#REF!</definedName>
    <definedName name="PrecisionCompact_Camera">#REF!</definedName>
    <definedName name="PrecisionHard_Disc">#REF!</definedName>
    <definedName name="PrecisionInterchangeable_Lens">#REF!</definedName>
    <definedName name="PrecisionMirrorless_Camera">#REF!</definedName>
    <definedName name="PrecisionPrecision_Others">#REF!</definedName>
    <definedName name="PrecisionSingle_lens_Reflex_Camera">#REF!</definedName>
    <definedName name="PrecisionWatch">#REF!</definedName>
    <definedName name="Prepared">#REF!</definedName>
    <definedName name="preparer">#REF!</definedName>
    <definedName name="Press">#REF!</definedName>
    <definedName name="Pressure">#REF!</definedName>
    <definedName name="prev_month">"$Q$7"</definedName>
    <definedName name="PREVPG">#REF!</definedName>
    <definedName name="pri" hidden="1">{#N/A,#N/A,TRUE,"Str.";#N/A,#N/A,TRUE,"Steel &amp; Roof";#N/A,#N/A,TRUE,"Arc.";#N/A,#N/A,TRUE,"Preliminary";#N/A,#N/A,TRUE,"Sum_Prelim"}</definedName>
    <definedName name="PriceRange" hidden="1">#N/A</definedName>
    <definedName name="PriceRangeMain" hidden="1">#REF!</definedName>
    <definedName name="PrimaryRef">#REF!</definedName>
    <definedName name="Prin_Area">#REF!</definedName>
    <definedName name="Print.Area">#REF!</definedName>
    <definedName name="_xlnm.Print_Area" localSheetId="1">'Kết quả cấp NVL'!$F$5:$M$13</definedName>
    <definedName name="_xlnm.Print_Area" localSheetId="0">'Tình trạng cấp NVL'!$G$4:$V$47</definedName>
    <definedName name="_xlnm.Print_Area">#REF!</definedName>
    <definedName name="Print_Area_MI">#REF!</definedName>
    <definedName name="Print_Area11">#REF!</definedName>
    <definedName name="Print_Area2">#REF!</definedName>
    <definedName name="Print_Area3">#REF!</definedName>
    <definedName name="Print_Area4">#REF!</definedName>
    <definedName name="Print_Range">#REF!</definedName>
    <definedName name="_xlnm.Print_Titles">#REF!</definedName>
    <definedName name="Print_Titles_MI">#REF!</definedName>
    <definedName name="PRINT1">#REF!</definedName>
    <definedName name="PRINT10">#REF!</definedName>
    <definedName name="PRINT11">#REF!</definedName>
    <definedName name="PRINT12">#REF!</definedName>
    <definedName name="PRINT13">#REF!</definedName>
    <definedName name="PRINT14">#REF!</definedName>
    <definedName name="PRINT15">#REF!</definedName>
    <definedName name="PRINT16">#REF!</definedName>
    <definedName name="PRINT17">#REF!</definedName>
    <definedName name="PRINT18">#REF!</definedName>
    <definedName name="PRINT19">#REF!</definedName>
    <definedName name="PRINT2">#REF!</definedName>
    <definedName name="PRINT20">#REF!</definedName>
    <definedName name="PRINT21">#REF!</definedName>
    <definedName name="PRINT24">#REF!</definedName>
    <definedName name="PRINT25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AreaPrice" hidden="1">#REF!</definedName>
    <definedName name="PRINTFATTY">#REF!</definedName>
    <definedName name="PRIOR">" 5"</definedName>
    <definedName name="Prior_Period">#REF!</definedName>
    <definedName name="Prior_Period_F_X">#REF!</definedName>
    <definedName name="Prior_Period_Tax_Rate">#REF!</definedName>
    <definedName name="PRO" hidden="1">{#N/A,#N/A,TRUE,"일정"}</definedName>
    <definedName name="proc">#REF!</definedName>
    <definedName name="PROCFY">#REF!</definedName>
    <definedName name="Procurement">#REF!</definedName>
    <definedName name="Procurement_Columns">#REF!</definedName>
    <definedName name="Procurement_Rows">#REF!</definedName>
    <definedName name="Prod.">#REF!</definedName>
    <definedName name="ProdForm" hidden="1">#REF!</definedName>
    <definedName name="PRODUÇÃO">#REF!</definedName>
    <definedName name="Product" hidden="1">#REF!</definedName>
    <definedName name="PRODUCTION" hidden="1">{"'Sheet1'!$L$16"}</definedName>
    <definedName name="PROGM">#REF!</definedName>
    <definedName name="PROGMP">#REF!</definedName>
    <definedName name="progoal">#REF!</definedName>
    <definedName name="Program">#REF!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Manager">#REF!</definedName>
    <definedName name="Project_Start">#REF!</definedName>
    <definedName name="ProjectLead">#REF!</definedName>
    <definedName name="PROJL">#REF!</definedName>
    <definedName name="PROPAGANDA">#REF!</definedName>
    <definedName name="Prototype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DD">#REF!</definedName>
    <definedName name="province">#REF!</definedName>
    <definedName name="Province1">#REF!</definedName>
    <definedName name="prthuyhv" hidden="1">{"'Sheet1'!$L$16"}</definedName>
    <definedName name="PR손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sdProjects">#REF!</definedName>
    <definedName name="pst" hidden="1">{"'Sheet1'!$L$16"}</definedName>
    <definedName name="PSWSeries_0_0_Labels" hidden="1">#REF!</definedName>
    <definedName name="PSWSeries_0_0_Values" hidden="1">#REF!</definedName>
    <definedName name="PSWSeries_1_0_Labels" hidden="1">#REF!</definedName>
    <definedName name="PSWSeries_1_0_Values" hidden="1">#REF!</definedName>
    <definedName name="PSWSeries_2_0_Labels" hidden="1">#REF!</definedName>
    <definedName name="PSWSeries_2_0_Values" hidden="1">#REF!</definedName>
    <definedName name="PSWSeries_3_0_Labels" hidden="1">#REF!</definedName>
    <definedName name="PSWSeries_3_0_Values" hidden="1">#REF!</definedName>
    <definedName name="PSWSeries_3_1_Labels" hidden="1">#REF!</definedName>
    <definedName name="PSWSeries_3_1_Values" hidden="1">#REF!</definedName>
    <definedName name="PSWSeries_3_2_Labels" hidden="1">#REF!</definedName>
    <definedName name="PSWSeries_3_2_Values" hidden="1">#REF!</definedName>
    <definedName name="PSWSeries_4_0_Values" hidden="1">#REF!</definedName>
    <definedName name="ptdm1" hidden="1">{#N/A,#N/A,FALSE,"CCTV"}</definedName>
    <definedName name="ptich3" hidden="1">{"'Sheet1'!$L$16"}</definedName>
    <definedName name="PTRIM">#REF!</definedName>
    <definedName name="ptrn" hidden="1">{"REVISED",#N/A,FALSE,"Sheet1"}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TP_V1">#REF!</definedName>
    <definedName name="PTTP_V1b">#REF!</definedName>
    <definedName name="PTTP_V2">#REF!</definedName>
    <definedName name="PTTP_V3">#REF!</definedName>
    <definedName name="PTWK_V1">#REF!</definedName>
    <definedName name="PTWK_V1b">#REF!</definedName>
    <definedName name="PTWK_V2">#REF!</definedName>
    <definedName name="PTWK_V3">#REF!</definedName>
    <definedName name="PUB_FileID" hidden="1">"L10003649.xls"</definedName>
    <definedName name="PUB_UserID" hidden="1">"MAYERX"</definedName>
    <definedName name="PUBLIC" hidden="1">{"'Sheet1'!$L$16"}</definedName>
    <definedName name="PULLS">#REF!</definedName>
    <definedName name="Purchasing">#REF!</definedName>
    <definedName name="Purlin">#REF!</definedName>
    <definedName name="PV_2R">#REF!</definedName>
    <definedName name="PV_riep">#REF!</definedName>
    <definedName name="PVC" hidden="1">{"'Sheet1'!$L$16"}</definedName>
    <definedName name="pw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PY_ACT_Rpt">#REF!</definedName>
    <definedName name="PY_Actual">#REF!</definedName>
    <definedName name="q" localSheetId="1" hidden="1">Main.SAPF4Help()</definedName>
    <definedName name="q" hidden="1">Main.SAPF4Help()</definedName>
    <definedName name="Ｑ" hidden="1">#REF!</definedName>
    <definedName name="ｑ." hidden="1">#REF!</definedName>
    <definedName name="q_1" hidden="1">{"Qtr Op Mgd Q2",#N/A,FALSE,"Qtr-Op (Mng)";"Qtr Op Rpt Q2",#N/A,FALSE,"Qtr-Op (Rpt)";"Operating Vs Reported",#N/A,FALSE,"Rpt-Op Inc"}</definedName>
    <definedName name="Q3WPStatus">#REF!</definedName>
    <definedName name="q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AA" hidden="1">{"TAG1AGMS",#N/A,FALSE,"TAG 1A"}</definedName>
    <definedName name="QANG" hidden="1">{"'Sheet1'!$L$16"}</definedName>
    <definedName name="qaqqq">#N/A</definedName>
    <definedName name="QAS" hidden="1">{#N/A,#N/A,FALSE,"Chi tiÆt"}</definedName>
    <definedName name="QCQD">#REF!</definedName>
    <definedName name="qd">#REF!</definedName>
    <definedName name="qd10_gt" hidden="1">{"'Sheet1'!$L$16"}</definedName>
    <definedName name="qd10_gt_1" hidden="1">{"'Sheet1'!$L$16"}</definedName>
    <definedName name="qd10_gt1" hidden="1">{"'Sheet1'!$L$16"}</definedName>
    <definedName name="qded">#REF!</definedName>
    <definedName name="qeoi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oi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w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o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ềqg" hidden="1">{"'Sheet1'!$L$16"}</definedName>
    <definedName name="QẺTTT" hidden="1">{"'Sheet1'!$L$16"}</definedName>
    <definedName name="qe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wpou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gq" hidden="1">#N/A</definedName>
    <definedName name="qiue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uhg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lda">#REF!</definedName>
    <definedName name="qlwkh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Medium_Cell">#REF!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oihe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ewf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gebr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r" hidden="1">#REF!</definedName>
    <definedName name="qp">#REF!</definedName>
    <definedName name="qpe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o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FY">#REF!</definedName>
    <definedName name="qpiw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owi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Q" hidden="1">{#N/A,#N/A,TRUE,"일정"}</definedName>
    <definedName name="qQQ" hidden="1">{#N/A,#N/A,FALSE,"India - 3f";#N/A,#N/A,FALSE,"India - 3";#N/A,#N/A,FALSE,"India - 4f";#N/A,#N/A,FALSE,"India - 4";#N/A,#N/A,FALSE,"Retail Spider"}</definedName>
    <definedName name="ｑｑｑ" hidden="1">{"'Sheet1'!$L$16"}</definedName>
    <definedName name="QQQ_1" hidden="1">{"'Sheet1'!$L$16"}</definedName>
    <definedName name="qqqq">#REF!</definedName>
    <definedName name="ｑｑｑｑ" hidden="1">{"'Sheet1'!$L$16"}</definedName>
    <definedName name="qqqqq">#REF!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" hidden="1">{"Page1",#N/A,FALSE,"CompCo";"Page2",#N/A,FALSE,"CompCo"}</definedName>
    <definedName name="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qqqqq" hidden="1">{"PA1",#N/A,FALSE,"BORDMW";"pa2",#N/A,FALSE,"BORDMW";"PA3",#N/A,FALSE,"BORDMW";"PA4",#N/A,FALSE,"BORDMW"}</definedName>
    <definedName name="QQQQQQQQQQQQQQQQQQQQQQ" hidden="1">{#N/A,#N/A,TRUE,"일정"}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ssssss" hidden="1">{"'Sheet1'!$L$16"}</definedName>
    <definedName name="qqwq" hidden="1">{#N/A,#N/A,FALSE,"sum";#N/A,#N/A,FALSE,"MARTV";#N/A,#N/A,FALSE,"APRTV"}</definedName>
    <definedName name="qqww" hidden="1">#REF!</definedName>
    <definedName name="qr">(#REF!-1)*100+#REF!</definedName>
    <definedName name="qrw" hidden="1">{#N/A,#N/A,FALSE,"Sheet2";#N/A,#N/A,FALSE,"Sheet4";#N/A,#N/A,FALSE,"Sheet6"}</definedName>
    <definedName name="qrwerer" hidden="1">{#N/A,#N/A,TRUE,"일정"}</definedName>
    <definedName name="qryExportWorkMonth">#REF!</definedName>
    <definedName name="QS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sss" hidden="1">#REF!</definedName>
    <definedName name="qt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qtrwey" hidden="1">{"'Sheet1'!$L$16"}</definedName>
    <definedName name="qư" hidden="1">#REF!</definedName>
    <definedName name="QUA">#REF!</definedName>
    <definedName name="qual" hidden="1">{#N/A,#N/A,FALSE,"Plant Tot. Record";#N/A,#N/A,FALSE,"BT Tot. Record";#N/A,#N/A,FALSE,"Plant Lost Days";#N/A,#N/A,FALSE,"Top 5 Record";#N/A,#N/A,FALSE,"BT Lost Days";#N/A,#N/A,FALSE,"BT Top 5 Lost Days"}</definedName>
    <definedName name="Qualification">#REF!</definedName>
    <definedName name="quality" hidden="1">{#N/A,#N/A,FALSE,"Plant Tot. Record";#N/A,#N/A,FALSE,"BT Tot. Record";#N/A,#N/A,FALSE,"Plant Lost Days";#N/A,#N/A,FALSE,"Top 5 Record";#N/A,#N/A,FALSE,"BT Lost Days";#N/A,#N/A,FALSE,"BT Top 5 Lost Days"}</definedName>
    <definedName name="qualquer">#REF!</definedName>
    <definedName name="quan.P12" hidden="1">{"'Sheet1'!$L$16"}</definedName>
    <definedName name="quattrocol">#REF!</definedName>
    <definedName name="qưe" hidden="1">#REF!</definedName>
    <definedName name="q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uicachchau">#REF!</definedName>
    <definedName name="quiyasdjknsdj">#REF!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OC" hidden="1">#REF!</definedName>
    <definedName name="qừq" hidden="1">{#N/A,#N/A,FALSE,"Chi tiÆt"}</definedName>
    <definedName name="qưqq" hidden="1">{"'Sheet1'!$L$16"}</definedName>
    <definedName name="quynh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qw" hidden="1">{#N/A,#N/A,FALSE,"단가표지"}</definedName>
    <definedName name="qwdcbghds">#REF!</definedName>
    <definedName name="Q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WEQW" hidden="1">#REF!</definedName>
    <definedName name="qwer" hidden="1">{"'Sheet1'!$L$16"}</definedName>
    <definedName name="qwertet" hidden="1">{"'Sheet1'!$L$16"}</definedName>
    <definedName name="QWETDFGEART3W" hidden="1">{"'2공장'!$A$1:$H$216"}</definedName>
    <definedName name="qwe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kgfksdjdf">#REF!</definedName>
    <definedName name="qwlk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Q" hidden="1">#REF!</definedName>
    <definedName name="qwwq" hidden="1">{"'Sheet1'!$L$16"}</definedName>
    <definedName name="qwwqe" hidden="1">{"'Sheet1'!$L$16"}</definedName>
    <definedName name="qzqzqz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_">#REF!</definedName>
    <definedName name="r_color">#REF!</definedName>
    <definedName name="R_COVER" hidden="1">{#N/A,#N/A,FALSE,"단축1";#N/A,#N/A,FALSE,"단축2";#N/A,#N/A,FALSE,"단축3";#N/A,#N/A,FALSE,"장축";#N/A,#N/A,FALSE,"4WD"}</definedName>
    <definedName name="R_TAB0">#REF!</definedName>
    <definedName name="RAMPULL">#REF!</definedName>
    <definedName name="RAMRET">#REF!</definedName>
    <definedName name="RANDBETWEEN_1_2">#REF!</definedName>
    <definedName name="RANDBETWEEN_3_4">#REF!</definedName>
    <definedName name="Range">#REF!</definedName>
    <definedName name="Ranhxay" hidden="1">{"'Sheet1'!$L$16"}</definedName>
    <definedName name="Ranking">#REF!</definedName>
    <definedName name="Rate">14563</definedName>
    <definedName name="rate98">13250</definedName>
    <definedName name="rate99">13935</definedName>
    <definedName name="RawData">#REF!</definedName>
    <definedName name="RCapCB5">#REF!</definedName>
    <definedName name="RCArea" hidden="1">#REF!</definedName>
    <definedName name="rd" hidden="1">{"'Sheet1'!$L$16"}</definedName>
    <definedName name="Rdata">#REF!</definedName>
    <definedName name="rdrdd" hidden="1">{#N/A,#N/A,FALSE,"Chi tiÆt"}</definedName>
    <definedName name="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D">#REF!</definedName>
    <definedName name="Real">#REF!</definedName>
    <definedName name="REAR" hidden="1">{#N/A,#N/A,FALSE,"단축1";#N/A,#N/A,FALSE,"단축2";#N/A,#N/A,FALSE,"단축3";#N/A,#N/A,FALSE,"장축";#N/A,#N/A,FALSE,"4WD"}</definedName>
    <definedName name="Reason">OFFSET(#REF!,0,0,COUNTA(#REF!),COUNTA(#REF!))</definedName>
    <definedName name="RebillCriteria">#REF!</definedName>
    <definedName name="REC">#REF!</definedName>
    <definedName name="Rec.13501.0113" hidden="1">#REF!</definedName>
    <definedName name="RECEITAF">#REF!</definedName>
    <definedName name="Record10">#N/A</definedName>
    <definedName name="Record40">#N/A</definedName>
    <definedName name="_xlnm.Recorder">#REF!</definedName>
    <definedName name="RECURSOS">#REF!</definedName>
    <definedName name="RedefinePrintTableRange" hidden="1">#N/A</definedName>
    <definedName name="redo" hidden="1">{#N/A,#N/A,FALSE,"ACQ_GRAPHS";#N/A,#N/A,FALSE,"T_1 GRAPHS";#N/A,#N/A,FALSE,"T_2 GRAPHS";#N/A,#N/A,FALSE,"COMB_GRAPHS"}</definedName>
    <definedName name="Ref" hidden="1">{"'Sheet1'!$L$16"}</definedName>
    <definedName name="REFRFDFF" hidden="1">{#N/A,#N/A,FALSE,"단축1";#N/A,#N/A,FALSE,"단축2";#N/A,#N/A,FALSE,"단축3";#N/A,#N/A,FALSE,"장축";#N/A,#N/A,FALSE,"4WD"}</definedName>
    <definedName name="Region1">#REF!</definedName>
    <definedName name="Region3">#REF!</definedName>
    <definedName name="Region51">#REF!</definedName>
    <definedName name="re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JRET">#REF!</definedName>
    <definedName name="re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mark">#REF!</definedName>
    <definedName name="rep" hidden="1">{#N/A,#N/A,FALSE,"COVER";#N/A,#N/A,FALSE,"VALUATION";#N/A,#N/A,FALSE,"FORECAST";#N/A,#N/A,FALSE,"FY ANALYSIS ";#N/A,#N/A,FALSE," HY ANALYSIS"}</definedName>
    <definedName name="rep_1" hidden="1">{#N/A,#N/A,FALSE,"COVER";#N/A,#N/A,FALSE,"VALUATION";#N/A,#N/A,FALSE,"FORECAST";#N/A,#N/A,FALSE,"FY ANALYSIS ";#N/A,#N/A,FALSE," HY ANALYSIS"}</definedName>
    <definedName name="report_3" hidden="1">{#N/A,#N/A,TRUE,"일정"}</definedName>
    <definedName name="report1" hidden="1">{#N/A,#N/A,FALSE,"特殊室（ＢＱ表）"}</definedName>
    <definedName name="report2" hidden="1">{#N/A,#N/A,FALSE,"特殊室（ＢＱ表）"}</definedName>
    <definedName name="ReportCreated">TRUE</definedName>
    <definedName name="rẻqewr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qkj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re" hidden="1">{#N/A,#N/A,FALSE,"sum";#N/A,#N/A,FALSE,"MARTV";#N/A,#N/A,FALSE,"APRTV"}</definedName>
    <definedName name="RERERERER" hidden="1">{#N/A,#N/A,FALSE,"단축1";#N/A,#N/A,FALSE,"단축2";#N/A,#N/A,FALSE,"단축3";#N/A,#N/A,FALSE,"장축";#N/A,#N/A,FALSE,"4WD"}</definedName>
    <definedName name="RES">#REF!</definedName>
    <definedName name="RESLUC">#REF!</definedName>
    <definedName name="ResolutionTracker">#REF!</definedName>
    <definedName name="Resp">#REF!</definedName>
    <definedName name="RESPDD">#REF!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ult">#REF!</definedName>
    <definedName name="Result21" hidden="1">{"'Sheet1'!$L$16"}</definedName>
    <definedName name="RESUM">#REF!</definedName>
    <definedName name="resumo_fabrica">[0]!resumo_fabrica</definedName>
    <definedName name="ret" hidden="1">{"'Sheet1'!$L$16"}</definedName>
    <definedName name="ret5ty091" hidden="1">{#N/A,#N/A,TRUE,"일정"}</definedName>
    <definedName name="RETET" hidden="1">#REF!</definedName>
    <definedName name="RETT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URNS">#REF!</definedName>
    <definedName name="revdate">#REF!</definedName>
    <definedName name="Revenue" hidden="1">{#N/A,#N/A,FALSE,"Assumptions";#N/A,#N/A,FALSE,"Volumes";#N/A,#N/A,FALSE,"Pricing";#N/A,#N/A,FALSE,"Variable Cost";#N/A,#N/A,FALSE,"Investment";#N/A,#N/A,FALSE,"Profitability";#N/A,#N/A,FALSE,"Business Comparison"}</definedName>
    <definedName name="review_start">#REF!</definedName>
    <definedName name="ReviewStatus">#REF!</definedName>
    <definedName name="Revised" hidden="1">#REF!</definedName>
    <definedName name="revisione">#REF!</definedName>
    <definedName name="revno">#REF!</definedName>
    <definedName name="rew">#REF!</definedName>
    <definedName name="rew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wr" hidden="1">{"'Sheet1'!$L$16"}</definedName>
    <definedName name="rewre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y" hidden="1">{"RUN3A",#N/A,FALSE,"BS-exist";"RUN3A","GROWTH RATE 8-5-7",FALSE,"IS-exist";"RUN3A","3rdRun without EquityInfusion;Sale of land(50-50)",FALSE,"CF-exist"}</definedName>
    <definedName name="ＲＦＧＤＦＦ" hidden="1">#REF!</definedName>
    <definedName name="rgaergaerger" hidden="1">#REF!</definedName>
    <definedName name="RGD" hidden="1">{#N/A,#N/A,FALSE,"CCTV"}</definedName>
    <definedName name="rgdf" hidden="1">{"'Sheet1'!$L$16"}</definedName>
    <definedName name="rgrthyj" hidden="1">#REF!</definedName>
    <definedName name="rgshds" hidden="1">{"'Sheet1'!$L$16"}</definedName>
    <definedName name="Rgt">#REF!</definedName>
    <definedName name="RHD" hidden="1">{#N/A,#N/A,FALSE,"단축1";#N/A,#N/A,FALSE,"단축2";#N/A,#N/A,FALSE,"단축3";#N/A,#N/A,FALSE,"장축";#N/A,#N/A,FALSE,"4WD"}</definedName>
    <definedName name="rhgrs" hidden="1">{"'Sheet1'!$L$16"}</definedName>
    <definedName name="RHNotes">#REF!</definedName>
    <definedName name="RHODIA" hidden="1">{"'DocTypeCode'!$A$142:$A$226"}</definedName>
    <definedName name="rhrewhehe" hidden="1">{#N/A,#N/A,FALSE,"Chi tiÆt"}</definedName>
    <definedName name="RI">#REF!</definedName>
    <definedName name="RIC">#REF!</definedName>
    <definedName name="rick" hidden="1">#REF!</definedName>
    <definedName name="RIGLAAGO">#REF!</definedName>
    <definedName name="RIGLAAPR">#REF!</definedName>
    <definedName name="RIGLADIC">#REF!</definedName>
    <definedName name="RIGLAFEB">#REF!</definedName>
    <definedName name="RIGLAGEN">#REF!</definedName>
    <definedName name="RIGLAGIU">#REF!</definedName>
    <definedName name="RIGLALUG">#REF!</definedName>
    <definedName name="RIGLAMAG">#REF!</definedName>
    <definedName name="RIGLAMAR">#REF!</definedName>
    <definedName name="RIGLANOV">#REF!</definedName>
    <definedName name="RIGLAOTT">#REF!</definedName>
    <definedName name="RIGLASET">#REF!</definedName>
    <definedName name="RILM">#REF!</definedName>
    <definedName name="rimir1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rimir2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rimp">#REF!</definedName>
    <definedName name="Risk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owner">#REF!</definedName>
    <definedName name="RiskPauseOnError">FALSE</definedName>
    <definedName name="RiskRealTimeResults">FALSE</definedName>
    <definedName name="RiskResultsUpdateFreq">1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TMI">#REF!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kd" hidden="1">{#N/A,#N/A,FALSE,"CCTV"}</definedName>
    <definedName name="rke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KQ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rkrjfk" hidden="1">{#N/A,#N/A,FALSE,"단축1";#N/A,#N/A,FALSE,"단축2";#N/A,#N/A,FALSE,"단축3";#N/A,#N/A,FALSE,"장축";#N/A,#N/A,FALSE,"4WD"}</definedName>
    <definedName name="rl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M" hidden="1">{#N/A,#N/A,FALSE,"Kilvington";#N/A,#N/A,FALSE,"Rock Handling";#N/A,#N/A,FALSE,"Grinding";#N/A,#N/A,FALSE,"Kettles";#N/A,#N/A,FALSE,"Autoclave";#N/A,#N/A,FALSE,"Mixing";#N/A,#N/A,FALSE,"Bagging 1";#N/A,#N/A,FALSE,"Bagging 2";#N/A,#N/A,FALSE,"Bagging 3";#N/A,#N/A,FALSE,"Bagging 4";#N/A,#N/A,FALSE,"Bagging 5";#N/A,#N/A,FALSE,"Bagging 5 (2)";#N/A,#N/A,FALSE,"Bagging 6";#N/A,#N/A,FALSE,"Bagging 7";#N/A,#N/A,FALSE,"Bagging 7 (2)";#N/A,#N/A,FALSE,"Loading";#N/A,#N/A,FALSE,"Manning";#N/A,#N/A,FALSE,"Palletisation";#N/A,#N/A,FALSE,"Bagging 1 (2)"}</definedName>
    <definedName name="rmayoccurin">#REF!</definedName>
    <definedName name="RMB">#REF!</definedName>
    <definedName name="RMCOptions">"*100000000000000"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MSIZE1">#REF!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ms" hidden="1">#REF!</definedName>
    <definedName name="ROTJSRHKWJD1" hidden="1">{#N/A,#N/A,FALSE,"단축1";#N/A,#N/A,FALSE,"단축2";#N/A,#N/A,FALSE,"단축3";#N/A,#N/A,FALSE,"장축";#N/A,#N/A,FALSE,"4WD"}</definedName>
    <definedName name="ROTULOS">OFFSET(#REF!,,,(COUNTA(#REF!)-1),)</definedName>
    <definedName name="row" hidden="1">#REF!</definedName>
    <definedName name="RowsCode_TMTSCDHH" hidden="1">#REF!</definedName>
    <definedName name="RowsCode_TMTSCDTTC" hidden="1">#REF!</definedName>
    <definedName name="RowsCode_TMTSCDVH" hidden="1">#REF!</definedName>
    <definedName name="RowsCode_TMVCSH" hidden="1">#REF!</definedName>
    <definedName name="roy">#REF!</definedName>
    <definedName name="rp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PLA" hidden="1">{"'Sheet1'!$L$16"}</definedName>
    <definedName name="rprob">#REF!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ＲＲ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E">#N/A</definedName>
    <definedName name="rrehe" hidden="1">{"Tages_D",#N/A,FALSE,"Tagesbericht";"Tages_PL",#N/A,FALSE,"Tagesbericht"}</definedName>
    <definedName name="rrr" hidden="1">{"'Sheet1'!$L$16"}</definedName>
    <definedName name="RRRDGG">#N/A</definedName>
    <definedName name="rrrfff">#N/A</definedName>
    <definedName name="ｒｒｒｒ" hidden="1">{"'Sheet1'!$L$16"}</definedName>
    <definedName name="ＲＲＲＲＦＦＦ" hidden="1">#REF!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">#REF!</definedName>
    <definedName name="rrrrrrrrrrrrrrr">#N/A</definedName>
    <definedName name="ＲＲＴＲＴＴＴ" hidden="1">#REF!</definedName>
    <definedName name="rrtry" hidden="1">{"年販売台数計画",#N/A,FALSE,"販売台数計画";"月販売台数計画",#N/A,FALSE,"販売台数計画"}</definedName>
    <definedName name="RR원본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S">#REF!</definedName>
    <definedName name="rsls" hidden="1">{"'Sheet1'!$L$16"}</definedName>
    <definedName name="rss" hidden="1">#REF!</definedName>
    <definedName name="rstakeholder">#REF!</definedName>
    <definedName name="rstrategy">#REF!</definedName>
    <definedName name="rt" hidden="1">{#N/A,#N/A,FALSE,"Assumptions";#N/A,#N/A,FALSE,"Volumes";#N/A,#N/A,FALSE,"Pricing";#N/A,#N/A,FALSE,"Variable Cost";#N/A,#N/A,FALSE,"Investment";#N/A,#N/A,FALSE,"Profitability";#N/A,#N/A,FALSE,"Business Comparison"}</definedName>
    <definedName name="rt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TL">#REF!</definedName>
    <definedName name="rtr" hidden="1">#REF!</definedName>
    <definedName name="rtrr" hidden="1">{"Tages_D",#N/A,FALSE,"Tagesbericht";"Tages_PL",#N/A,FALSE,"Tagesbericht"}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ử" hidden="1">#REF!</definedName>
    <definedName name="rturu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tyrtyt" hidden="1">#REF!</definedName>
    <definedName name="rtytry" hidden="1">#REF!</definedName>
    <definedName name="rtytui" hidden="1">#REF!</definedName>
    <definedName name="rtyty" hidden="1">{#N/A,#N/A,FALSE,"Profit Status";#N/A,#N/A,FALSE,"Invest";#N/A,#N/A,FALSE,"Revenue";#N/A,#N/A,FALSE,"Variable Cost";#N/A,#N/A,FALSE,"Options &amp; Series"}</definedName>
    <definedName name="rtyui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uel" hidden="1">{"RUN3A",#N/A,FALSE,"BS-exist";"RUN3A","GROWTH RATE 8-5-7",FALSE,"IS-exist";"RUN3A","3rdRun without EquityInfusion;Sale of land(50-50)",FALSE,"CF-exist"}</definedName>
    <definedName name="rưer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ưerwe" hidden="1">{#N/A,#N/A,TRUE,"일정"}</definedName>
    <definedName name="Rujipun" hidden="1">#REF!</definedName>
    <definedName name="run" hidden="1">{"RUN1",#N/A,FALSE,"BS-exist";"RUN1","GROWTH RATE 8-5-7",FALSE,"IS-exist";"RUN1","1stScenario(Sale of land 90-50);(EquityInfusion 70);(New loan 150);Collection of Advances(110)",FALSE,"CF-exist"}</definedName>
    <definedName name="run.3b" hidden="1">{"RUN3B",#N/A,FALSE,"BS-exist";"RUN3B","GROWTH RATE 10-5-8",FALSE,"IS-exist";"RUN3B","3rdRun without EquityInfusion;Sale of land(50-50)",FALSE,"CF-exist"}</definedName>
    <definedName name="run.4a" hidden="1">{"RUN4A",#N/A,FALSE,"BS-exist";"RUN4A","GROWTH RATE 8-5-7",FALSE,"IS-exist";"RUN4A","4thRun without EquityInfusion;Sale of land 75M",FALSE,"CF-exist"}</definedName>
    <definedName name="run.4b" hidden="1">{"RUN4B",#N/A,FALSE,"BS-exist";"RUN4B","GROWTH RATE 10-5-8",FALSE,"IS-exist";"RUN4B","4thRun without EquityInfusion;Sale of land 75M",FALSE,"CF-exist"}</definedName>
    <definedName name="run.5a" hidden="1">{"RUN5A",#N/A,FALSE,"BS-exist";"RUN5A","GROWTH RATE 8-5-7",FALSE,"IS-exist";"RUN5A","5th Run without EquityInfusion;Sale of asset(75-35)",FALSE,"CF-exist"}</definedName>
    <definedName name="run.6a" hidden="1">{"RUN6A",#N/A,FALSE,"BS-exist";"RUN6A","GROWTH RATE 10-5-8",FALSE,"IS-exist";"RUN6A","4thRun without EquityInfusion;Sale of land 75M",FALSE,"CF-exist"}</definedName>
    <definedName name="run3a" hidden="1">{"RUN3A",#N/A,FALSE,"BS-exist";"RUN3A","GROWTH RATE 8-5-7",FALSE,"IS-exist";"RUN3A","3rdRun without EquityInfusion;Sale of land(50-50)",FALSE,"CF-exist"}</definedName>
    <definedName name="run3b" hidden="1">{"RUN3B",#N/A,FALSE,"BS-exist";"RUN3B","GROWTH RATE 10-5-8",FALSE,"IS-exist";"RUN3B","3rdRun without EquityInfusion;Sale of land(50-50)",FALSE,"CF-exist"}</definedName>
    <definedName name="run4a" hidden="1">{"RUN4A",#N/A,FALSE,"BS-exist";"RUN4A","GROWTH RATE 8-5-7",FALSE,"IS-exist";"RUN4A","4thRun without EquityInfusion;Sale of land 75M",FALSE,"CF-exist"}</definedName>
    <definedName name="run4b" hidden="1">{"RUN4B",#N/A,FALSE,"BS-exist";"RUN4B","GROWTH RATE 10-5-8",FALSE,"IS-exist";"RUN4B","4thRun without EquityInfusion;Sale of land 75M",FALSE,"CF-exist"}</definedName>
    <definedName name="run4bnew" hidden="1">{"RUN4B",#N/A,FALSE,"BS-exist";"RUN4B","GROWTH RATE 10-5-8",FALSE,"IS-exist";"RUN4B","4thRun without EquityInfusion;Sale of land 75M",FALSE,"CF-exist"}</definedName>
    <definedName name="run5anew" hidden="1">{"RUN5A",#N/A,FALSE,"BS-exist";"RUN5A","GROWTH RATE 8-5-7",FALSE,"IS-exist";"RUN5A","5th Run without EquityInfusion;Sale of asset(75-35)",FALSE,"CF-exist"}</definedName>
    <definedName name="run6a" hidden="1">{"RUN6A",#N/A,FALSE,"BS-exist";"RUN6A","GROWTH RATE 10-5-8",FALSE,"IS-exist";"RUN6A","4thRun without EquityInfusion;Sale of land 75M",FALSE,"CF-exist"}</definedName>
    <definedName name="run6anew" hidden="1">{"RUN6A",#N/A,FALSE,"BS-exist";"RUN6A","GROWTH RATE 10-5-8",FALSE,"IS-exist";"RUN6A","4thRun without EquityInfusion;Sale of land 75M",FALSE,"CF-exist"}</definedName>
    <definedName name="RunningHead" hidden="1">#REF!</definedName>
    <definedName name="rưt" hidden="1">#REF!</definedName>
    <definedName name="Rwvu.RDOTOT." hidden="1">#REF!,#REF!</definedName>
    <definedName name="Rwvu.Rollierend." hidden="1">#REF!</definedName>
    <definedName name="Rx_P5xxxxxxxxxxxxxxx">#REF!</definedName>
    <definedName name="ryhtrd" hidden="1">{#N/A,#N/A,FALSE,"Chi tiÆt"}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ytt" hidden="1">#REF!</definedName>
    <definedName name="s" hidden="1">{"'Sheet1'!$L$16"}</definedName>
    <definedName name="ｓ">#REF!</definedName>
    <definedName name="s.">(#REF!-1)*100+#REF!</definedName>
    <definedName name="S_Col">#REF!</definedName>
    <definedName name="S1_" comment="S3">#REF!</definedName>
    <definedName name="sa" hidden="1">{"'Sheet1'!$L$16"}</definedName>
    <definedName name="SA???????">#N/A</definedName>
    <definedName name="saa" hidden="1">{#N/A,#N/A,FALSE,"Sheet2";#N/A,#N/A,FALSE,"Sheet4";#N/A,#N/A,FALSE,"Sheet6"}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as" hidden="1">#REF!</definedName>
    <definedName name="sadasd" hidden="1">#REF!</definedName>
    <definedName name="sadd" hidden="1">#REF!</definedName>
    <definedName name="sadSa" hidden="1">{#N/A,#N/A,FALSE,"Chi tiÆt"}</definedName>
    <definedName name="sadsadsa" hidden="1">#REF!</definedName>
    <definedName name="sADSDA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sầdsfsd" hidden="1">#REF!</definedName>
    <definedName name="sadsgfjhkhluiluil" hidden="1">#REF!</definedName>
    <definedName name="sadsssad">#REF!</definedName>
    <definedName name="SADXAS" hidden="1">#REF!</definedName>
    <definedName name="safety" hidden="1">{#N/A,#N/A,FALSE,"Plant Tot. Record";#N/A,#N/A,FALSE,"BT Tot. Record";#N/A,#N/A,FALSE,"Plant Lost Days";#N/A,#N/A,FALSE,"Top 5 Record";#N/A,#N/A,FALSE,"BT Lost Days";#N/A,#N/A,FALSE,"BT Top 5 Lost Days"}</definedName>
    <definedName name="sagawa" hidden="1">#REF!</definedName>
    <definedName name="SAL13PG">#REF!</definedName>
    <definedName name="salename">#REF!</definedName>
    <definedName name="SALENC">#REF!</definedName>
    <definedName name="Sales">#REF!</definedName>
    <definedName name="SalesTax">#REF!</definedName>
    <definedName name="SALFRAMELIST">OFFSET(#REF!,0,0,COUNTA(#REF!)-2)</definedName>
    <definedName name="SALPG">#REF!</definedName>
    <definedName name="SAMPLAN">#REF!</definedName>
    <definedName name="Sampling">#REF!</definedName>
    <definedName name="SangTao">#REF!</definedName>
    <definedName name="saø" hidden="1">{"'Sheet1'!$L$16"}</definedName>
    <definedName name="SAPBEXdnldView" hidden="1">"CK5B5R2I2VE1WYR48R1A1412G"</definedName>
    <definedName name="SAPBEXhrIndnt" hidden="1">1</definedName>
    <definedName name="SAPBEXrevision" hidden="1">1</definedName>
    <definedName name="SAPBEXsysID" hidden="1">"PS1"</definedName>
    <definedName name="SAPBEXwbID" hidden="1">"3L1MQQ0K8VOWDZOU6BT89AWIY"</definedName>
    <definedName name="SAPCrosstab1">#REF!</definedName>
    <definedName name="SAPFuncF4Help" localSheetId="1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rs" hidden="1">{"RUN5A",#N/A,FALSE,"BS-exist";"RUN5A","GROWTH RATE 8-5-7",FALSE,"IS-exist";"RUN5A","5th Run without EquityInfusion;Sale of asset(75-35)",FALSE,"CF-exist"}</definedName>
    <definedName name="SARSRST" hidden="1">#REF!</definedName>
    <definedName name="SAs">#REF!</definedName>
    <definedName name="sasa" hidden="1">{#N/A,#N/A,FALSE,"Sheet1";#N/A,#N/A,FALSE,"Sheet3";#N/A,#N/A,FALSE,"Sheet5"}</definedName>
    <definedName name="sasaa">PeriodInActual*(#REF!&gt;0)</definedName>
    <definedName name="SASS" hidden="1">{#N/A,#N/A,FALSE,"개발계획표지";#N/A,#N/A,FALSE,"목차";#N/A,#N/A,FALSE,"개요"}</definedName>
    <definedName name="sau">#REF!</definedName>
    <definedName name="sav" hidden="1">{"'Sheet1'!$L$16"}</definedName>
    <definedName name="save_time">38377.839212963</definedName>
    <definedName name="SaveForm">#REF!</definedName>
    <definedName name="savf" hidden="1">#REF!</definedName>
    <definedName name="SAW_sub" hidden="1">{"'2공장'!$A$1:$H$216"}</definedName>
    <definedName name="SAW_SUC" hidden="1">{"'2공장'!$A$1:$H$216"}</definedName>
    <definedName name="SA順にソートする">#N/A</definedName>
    <definedName name="sc">(#REF!-1)*100+#REF!</definedName>
    <definedName name="sc1708a">#REF!</definedName>
    <definedName name="sch" hidden="1">{#N/A,#N/A,TRUE,"일정"}</definedName>
    <definedName name="schedule" hidden="1">{"'Sheet1'!$L$16"}</definedName>
    <definedName name="Schema">#REF!</definedName>
    <definedName name="SCINIC" hidden="1">{#N/A,#N/A,FALSE,"단축1";#N/A,#N/A,FALSE,"단축2";#N/A,#N/A,FALSE,"단축3";#N/A,#N/A,FALSE,"장축";#N/A,#N/A,FALSE,"4WD"}</definedName>
    <definedName name="SControlling">#REF!</definedName>
    <definedName name="SCOOTER">#REF!</definedName>
    <definedName name="Scorecard">#REF!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" hidden="1">{"'Sheet1'!$L$16"}</definedName>
    <definedName name="sđ" hidden="1">{"'Sheet1'!$L$16"}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" hidden="1">{#N/A,#N/A,FALSE,"10"}</definedName>
    <definedName name="sdaf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d" hidden="1">#REF!</definedName>
    <definedName name="sdbdfh" hidden="1">{#N/A,#N/A,FALSE,"Sensitivity"}</definedName>
    <definedName name="sdbfhng" hidden="1">{"Tages_D",#N/A,FALSE,"Tagesbericht";"Tages_PL",#N/A,FALSE,"Tagesbericht"}</definedName>
    <definedName name="sdbfv" hidden="1">{"fleisch",#N/A,FALSE,"WG HK";"food",#N/A,FALSE,"WG HK";"hartwaren",#N/A,FALSE,"WG HK";"weichwaren",#N/A,FALSE,"WG HK"}</definedName>
    <definedName name="sdbvdb" hidden="1">{"'Sheet1'!$L$16"}</definedName>
    <definedName name="sdcsd" hidden="1">{"'Sheet1'!$L$16"}</definedName>
    <definedName name="sd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{#N/A,#N/A,TRUE,"일정"}</definedName>
    <definedName name="sdda" hidden="1">{"'Sheet1'!$L$16"}</definedName>
    <definedName name="SDDD" hidden="1">{#N/A,#N/A,FALSE,"Bare Battery F.G."}</definedName>
    <definedName name="SDDF" hidden="1">{"RUN3A",#N/A,FALSE,"BS-exist";"RUN3A","GROWTH RATE 8-5-7",FALSE,"IS-exist";"RUN3A","3rdRun without EquityInfusion;Sale of land(50-50)",FALSE,"CF-exist"}</definedName>
    <definedName name="sdf" hidden="1">{"'Sheet1'!$L$16"}</definedName>
    <definedName name="SDFAD" hidden="1">#REF!</definedName>
    <definedName name="sdfads" hidden="1">{"'Sheet1'!$L$16"}</definedName>
    <definedName name="sdfastgawtwqetr" hidden="1">#REF!</definedName>
    <definedName name="SD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fda" hidden="1">{"'Sheet1'!$L$16"}</definedName>
    <definedName name="sdfdf" hidden="1">#REF!</definedName>
    <definedName name="SDFFSDF" hidden="1">#REF!</definedName>
    <definedName name="sdfg" hidden="1">{#N/A,#N/A,FALSE,"CCTV"}</definedName>
    <definedName name="sdfgd" hidden="1">{"weichwaren",#N/A,FALSE,"Liste 1";"hartwaren",#N/A,FALSE,"Liste 1";"food",#N/A,FALSE,"Liste 1";"fleisch",#N/A,FALSE,"Liste 1"}</definedName>
    <definedName name="SDFGDF">#REF!</definedName>
    <definedName name="sdfgdh" hidden="1">#REF!</definedName>
    <definedName name="SDFGH" hidden="1">{#N/A,#N/A,FALSE,"단축1";#N/A,#N/A,FALSE,"단축2";#N/A,#N/A,FALSE,"단축3";#N/A,#N/A,FALSE,"장축";#N/A,#N/A,FALSE,"4WD"}</definedName>
    <definedName name="sdfghyu" hidden="1">{"'Sheet1'!$L$16"}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dfrg" hidden="1">#REF!</definedName>
    <definedName name="SDFH" hidden="1">{#N/A,#N/A,FALSE,"단축1";#N/A,#N/A,FALSE,"단축2";#N/A,#N/A,FALSE,"단축3";#N/A,#N/A,FALSE,"장축";#N/A,#N/A,FALSE,"4WD"}</definedName>
    <definedName name="sdfs" hidden="1">#REF!</definedName>
    <definedName name="SDFSA" hidden="1">#REF!</definedName>
    <definedName name="sdfsdfsd" hidden="1">{"'Sheet1'!$L$16"}</definedName>
    <definedName name="SDFSDFSDF">#REF!</definedName>
    <definedName name="sdfsdfsf" hidden="1">{"'Sheet1'!$L$16"}</definedName>
    <definedName name="sdfsdgfdg" hidden="1">#REF!</definedName>
    <definedName name="sdfsfdsà" hidden="1">#REF!</definedName>
    <definedName name="sdfvsd" hidden="1">#REF!</definedName>
    <definedName name="sdfygu" hidden="1">#REF!</definedName>
    <definedName name="sdg" hidden="1">#REF!</definedName>
    <definedName name="sdgd" hidden="1">{"Tages_D",#N/A,FALSE,"Tagesbericht";"Tages_PL",#N/A,FALSE,"Tagesbericht"}</definedName>
    <definedName name="sdgdb" hidden="1">{"TAG1AGMS",#N/A,FALSE,"TAG 1A"}</definedName>
    <definedName name="sdgdfb" hidden="1">{"'Sheet1'!$L$16"}</definedName>
    <definedName name="sdgd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dgdsg" hidden="1">{"'Sheet1'!$L$16"}</definedName>
    <definedName name="sdgdtger" hidden="1">{"'Sheet1'!$L$16"}</definedName>
    <definedName name="sdgfjhfj" hidden="1">{"'Sheet1'!$L$16"}</definedName>
    <definedName name="SDGR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GSDGSD" hidden="1">#REF!</definedName>
    <definedName name="sdhfh" localSheetId="1" hidden="1">Main.SAPF4Help()</definedName>
    <definedName name="sdhfh" hidden="1">Main.SAPF4Help()</definedName>
    <definedName name="sđqqqư" hidden="1">#REF!</definedName>
    <definedName name="sds" hidden="1">{"'Sheet1'!$L$16"}</definedName>
    <definedName name="sdsad" hidden="1">{"F3 detail",#N/A,FALSE,"F1";"F3 Presentation",#N/A,FALSE,"F3 "}</definedName>
    <definedName name="sdsafdsa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sdsd" hidden="1">{"'Sheet1'!$L$16"}</definedName>
    <definedName name="sdsdwdwdd" hidden="1">#REF!</definedName>
    <definedName name="SDSS" hidden="1">{#N/A,#N/A,FALSE,"단축1";#N/A,#N/A,FALSE,"단축2";#N/A,#N/A,FALSE,"단축3";#N/A,#N/A,FALSE,"장축";#N/A,#N/A,FALSE,"4WD"}</definedName>
    <definedName name="sdvd" hidden="1">{"'Sheet1'!$L$16"}</definedName>
    <definedName name="sdv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z" hidden="1">{"'Sheet1'!$L$16"}</definedName>
    <definedName name="SEASONALITY">#REF!</definedName>
    <definedName name="SECCELL">#REF!</definedName>
    <definedName name="second">#REF!</definedName>
    <definedName name="SECSELECT">OFFSET(INDIRECT(ADDRESS(MATCH(SECCELL,SECTEMPLIST,0)+2,2,,,"GROUP")),0,0,COUNTIF(SECTEMPLIST,SECCELL),1)</definedName>
    <definedName name="SECTEMPLIST">#REF!</definedName>
    <definedName name="Section">#REF!</definedName>
    <definedName name="SectionHead" hidden="1">#REF!</definedName>
    <definedName name="sedcsdx" hidden="1">{"'Sheet1'!$L$16"}</definedName>
    <definedName name="sedfhbf" hidden="1">{"fleisch",#N/A,FALSE,"WG HK";"food",#N/A,FALSE,"WG HK";"hartwaren",#N/A,FALSE,"WG HK";"weichwaren",#N/A,FALSE,"WG HK"}</definedName>
    <definedName name="Seg_LBO_Summ" hidden="1">{"LBO Summary",#N/A,FALSE,"Summary"}</definedName>
    <definedName name="SEGEXPPG">#REF!</definedName>
    <definedName name="segfsdvgfsd" hidden="1">{"page1",#N/A,FALSE,"BHCOMPC5";"page2",#N/A,FALSE,"BHCOMPC5";"page3",#N/A,FALSE,"BHCOMPC5";"page4",#N/A,FALSE,"BHCOMPC5"}</definedName>
    <definedName name="Segments">#REF!</definedName>
    <definedName name="sehdh" hidden="1">{"'Sheet1'!$L$16"}</definedName>
    <definedName name="SeitenUmbruch">#REF!</definedName>
    <definedName name="SEL" hidden="1">{#N/A,#N/A,TRUE,"일정"}</definedName>
    <definedName name="SELECTOR" hidden="1">{#N/A,#N/A,TRUE,"일정"}</definedName>
    <definedName name="Sell_in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mtember" hidden="1">{"'Sheet1'!$L$16"}</definedName>
    <definedName name="sen" hidden="1">{"'Sheet1'!$L$16"}</definedName>
    <definedName name="sencount" hidden="1">2</definedName>
    <definedName name="Sens" hidden="1">{#N/A,#N/A,FALSE,"Sensitivity"}</definedName>
    <definedName name="SE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t" hidden="1">#REF!</definedName>
    <definedName name="sẻtryu" hidden="1">{"'Sheet1'!$L$16"}</definedName>
    <definedName name="sev">#REF!</definedName>
    <definedName name="Severity">#REF!</definedName>
    <definedName name="sew">#REF!</definedName>
    <definedName name="SEWK_V1">#REF!</definedName>
    <definedName name="SEWK_V1b">#REF!</definedName>
    <definedName name="SEWK_V2">#REF!</definedName>
    <definedName name="SEWK_V3">#REF!</definedName>
    <definedName name="Sex">#REF!</definedName>
    <definedName name="SEXPENSES">#REF!</definedName>
    <definedName name="seytruyu" hidden="1">#REF!</definedName>
    <definedName name="sẻytujk" hidden="1">#REF!</definedName>
    <definedName name="sf" hidden="1">{"'Sheet1'!$L$16"}</definedName>
    <definedName name="SFA" hidden="1">#REF!</definedName>
    <definedName name="sfads" hidden="1">{"EVA",#N/A,FALSE,"EVA";"WACC",#N/A,FALSE,"WACC"}</definedName>
    <definedName name="sfafd">#REF!</definedName>
    <definedName name="sfd" hidden="1">{#N/A,#N/A,FALSE,"Cover";#N/A,#N/A,FALSE,"Profits";#N/A,#N/A,FALSE,"ABS";#N/A,#N/A,FALSE,"TFLE Detail";#N/A,#N/A,FALSE,"TFLE Walk";#N/A,#N/A,FALSE,"Variable Cost";#N/A,#N/A,FALSE,"V.C. Walk"}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dfgfhgjgjgjghj" hidden="1">#REF!</definedName>
    <definedName name="SFDGHG" hidden="1">{#N/A,#N/A,FALSE,"단축1";#N/A,#N/A,FALSE,"단축2";#N/A,#N/A,FALSE,"단축3";#N/A,#N/A,FALSE,"장축";#N/A,#N/A,FALSE,"4WD"}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f" hidden="1">{"'Sheet1'!$L$16"}</definedName>
    <definedName name="sfg" hidden="1">#REF!</definedName>
    <definedName name="SFGHJK" hidden="1">{#N/A,#N/A,FALSE,"단축1";#N/A,#N/A,FALSE,"단축2";#N/A,#N/A,FALSE,"단축3";#N/A,#N/A,FALSE,"장축";#N/A,#N/A,FALSE,"4WD"}</definedName>
    <definedName name="sfgrtrhy" hidden="1">{"'Sheet1'!$L$16"}</definedName>
    <definedName name="SFJGH" hidden="1">{#N/A,#N/A,FALSE,"단축1";#N/A,#N/A,FALSE,"단축2";#N/A,#N/A,FALSE,"단축3";#N/A,#N/A,FALSE,"장축";#N/A,#N/A,FALSE,"4WD"}</definedName>
    <definedName name="sfsafsafdsa" hidden="1">{#N/A,#N/A,FALSE,"MONTHDET";#N/A,#N/A,FALSE,"ACTUAL"}</definedName>
    <definedName name="sfsd" hidden="1">{"'Sheet1'!$L$16"}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g" hidden="1">#REF!</definedName>
    <definedName name="SGA_Germany">#REF!</definedName>
    <definedName name="sgag" hidden="1">{"page1",#N/A,FALSE,"BHCOMPC5";"page2",#N/A,FALSE,"BHCOMPC5";"page3",#N/A,FALSE,"BHCOMPC5";"page4",#N/A,FALSE,"BHCOMPC5"}</definedName>
    <definedName name="sgd" hidden="1">#REF!</definedName>
    <definedName name="sgdg" localSheetId="1" hidden="1">Main.SAPF4Help()</definedName>
    <definedName name="sgdg" hidden="1">Main.SAPF4Help()</definedName>
    <definedName name="sgdsgd" hidden="1">{"'Sheet1'!$L$16"}</definedName>
    <definedName name="SGG" hidden="1">{"'Sheet1'!$L$16"}</definedName>
    <definedName name="sgjhk" hidden="1">{"'Sheet1'!$L$16"}</definedName>
    <definedName name="SGSD" hidden="1">#REF!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dhgsdhgigiegiohioghioh" hidden="1">{"'Sheet1'!$L$16"}</definedName>
    <definedName name="SGSpaltenAnfang">#REF!</definedName>
    <definedName name="SGSpaltenEnde">#REF!</definedName>
    <definedName name="sgsr" hidden="1">{"'Sheet1'!$L$16"}</definedName>
    <definedName name="sh" hidden="1">{"'Sheet1'!$L$16"}</definedName>
    <definedName name="sheet1" hidden="1">{#N/A,#N/A,FALSE,"Assumptions";#N/A,#N/A,FALSE,"1997 P&amp;L(pk) Estrada";#N/A,#N/A,FALSE,"ONGOING P&amp;L(pk) Estrada"}</definedName>
    <definedName name="Sheet2" hidden="1">{#N/A,#N/A,FALSE,"Sheet1"}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etBS">"MisBS"</definedName>
    <definedName name="SheetDAUTU">"DAUTU"</definedName>
    <definedName name="SheetGL">"MisGL"</definedName>
    <definedName name="SheetName">"[Bao_cao_cua_NVTK_tai_NPP_bieu_mau_moi_4___Mau_moi.xls]~         "</definedName>
    <definedName name="SheetPL">"MisPL"</definedName>
    <definedName name="shif6">#N/A</definedName>
    <definedName name="Shift">#REF!</definedName>
    <definedName name="shit" hidden="1">#REF!</definedName>
    <definedName name="SHITTTTTTTTT" hidden="1">#REF!</definedName>
    <definedName name="Show.MDB.Update.Warning" hidden="1">#REF!</definedName>
    <definedName name="SHREVPULL">#REF!</definedName>
    <definedName name="SHREVRET">#REF!</definedName>
    <definedName name="SHRVPULL">#REF!</definedName>
    <definedName name="SHRVRET">#REF!</definedName>
    <definedName name="shshryhasyhj" hidden="1">#N/A</definedName>
    <definedName name="shsrhtr" hidden="1">{"'Sheet1'!$L$16"}</definedName>
    <definedName name="shss" hidden="1">#N/A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I" hidden="1">{#N/A,#N/A,FALSE,"Cover Page";#N/A,#N/A,FALSE,"Facing Page";#N/A,#N/A,FALSE,"Main Page";#N/A,#N/A,FALSE,"Risk-Adjusted";#N/A,#N/A,FALSE,"Profit Improvement"}</definedName>
    <definedName name="SigLastUpdate">#REF!</definedName>
    <definedName name="simone">#REF!</definedName>
    <definedName name="Simulink_requirement_item_1">#REF!</definedName>
    <definedName name="Simulink_requirement_item_2">#REF!</definedName>
    <definedName name="Simulink_requirement_item_3">#REF!</definedName>
    <definedName name="Simulink_requirement_item_4">#REF!</definedName>
    <definedName name="Simulink_requirement_item_5">#REF!</definedName>
    <definedName name="Simulink_requirement_item_6">#REF!</definedName>
    <definedName name="SIN.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gHoldCo" hidden="1">{#N/A,#N/A,TRUE,"SUMMARY";#N/A,#N/A,TRUE,"SUMMARY - BY SEGMENT";#N/A,#N/A,TRUE,"SUMMARY - BY REGION";#N/A,#N/A,TRUE,"FINANCIAL SERVICES OPERATIONS";#N/A,#N/A,TRUE,"REINSURANCE OPERATIONS";#N/A,#N/A,TRUE,"INSURANCE OPERATIONS"}</definedName>
    <definedName name="SISAN_KUBUN">#REF!</definedName>
    <definedName name="Site">#REF!</definedName>
    <definedName name="sjkrs" hidden="1">{"'Sheet1'!$L$16"}</definedName>
    <definedName name="sjl">#REF!</definedName>
    <definedName name="S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kdjf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jj" hidden="1">{#N/A,#N/A,FALSE,"Assumptions";#N/A,#N/A,FALSE,"Volumes";#N/A,#N/A,FALSE,"Pricing";#N/A,#N/A,FALSE,"Variable Cost";#N/A,#N/A,FALSE,"Investment";#N/A,#N/A,FALSE,"Profitability";#N/A,#N/A,FALSE,"Business Comparison"}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r_Khối___Nhóm">#N/A</definedName>
    <definedName name="Slicer_Khối___Nhóm1">#N/A</definedName>
    <definedName name="Slicer_Khối___Nhóm2">#N/A</definedName>
    <definedName name="Slicer_Khối___Nhóm3">#N/A</definedName>
    <definedName name="Slicer_Khối___Nhóm4">#N/A</definedName>
    <definedName name="Slicer_Khối___Nhóm5">#N/A</definedName>
    <definedName name="Slicer_Khối___Nhóm6">#N/A</definedName>
    <definedName name="Slicer_SC_CODE">#N/A</definedName>
    <definedName name="slo">#REF!</definedName>
    <definedName name="sm">#REF!</definedName>
    <definedName name="sma">#REF!</definedName>
    <definedName name="smfy">#REF!</definedName>
    <definedName name="SMFYA">#REF!</definedName>
    <definedName name="sName">#N/A</definedName>
    <definedName name="SoCT">#REF!</definedName>
    <definedName name="sodangkûtichkh" hidden="1">{"'Sheet1'!$L$16"}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hidden="1">0.15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0.5</definedName>
    <definedName name="son" hidden="1">{"'Sheet1'!$L$16"}</definedName>
    <definedName name="SOP">#REF!</definedName>
    <definedName name="SOP_Favorite_Name">" "</definedName>
    <definedName name="SOP_Planning_Scope">"11/18/2019 - 01/22/2020 | Baseline | Base Version"</definedName>
    <definedName name="SOP_Refresh_Timestamp">43795.3901851852</definedName>
    <definedName name="SOP_Template_Name">"SF20 Consensus Demand"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ort" hidden="1">#REF!</definedName>
    <definedName name="SORT2">#N/A</definedName>
    <definedName name="SORT3">#N/A</definedName>
    <definedName name="Sosanh2" hidden="1">{"'Sheet1'!$L$16"}</definedName>
    <definedName name="Sothangluyke">#REF!</definedName>
    <definedName name="SoTien" hidden="1">OFFSET(#REF!,1,0,IF(COUNTA(#REF!)-COUNTA(#REF!)&gt;0,COUNTA(#REF!)-COUNTA(#REF!),1),1)</definedName>
    <definedName name="SP" hidden="1">#N/A</definedName>
    <definedName name="Spample" hidden="1">{"'Sheet1'!$L$16"}</definedName>
    <definedName name="SPART" hidden="1">{"'2공장'!$A$1:$H$216"}</definedName>
    <definedName name="SPATH">"ERPSERV :\QGPL\QPRINT"</definedName>
    <definedName name="SPATH0">"ERPSERV :"</definedName>
    <definedName name="SPATH1">"QGPL"</definedName>
    <definedName name="SPATH10">""</definedName>
    <definedName name="SPATH11">""</definedName>
    <definedName name="SPATH12">""</definedName>
    <definedName name="SPATH13">""</definedName>
    <definedName name="SPATH14">""</definedName>
    <definedName name="SPATH15">""</definedName>
    <definedName name="SPATH16">""</definedName>
    <definedName name="SPATH17">""</definedName>
    <definedName name="SPATH18">""</definedName>
    <definedName name="SPATH19">""</definedName>
    <definedName name="SPATH2">"QPRINT"</definedName>
    <definedName name="SPATH20">""</definedName>
    <definedName name="SPATH21">""</definedName>
    <definedName name="SPATH22">""</definedName>
    <definedName name="SPATH23">""</definedName>
    <definedName name="SPATH24">""</definedName>
    <definedName name="SPATH25">""</definedName>
    <definedName name="SPATH26">""</definedName>
    <definedName name="SPATH27">""</definedName>
    <definedName name="SPATH28">""</definedName>
    <definedName name="SPATH29">""</definedName>
    <definedName name="SPATH3">""</definedName>
    <definedName name="SPATH4">""</definedName>
    <definedName name="SPATH5">""</definedName>
    <definedName name="SPATH6">""</definedName>
    <definedName name="SPATH7">""</definedName>
    <definedName name="SPATH8">""</definedName>
    <definedName name="SPATH9">""</definedName>
    <definedName name="SPDAT">"12/1/2014"</definedName>
    <definedName name="SPDAY">"01"</definedName>
    <definedName name="SPDT2">"20141201"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ialPrice" hidden="1">#REF!</definedName>
    <definedName name="SPMON">"12"</definedName>
    <definedName name="SPNAM">"QPQUPRFIL"</definedName>
    <definedName name="SPNMB">"4"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readsheetWEBInternalConnection" hidden="1">#REF!</definedName>
    <definedName name="SpreadsheetWEBUserName" hidden="1">#REF!</definedName>
    <definedName name="SpreadsheetWEBUserRole" hidden="1">#REF!</definedName>
    <definedName name="SPTIM">"11:46:04"</definedName>
    <definedName name="SPTM2">"114645"</definedName>
    <definedName name="spws_comeon">"57B93B47-466B-47AB-98DF-66BE3A721477"</definedName>
    <definedName name="SPWS_WBID">"0DE118E7-F15D-44B3-A278-E1A1F302F577"</definedName>
    <definedName name="SPYEA">"2014"</definedName>
    <definedName name="SR">#REF!</definedName>
    <definedName name="SR5.3.7" hidden="1">#REF!</definedName>
    <definedName name="srg" hidden="1">#REF!,#REF!,#REF!,#REF!,#REF!,#REF!</definedName>
    <definedName name="SROT51">#REF!</definedName>
    <definedName name="SROto">#REF!</definedName>
    <definedName name="srtghg" hidden="1">{"'Sheet1'!$L$16"}</definedName>
    <definedName name="SRXeMay">#REF!</definedName>
    <definedName name="SRXM51">#REF!</definedName>
    <definedName name="ss" hidden="1">{"weichwaren",#N/A,FALSE,"Liste 1";"hartwaren",#N/A,FALSE,"Liste 1";"food",#N/A,FALSE,"Liste 1";"fleisch",#N/A,FALSE,"Liste 1"}</definedName>
    <definedName name="SSD" hidden="1">{#N/A,#N/A,TRUE,"일정"}</definedName>
    <definedName name="ssdd" hidden="1">#REF!</definedName>
    <definedName name="ssdsdsd" hidden="1">{#N/A,#N/A,FALSE,"Chi tiÆt"}</definedName>
    <definedName name="ssi" hidden="1">{#N/A,#N/A,TRUE,"일정"}</definedName>
    <definedName name="sss" hidden="1">{#N/A,#N/A,FALSE,"전력간선"}</definedName>
    <definedName name="sssdsdsd" hidden="1">#REF!</definedName>
    <definedName name="SSSEE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SSSEE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{"fleisch",#N/A,FALSE,"WG HK";"food",#N/A,FALSE,"WG HK";"hartwaren",#N/A,FALSE,"WG HK";"weichwaren",#N/A,FALSE,"WG HK"}</definedName>
    <definedName name="SSSSS" hidden="1">{"F3 detail",#N/A,FALSE,"F1";"F3 Presentation",#N/A,FALSE,"F3 "}</definedName>
    <definedName name="sssssss" hidden="1">{"fleisch",#N/A,FALSE,"WG HK";"food",#N/A,FALSE,"WG HK";"hartwaren",#N/A,FALSE,"WG HK";"weichwaren",#N/A,FALSE,"WG HK"}</definedName>
    <definedName name="ssssssss" hidden="1">#REF!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y" hidden="1">#N/A</definedName>
    <definedName name="ST_TH2_131">3</definedName>
    <definedName name="Stamping" hidden="1">#REF!</definedName>
    <definedName name="StandardIndustry">#REF!</definedName>
    <definedName name="Standorte">#REF!</definedName>
    <definedName name="Start_Page" hidden="1">#REF!</definedName>
    <definedName name="startDate">#REF!</definedName>
    <definedName name="startDates">#REF!</definedName>
    <definedName name="startday">#REF!</definedName>
    <definedName name="Starting_Date">#REF!</definedName>
    <definedName name="startSteps">#REF!</definedName>
    <definedName name="STATE">"*READY"</definedName>
    <definedName name="Status">OFFSET(#REF!,0,0,COUNTA(#REF!),COUNTA(#REF!))</definedName>
    <definedName name="StatusCount">#REF!</definedName>
    <definedName name="std">#REF!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ven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H_NC">#REF!</definedName>
    <definedName name="STH_NVL">#REF!</definedName>
    <definedName name="STH_SXC">#REF!</definedName>
    <definedName name="StockKind">#REF!</definedName>
    <definedName name="stop" hidden="1">{0}</definedName>
    <definedName name="Store_openning" comment="Date of openning" hidden="1">#REF!</definedName>
    <definedName name="STP_20000_V1b">#REF!</definedName>
    <definedName name="STP_20000_V2">#REF!</definedName>
    <definedName name="STP_20000_V3">#REF!</definedName>
    <definedName name="STP_33000_V1b">#REF!</definedName>
    <definedName name="STP_33000_V2">#REF!</definedName>
    <definedName name="STP_33000_V3">#REF!</definedName>
    <definedName name="STP_SZ1_V1">#REF!</definedName>
    <definedName name="STP_SZ2_V1">#REF!</definedName>
    <definedName name="strAcceptStatus">#REF!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rConnecter">#REF!</definedName>
    <definedName name="STREGNTHEN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stress">#REF!</definedName>
    <definedName name="strInitialConnecter">#REF!</definedName>
    <definedName name="strIO">#REF!</definedName>
    <definedName name="StrLvl">#REF!</definedName>
    <definedName name="strSigGrp">#REF!</definedName>
    <definedName name="strSoft">#REF!</definedName>
    <definedName name="strSoftFirstValue">#REF!</definedName>
    <definedName name="STT" hidden="1">#N/A</definedName>
    <definedName name="stückzahl_gesamt">#REF!</definedName>
    <definedName name="stückzahl_gesamt2">#REF!</definedName>
    <definedName name="Stundensatz">#REF!</definedName>
    <definedName name="STWK_V1">#REF!</definedName>
    <definedName name="STWK_V1b">#REF!</definedName>
    <definedName name="stzbtns" hidden="1">{"'Sheet1'!$L$16"}</definedName>
    <definedName name="sua" hidden="1">{"'Sheet1'!$L$16"}</definedName>
    <definedName name="Subject">#REF!</definedName>
    <definedName name="SUBTOT1">#REF!</definedName>
    <definedName name="SUBTOT2">#REF!</definedName>
    <definedName name="SUBTOT3">#REF!</definedName>
    <definedName name="SUBTOT4">#REF!</definedName>
    <definedName name="SUBTOT5">#REF!</definedName>
    <definedName name="Subtotal">#REF!</definedName>
    <definedName name="SubType">#REF!</definedName>
    <definedName name="SUFF" hidden="1">{#N/A,#N/A,FALSE,"Plant Tot. Record";#N/A,#N/A,FALSE,"BT Tot. Record";#N/A,#N/A,FALSE,"Plant Lost Days";#N/A,#N/A,FALSE,"Top 5 Record";#N/A,#N/A,FALSE,"BT Lost Days";#N/A,#N/A,FALSE,"BT Top 5 Lost Days"}</definedName>
    <definedName name="sugrafico">[0]!sugrafico</definedName>
    <definedName name="SUMCPXM">#REF!</definedName>
    <definedName name="sumimasenn" hidden="1">{"'Sheet1'!$L$16"}</definedName>
    <definedName name="SUMITOMO" hidden="1">#N/A</definedName>
    <definedName name="summar" hidden="1">{#N/A,#N/A,TRUE,"SUM";#N/A,#N/A,TRUE,"EE";#N/A,#N/A,TRUE,"AC";#N/A,#N/A,TRUE,"SN"}</definedName>
    <definedName name="summary" hidden="1">{"'Sheet1'!$L$16"}</definedName>
    <definedName name="Summary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unday">AND(#REF!="Sun",#REF!&gt;=#REF!,#REF!&lt;=#REF!)</definedName>
    <definedName name="sung" hidden="1">{"'Monthly 1997'!$A$3:$S$89"}</definedName>
    <definedName name="sung2" hidden="1">{"'Monthly 1997'!$A$3:$S$89"}</definedName>
    <definedName name="SunServerCost">130000*1.64</definedName>
    <definedName name="Supplied" hidden="1">{"'Sheet1'!$L$16"}</definedName>
    <definedName name="SupplNom">#REF!</definedName>
    <definedName name="suri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W">#REF!</definedName>
    <definedName name="SWA_Id">#REF!</definedName>
    <definedName name="swdwdwe" hidden="1">#REF!</definedName>
    <definedName name="swht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SWK_V1">#REF!</definedName>
    <definedName name="SWK_V1b">#REF!</definedName>
    <definedName name="SWK_V2">#REF!</definedName>
    <definedName name="SWK_V3">#REF!</definedName>
    <definedName name="swn" hidden="1">{"LBO Summary",#N/A,FALSE,"Summary"}</definedName>
    <definedName name="swqsq" hidden="1">{#N/A,#N/A,FALSE,"Income State.";#N/A,#N/A,FALSE,"B-S"}</definedName>
    <definedName name="SWRN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Swvu.inputs._.raw._.data." hidden="1">#REF!</definedName>
    <definedName name="Swvu.MDC1." hidden="1">#REF!</definedName>
    <definedName name="Swvu.MDC2." hidden="1">#REF!</definedName>
    <definedName name="Swvu.MDC3." hidden="1">#REF!</definedName>
    <definedName name="Swvu.MDC4." hidden="1">#REF!</definedName>
    <definedName name="Swvu.summary1." hidden="1">#REF!</definedName>
    <definedName name="Swvu.summary2." hidden="1">#REF!</definedName>
    <definedName name="Swvu.summary3." hidden="1">#REF!</definedName>
    <definedName name="sw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ww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wwwww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X" hidden="1">{"RUN2",#N/A,FALSE,"BS-exist";"RUN2","GROWTH RATE 8-5-7",FALSE,"IS-exist";"RUN2","2ndRun without Equity Infusion",FALSE,"CF-exist"}</definedName>
    <definedName name="SX_NC">#REF!</definedName>
    <definedName name="SX_NVL">#REF!</definedName>
    <definedName name="SX_SXC">#REF!</definedName>
    <definedName name="SXGFDS">#REF!</definedName>
    <definedName name="sx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hidden="1">#REF!</definedName>
    <definedName name="SYAGAI">#REF!</definedName>
    <definedName name="Symbol_Conversion_Area">#REF!,#REF!,#REF!,#REF!,#REF!</definedName>
    <definedName name="SYOTOKU">#REF!</definedName>
    <definedName name="sytghsfg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YUMOKU">#REF!</definedName>
    <definedName name="ＳだＳＤさだＳだＳだＳＤさだＳＤさ" hidden="1">#REF!</definedName>
    <definedName name="t" hidden="1">{"F3 Presentation",#N/A,FALSE,"F3 ";"F3 detail",#N/A,FALSE,"F3 "}</definedName>
    <definedName name="T.3" hidden="1">{"'Sheet1'!$L$16"}</definedName>
    <definedName name="t_color">#REF!</definedName>
    <definedName name="T1_">#REF!</definedName>
    <definedName name="T1PC" hidden="1">{"'Sheet1'!$L$16"}</definedName>
    <definedName name="T2_">#REF!</definedName>
    <definedName name="T2004HP16" hidden="1">{#N/A,#N/A,TRUE,"일정"}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팀별투자비" hidden="1">{#N/A,#N/A,TRUE,"일정"}</definedName>
    <definedName name="T3_">#REF!</definedName>
    <definedName name="T4_">#REF!</definedName>
    <definedName name="T5_">#REF!</definedName>
    <definedName name="T6_">#REF!</definedName>
    <definedName name="T7_">#REF!</definedName>
    <definedName name="T7Q3" hidden="1">{"'Sheet1'!$L$16"}</definedName>
    <definedName name="T8_">#REF!</definedName>
    <definedName name="TABELLA">#REF!</definedName>
    <definedName name="Table1">#REF!</definedName>
    <definedName name="TACT">#REF!</definedName>
    <definedName name="TAETAWETA" hidden="1">#REF!</definedName>
    <definedName name="Takt_Time">#REF!</definedName>
    <definedName name="Tam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o" hidden="1">{"'Sheet1'!$L$16"}</definedName>
    <definedName name="Target">#REF!</definedName>
    <definedName name="tax">#REF!</definedName>
    <definedName name="TaxExempt">#REF!</definedName>
    <definedName name="TaxRate">#REF!</definedName>
    <definedName name="TaxTV">10%</definedName>
    <definedName name="TaxXL">5%</definedName>
    <definedName name="TA게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계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b">#REF!</definedName>
    <definedName name="tbao" hidden="1">{"'Sheet1'!$L$16"}</definedName>
    <definedName name="tbl_cty">#REF!</definedName>
    <definedName name="tbl_cty1">#REF!</definedName>
    <definedName name="tbl_cty2">#REF!</definedName>
    <definedName name="tbl_data">#REF!</definedName>
    <definedName name="tbl_machiphi">#REF!</definedName>
    <definedName name="tbl_ProdInfo" hidden="1">#REF!</definedName>
    <definedName name="tbl_vung">#REF!</definedName>
    <definedName name="TBNN">#REF!</definedName>
    <definedName name="tbtokrbktokbtr" hidden="1">{"'Sheet1'!$L$16"}</definedName>
    <definedName name="tc">#REF!</definedName>
    <definedName name="TD" hidden="1">#REF!</definedName>
    <definedName name="tdhtnc" hidden="1">#N/A</definedName>
    <definedName name="tdn">#REF!</definedName>
    <definedName name="Team">#REF!</definedName>
    <definedName name="teateresresres" hidden="1">{"'Sheet1'!$L$16"}</definedName>
    <definedName name="tecco" hidden="1">{"'Sheet1'!$L$16"}</definedName>
    <definedName name="technical" hidden="1">#REF!</definedName>
    <definedName name="Tel">#REF!</definedName>
    <definedName name="Telecommunications">#REF!</definedName>
    <definedName name="TelecommunicationsCommunication_Equipment">#REF!</definedName>
    <definedName name="TelecommunicationsMobile_Phone">#REF!</definedName>
    <definedName name="TelecommunicationsPersonal_Computer">#REF!</definedName>
    <definedName name="TelecommunicationsTelecommunications_Others">#REF!</definedName>
    <definedName name="tem" hidden="1">{"'Sheet1'!$L$16"}</definedName>
    <definedName name="temp" hidden="1">{"RUN6A",#N/A,FALSE,"BS-exist";"RUN6A","GROWTH RATE 10-5-8",FALSE,"IS-exist";"RUN6A","4thRun without EquityInfusion;Sale of land 75M",FALSE,"CF-exist"}</definedName>
    <definedName name="ten">#REF!</definedName>
    <definedName name="ten_bp">#REF!</definedName>
    <definedName name="ten_cty">#REF!</definedName>
    <definedName name="Ten_kythuat">#REF!</definedName>
    <definedName name="ten_phi">#REF!</definedName>
    <definedName name="tenem">#REF!</definedName>
    <definedName name="TenKH">#REF!</definedName>
    <definedName name="TenNguoi">#REF!</definedName>
    <definedName name="tennv">#REF!</definedName>
    <definedName name="TenThang">#REF!</definedName>
    <definedName name="test" hidden="1">{"F3 Presentation",#N/A,FALSE,"F3 ";"F3 detail",#N/A,FALSE,"F3 "}</definedName>
    <definedName name="test.4" hidden="1">{"Padd I to III",#N/A,FALSE,"REFINERY";"Padd IV to US",#N/A,FALSE,"REFINERY";"Crude Balance I",#N/A,FALSE,"REFINERY";"Crude Balance II",#N/A,FALSE,"REFINERY"}</definedName>
    <definedName name="test.all" hidden="1">{"PAGE1",#N/A,FALSE,"YIELDS";"PAGE2",#N/A,FALSE,"YIELDS";"PAGE3",#N/A,FALSE,"YIELDS"}</definedName>
    <definedName name="Test_col">#REF!</definedName>
    <definedName name="test_start">#REF!</definedName>
    <definedName name="TEST0">#REF!</definedName>
    <definedName name="TEST0.0212">#REF!</definedName>
    <definedName name="TEST1">#REF!</definedName>
    <definedName name="test10" hidden="1">{#N/A,#N/A,FALSE,"Profit Status";#N/A,#N/A,FALSE,"Invest";#N/A,#N/A,FALSE,"Revenue";#N/A,#N/A,FALSE,"Variable Cost";#N/A,#N/A,FALSE,"Options &amp; Series"}</definedName>
    <definedName name="TEST2">#REF!</definedName>
    <definedName name="TEST3">#REF!</definedName>
    <definedName name="TEST3.2875">#REF!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A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teste">[0]!teste</definedName>
    <definedName name="TESTHKEY">#REF!</definedName>
    <definedName name="Testing_Status">#REF!</definedName>
    <definedName name="TestingStatus">#REF!</definedName>
    <definedName name="TESTKEYS">#REF!</definedName>
    <definedName name="TestLab">#REF!</definedName>
    <definedName name="TESTVKEY">#REF!</definedName>
    <definedName name="tet" hidden="1">{0,#NULL!,0,FALSE;0,0,0,0;0,0,0,7.29290327383173E-304;0,0,0,0;0,0,0,0;0,0,0,0;0,0,0,0}</definedName>
    <definedName name="Textname">"Text 26"</definedName>
    <definedName name="TextRefCopyRangeCount" hidden="1">5</definedName>
    <definedName name="TF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ftf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g">#REF!</definedName>
    <definedName name="tggy" hidden="1">#REF!</definedName>
    <definedName name="tgưgz" hidden="1">{"'Sheet1'!$L$16"}</definedName>
    <definedName name="TH" hidden="1">#REF!</definedName>
    <definedName name="TH_CN">#REF!</definedName>
    <definedName name="TH_NO">#REF!</definedName>
    <definedName name="TH_Z">#REF!</definedName>
    <definedName name="TH7SP" hidden="1">{"'Sheet1'!$L$16"}</definedName>
    <definedName name="tha" hidden="1">{"'Sheet1'!$L$16"}</definedName>
    <definedName name="tha_1" hidden="1">{"'Sheet1'!$L$16"}</definedName>
    <definedName name="tha_1_1" hidden="1">{"'Sheet1'!$L$16"}</definedName>
    <definedName name="tha_1_1_1" hidden="1">{"'Sheet1'!$L$16"}</definedName>
    <definedName name="tha_1_2" hidden="1">{"'Sheet1'!$L$16"}</definedName>
    <definedName name="tha_1_2_1" hidden="1">{"'Sheet1'!$L$16"}</definedName>
    <definedName name="tha_1_3" hidden="1">{"'Sheet1'!$L$16"}</definedName>
    <definedName name="tha_1_3_1" hidden="1">{"'Sheet1'!$L$16"}</definedName>
    <definedName name="tha_1_4" hidden="1">{"'Sheet1'!$L$16"}</definedName>
    <definedName name="tha_1_4_1" hidden="1">{"'Sheet1'!$L$16"}</definedName>
    <definedName name="tha_1_5" hidden="1">{"'Sheet1'!$L$16"}</definedName>
    <definedName name="tha_2" hidden="1">{"'Sheet1'!$L$16"}</definedName>
    <definedName name="tha_2_1" hidden="1">{"'Sheet1'!$L$16"}</definedName>
    <definedName name="tha_3" hidden="1">{"'Sheet1'!$L$16"}</definedName>
    <definedName name="tha_3_1" hidden="1">{"'Sheet1'!$L$16"}</definedName>
    <definedName name="tha_4" hidden="1">{"'Sheet1'!$L$16"}</definedName>
    <definedName name="tha_4_1" hidden="1">{"'Sheet1'!$L$16"}</definedName>
    <definedName name="tha_5" hidden="1">{"'Sheet1'!$L$16"}</definedName>
    <definedName name="thai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thaiha">#REF!</definedName>
    <definedName name="thaihabotay">#REF!</definedName>
    <definedName name="THAN" hidden="1">{"'Sheet1'!$L$16"}</definedName>
    <definedName name="thang" hidden="1">{"'Sheet1'!$L$16"}</definedName>
    <definedName name="thang_1" hidden="1">{"'Sheet1'!$L$16"}</definedName>
    <definedName name="thang_nay" hidden="1">#REF!</definedName>
    <definedName name="Thang00">#REF!*100</definedName>
    <definedName name="Thang01">#REF!*100+1</definedName>
    <definedName name="Thang1" hidden="1">{"'Sheet1'!$L$16"}</definedName>
    <definedName name="thang10" hidden="1">{"'Sheet1'!$L$16"}</definedName>
    <definedName name="Thang12">#REF!*100+12</definedName>
    <definedName name="thang13" hidden="1">{"'Sheet1'!$L$16"}</definedName>
    <definedName name="ThangBanNien1">#N/A</definedName>
    <definedName name="ThangBanNien2">#N/A</definedName>
    <definedName name="ThangCaNam">#REF!*100+1&amp;":"&amp;#REF!*100+12</definedName>
    <definedName name="ThangCaNamNS">#N/A</definedName>
    <definedName name="ThangCaNamNT">(#REF!-1)*100+1&amp;":"&amp;(#REF!-1)*100+12</definedName>
    <definedName name="ThangConLai">#N/A</definedName>
    <definedName name="ThangConLaiNT">#N/A</definedName>
    <definedName name="ThangCuoiNam">#N/A</definedName>
    <definedName name="ThangDauNam">#N/A</definedName>
    <definedName name="ThangGiaDinh">"201501:201510;201509:201510"</definedName>
    <definedName name="ThangKeTiep">#N/A</definedName>
    <definedName name="ThangLuyKe">#N/A</definedName>
    <definedName name="ThangLuyKeNT">#N/A</definedName>
    <definedName name="ThangNay">#N/A</definedName>
    <definedName name="ThangNayNT">#N/A</definedName>
    <definedName name="ThangQuy1">#N/A</definedName>
    <definedName name="ThangQuy2">#N/A</definedName>
    <definedName name="ThangQuy3">#N/A</definedName>
    <definedName name="ThangQuy4">#N/A</definedName>
    <definedName name="ThangTen">#N/A</definedName>
    <definedName name="ThangTruoc">#N/A</definedName>
    <definedName name="THANH" hidden="1">{"'Sheet1'!$L$16"}</definedName>
    <definedName name="THANH_1" hidden="1">{"'Sheet1'!$L$16"}</definedName>
    <definedName name="thanhthao" hidden="1">{#N/A,#N/A,FALSE,"Chi tiÆt"}</definedName>
    <definedName name="THB">#REF!</definedName>
    <definedName name="THC" hidden="1">{"'Sheet1'!$L$16"}</definedName>
    <definedName name="THCP2" hidden="1">{"'Sheet1'!$L$16"}</definedName>
    <definedName name="THCPCTD" hidden="1">{"'Sheet1'!$L$16"}</definedName>
    <definedName name="thd">1000</definedName>
    <definedName name="THDT" hidden="1">{"'Sheet1'!$L$16"}</definedName>
    <definedName name="then" hidden="1">{#N/A,#N/A,FALSE,"Chi tiÆt"}</definedName>
    <definedName name="thg_bhtn">#REF!</definedName>
    <definedName name="THGT" hidden="1">{"'Sheet1'!$L$16"}</definedName>
    <definedName name="THHD" hidden="1">{"'Sheet1'!$L$16"}</definedName>
    <definedName name="thhhhhhhhhhhhhhhhdh" hidden="1">#REF!</definedName>
    <definedName name="THHVT" hidden="1">{"'Sheet1'!$L$16"}</definedName>
    <definedName name="thick">#REF!</definedName>
    <definedName name="thien" hidden="1">#REF!</definedName>
    <definedName name="thierry" hidden="1">{"Totax",#N/A,FALSE,"Sheet1";#N/A,#N/A,FALSE,"Law Output"}</definedName>
    <definedName name="Thietbi" hidden="1">{"'Sheet1'!$L$16"}</definedName>
    <definedName name="THKP" hidden="1">{"'Sheet1'!$L$16"}</definedName>
    <definedName name="THKP7YT" hidden="1">{"'Sheet1'!$L$16"}</definedName>
    <definedName name="THKPM8" hidden="1">{"'Sheet1'!$L$16"}</definedName>
    <definedName name="THKS" hidden="1">{"'Sheet1'!$L$16"}</definedName>
    <definedName name="THLeloi" hidden="1">{"'Sheet1'!$L$16"}</definedName>
    <definedName name="thne" hidden="1">{#N/A,#N/A,FALSE,"Chi tiÆt"}</definedName>
    <definedName name="THNgHue" hidden="1">{"'Sheet1'!$L$16"}</definedName>
    <definedName name="THNgThHoc" hidden="1">{"'Sheet1'!$L$16"}</definedName>
    <definedName name="thou">1000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r" hidden="1">{#N/A,#N/A,FALSE,"Chi tiÆt"}</definedName>
    <definedName name="THTranPhu" hidden="1">{"'Sheet1'!$L$16"}</definedName>
    <definedName name="thtyhyjyjyjyjjjyujyj" hidden="1">#REF!</definedName>
    <definedName name="thu" hidden="1">{"'Sheet1'!$L$16"}</definedName>
    <definedName name="Thực_tế_theo_tháng">#REF!</definedName>
    <definedName name="thue">6</definedName>
    <definedName name="Thunyuit">#REF!</definedName>
    <definedName name="thuy" hidden="1">{"'Sheet1'!$L$16"}</definedName>
    <definedName name="thvlmoi" hidden="1">{"'Sheet1'!$L$16"}</definedName>
    <definedName name="thvlmoimoi" hidden="1">{"'Sheet1'!$L$16"}</definedName>
    <definedName name="thvt" hidden="1">{"'Sheet1'!$L$16"}</definedName>
    <definedName name="THXD2" hidden="1">{"'Sheet1'!$L$16"}</definedName>
    <definedName name="thyfdfd" hidden="1">{"年販売台数計画",#N/A,FALSE,"販売台数計画";"月販売台数計画",#N/A,FALSE,"販売台数計画"}</definedName>
    <definedName name="thynuj" hidden="1">{"'Sheet1'!$L$16"}</definedName>
    <definedName name="TI" hidden="1">#N/A</definedName>
    <definedName name="TICC..." hidden="1">{"'Sheet1'!$L$16"}</definedName>
    <definedName name="Tich" hidden="1">#REF!</definedName>
    <definedName name="Ticker">" "</definedName>
    <definedName name="tien">#REF!</definedName>
    <definedName name="TienUSD">#REF!</definedName>
    <definedName name="TILIM">#REF!</definedName>
    <definedName name="TILIMT">#REF!</definedName>
    <definedName name="TILPULL">#REF!</definedName>
    <definedName name="TILRET">#REF!</definedName>
    <definedName name="TIM" hidden="1">{"'Sheet1'!$L$16"}</definedName>
    <definedName name="Time" hidden="1">#REF!</definedName>
    <definedName name="Timeline">#REF!</definedName>
    <definedName name="Times" localSheetId="1" hidden="1">Main.SAPF4Help()</definedName>
    <definedName name="Times" hidden="1">Main.SAPF4Help()</definedName>
    <definedName name="Timestamp" hidden="1">#REF!</definedName>
    <definedName name="tinh">#REF!</definedName>
    <definedName name="Tỉnh">#REF!</definedName>
    <definedName name="tinhtrang">#REF!</definedName>
    <definedName name="TI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le">#REF!</definedName>
    <definedName name="Title1">#REF!</definedName>
    <definedName name="Títulos_impressão_IM">#REF!,#REF!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ADJ" hidden="1">{"'Sheet1'!$L$16"}</definedName>
    <definedName name="tjhtrjntrsjnsr" hidden="1">{"'Sheet1'!$L$16"}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hidden="1">{#N/A,#N/A,FALSE,"Chi tiÆt"}</definedName>
    <definedName name="tjk" hidden="1">{"'Sheet1'!$L$16"}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_CO">#REF!</definedName>
    <definedName name="TK_NO">#REF!</definedName>
    <definedName name="TK_TMinh" hidden="1">#REF!</definedName>
    <definedName name="tkco">#REF!</definedName>
    <definedName name="T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no">#REF!</definedName>
    <definedName name="tkt" hidden="1">{"'Sheet1'!$L$16"}</definedName>
    <definedName name="TL" hidden="1">{#N/A,#N/A,FALSE,"Chi tiÆt"}</definedName>
    <definedName name="TLP" hidden="1">{#N/A,#N/A,FALSE,"Chi tiÆt"}</definedName>
    <definedName name="TLPMG" hidden="1">{"'Sheet1'!$L$16"}</definedName>
    <definedName name="TM" hidden="1">{"'Sheet1'!$L$16"}</definedName>
    <definedName name="TMB422188345">#REF!</definedName>
    <definedName name="toan" hidden="1">{"'Sheet1'!$L$16"}</definedName>
    <definedName name="TOANCAU" hidden="1">{"'Sheet1'!$L$16"}</definedName>
    <definedName name="toc">#REF!</definedName>
    <definedName name="TOC_DESCRIPTION">#REF!</definedName>
    <definedName name="TOC_MODELYEAR">#REF!</definedName>
    <definedName name="TOC_NUMBER">#REF!</definedName>
    <definedName name="TOC_VEHICLE">#REF!</definedName>
    <definedName name="ToDE">#REF!</definedName>
    <definedName name="ToDResult">#REF!</definedName>
    <definedName name="TODResults">#REF!</definedName>
    <definedName name="ToEResult">#REF!</definedName>
    <definedName name="TOEResults">#REF!</definedName>
    <definedName name="Ton">#REF!</definedName>
    <definedName name="tonghop" hidden="1">{"'Sheet1'!$L$16"}</definedName>
    <definedName name="TongHop_MaChiTieu" hidden="1">#REF!</definedName>
    <definedName name="TongHop_MaTK" hidden="1">#REF!</definedName>
    <definedName name="TONI">#REF!</definedName>
    <definedName name="TONPULL">#REF!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_5">#REF!</definedName>
    <definedName name="TopRow">#REF!</definedName>
    <definedName name="TORSION" hidden="1">{#N/A,#N/A,FALSE,"단축1";#N/A,#N/A,FALSE,"단축2";#N/A,#N/A,FALSE,"단축3";#N/A,#N/A,FALSE,"장축";#N/A,#N/A,FALSE,"4WD"}</definedName>
    <definedName name="TOT">#REF!</definedName>
    <definedName name="TOT.MECC">#REF!</definedName>
    <definedName name="TOT_TRAD">#REF!</definedName>
    <definedName name="TOTAL">#REF!</definedName>
    <definedName name="Total_Result">OFFSET(#REF!,0,0,COUNTA(#REF!),COUNTA(#REF!))</definedName>
    <definedName name="TOTAL1" hidden="1">{#N/A,#N/A,TRUE,"일정"}</definedName>
    <definedName name="TOTAL6">#REF!</definedName>
    <definedName name="Toto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PG">"14"</definedName>
    <definedName name="TOU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PATH">"C:\Users\garyh\AppData\Local\Symtrax\Compleo Suite 4\Temp\547c9290"</definedName>
    <definedName name="TQ" hidden="1">{"'Sheet1'!$L$16"}</definedName>
    <definedName name="TR" hidden="1">#REF!</definedName>
    <definedName name="TrachNhiem">#REF!</definedName>
    <definedName name="Tracking" hidden="1">{#N/A,#N/A,FALSE,"sum";#N/A,#N/A,FALSE,"MARTV";#N/A,#N/A,FALSE,"APRTV"}</definedName>
    <definedName name="tradepro">#REF!</definedName>
    <definedName name="training" hidden="1">{"'Sheet3 (2)'!$D$43:$E$46"}</definedName>
    <definedName name="TRANG" hidden="1">{"'Sheet1'!$L$16"}</definedName>
    <definedName name="Tranmission">#REF!</definedName>
    <definedName name="trans" hidden="1">{#N/A,#N/A,FALSE,"Summary Page";#N/A,#N/A,FALSE,"Backup Factory Order Request";#N/A,#N/A,FALSE,"Mix Updated to Include V227";#N/A,#N/A,FALSE,"2000 Bus Plan Status"}</definedName>
    <definedName name="TransactionType">#REF!</definedName>
    <definedName name="TransDate">#REF!</definedName>
    <definedName name="TRANSFORM2WENG">#REF!</definedName>
    <definedName name="Translation">#REF!</definedName>
    <definedName name="trashme" hidden="1">{"HPC Print Summary",#N/A,FALSE,"HPC-Total";"HPC-BAT Print Summary",#N/A,FALSE,"HPC-BAT";"HPC-HAT Print Summary",#N/A,FALSE,"HPC-HAT";"HPC-MAT Print Summary",#N/A,FALSE,"HPC-MAT";"HPC-MP299 Print Summary",#N/A,FALSE,"HPC-MP299";"HPC-AVI Print Summary",#N/A,FALSE,"HPC-AVI";"HPC-MAR Print Summary",#N/A,FALSE,"HPC-MAR";"HPC-SHO Print Summary",#N/A,FALSE,"HPC-SHO";"HPC-Gen Print Summary",#N/A,FALSE,"HPC-General"}</definedName>
    <definedName name="Trd" hidden="1">{#N/A,#N/A,FALSE,"Assumptions";#N/A,#N/A,FALSE,"ATP SCORAC (lb)";#N/A,#N/A,FALSE,"1996 P&amp;L SCO (lb)";#N/A,#N/A,FALSE,"ONG P&amp;L SCO (LB)"}</definedName>
    <definedName name="tre" hidden="1">{"'Sheet1'!$L$16"}</definedName>
    <definedName name="TRESO">#REF!</definedName>
    <definedName name="Trim">#REF!</definedName>
    <definedName name="triske" hidden="1">{"RUN3A",#N/A,FALSE,"BS-exist";"RUN3A","GROWTH RATE 8-5-7",FALSE,"IS-exist";"RUN3A","3rdRun without EquityInfusion;Sale of land(50-50)",FALSE,"CF-exist"}</definedName>
    <definedName name="trreteterte" hidden="1">{"'2공장'!$A$1:$H$216"}</definedName>
    <definedName name="trrh" hidden="1">{"'Sheet1'!$L$16"}</definedName>
    <definedName name="trt" hidden="1">{#N/A,#N/A,FALSE,"sum";#N/A,#N/A,FALSE,"MARTV";#N/A,#N/A,FALSE,"APRTV"}</definedName>
    <definedName name="trtt" hidden="1">{#N/A,#N/A,FALSE,"Chi tiÆt"}</definedName>
    <definedName name="ＴＲＴれＴ" hidden="1">#REF!</definedName>
    <definedName name="truc" hidden="1">{"'Sheet1'!$L$16"}</definedName>
    <definedName name="TRUNGNGUYEN" hidden="1">{#N/A,#N/A,FALSE,"Chi tiÆt"}</definedName>
    <definedName name="trungthu">#REF!</definedName>
    <definedName name="tryrtytrytry" hidden="1">{"'2공장'!$A$1:$H$216"}</definedName>
    <definedName name="tscd" hidden="1">{"'Sheet1'!$L$16"}</definedName>
    <definedName name="tscđ">#REF!</definedName>
    <definedName name="TSL">#REF!</definedName>
    <definedName name="TSRTYTL研究差異.2RT">#REF!</definedName>
    <definedName name="TSRTYTL製造差異.2RT">#REF!</definedName>
    <definedName name="TSRTYTL製造差異.3RT">#REF!</definedName>
    <definedName name="TSRTYTL製造差異.4RT">#REF!</definedName>
    <definedName name="TSRTYTL製造差異.5RT">#REF!</definedName>
    <definedName name="tt" hidden="1">{"COMPARISON",#N/A,FALSE,"Sheet1"}</definedName>
    <definedName name="TT_ho_so">#REF!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hqda">#REF!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rashme" hidden="1">{"HPC Print Summary",#N/A,FALSE,"HPC-Total";"HPC-BAT Print Summary",#N/A,FALSE,"HPC-BAT";"HPC-HAT Print Summary",#N/A,FALSE,"HPC-HAT";"HPC-MAT Print Summary",#N/A,FALSE,"HPC-MAT";"HPC-MP299 Print Summary",#N/A,FALSE,"HPC-MP299";"HPC-AVI Print Summary",#N/A,FALSE,"HPC-AVI";"HPC-MAR Print Summary",#N/A,FALSE,"HPC-MAR";"HPC-SHO Print Summary",#N/A,FALSE,"HPC-SHO";"HPC-Gen Print Summary",#N/A,FALSE,"HPC-General"}</definedName>
    <definedName name="TTSC" hidden="1">{"'Sheet1'!$L$16"}</definedName>
    <definedName name="ttt">#REF!</definedName>
    <definedName name="tttt" hidden="1">{"'Sheet1'!$L$16"}</definedName>
    <definedName name="TT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ｔｔｔｔｔ" hidden="1">{"'Sheet1'!$L$16"}</definedName>
    <definedName name="tttttttte" hidden="1">{#N/A,#N/A,FALSE,"Chi tiÆt"}</definedName>
    <definedName name="ttttttttgg" hidden="1">{#N/A,#N/A,FALSE,"Chi tiÆt"}</definedName>
    <definedName name="tttttttttrrrrrrrr" hidden="1">{"'Sheet1'!$L$16"}</definedName>
    <definedName name="tttttttttttt">#N/A</definedName>
    <definedName name="ttttttttttttt">#N/A</definedName>
    <definedName name="ttttttttttttttttttttttt" hidden="1">{"'Sheet1'!$L$16"}</definedName>
    <definedName name="TTUIHJ" hidden="1">#REF!</definedName>
    <definedName name="tu" hidden="1">{"'Sheet1'!$L$16"}</definedName>
    <definedName name="tư" hidden="1">#REF!</definedName>
    <definedName name="TU." hidden="1">#REF!</definedName>
    <definedName name="tuam" hidden="1">{"'Sheet1'!$L$16"}</definedName>
    <definedName name="Tuan">#REF!</definedName>
    <definedName name="tuan03" hidden="1">{"'Sheet1'!$L$16"}</definedName>
    <definedName name="tuan2" hidden="1">{"'Sheet1'!$L$16"}</definedName>
    <definedName name="TUANKHANHTUYET1">#N/A</definedName>
    <definedName name="TUANKHANHTUYET10">#N/A</definedName>
    <definedName name="TUANKHANHTUYET14">#N/A</definedName>
    <definedName name="TUANKHANHTUYET16">#N/A</definedName>
    <definedName name="TUANKHANHTUYET22">#N/A</definedName>
    <definedName name="TUANKHANHTUYET23">#N/A</definedName>
    <definedName name="TUANKHANHTUYET26">#N/A</definedName>
    <definedName name="TUANKHANHTUYET28">#N/A</definedName>
    <definedName name="TUANKHANHTUYET3">#N/A</definedName>
    <definedName name="TUANKHANHTUYET33">#N/A</definedName>
    <definedName name="TUANKHANHTUYET35">#N/A</definedName>
    <definedName name="TUANKHANHTUYET45" hidden="1">{0}</definedName>
    <definedName name="tututu" hidden="1">#REF!</definedName>
    <definedName name="tuy" hidden="1">{"'Sheet1'!$L$16"}</definedName>
    <definedName name="tuyennhanh" hidden="1">{"'Sheet1'!$L$16"}</definedName>
    <definedName name="tuyet" hidden="1">{"'Sheet1'!$L$16"}</definedName>
    <definedName name="tuynen" hidden="1">{"'Sheet1'!$L$16"}</definedName>
    <definedName name="TVBH">#REF!</definedName>
    <definedName name="TW2.2" hidden="1">{#N/A,#N/A,FALSE,"CKD Price Build Up"}</definedName>
    <definedName name="TWETEDT" hidden="1">#REF!</definedName>
    <definedName name="TX_PH7">#REF!</definedName>
    <definedName name="Txt">#REF!</definedName>
    <definedName name="txtChargeTel">#REF!</definedName>
    <definedName name="txtNumSheets">#REF!</definedName>
    <definedName name="txtReceDate">#REF!</definedName>
    <definedName name="txtSameProtoNo">#REF!</definedName>
    <definedName name="ty">(#REF!-1)*100+1&amp;":"&amp;(#REF!-1)*100+12</definedName>
    <definedName name="Ty_gia">#REF!</definedName>
    <definedName name="Tygiausdvnd">#REF!</definedName>
    <definedName name="Type" hidden="1">#REF!</definedName>
    <definedName name="Type_of_cost">#REF!</definedName>
    <definedName name="Type_of_Employee">#REF!</definedName>
    <definedName name="TYRUI" hidden="1">{#N/A,#N/A,FALSE,"단축1";#N/A,#N/A,FALSE,"단축2";#N/A,#N/A,FALSE,"단축3";#N/A,#N/A,FALSE,"장축";#N/A,#N/A,FALSE,"4WD"}</definedName>
    <definedName name="tystdfsgdf">#REF!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ＴれＴＲ" hidden="1">#REF!</definedName>
    <definedName name="ＴれＴれＴっれＴ" hidden="1">#REF!</definedName>
    <definedName name="ＴれＴれＴれＴ" hidden="1">#REF!</definedName>
    <definedName name="u" hidden="1">#REF!</definedName>
    <definedName name="ư" hidden="1">{"'Sheet1'!$L$16"}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assw_sh" hidden="1">{"'Sheet1'!$L$16"}</definedName>
    <definedName name="UBDT" hidden="1">{"'Sheet1'!$L$16"}</definedName>
    <definedName name="Überwachung_1">#REF!</definedName>
    <definedName name="ưcafa12222" hidden="1">#REF!</definedName>
    <definedName name="ừd" hidden="1">{"'Sheet1'!$L$16"}</definedName>
    <definedName name="ưdwef" hidden="1">#REF!</definedName>
    <definedName name="ưedđa" hidden="1">#REF!</definedName>
    <definedName name="ưefwegweg" hidden="1">#REF!</definedName>
    <definedName name="ưerty" hidden="1">#REF!</definedName>
    <definedName name="ưew" hidden="1">#REF!</definedName>
    <definedName name="ưeww">#REF!</definedName>
    <definedName name="UGVG" hidden="1">{#N/A,#N/A,TRUE,"BT M200 da 10x20"}</definedName>
    <definedName name="uhpupui" hidden="1">{"'Sheet1'!$L$16"}</definedName>
    <definedName name="UIP" hidden="1">{#N/A,#N/A,FALSE,"단축1";#N/A,#N/A,FALSE,"단축2";#N/A,#N/A,FALSE,"단축3";#N/A,#N/A,FALSE,"장축";#N/A,#N/A,FALSE,"4WD"}</definedName>
    <definedName name="uj" hidden="1">#REF!</definedName>
    <definedName name="uju" hidden="1">#REF!</definedName>
    <definedName name="ujuju" hidden="1">#REF!</definedName>
    <definedName name="ujyhtg" hidden="1">{#N/A,#N/A,FALSE,"Chi tiÆt"}</definedName>
    <definedName name="ukluy" hidden="1">{"'Sheet1'!$L$16"}</definedName>
    <definedName name="um" hidden="1">#REF!</definedName>
    <definedName name="un">#REF!</definedName>
    <definedName name="unf" hidden="1">{#N/A,#N/A,FALSE,"Kilvington";#N/A,#N/A,FALSE,"Rock Handling";#N/A,#N/A,FALSE,"Grinding";#N/A,#N/A,FALSE,"Kettles";#N/A,#N/A,FALSE,"Autoclave";#N/A,#N/A,FALSE,"Mixing";#N/A,#N/A,FALSE,"Bagging 1";#N/A,#N/A,FALSE,"Bagging 2";#N/A,#N/A,FALSE,"Bagging 3";#N/A,#N/A,FALSE,"Bagging 4";#N/A,#N/A,FALSE,"Bagging 5";#N/A,#N/A,FALSE,"Bagging 5 (2)";#N/A,#N/A,FALSE,"Bagging 6";#N/A,#N/A,FALSE,"Bagging 7";#N/A,#N/A,FALSE,"Bagging 7 (2)";#N/A,#N/A,FALSE,"Loading";#N/A,#N/A,FALSE,"Manning";#N/A,#N/A,FALSE,"Palletisation";#N/A,#N/A,FALSE,"Bagging 1 (2)"}</definedName>
    <definedName name="ungT3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ủnt" hidden="1">{"'Sheet1'!$L$16"}</definedName>
    <definedName name="Upd_synthesis">#REF!</definedName>
    <definedName name="Update" hidden="1">{#N/A,#N/A,FALSE,"Cover";#N/A,#N/A,FALSE,"Profits";#N/A,#N/A,FALSE,"ABS";#N/A,#N/A,FALSE,"TFLE Detail";#N/A,#N/A,FALSE,"TFLE Walk";#N/A,#N/A,FALSE,"Variable Cost";#N/A,#N/A,FALSE,"V.C. Walk"}</definedName>
    <definedName name="UPDATE_SCALE">#REF!</definedName>
    <definedName name="updated13Jan15">#REF!</definedName>
    <definedName name="URTDK" hidden="1">#REF!</definedName>
    <definedName name="US_grade">#REF!</definedName>
    <definedName name="US_marketbasemedian">#REF!</definedName>
    <definedName name="US_marketrelation">#REF!</definedName>
    <definedName name="US_relationamount">#REF!</definedName>
    <definedName name="US_salary">#REF!</definedName>
    <definedName name="usd">15000</definedName>
    <definedName name="USD_VND">#REF!</definedName>
    <definedName name="USDAT">""</definedName>
    <definedName name="User">#REF!</definedName>
    <definedName name="User_file">"DESIGN.FP"</definedName>
    <definedName name="USNAM">"GARYH"</definedName>
    <definedName name="USStructure_data">#REF!</definedName>
    <definedName name="USStructure_header">#REF!</definedName>
    <definedName name="uu">#REF!</definedName>
    <definedName name="uuuu" hidden="1">#REF!</definedName>
    <definedName name="uuuuuuuuuuuuu">#N/A</definedName>
    <definedName name="uy" localSheetId="1" hidden="1">Main.SAPF4Help()</definedName>
    <definedName name="uy" hidden="1">Main.SAPF4Help()</definedName>
    <definedName name="uyiyuiyiy" hidden="1">{"F3 detail",#N/A,FALSE,"F3 ";"F3 Presentation",#N/A,FALSE,"F3 "}</definedName>
    <definedName name="UYT" hidden="1">{#N/A,#N/A,FALSE,"CCTV"}</definedName>
    <definedName name="ủytỉt" hidden="1">{"'Sheet1'!$L$16"}</definedName>
    <definedName name="uytjhtdjtj" hidden="1">{"'Sheet1'!$L$16"}</definedName>
    <definedName name="v" hidden="1">{"fleisch",#N/A,FALSE,"WG HK";"food",#N/A,FALSE,"WG HK";"hartwaren",#N/A,FALSE,"WG HK";"weichwaren",#N/A,FALSE,"WG HK"}</definedName>
    <definedName name="v.">(#REF!-1)*100+1&amp;":"&amp;(#REF!-1)*100+12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48북미9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48북미작업다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8.Refresh" hidden="1">{"NGUYEN QUI THIEP - Personal View",#N/A,FALSE,"XDCB.HT.FUR."}</definedName>
    <definedName name="vaaaaaavavv" hidden="1">#N/A</definedName>
    <definedName name="VAÄT_LIEÄU">"ATRAM"</definedName>
    <definedName name="VaDate" hidden="1">#REF!</definedName>
    <definedName name="Val">#REF!</definedName>
    <definedName name="valorizza_contratt">#REF!</definedName>
    <definedName name="value">3</definedName>
    <definedName name="valuevx">42.314159</definedName>
    <definedName name="Valve" hidden="1">{"'Sheet1'!$L$16"}</definedName>
    <definedName name="Valve_1" hidden="1">{"'Sheet1'!$L$16"}</definedName>
    <definedName name="van" hidden="1">{"'Sheet1'!$L$16"}</definedName>
    <definedName name="vann" hidden="1">{"'Sheet1'!$L$16"}</definedName>
    <definedName name="VarDate" hidden="1">#REF!</definedName>
    <definedName name="VASe2e2" hidden="1">{#N/A,#N/A,FALSE,"Income State.";#N/A,#N/A,FALSE,"B-S"}</definedName>
    <definedName name="VAT">#REF!</definedName>
    <definedName name="VATM" hidden="1">{"'Sheet1'!$L$16"}</definedName>
    <definedName name="vay" hidden="1">{"'Sheet1'!$L$16"}</definedName>
    <definedName name="vb" hidden="1">{"'Sheet1'!$L$16"}</definedName>
    <definedName name="vbc" hidden="1">{"'Sheet1'!$L$16"}</definedName>
    <definedName name="vbnvb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C">#REF!</definedName>
    <definedName name="VCB">#REF!</definedName>
    <definedName name="vcbo1" hidden="1">{"'Sheet1'!$L$16"}</definedName>
    <definedName name="vc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ccv" hidden="1">{"'Sheet1'!$L$16"}</definedName>
    <definedName name="vcoto" hidden="1">{"'Sheet1'!$L$16"}</definedName>
    <definedName name="vcv">[0]!vcv</definedName>
    <definedName name="vd" hidden="1">{"'Sheet1'!$L$16"}</definedName>
    <definedName name="VDMI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AG" hidden="1">{#N/A,#N/A,TRUE,"일정"}</definedName>
    <definedName name="Vehicle" hidden="1">{"COMPARISON",#N/A,FALSE,"Sheet1"}</definedName>
    <definedName name="VehType">#REF!</definedName>
    <definedName name="VEN" hidden="1">{#N/A,#N/A,TRUE,"SUM";#N/A,#N/A,TRUE,"EE";#N/A,#N/A,TRUE,"AC";#N/A,#N/A,TRUE,"SN"}</definedName>
    <definedName name="VENDAS">#REF!</definedName>
    <definedName name="ver">#REF!</definedName>
    <definedName name="Version">520</definedName>
    <definedName name="vertex42_copyright" hidden="1">"© 2017 Vertex42 LLC"</definedName>
    <definedName name="vertex42_id" hidden="1">"action-items-template.xlsx"</definedName>
    <definedName name="vertex42_title" hidden="1">"Action Items Template"</definedName>
    <definedName name="Vertriebsdaten">#REF!,#REF!,#REF!,#REF!,#REF!,#REF!,#REF!</definedName>
    <definedName name="vetbun" hidden="1">{"'Sheet1'!$L$16"}</definedName>
    <definedName name="VF" hidden="1">{#N/A,#N/A,FALSE,"Sheet2";#N/A,#N/A,FALSE,"Sheet4";#N/A,#N/A,FALSE,"Sheet6"}</definedName>
    <definedName name="vfdg" hidden="1">#REF!</definedName>
    <definedName name="vfgvfgth" hidden="1">#REF!</definedName>
    <definedName name="VfPartName_E">#REF!</definedName>
    <definedName name="VFPartNR">#REF!</definedName>
    <definedName name="VfPartNR_E">#REF!</definedName>
    <definedName name="VFPurLvl">#REF!</definedName>
    <definedName name="vgedh" hidden="1">#REF!</definedName>
    <definedName name="vh" hidden="1">{"'Sheet1'!$L$16"}</definedName>
    <definedName name="vhjh" hidden="1">{#N/A,#N/A,FALSE,"CCTV"}</definedName>
    <definedName name="VHLSBDSPLBPR">#REF!</definedName>
    <definedName name="VHLSBDSPLBPR_DATE">#REF!</definedName>
    <definedName name="VHLSBDSPLBPR_SITE">#REF!</definedName>
    <definedName name="VHLSBDSPLBPR_TITLE">#REF!</definedName>
    <definedName name="VHLSBDSPLBPR_UNIT">#REF!</definedName>
    <definedName name="Viet" hidden="1">{"'Sheet1'!$L$16"}</definedName>
    <definedName name="VIỆTĐÔNG" hidden="1">{"'Sheet1'!$L$16"}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in">#REF!</definedName>
    <definedName name="Vinpearlland">#REF!</definedName>
    <definedName name="vitri">#REF!</definedName>
    <definedName name="vlct" hidden="1">{"'Sheet1'!$L$16"}</definedName>
    <definedName name="Vnd_bio">10^9</definedName>
    <definedName name="VND_mil">10^6</definedName>
    <definedName name="Vol">#REF!</definedName>
    <definedName name="VOLTAGE" hidden="1">{#N/A,#N/A,FALSE,"Sheet1";#N/A,#N/A,FALSE,"Sheet3";#N/A,#N/A,FALSE,"Sheet5"}</definedName>
    <definedName name="Vout">#REF!</definedName>
    <definedName name="VPLL">#REF!</definedName>
    <definedName name="vpps">#REF!</definedName>
    <definedName name="VRR" hidden="1">{"RUN4A",#N/A,FALSE,"BS-exist";"RUN4A","GROWTH RATE 8-5-7",FALSE,"IS-exist";"RUN4A","4thRun without EquityInfusion;Sale of land 75M",FALSE,"CF-exist"}</definedName>
    <definedName name="vryu" hidden="1">#REF!</definedName>
    <definedName name="vs_budget" hidden="1">{#N/A,#N/A,FALSE,"BalCash"}</definedName>
    <definedName name="Vsat">#REF!</definedName>
    <definedName name="VSCN">#REF!</definedName>
    <definedName name="vt" hidden="1">{#N/A,#N/A,FALSE,"PROCUREMENT"}</definedName>
    <definedName name="VTM_3" hidden="1">#REF!</definedName>
    <definedName name="VTM_5" hidden="1">#REF!</definedName>
    <definedName name="VTuphu" hidden="1">{"'Sheet1'!$L$16"}</definedName>
    <definedName name="Vung">#REF!</definedName>
    <definedName name="VungDiaLy">#REF!</definedName>
    <definedName name="VUNGDONGBH">OFFSET(#REF!,0,0,COUNTA(#REF!)-2)</definedName>
    <definedName name="VUNGTB" hidden="1">{"'Sheet1'!$L$16"}</definedName>
    <definedName name="vv" hidden="1">{#VALUE!,#N/A,FALSE,0;#N/A,#N/A,FALSE,0;#N/A,#N/A,FALSE,0;#N/A,#N/A,FALSE,0}</definedName>
    <definedName name="vvb" hidden="1">#REF!</definedName>
    <definedName name="vvv" hidden="1">{"'Sheet1'!$L$16"}</definedName>
    <definedName name="ｖｖｖ" hidden="1">{"'Sheet1'!$L$16"}</definedName>
    <definedName name="ＶＶＶＶ" hidden="1">#REF!</definedName>
    <definedName name="ｖｖｖｖｖ" hidden="1">{"'Sheet1'!$L$16"}</definedName>
    <definedName name="ＶＶＶＶＶＨＤＦＤＦＦ" hidden="1">#REF!</definedName>
    <definedName name="VVVVVV" hidden="1">{"'Sheet1'!$L$16"}</definedName>
    <definedName name="vvvvvvv" hidden="1">{#N/A,#N/A,FALSE,"Chi tiÆt"}</definedName>
    <definedName name="ＶＶＶＶＶＶＶＶＶＶ" hidden="1">#REF!</definedName>
    <definedName name="VXC">#REF!</definedName>
    <definedName name="VXCVXCVXCVCXV">#REF!</definedName>
    <definedName name="vxgf" hidden="1">#REF!</definedName>
    <definedName name="w" hidden="1">{"TAG1AGMS",#N/A,FALSE,"TAG 1A"}</definedName>
    <definedName name="W_BUMON">#REF!</definedName>
    <definedName name="W_JT_YM1">#REF!</definedName>
    <definedName name="W_JT_YM2">#REF!</definedName>
    <definedName name="W_PB0496W9_予ver2">#REF!</definedName>
    <definedName name="W_PB0496W9_修飾縦期1">#REF!</definedName>
    <definedName name="W_PB0496W9_修飾縦期1A">#REF!</definedName>
    <definedName name="W_PB0496W9_修飾縦期3">#REF!</definedName>
    <definedName name="W_PB0496W9_前ver2">#REF!</definedName>
    <definedName name="W_PB0496W9_大口貼付先">#REF!</definedName>
    <definedName name="W_PB0496W9_後ver2">#REF!</definedName>
    <definedName name="W_PB0496W9_確度業績貼付先">#REF!</definedName>
    <definedName name="W_VER1">#REF!</definedName>
    <definedName name="W_VER2">#REF!</definedName>
    <definedName name="W_稼動データ">#REF!</definedName>
    <definedName name="w1_600MW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1_IPP1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ACC3" hidden="1">{"adj95mult",#N/A,FALSE,"COMPCO";"adj95est",#N/A,FALSE,"COMPCO"}</definedName>
    <definedName name="WAH">#REF!</definedName>
    <definedName name="Währung">#REF!</definedName>
    <definedName name="walkway" hidden="1">{"'Sheet1'!$L$16"}</definedName>
    <definedName name="wd" hidden="1">#REF!</definedName>
    <definedName name="wdd" hidden="1">{"'Sheet1'!$L$16"}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k">#REF!</definedName>
    <definedName name="WeekDay">{1,2,3,4,5,6,7}</definedName>
    <definedName name="weekDayNames">{"Su","M","Tu","W","Th","F","Sa"}</definedName>
    <definedName name="WeekNo">{1;2;3;4;5;6}</definedName>
    <definedName name="WEEKS_10843">#REF!</definedName>
    <definedName name="WEEKS_10853">#REF!</definedName>
    <definedName name="WEEKS_10858">#REF!</definedName>
    <definedName name="we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Q" hidden="1">{#N/A,#N/A,FALSE,"단축1";#N/A,#N/A,FALSE,"단축2";#N/A,#N/A,FALSE,"단축3";#N/A,#N/A,FALSE,"장축";#N/A,#N/A,FALSE,"4WD"}</definedName>
    <definedName name="WERFN" hidden="1">{"RUN6A",#N/A,FALSE,"BS-exist";"RUN6A","GROWTH RATE 10-5-8",FALSE,"IS-exist";"RUN6A","4thRun without EquityInfusion;Sale of land 75M",FALSE,"CF-exist"}</definedName>
    <definedName name="wergqerrgqwergr" hidden="1">#N/A</definedName>
    <definedName name="WERTY" hidden="1">{#N/A,#N/A,FALSE,"단축1";#N/A,#N/A,FALSE,"단축2";#N/A,#N/A,FALSE,"단축3";#N/A,#N/A,FALSE,"장축";#N/A,#N/A,FALSE,"4WD"}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TRAWYTAERT" hidden="1">#REF!</definedName>
    <definedName name="WETY" hidden="1">{#N/A,#N/A,FALSE,"단축1";#N/A,#N/A,FALSE,"단축2";#N/A,#N/A,FALSE,"단축3";#N/A,#N/A,FALSE,"장축";#N/A,#N/A,FALSE,"4WD"}</definedName>
    <definedName name="we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ewe" hidden="1">{#N/A,#N/A,FALSE,"MONTHDET";#N/A,#N/A,FALSE,"ACTUAL"}</definedName>
    <definedName name="weweewq" hidden="1">#REF!</definedName>
    <definedName name="wewew" hidden="1">{#N/A,#N/A,FALSE,"pl_cons";#N/A,#N/A,FALSE,"pl_grup";#N/A,#N/A,FALSE,"pl_umpl";#N/A,#N/A,FALSE,"pl_bim";#N/A,#N/A,FALSE,"pl_bdb";#N/A,#N/A,FALSE,"pl_mq32";#N/A,#N/A,FALSE,"pl_bsrl"}</definedName>
    <definedName name="wewewewe" hidden="1">{#N/A,"プレ技3/17見直し",FALSE,"内製専用設投";#N/A,"プレ技3/17見直し",FALSE,"内製汎用設投";#N/A,#N/A,FALSE,"ドアトリムコスト検証"}</definedName>
    <definedName name="wewewewew" hidden="1">#REF!</definedName>
    <definedName name="wewqewe" hidden="1">#REF!</definedName>
    <definedName name="wf" hidden="1">#N/A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yw" hidden="1">{"'Sheet1'!$L$16"}</definedName>
    <definedName name="what">#REF!</definedName>
    <definedName name="whatisthis" hidden="1">{#N/A,#N/A,FALSE,"Assumptions";#N/A,#N/A,FALSE,"1997 P&amp;L(pk) Estrada";#N/A,#N/A,FALSE,"ONGOING P&amp;L(pk) Estrada"}</definedName>
    <definedName name="whatisthis2" hidden="1">{#N/A,#N/A,FALSE,"Assumptions";#N/A,#N/A,FALSE,"1997 P&amp;L(pk) Estrada";#N/A,#N/A,FALSE,"ONGOING P&amp;L(pk) Estrada"}</definedName>
    <definedName name="whg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HOLE_TABLE">#REF!</definedName>
    <definedName name="WI_Failure_catalog_FPI_list">#REF!</definedName>
    <definedName name="WILPULL">#REF!</definedName>
    <definedName name="WILRET">#REF!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s222">#REF!</definedName>
    <definedName name="wip_meccanica">#REF!</definedName>
    <definedName name="wirev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is" hidden="1">#REF!</definedName>
    <definedName name="wj">#REF!</definedName>
    <definedName name="WJAT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J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jsr" hidden="1">#REF!</definedName>
    <definedName name="WKIWOR" hidden="1">{#N/A,#N/A,FALSE,"삼진정공";#N/A,#N/A,FALSE,"영신금속";#N/A,#N/A,FALSE,"태양금속";#N/A,#N/A,FALSE,"진합정공";#N/A,#N/A,FALSE,"코리아";#N/A,#N/A,FALSE,"풍강금속";#N/A,#N/A,FALSE,"선일기계"}</definedName>
    <definedName name="wlrr" hidden="1">{#N/A,#N/A,TRUE,"일정"}</definedName>
    <definedName name="wm.조골재1" hidden="1">{#N/A,#N/A,FALSE,"조골재"}</definedName>
    <definedName name="WOD" hidden="1">{#N/A,#N/A,TRUE,"일정"}</definedName>
    <definedName name="wõe" hidden="1">{"'Sheet1'!$L$16"}</definedName>
    <definedName name="woq4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ORKCAP">#REF!</definedName>
    <definedName name="Workcenter">#REF!</definedName>
    <definedName name="WORKINGTIME_LIST">OFFSET(#REF!,0,0,COUNTA(#REF!)-2)</definedName>
    <definedName name="workPath">#REF!</definedName>
    <definedName name="WORKSTATUSLIST">OFFSET(#REF!,0,0,COUNTA(#REF!)-2)</definedName>
    <definedName name="W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e" hidden="1">#REF!</definedName>
    <definedName name="wqqw" hidden="1">#REF!</definedName>
    <definedName name="WQRWR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wq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C" hidden="1">{"RUN3B",#N/A,FALSE,"BS-exist";"RUN3B","GROWTH RATE 10-5-8",FALSE,"IS-exist";"RUN3B","3rdRun without EquityInfusion;Sale of land(50-50)",FALSE,"CF-exist"}</definedName>
    <definedName name="WREEWR" hidden="1">{"'2공장'!$A$1:$H$216"}</definedName>
    <definedName name="wrg.Tages" hidden="1">{"Tages_D",#N/A,FALSE,"Tagesbericht";"Tages_PL",#N/A,FALSE,"Tagesbericht"}</definedName>
    <definedName name="WRITE" hidden="1">{#N/A,#N/A,FALSE,"CCTV"}</definedName>
    <definedName name="WRN" hidden="1">{#N/A,#N/A,FALSE,"CCTV"}</definedName>
    <definedName name="wrn.??._.??." hidden="1">{#N/A,#N/A,TRUE,"??"}</definedName>
    <definedName name="wrn.????._.??????.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0._.TOTAL._.SUMMARY._.SHEET." hidden="1">{#N/A,#N/A,FALSE,"TOTAL"}</definedName>
    <definedName name="wrn.00maint." hidden="1">{#N/A,#N/A,FALSE,"total";#N/A,#N/A,FALSE,"kilvin";#N/A,#N/A,FALSE,"kilvina";#N/A,#N/A,FALSE,"surface crushing";#N/A,#N/A,FALSE,"grinding";#N/A,#N/A,FALSE,"calcination";#N/A,#N/A,FALSE,"autoclave";#N/A,#N/A,FALSE,"mixing &amp; bagging";#N/A,#N/A,FALSE,"loading";#N/A,#N/A,FALSE,"fabric"}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." hidden="1">{"SOMENTE DADOS DE ENTRADA",#N/A,TRUE,"ENTRADA DE DADOS";"SOMENTE DADOS CALCULADOS",#N/A,TRUE,"ENTRADA DE DADOS";#N/A,#N/A,TRUE,"RESUMO FPA WITH VCC";#N/A,#N/A,TRUE,"Gráfico Análise Cenário"}</definedName>
    <definedName name="wrn.1._.SITE._.INSTALLATIONS." hidden="1">{#N/A,#N/A,FALSE,"SITE INSTALLATIONS"}</definedName>
    <definedName name="wrn.2._.pagers." hidden="1">{"Cover",#N/A,FALSE,"Cover";"Summary",#N/A,FALSE,"Summarpage"}</definedName>
    <definedName name="wrn.2._.PROCUREMENT." hidden="1">{#N/A,#N/A,FALSE,"PROCUREMENT"}</definedName>
    <definedName name="wrn.2번." hidden="1">{#N/A,#N/A,FALSE,"2~8번"}</definedName>
    <definedName name="wrn.3._.ERECTION.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6월._.자재관리._.현황." hidden="1">{#N/A,#N/A,FALSE,"자재관리";#N/A,#N/A,FALSE,"자재관리";#N/A,#N/A,FALSE,"자재관리"}</definedName>
    <definedName name="wrn.97년._.사업계획._.및._.예산지침." hidden="1">{#N/A,#N/A,TRUE,"1";#N/A,#N/A,TRUE,"2";#N/A,#N/A,TRUE,"3";#N/A,#N/A,TRUE,"4";#N/A,#N/A,TRUE,"5";#N/A,#N/A,TRUE,"6";#N/A,#N/A,TRUE,"7"}</definedName>
    <definedName name="wrn.98._.VALUE._.ANALYSES." hidden="1">{#VALUE!,#N/A,FALSE,0;#N/A,#N/A,FALSE,0;#N/A,#N/A,FALSE,0;#N/A,#N/A,FALSE,0}</definedName>
    <definedName name="wrn.A." hidden="1">{#N/A,#N/A,TRUE,"SUM";#N/A,#N/A,TRUE,"EE";#N/A,#N/A,TRUE,"AC";#N/A,#N/A,TRUE,"SN"}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ACCEL._.PERF." hidden="1">{#N/A,#N/A,FALSE,"입력SHT"}</definedName>
    <definedName name="wrn.Acquisition_matrix." hidden="1">{"Acq_matrix",#N/A,FALSE,"Acquisition Matrix"}</definedName>
    <definedName name="wrn.Acquisition_matrix_from_DBAB" hidden="1">{"Acq_matrix",#N/A,FALSE,"Acquisition Matrix"}</definedName>
    <definedName name="wrn.ACTUAL._.EXPENSES." hidden="1">{#N/A,#N/A,TRUE,"Titles";#N/A,#N/A,TRUE,"Actual vs Budget";#N/A,#N/A,TRUE,"Total by Mngnt I";#N/A,#N/A,TRUE,"Total by Mngnt II";#N/A,#N/A,TRUE,"Personnel";#N/A,#N/A,TRUE,"TTL ΓΕΝΙΚΗ ΔΝΣΗ I";#N/A,#N/A,TRUE,"TTL ΓΕΝΙΚΗ ΔΝΣΗ ΙΙ";#N/A,#N/A,TRUE,"ΔΝΣΗ ΑΝΘΡΩΠΙΝΟΥ ΔΥΝ.";#N/A,#N/A,TRUE,"ΔΝΣΗ ΟΙΚΟΝ. &amp; ΔΙΟΙΚ.";#N/A,#N/A,TRUE,"TTL ΔΝΣΗ ΠΩΛΗΣΕΩΝ";#N/A,#N/A,TRUE,"TTL ΔΝΣΗ MARKETING";#N/A,#N/A,TRUE,"TTL ΔΝΣΗ  ΠΙΣΤΩΣΕΩΝ";#N/A,#N/A,TRUE,"ΔΝΣΗ IT ";#N/A,#N/A,TRUE,"BACK OFFICE &amp; OPS";#N/A,#N/A,TRUE,"CUSTOMER SERVICE";#N/A,#N/A,TRUE,"ΔΝΣΗ RISK MNGNT";#N/A,#N/A,TRUE,"ΔΝΣΗ AUTO MOTO"}</definedName>
    <definedName name="wrn.adj95." hidden="1">{"adj95mult",#N/A,FALSE,"COMPCO";"adj95est",#N/A,FALSE,"COMPCO"}</definedName>
    <definedName name="wrn.adj95._from_DBAB" hidden="1">{"adj95mult",#N/A,FALSE,"COMPCO";"adj95est",#N/A,FALSE,"COMPCO"}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rn.All._.Sheets." hidden="1">{#N/A,#N/A,TRUE,"Assumptions";#N/A,#N/A,TRUE,"Sources of Revenue";#N/A,#N/A,TRUE,"P&amp;L";#N/A,#N/A,TRUE,"Bal. Sheet";#N/A,#N/A,TRUE,"Rights Issue &amp; X Adjustment";#N/A,#N/A,TRUE,"Transaction Model"}</definedName>
    <definedName name="wrn.ALL._.STATS." hidden="1">{#N/A,#N/A,FALSE,"99 CK Pull-ahead";#N/A,#N/A,FALSE,"99 ST";#N/A,#N/A,FALSE,"99 ML ";#N/A,#N/A,FALSE,"99 GVAN ";#N/A,#N/A,FALSE,"99 MD (from 98)";#N/A,#N/A,FALSE,"99 MD";#N/A,#N/A,FALSE,"99 P"}</definedName>
    <definedName name="wrn.allpages." hidden="1">{#N/A,#N/A,TRUE,"Historicals";#N/A,#N/A,TRUE,"Charts";#N/A,#N/A,TRUE,"Forecasts"}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.1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Operating._.Earnings1.1" hidden="1">{"Annual 1996",#N/A,FALSE,"Ann-Op (Mng)";"Annual 1996",#N/A,FALSE,"Ann-Op (Rep)";"Operating Vs. Reported Earnings",#N/A,FALSE,"Rpt-Op Inc"}</definedName>
    <definedName name="wrn.AQUIROR._.DCF.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backup." hidden="1">{"background",#N/A,FALSE,"CS First Boston Merger Model";"inputs",#N/A,FALSE,"CS First Boston Merger Model"}</definedName>
    <definedName name="wrn.balsheet." hidden="1">{#N/A,#N/A,FALSE,"BalCash"}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g._.Four._.Countries." hidden="1">{#N/A,#N/A,FALSE,"Japan";#N/A,#N/A,FALSE,"Taiwan";#N/A,#N/A,FALSE,"Thailand";#N/A,#N/A,FALSE,"Australia"}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hamonix.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rn.charts." hidden="1">{"newyork",#N/A,FALSE,"Plots-Annually";"florida",#N/A,FALSE,"Plots-Annually"}</definedName>
    <definedName name="wrn.Che._.do._.duoc._.huong." hidden="1">{#N/A,#N/A,FALSE,"BN (2)"}</definedName>
    <definedName name="wrn.chi._.tiÆt." hidden="1">{#N/A,#N/A,FALSE,"Chi tiÆt"}</definedName>
    <definedName name="wrn.chx." hidden="1">{#N/A,#N/A,FALSE,"commercial appraisal";#N/A,#N/A,FALSE,"P&amp;L";#N/A,#N/A,FALSE,"Advert";#N/A,#N/A,FALSE,"Geography";#N/A,#N/A,FALSE,"East Cont statement";#N/A,#N/A,FALSE,"South Cont Statement";#N/A,#N/A,FALSE,"Consolidated Cont Statement"}</definedName>
    <definedName name="wrn.CKD._.Price._.Build._.Up." hidden="1">{#N/A,#N/A,FALSE,"CKD Price Build Up"}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OMBINED." hidden="1">{#N/A,#N/A,FALSE,"INPUTS";#N/A,#N/A,FALSE,"PROFORMA BSHEET";#N/A,#N/A,FALSE,"COMBINED";#N/A,#N/A,FALSE,"HIGH YIELD";#N/A,#N/A,FALSE,"COMB_GRAPHS"}</definedName>
    <definedName name="wrn.COMPARISON." hidden="1">{"COMPARISON",#N/A,FALSE,"Sheet1"}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2" hidden="1">{"page1",#N/A,FALSE,"BHCOMPC5";"page2",#N/A,FALSE,"BHCOMPC5";"page3",#N/A,FALSE,"BHCOMPC5";"page4",#N/A,FALSE,"BHCOMPC5"}</definedName>
    <definedName name="wrn.Complet." hidden="1">{"Point Mort",#N/A,FALSE,"Ratios";"Tableaux",#N/A,FALSE,"Ratios"}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densate." hidden="1">{"condensate",#N/A,FALSE,"CNTRYTYPE"}</definedName>
    <definedName name="wrn.cong." hidden="1">{#N/A,#N/A,FALSE,"Sheet1"}</definedName>
    <definedName name="wrn.Consolidated._.Statements." hidden="1">{"view1",#N/A,FALSE,"EARN (US$)";"view1",#N/A,FALSE,"DASTBS (US$)";"view1",#N/A,FALSE,"DASTCF (US$)"}</definedName>
    <definedName name="wrn.Contribution._.Margin." hidden="1">{#N/A,#N/A,FALSE,"Contr. Margin"}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rude." hidden="1">{"Padd1crd",#N/A,FALSE,"REFINERY";"padd2crd",#N/A,FALSE,"REFINERY";"padd3crd",#N/A,FALSE,"REFINERY";"padd4crd",#N/A,FALSE,"REFINERY";"padd5crd",#N/A,FALSE,"REFINERY"}</definedName>
    <definedName name="wrn.dave." hidden="1">{"salaried",#N/A,FALSE,"VLD View (2)"}</definedName>
    <definedName name="wrn.DCF." hidden="1">{"DCF1",#N/A,FALSE,"SIERRA DCF";"MATRIX1",#N/A,FALSE,"SIERRA DCF"}</definedName>
    <definedName name="wrn.DCF._from_DBAB" hidden="1">{"DCF1",#N/A,FALSE,"SIERRA DCF";"MATRIX1",#N/A,FALSE,"SIERRA DCF"}</definedName>
    <definedName name="wrn.DCF_Terminal_Value_qchm.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1" hidden="1">{"mgmt forecast",#N/A,FALSE,"Mgmt Forecast";"dcf table",#N/A,FALSE,"Mgmt Forecast";"sensitivity",#N/A,FALSE,"Mgmt Forecast";"table inputs",#N/A,FALSE,"Mgmt Forecast";"calculations",#N/A,FALSE,"Mgmt Forecast"}</definedName>
    <definedName name="wrn.dcf2" hidden="1">{"DCF1",#N/A,FALSE,"SIERRA DCF";"MATRIX1",#N/A,FALSE,"SIERRA DCF"}</definedName>
    <definedName name="wrn.DDD.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wrn.Deckblatt." hidden="1">{#N/A,#N/A,FALSE,"Status";#N/A,#N/A,FALSE,"Deckblatt 1";#N/A,#N/A,FALSE,"Deckblatt2"}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A." hidden="1">{"table II 1",#N/A,FALSE,"DTables";"table II 2",#N/A,FALSE,"DTables";"table III 3",#N/A,FALSE,"DTables";"table III 4",#N/A,FALSE,"DTables"}</definedName>
    <definedName name="wrn.Demand._.MT." hidden="1">{"Demand by Product MT",#N/A,TRUE,"PRDEMPOR";"Demand by Sector MT",#N/A,TRUE,"PRDEMPOR"}</definedName>
    <definedName name="wrn.Demand._.MTOE." hidden="1">{"Demand by Product MTOE",#N/A,TRUE,"PRDEMPOR";"Demand by Sector MTOE",#N/A,TRUE,"PRDEMPOR"}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ividend._.Schedule." hidden="1">{"Dividend",#N/A,FALSE,"Cash Flow"}</definedName>
    <definedName name="wrn.Dividend._.Schedule2" hidden="1">{"Dividend",#N/A,FALSE,"Cash Flow"}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_.Print._.Range" hidden="1">{"EBITDA Print Range",#N/A,FALSE,"EBITDA"}</definedName>
    <definedName name="wrn.EBITDA._.Print._.Range." hidden="1">{"EBITDA Print Range",#N/A,FALSE,"EBITDA"}</definedName>
    <definedName name="wrn.Economic._.Value._.Added._.Analysis." hidden="1">{"EVA",#N/A,FALSE,"EVA";"WACC",#N/A,FALSE,"WACC"}</definedName>
    <definedName name="wrn.Economic._.Value._.Added._.Analysis._from_DBAB" hidden="1">{"EVA",#N/A,FALSE,"EVA";"WACC",#N/A,FALSE,"WACC"}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sterno." hidden="1">{#N/A,#N/A,FALSE,"HIGHNEW";#N/A,#N/A,FALSE,"HIGHOLD"}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executive._.summary." hidden="1">{"ex sum oth brnds",#N/A,FALSE,"Baking - retail"}</definedName>
    <definedName name="wrn.FC_Orders." hidden="1">{#N/A,#N/A,FALSE,"Tabelle1"}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ORECAST." hidden="1">{#N/A,#N/A,TRUE,"F-XRATE.XLS"}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.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ull." hidden="1">{#N/A,#N/A,FALSE,"JV";#N/A,#N/A,FALSE,"Source"}</definedName>
    <definedName name="wrn.Full._.Findex._.Report." hidden="1">{#N/A,#N/A,TRUE,"Cover Page";#N/A,#N/A,TRUE,"Supply Chain  KPIs";#N/A,#N/A,TRUE,"Conv Cost Comparision";#N/A,#N/A,TRUE,"Inventory-FG";#N/A,#N/A,TRUE,"Inventory-RM";#N/A,#N/A,TRUE,"Inventory-PM";#N/A,#N/A,TRUE,"Inventory-Sparepart";#N/A,"TD Powder Plant",TRUE,"HPC Plants";#N/A,"Hanoi Powder Plant",TRUE,"HPC Plants";#N/A,"Net North Powder Plant",TRUE,"HPC Plants";#N/A,"HN_NN Powder Plant",TRUE,"HPC Plants";#N/A,"Lix South Powder Plant",TRUE,"HPC Plants";#N/A,"Net South Powder Plant",TRUE,"HPC Plants";#N/A,"Cico Powder Plant",TRUE,"HPC Plants";#N/A,"TD Shampoo Bottle Plant",TRUE,"HPC Plants";#N/A,"TD Shampoo Sachet Plant",TRUE,"HPC Plants";#N/A,"TD Shampoo Plant",TRUE,"HPC Plants";#N/A,"TD Skincare Plant",TRUE,"HPC Plants";#N/A,"TD Showgel Plant",TRUE,"HPC Plants";#N/A,"HV Gel Plant",TRUE,"HPC Plants";#N/A,"TD HHC Plant",TRUE,"HPC Plants";#N/A,"Net South HHC Plant",TRUE,"HPC Plants";#N/A,"Haso2 HHC Plant",TRUE,"HPC Plants";#N/A,"ThienNga HHC Plant",TRUE,"HPC Plants";#N/A,"HV Comfort Sachet Plant",TRUE,"HPC Plants";#N/A,"HV Comfort Bottle Plant",TRUE,"HPC Plants";#N/A,"Hanoi Soap Plant",TRUE,"HPC Plants";#N/A,"EPS Toothpaste Plant",TRUE,"HPC Plants";#N/A,"Foods Tea Plant",TRUE,"HPC Plants";#N/A,"Foods Culinary Plant",TRUE,"HPC Plants";#N/A,"Cico Paste Plant",TRUE,"HPC Plants"}</definedName>
    <definedName name="wrn.Full._.Package._.Print." hidden="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1" hidden="1">{#N/A,#N/A,FALSE,"COVER";#N/A,#N/A,FALSE,"VALUATION";#N/A,#N/A,FALSE,"FORECAST";#N/A,#N/A,FALSE,"FY ANALYSIS ";#N/A,#N/A,FALSE," HY ANALYSIS"}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ain." hidden="1">{"gain",#N/A,FALSE,"Focus"}</definedName>
    <definedName name="wrn.GASCOND." hidden="1">{"GASCOND",#N/A,FALSE,"CONDENSATE";"CRUDECOND",#N/A,FALSE,"CONDENSATE";"TOTALCOND",#N/A,FALSE,"CONDENSATE"}</definedName>
    <definedName name="wrn.GASODEM." hidden="1">{"monthly",#N/A,FALSE,"GASODEM";"qtr to yr",#N/A,FALSE,"GASODEM"}</definedName>
    <definedName name="wrn.Geral." hidden="1">{#N/A,#N/A,TRUE,"Embraco's Proposal";#N/A,#N/A,TRUE,"Embraco's Proposal (2)";#N/A,#N/A,TRUE,"EVA's"}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iáy._.bao._.no." hidden="1">{#N/A,#N/A,FALSE,"BN"}</definedName>
    <definedName name="wrn.GMX210._.MATERIAL._.USAGE." hidden="1">{#N/A,#N/A,TRUE,"210_Material_Req"}</definedName>
    <definedName name="wrn.GRAPHS." hidden="1">{#N/A,#N/A,FALSE,"ACQ_GRAPHS";#N/A,#N/A,FALSE,"T_1 GRAPHS";#N/A,#N/A,FALSE,"T_2 GRAPHS";#N/A,#N/A,FALSE,"COMB_GRAPHS"}</definedName>
    <definedName name="wrn.Grup" hidden="1">{"fleisch",#N/A,FALSE,"WG HK";"food",#N/A,FALSE,"WG HK";"hartwaren",#N/A,FALSE,"WG HK";"weichwaren",#N/A,FALSE,"WG HK"}</definedName>
    <definedName name="wrn.heavy." hidden="1">{"heavy",#N/A,FALSE,"CNTRYTYPE"}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PC._.Budget._._._.LVN._.North." hidden="1">{#N/A,"HPC Budgets-011B",TRUE,"HPC Budgets";#N/A,"HPC Budgets-012B",TRUE,"HPC Budgets";#N/A,"HPC Budgets-013B",TRUE,"HPC Budgets";#N/A,"HPC Budgets-030B",TRUE,"HPC Budgets";#N/A,"HPC Budgets-031B",TRUE,"HPC Budgets";#N/A,"HPC Budgets-032B",TRUE,"HPC Budgets";#N/A,"HPC Budgets-033B",TRUE,"HPC Budgets";#N/A,"HPC Budgets-034B",TRUE,"HPC Budgets"}</definedName>
    <definedName name="wrn.HPC._.Budgets._._LVN._.South." hidden="1">{#N/A,"HPC Budgets-011H",TRUE,"HPC Budgets";#N/A,"HPC Budgets-012H",TRUE,"HPC Budgets";#N/A,"HPC-Budgets-013H",TRUE,"HPC Budgets";#N/A,"HPC-Budgets-030H",TRUE,"HPC Budgets";#N/A,"HPC Budgets-031H",TRUE,"HPC Budgets";#N/A,"HPC Budgets-032H",TRUE,"HPC Budgets";#N/A,"HPC Budget-033H",TRUE,"HPC Budgets";#N/A,"HPC Budget-034H",TRUE,"HPC Budgets";#N/A,"HPC Budgets-035H",TRUE,"HPC Budgets";#N/A,"HPC Budgets-036H",TRUE,"HPC Budgets";#N/A,"HPC Budgets-037H",TRUE,"HPC Budgets";#N/A,"HPC Budgets-038H",TRUE,"HPC Budgets";#N/A,"HPC Budgets-042H",TRUE,"HPC Budgets"}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Income._.Stmt." hidden="1">{"Income Stmt",#N/A,FALSE,"Model"}</definedName>
    <definedName name="wrn.india." hidden="1">{#N/A,#N/A,FALSE,"India - 3f";#N/A,#N/A,FALSE,"India - 3";#N/A,#N/A,FALSE,"India - 4f";#N/A,#N/A,FALSE,"India - 4";#N/A,#N/A,FALSE,"Retail Spider"}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orme_modelo.2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rn.Informe_modelo_600MW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rn.Informe_modelo_IPP1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rn.Input._.and._.Growths." hidden="1">{"Product Demands Input",#N/A,TRUE,"PRDEMPOR";"Annual Growth Rates",#N/A,TRUE,"PRDEMPOR"}</definedName>
    <definedName name="wrn.Internal._.is." hidden="1">{"Internal is",#N/A,FALSE,"Model"}</definedName>
    <definedName name="wrn.IPO._.Valuation." hidden="1">{"assumptions",#N/A,FALSE,"Scenario 1";"valuation",#N/A,FALSE,"Scenario 1"}</definedName>
    <definedName name="wrn.IS._.BS." hidden="1">{#N/A,#N/A,FALSE,"Income State.";#N/A,#N/A,FALSE,"B-S"}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LBO._.Summary." hidden="1">{"LBO Summary",#N/A,FALSE,"Summary"}</definedName>
    <definedName name="wrn.Leases.xls." hidden="1">{#N/A,#N/A,FALSE,"Initial Year";#N/A,#N/A,FALSE,"Historical";#N/A,#N/A,FALSE,"balsheet";#N/A,#N/A,FALSE,"incstate";#N/A,#N/A,FALSE,"Fleet"}</definedName>
    <definedName name="wrn.light._.sour." hidden="1">{"light sour",#N/A,FALSE,"CNTRYTYPE"}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mai._.khanh." hidden="1">{"NGUYEN QUI THIEP - Personal View",#N/A,FALSE,"XDCB.HT.FUR."}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ly._.Statement." hidden="1">{#N/A,#N/A,FALSE,"Tabelle2";#N/A,#N/A,FALSE,"Tabelle1"}</definedName>
    <definedName name="wrn.MONTHLYREP." hidden="1">{#N/A,#N/A,FALSE,"HIGHNEW";#N/A,#N/A,FALSE,"HIGHOLD";#N/A,#N/A,FALSE,"MTHDET"}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New._.York." hidden="1">{"NY PRICES",#N/A,FALSE,"CURRENT";"NY PRICES B",#N/A,FALSE,"CURRENT";"NY PRICES",#N/A,FALSE,"CONSTANT";"NY PRICES B",#N/A,FALSE,"CONSTANT"}</definedName>
    <definedName name="wrn.newoutput" hidden="1">{"DCF","UPSIDE CASE",FALSE,"Sheet1";"DCF","BASE CASE",FALSE,"Sheet1";"DCF","DOWNSIDE CASE",FALSE,"Sheet1"}</definedName>
    <definedName name="wrn.nkfinrpt." hidden="1">{#N/A,#N/A,FALSE,"box analysis";#N/A,#N/A,FALSE,"Mgt info summary";#N/A,#N/A,FALSE,"total variance";#N/A,#N/A,FALSE,"variance analysis";#N/A,#N/A,FALSE,"indirects";#N/A,#N/A,FALSE,"stocks";#N/A,#N/A,FALSE,"capital expenditure"}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UTPUT." hidden="1">{"DCF","UPSIDE CASE",FALSE,"Sheet1";"DCF","BASE CASE",FALSE,"Sheet1";"DCF","DOWNSIDE CASE",FALSE,"Sheet1"}</definedName>
    <definedName name="WRN.PG.100" hidden="1">{#N/A,#N/A,FALSE,"9"}</definedName>
    <definedName name="wrn.pg.11." hidden="1">{#N/A,#N/A,FALSE,"11"}</definedName>
    <definedName name="WRN.PG.30" hidden="1">{#N/A,#N/A,FALSE,"2"}</definedName>
    <definedName name="WRN.PG.35" hidden="1">{#N/A,#N/A,FALSE,"5"}</definedName>
    <definedName name="WRN.PG.40" hidden="1">{#N/A,#N/A,FALSE,"8"}</definedName>
    <definedName name="wrn.pg1." hidden="1">{#N/A,#N/A,FALSE,"1"}</definedName>
    <definedName name="WRN.PG10" hidden="1">{#N/A,#N/A,FALSE,"7"}</definedName>
    <definedName name="wrn.pg10." hidden="1">{#N/A,#N/A,FALSE,"10"}</definedName>
    <definedName name="wrn.pg100" hidden="1">{#N/A,#N/A,FALSE,"8"}</definedName>
    <definedName name="wrn.pg11." hidden="1">{#N/A,#N/A,FALSE,"11"}</definedName>
    <definedName name="wrn.pg12." hidden="1">{#N/A,#N/A,FALSE,"12"}</definedName>
    <definedName name="WRN.PG13" hidden="1">{#N/A,#N/A,FALSE,"12"}</definedName>
    <definedName name="wrn.pg13." hidden="1">{#N/A,#N/A,FALSE,"13"}</definedName>
    <definedName name="wrn.pg14." hidden="1">{#N/A,#N/A,FALSE,"14"}</definedName>
    <definedName name="wrn.pg15." hidden="1">{#N/A,#N/A,FALSE,"15"}</definedName>
    <definedName name="WRN.PG16" hidden="1">{#N/A,#N/A,FALSE,"15"}</definedName>
    <definedName name="wrn.pg16." hidden="1">{#N/A,#N/A,FALSE,"16"}</definedName>
    <definedName name="wrn.pg17." hidden="1">{#N/A,#N/A,FALSE,"17"}</definedName>
    <definedName name="wrn.pg2." hidden="1">{#N/A,#N/A,FALSE,"2"}</definedName>
    <definedName name="wrn.pg20" hidden="1">{#N/A,#N/A,FALSE,"4"}</definedName>
    <definedName name="wrn.pg3." hidden="1">{#N/A,#N/A,FALSE,"3"}</definedName>
    <definedName name="wrn.pg4." hidden="1">{#N/A,#N/A,FALSE,"4"}</definedName>
    <definedName name="wrn.pg5." hidden="1">{#N/A,#N/A,FALSE,"5"}</definedName>
    <definedName name="wrn.pg6." hidden="1">{#N/A,#N/A,FALSE,"6"}</definedName>
    <definedName name="wrn.pg7." hidden="1">{#N/A,#N/A,FALSE,"7"}</definedName>
    <definedName name="wrn.pg8." hidden="1">{#N/A,#N/A,FALSE,"8"}</definedName>
    <definedName name="wrn.pg9" hidden="1">{#N/A,#N/A,FALSE,"9"}</definedName>
    <definedName name="wrn.pg9." hidden="1">{#N/A,#N/A,FALSE,"9"}</definedName>
    <definedName name="wrn.PL._.trend." hidden="1">{"Jan-June",#N/A,FALSE,"Sheet4";"Jul-Dec",#N/A,FALSE,"Sheet4"}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ond." hidden="1">{"pond1",#N/A,FALSE,"Focus";"pond2",#N/A,FALSE,"Focus"}</definedName>
    <definedName name="wrn.Portrait._.IS." hidden="1">{"Portrait letter is",#N/A,FALSE,"Model"}</definedName>
    <definedName name="wrn.Portrait._.letter._.is." hidden="1">{"Portrait letter is",#N/A,FALSE,"Model"}</definedName>
    <definedName name="wrn.Powder._.Sites._.Only." hidden="1">{#N/A,#N/A,TRUE,"Cover Page";#N/A,"TD Powder Plant",TRUE,"HPC Plants";#N/A,"Hanoi Powder Plant",TRUE,"HPC Plants";#N/A,"Net North Powder Plant",TRUE,"HPC Plants";#N/A,"HN_NN Powder Plant",TRUE,"HPC Plants";#N/A,"Lix South Powder Plant",TRUE,"HPC Plants";#N/A,"Net South Powder Plant",TRUE,"HPC Plants";#N/A,"Cico Powder Plant",TRUE,"HPC Plants"}</definedName>
    <definedName name="wrn.Presentation." hidden="1">{"Presentation",#N/A,FALSE,"Feb96 - ALL"}</definedName>
    <definedName name="wrn.PRESUPUESTOS._.96." hidden="1">{#N/A,#N/A,TRUE,"COVER";"MDC1",#N/A,TRUE,"MDCMEN";"MDC2",#N/A,TRUE,"MDCMEN";"MDC3",#N/A,TRUE,"MDCMEN";"MDC4",#N/A,TRUE,"MDCMEN"}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nalyst._.Comparison." hidden="1">{"comp_bob1",#N/A,FALSE,"Analyst Comparison";"comp_linnea1",#N/A,FALSE,"Analyst Comparison"}</definedName>
    <definedName name="wrn.Print._.BU._.and._.PC._.Print._.Summaries." hidden="1">{"BU Total Print Summary",#N/A,FALSE,"BU Total";"EPC Print Summary",#N/A,FALSE,"EPC";"WPC Print Summary",#N/A,FALSE,"WPC";"HPC Print Summary",#N/A,FALSE,"HPC-Total";"EXP Print Summary",#N/A,FALSE,"EXP";"BUGen Print Summary",#N/A,FALSE,"BU General"}</definedName>
    <definedName name="wrn.Print._.BU._.General._.Package." hidden="1">{"BUGen Print Summary",#N/A,FALSE,"BU General";"BUGen 99 Outlook vs 98 Actual",#N/A,FALSE,"BU General";"BUGen 99 Outlook vs 99 Obj",#N/A,FALSE,"BU General";"BUGen 00 vs 99 Outlook",#N/A,FALSE,"BU General";"BUGen 01 vs 00",#N/A,FALSE,"BU General";"BUGen 02 vs 01",#N/A,FALSE,"BU General"}</definedName>
    <definedName name="wrn.Print._.BU._.Total._.with._.Variances." hidden="1">{"BU Total Print Summary",#N/A,FALSE,"BU Total";"BU Total 99 Outlook vs 98 Actual",#N/A,FALSE,"BU Total";"BU Total 99 Outlook vs 99 Obj",#N/A,FALSE,"BU Total";"BU Total 00 vs 99 Outlook",#N/A,FALSE,"BU Total";"BU Total 01 vs 00",#N/A,FALSE,"BU Total";"BU Total 02 vs 01",#N/A,FALSE,"BU Total"}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hidden="1">{"dilution11",#N/A,FALSE,"Dillution Analyis";"dilution21",#N/A,FALSE,"Dillution Analyis";"dilution31",#N/A,FALSE,"Dillution Analyis"}</definedName>
    <definedName name="wrn.Print._.EPC._.Package." hidden="1">{"EPC Print Summary",#N/A,FALSE,"EPC";"EPC 99 Outlook vs 98 Actual",#N/A,FALSE,"EPC";"EPC 99 Outlook vs 99 Obj",#N/A,FALSE,"EPC";"EPC 00 vs 99 Outlook",#N/A,FALSE,"EPC";"EPC 01 vs 00",#N/A,FALSE,"EPC";"EPC 02 vs 01",#N/A,FALSE,"EPC"}</definedName>
    <definedName name="wrn.Print._.Exploration._.Package." hidden="1">{"EXP Print Summary",#N/A,FALSE,"EXP";"EXP 99 Outlook vs 98 Actual",#N/A,FALSE,"EXP";"EXP 99 Outlook vs 99 Obj",#N/A,FALSE,"EXP";"EXP 00 vs 99 Outlook",#N/A,FALSE,"EXP";"EXP 01 vs 00",#N/A,FALSE,"EXP";"EXP 02 vs 01",#N/A,FALSE,"EXP"}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Harvest._.Package." hidden="1">{"HPC Print Summary",#N/A,FALSE,"HPC-Total";"HPC-BAT Print Summary",#N/A,FALSE,"HPC-BAT";"HPC-HAT Print Summary",#N/A,FALSE,"HPC-HAT";"HPC-MAT Print Summary",#N/A,FALSE,"HPC-MAT";"HPC-MP299 Print Summary",#N/A,FALSE,"HPC-MP299";"HPC-AVI Print Summary",#N/A,FALSE,"HPC-AVI";"HPC-MAR Print Summary",#N/A,FALSE,"HPC-MAR";"HPC-SHO Print Summary",#N/A,FALSE,"HPC-SHO";"HPC-Gen Print Summary",#N/A,FALSE,"HPC-General"}</definedName>
    <definedName name="wrn.Print._.Maps." hidden="1">{#N/A,#N/A,FALSE,"Volumes Map";#N/A,#N/A,FALSE,"CGS Map";#N/A,#N/A,FALSE,"Pricing Map";#N/A,#N/A,FALSE,"Selling Costs Map";#N/A,#N/A,FALSE,"A&amp;P Costs Map";#N/A,#N/A,FALSE,"Capex Map"}</definedName>
    <definedName name="wrn.Print._.Output." hidden="1">{#N/A,#N/A,FALSE,"OUTPUT SHEET "}</definedName>
    <definedName name="wrn.Print._.Plots." hidden="1">{"Plot1",#N/A,FALSE,"Plots";"plot2",#N/A,FALSE,"Plots";"plot3",#N/A,FALSE,"Plots";"plot4",#N/A,FALSE,"Plots";"plot5",#N/A,FALSE,"Plots";"plot6",#N/A,FALSE,"Plots"}</definedName>
    <definedName name="wrn.Print._.Products_active." hidden="1">{#N/A,#N/A,FALSE,"Krederex";#N/A,#N/A,FALSE,"Teveten";#N/A,#N/A,FALSE,"Kytril";#N/A,#N/A,FALSE,"Ariflo";#N/A,#N/A,FALSE,"SB217242";#N/A,#N/A,FALSE,"Vectavir";#N/A,#N/A,FALSE,"Avandia";#N/A,#N/A,FALSE,"Tiorfan";#N/A,#N/A,FALSE,"Eymo";#N/A,#N/A,FALSE,"Oxy"}</definedName>
    <definedName name="wrn.Print._.Sensitivities." hidden="1">{#N/A,#N/A,FALSE,"Prices,Vols,Capex Sensitivity";#N/A,#N/A,FALSE,"Individual Product Sensitivity";#N/A,#N/A,FALSE,"CGS Sensitivity by Product";#N/A,#N/A,FALSE,"Volume Sensitivity by Product";#N/A,#N/A,FALSE,"Pricing Sensitivity by Product"}</definedName>
    <definedName name="wrn.Print._.Summary._.Sheets." hidden="1">{#N/A,#N/A,FALSE,"Summary P&amp;l's";#N/A,#N/A,FALSE,"Consolidated P&amp;L";#N/A,#N/A,FALSE,"Local P&amp;L";#N/A,#N/A,FALSE,"Cash Flows"}</definedName>
    <definedName name="wrn.Print._.Support._.Inf.." hidden="1">{#N/A,#N/A,FALSE,"Assumptions";#N/A,#N/A,FALSE,"Production Units";#N/A,#N/A,FALSE,"Selling Costs";#N/A,#N/A,FALSE,"Admin Costs";#N/A,#N/A,FALSE,"Capex";#N/A,#N/A,FALSE,"Depreciation"}</definedName>
    <definedName name="wrn.print._.through._.1997." hidden="1">{"full income",#N/A,TRUE,"Income";"revenue 92",#N/A,TRUE,"Income";"revenue 95",#N/A,TRUE,"Income";"Amortization",#N/A,TRUE,"D&amp;A";"capitalization",#N/A,TRUE,"Paydown";"interestsch",#N/A,TRUE,"Interest";"paydown",#N/A,TRUE,"Paydown";"cflow",#N/A,TRUE,"Cash Flow";"dcf",#N/A,TRUE,"DCF"}</definedName>
    <definedName name="wrn.print._.through._.1997.1" hidden="1">{"full income",#N/A,TRUE,"Income";"revenue 92",#N/A,TRUE,"Income";"revenue 95",#N/A,TRUE,"Income";"Amortization",#N/A,TRUE,"D&amp;A";"capitalization",#N/A,TRUE,"Paydown";"interestsch",#N/A,TRUE,"Interest";"paydown",#N/A,TRUE,"Paydown";"cflow",#N/A,TRUE,"Cash Flow";"dcf",#N/A,TRUE,"DCF"}</definedName>
    <definedName name="wrn.Print._.WPC._.Package." hidden="1">{"WPC Print Summary",#N/A,FALSE,"WPC";"WPC 99 Outlook vs 98 Actual",#N/A,FALSE,"WPC";"WPC 99 Outlook vs 99 Obj",#N/A,FALSE,"WPC";"WPC 00 vs 99 Outlook",#N/A,FALSE,"WPC";"WPC 01 vs 00",#N/A,FALSE,"WPC";"WPC 02 vs 01",#N/A,FALSE,"WPC"}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ll." hidden="1">{"PA1",#N/A,FALSE,"BORDMW";"pa2",#N/A,FALSE,"BORDMW";"PA3",#N/A,FALSE,"BORDMW";"PA4",#N/A,FALSE,"BORDMW"}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ODTABLES.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uction._.Report." hidden="1">{"Production",#N/A,FALSE,"1+11";"Production Mix",#N/A,FALSE,"1+11"}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ulp." hidden="1">{"Pulp Production",#N/A,FALSE,"Pulp";"Pulp Earnings",#N/A,FALSE,"Pulp"}</definedName>
    <definedName name="wrn.qrt95." hidden="1">{"qrt95",#N/A,FALSE,"BAIRNUMB"}</definedName>
    <definedName name="wrn.Qtr._.Op._.Q1." hidden="1">{"Qtr Op Mgd Q1",#N/A,FALSE,"Qtr-Op (Mng)";"Qtr Op Rpt Q1",#N/A,FALSE,"Qtr-Op (Rpt)";"Operating Vs Reported",#N/A,FALSE,"Rpt-Op Inc"}</definedName>
    <definedName name="wrn.Qtr._.Op._.Q1.1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2.1" hidden="1">{"Qtr Op Mgd Q2",#N/A,FALSE,"Qtr-Op (Mng)";"Qtr Op Rpt Q2",#N/A,FALSE,"Qtr-Op (Rpt)";"Operating Vs Reported",#N/A,FALSE,"Rpt-Op Inc"}</definedName>
    <definedName name="wrn.Qtr._.Op._.Q2a.1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3.1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.Q4.1" hidden="1">{"Qtr Op Mgd Q3",#N/A,FALSE,"Qtr-Op (Mng)";"Qtr Op Rpt Q4",#N/A,FALSE,"Qtr-Op (Rpt)";"Operating Vs Reported",#N/A,FALSE,"Rpt-Op Inc"}</definedName>
    <definedName name="wrn.Qtr._.Op._.Q4.2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uarterly." hidden="1">{"quarterly",#N/A,FALSE,"BAIRNUMB"}</definedName>
    <definedName name="wrn.RAHoch." hidden="1">{"RADruckAlles",#N/A,FALSE,"RA"}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Quer." hidden="1">{"RADruckKomprimiert",#N/A,FALSE,"RA"}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CONCILIATION." hidden="1">{"REC1",#N/A,FALSE,"Focus";"REC2",#N/A,FALSE,"Focus";"REC3",#N/A,FALSE,"Focus";"REC4",#N/A,FALSE,"Focus"}</definedName>
    <definedName name="wrn.REFINERY." hidden="1">{"Padd I to III",#N/A,FALSE,"REFINERY";"Padd IV to US",#N/A,FALSE,"REFINERY";"Crude Balance I",#N/A,FALSE,"REFINERY";"Crude Balance II",#N/A,FALSE,"REFINERY"}</definedName>
    <definedName name="wrn.region." hidden="1">{"Region",#N/A,FALSE,"CNTRYTYPE"}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p1.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.1" hidden="1">{#N/A,#N/A,FALSE,"COVER";#N/A,#N/A,FALSE,"FORECAST";#N/A,#N/A,FALSE,"VALUATION";#N/A,#N/A,FALSE,"FY ANALYSIS ";#N/A,#N/A,FALSE," HY ANALYSIS"}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hidden="1">{#N/A,#N/A,FALSE,"HIGHNEW";#N/A,#N/A,FALSE,"HIGHOLD";#N/A,#N/A,FALSE,"MTHDET";#N/A,#N/A,FALSE,"ACTDET"}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VISED." hidden="1">{"REVISED",#N/A,FALSE,"Sheet1"}</definedName>
    <definedName name="wrn.RPT.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wrn.RUN._.1." hidden="1">{"RUN1",#N/A,FALSE,"BS-exist";"RUN1","GROWTH RATE 8-5-7",FALSE,"IS-exist";"RUN1","1stScenario(Sale of land 90-50);(EquityInfusion 70);(New loan 150);Collection of Advances(110)",FALSE,"CF-exist"}</definedName>
    <definedName name="wrn.RUN._.2." hidden="1">{"RUN2",#N/A,FALSE,"BS-exist";"RUN2","GROWTH RATE 8-5-7",FALSE,"IS-exist";"RUN2","2ndRun without Equity Infusion",FALSE,"CF-exist"}</definedName>
    <definedName name="wrn.RUN._.3A." hidden="1">{"RUN3A",#N/A,FALSE,"BS-exist";"RUN3A","GROWTH RATE 8-5-7",FALSE,"IS-exist";"RUN3A","3rdRun without EquityInfusion;Sale of land(50-50)",FALSE,"CF-exist"}</definedName>
    <definedName name="wrn.RUN._.3B." hidden="1">{"RUN3B",#N/A,FALSE,"BS-exist";"RUN3B","GROWTH RATE 10-5-8",FALSE,"IS-exist";"RUN3B","3rdRun without EquityInfusion;Sale of land(50-50)",FALSE,"CF-exist"}</definedName>
    <definedName name="wrn.RUN._.4A." hidden="1">{"RUN4A",#N/A,FALSE,"BS-exist";"RUN4A","GROWTH RATE 8-5-7",FALSE,"IS-exist";"RUN4A","4thRun without EquityInfusion;Sale of land 75M",FALSE,"CF-exist"}</definedName>
    <definedName name="wrn.RUN._.4B." hidden="1">{"RUN4B",#N/A,FALSE,"BS-exist";"RUN4B","GROWTH RATE 10-5-8",FALSE,"IS-exist";"RUN4B","4thRun without EquityInfusion;Sale of land 75M",FALSE,"CF-exist"}</definedName>
    <definedName name="wrn.RUN._.5A." hidden="1">{"RUN5A",#N/A,FALSE,"BS-exist";"RUN5A","GROWTH RATE 8-5-7",FALSE,"IS-exist";"RUN5A","5th Run without EquityInfusion;Sale of asset(75-35)",FALSE,"CF-exist"}</definedName>
    <definedName name="wrn.RUN._.6A." hidden="1">{"RUN6A",#N/A,FALSE,"BS-exist";"RUN6A","GROWTH RATE 10-5-8",FALSE,"IS-exist";"RUN6A","4thRun without EquityInfusion;Sale of land 75M",FALSE,"CF-exist"}</definedName>
    <definedName name="wrn.sales.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MPLE." hidden="1">{#N/A,#N/A,TRUE,"Crude";#N/A,#N/A,TRUE,"Products"}</definedName>
    <definedName name="wrn.Sample._.Safety._.Charts._.All." hidden="1">{#N/A,#N/A,FALSE,"Plant Tot. Record";#N/A,#N/A,FALSE,"BT Tot. Record";#N/A,#N/A,FALSE,"Plant Lost Days";#N/A,#N/A,FALSE,"Top 5 Record";#N/A,#N/A,FALSE,"BT Lost Days";#N/A,#N/A,FALSE,"BT Top 5 Lost Days"}</definedName>
    <definedName name="wrn.Sensitivity." hidden="1">{#N/A,#N/A,FALSE,"Sensitivity"}</definedName>
    <definedName name="wrn.sensitivity2" hidden="1">{#N/A,#N/A,FALSE,"Sensitivity"}</definedName>
    <definedName name="wrn.sensitivity3" hidden="1">{#N/A,#N/A,FALSE,"Sensitivity"}</definedName>
    <definedName name="wrn.Shampoo._.Sites._.Only." hidden="1">{#N/A,#N/A,TRUE,"Cover Page";#N/A,"TD Shampoo Sachet Plant",TRUE,"HPC Plants";#N/A,"TD Shampoo Bottle Plant",TRUE,"HPC Plants";#N/A,"TD Shampoo Plant",TRUE,"HPC Plants"}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im._.Report._.Printing." hidden="1">{"SIM Report",#N/A,FALSE,"Output";"Price Report",#N/A,FALSE,"Data Input 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qdwork." hidden="1">{#N/A,#N/A,FALSE,"Kilvington";#N/A,#N/A,FALSE,"Rock Handling";#N/A,#N/A,FALSE,"Grinding";#N/A,#N/A,FALSE,"Kettles";#N/A,#N/A,FALSE,"Autoclave";#N/A,#N/A,FALSE,"Mixing";#N/A,#N/A,FALSE,"Bagging 1";#N/A,#N/A,FALSE,"Bagging 2";#N/A,#N/A,FALSE,"Bagging 3";#N/A,#N/A,FALSE,"Bagging 4";#N/A,#N/A,FALSE,"Bagging 5";#N/A,#N/A,FALSE,"Bagging 5 (2)";#N/A,#N/A,FALSE,"Bagging 6";#N/A,#N/A,FALSE,"Bagging 7";#N/A,#N/A,FALSE,"Bagging 7 (2)";#N/A,#N/A,FALSE,"Loading";#N/A,#N/A,FALSE,"Manning";#N/A,#N/A,FALSE,"Palletisation";#N/A,#N/A,FALSE,"Bagging 1 (2)"}</definedName>
    <definedName name="wrn.Standard._.Reports." hidden="1">{#N/A,#N/A,FALSE,"Books";#N/A,#N/A,FALSE,"Barge";#N/A,#N/A,FALSE,"Insurance";#N/A,#N/A,FALSE,"Consolidated"}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ock._.Cover._.KPI._.Report." hidden="1">{#N/A,#N/A,TRUE,"Inventory-FG";#N/A,#N/A,TRUE,"Inventory-RM";#N/A,#N/A,TRUE,"Inventory-PM";#N/A,#N/A,TRUE,"Inventory-Sparepart"}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BREGION." hidden="1">{"SUBREGION",#N/A,FALSE,"CNTRYTYPE"}</definedName>
    <definedName name="wrn.Summary." hidden="1">{"Growth Supply Demand",#N/A,TRUE,"Summary";"Primary Energy Balance",#N/A,TRUE,"Summary"}</definedName>
    <definedName name="wrn.SUMMARY._.BY._.OPERATIONS." hidden="1">{#N/A,#N/A,TRUE,"SUMMARY";#N/A,#N/A,TRUE,"SUMMARY - BY SEGMENT";#N/A,#N/A,TRUE,"SUMMARY - BY REGION";#N/A,#N/A,TRUE,"FINANCIAL SERVICES OPERATIONS";#N/A,#N/A,TRUE,"REINSURANCE OPERATIONS";#N/A,#N/A,TRUE,"INSURANCE OPERATIONS"}</definedName>
    <definedName name="wrn.sweet." hidden="1">{"sweet",#N/A,FALSE,"CNTRYTYPE"}</definedName>
    <definedName name="wrn.Tables." hidden="1">{"Current",#N/A,FALSE,"Currentcal";"Current B",#N/A,FALSE,"Currentcal";"Constant",#N/A,FALSE,"Constantcal";"Constant B",#N/A,FALSE,"Constantcal"}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ARGET._.DCF.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nancy._.Full._.cash._.Flow." hidden="1">{"tenancy detail",#N/A,FALSE,"Tenancies";"years1_2",#N/A,FALSE,"Tenancies";"years3_4",#N/A,FALSE,"Tenancies"}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ree" hidden="1">{"EVA",#N/A,FALSE,"EVA";"WACC",#N/A,FALSE,"WACC"}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r." hidden="1">{"Totax",#N/A,FALSE,"Sheet1";#N/A,#N/A,FALSE,"Law Output"}</definedName>
    <definedName name="wrn.tuan." hidden="1">{#N/A,#N/A,FALSE,"LEDGERSUMARY"}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pstream.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d." hidden="1">{#N/A,#N/A,TRUE,"BT M200 da 10x20"}</definedName>
    <definedName name="WRN.VOLTAGE." hidden="1">{#N/A,#N/A,FALSE,"Sheet2";#N/A,#N/A,FALSE,"Sheet4";#N/A,#N/A,FALSE,"Sheet6"}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holesale._.Report." hidden="1">{"Wholesale",#N/A,FALSE,"1+11";"wholesale Mix",#N/A,FALSE,"1+11"}</definedName>
    <definedName name="wrn.Work._.Report." hidden="1">{"accomplishment",#N/A,FALSE,"Summary Week 3"}</definedName>
    <definedName name="wrn.Working._.Capital." hidden="1">{#N/A,#N/A,FALSE,"Gesamt";#N/A,#N/A,FALSE,"Ree KG";#N/A,#N/A,FALSE,"Ree Inter";#N/A,#N/A,FALSE,"BTM";#N/A,#N/A,FALSE,"GmbH";#N/A,#N/A,FALSE,"Sonstige"}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건설기계사업소._.상반기보고." hidden="1">{#N/A,#N/A,FALSE,"사업총괄";#N/A,#N/A,FALSE,"장비사업";#N/A,#N/A,FALSE,"철구사업";#N/A,#N/A,FALSE,"준설사업"}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보고서." hidden="1">{#N/A,#N/A,TRUE,"자재관리";#N/A,#N/A,TRUE,"품질"}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이사님." hidden="1">{#N/A,#N/A,TRUE,"이사님";#N/A,#N/A,TRUE,"이사님"}</definedName>
    <definedName name="wrn.이정표." hidden="1">{#N/A,#N/A,FALSE,"이정표"}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조골재." hidden="1">{#N/A,#N/A,FALSE,"조골재"}</definedName>
    <definedName name="wrn.주간._.보고." hidden="1">{#N/A,#N/A,TRUE,"일정"}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지." hidden="1">{#N/A,#N/A,FALSE,"표지"}</definedName>
    <definedName name="wrn.표지목차." hidden="1">{#N/A,#N/A,FALSE,"표지목차"}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혼합골재." hidden="1">{#N/A,#N/A,FALSE,"혼합골재"}</definedName>
    <definedName name="wrn.事業開發." hidden="1">{#N/A,#N/A,TRUE,"事業開發本部(業)";#N/A,#N/A,TRUE,"事-部辦(業)";#N/A,#N/A,TRUE,"事-第一(業)";#N/A,#N/A,TRUE,"事-第二(業)";#N/A,#N/A,TRUE,"事-第三(業)";#N/A,#N/A,TRUE,"事-第四(業)"}</definedName>
    <definedName name="wrn.客服" hidden="1">{#N/A,#N/A,TRUE,"客服本部(業)";#N/A,#N/A,TRUE,"客-部辦(業)";#N/A,#N/A,TRUE,"客-專案(業)";#N/A,#N/A,TRUE,"客-支援(業)";#N/A,#N/A,TRUE,"客-專一(業)";#N/A,#N/A,TRUE,"客-專二(業)";#N/A,#N/A,TRUE,"客-專三(業)";#N/A,#N/A,TRUE,"客-專四(業)";#N/A,#N/A,TRUE,"客-專五(業)";#N/A,#N/A,TRUE,"客-專五(業)";#N/A,#N/A,TRUE,"客-專六(業)";#N/A,#N/A,TRUE,"客-專七(業)";#N/A,#N/A,TRUE,"客-系統處(業)"}</definedName>
    <definedName name="wrn.客服." hidden="1">{#N/A,#N/A,TRUE,"客服本部(業)";#N/A,#N/A,TRUE,"客-部辦(業)";#N/A,#N/A,TRUE,"客-專案(業)";#N/A,#N/A,TRUE,"客-支援(業)";#N/A,#N/A,TRUE,"客-專一(業)";#N/A,#N/A,TRUE,"客-專二(業)";#N/A,#N/A,TRUE,"客-專三(業)";#N/A,#N/A,TRUE,"客-專四(業)";#N/A,#N/A,TRUE,"客-專五(業)";#N/A,#N/A,TRUE,"客-專五(業)";#N/A,#N/A,TRUE,"客-專六(業)";#N/A,#N/A,TRUE,"客-專七(業)";#N/A,#N/A,TRUE,"客-系統處(業)"}</definedName>
    <definedName name="wrn.工務資訊" hidden="1">{#N/A,#N/A,TRUE,"工務本部(業)";#N/A,#N/A,TRUE,"工-部辦(業)";#N/A,#N/A,TRUE,"工-設計(業)";#N/A,#N/A,TRUE,"工-工務(業)";#N/A,#N/A,TRUE,"工-網管(業)";#N/A,#N/A,TRUE,"工-一維(業)";#N/A,#N/A,TRUE,"工-二維(業)";#N/A,#N/A,TRUE,"工-三維(業)";#N/A,#N/A,TRUE,"工-四維(業)";#N/A,#N/A,TRUE,"資訊管理本部(業)";#N/A,#N/A,TRUE,"研發本部(業)"}</definedName>
    <definedName name="wrn.工務資訊研發" hidden="1">{#N/A,#N/A,TRUE,"工務本部(業)";#N/A,#N/A,TRUE,"工-部辦(業)";#N/A,#N/A,TRUE,"工-設計(業)";#N/A,#N/A,TRUE,"工-工務(業)";#N/A,#N/A,TRUE,"工-網管(業)";#N/A,#N/A,TRUE,"工-一維(業)";#N/A,#N/A,TRUE,"工-二維(業)";#N/A,#N/A,TRUE,"工-三維(業)";#N/A,#N/A,TRUE,"工-四維(業)";#N/A,#N/A,TRUE,"資訊管理本部(業)";#N/A,#N/A,TRUE,"研發本部(業)"}</definedName>
    <definedName name="wrn.工務資訊研發." hidden="1">{#N/A,#N/A,TRUE,"工務本部(業)";#N/A,#N/A,TRUE,"工-部辦(業)";#N/A,#N/A,TRUE,"工-設計(業)";#N/A,#N/A,TRUE,"工-工務(業)";#N/A,#N/A,TRUE,"工-網管(業)";#N/A,#N/A,TRUE,"工-一維(業)";#N/A,#N/A,TRUE,"工-二維(業)";#N/A,#N/A,TRUE,"工-三維(業)";#N/A,#N/A,TRUE,"工-四維(業)";#N/A,#N/A,TRUE,"資訊管理本部(業)";#N/A,#N/A,TRUE,"研發本部(業)"}</definedName>
    <definedName name="wrn.暦年." hidden="1">{#N/A,#N/A,FALSE,"表紙";#N/A,#N/A,FALSE,"利用上の注意";#N/A,#N/A,FALSE,"目次 (暦年付)"}</definedName>
    <definedName name="wrn.業務" hidden="1">{#N/A,#N/A,TRUE,"營業本部(業)";#N/A,#N/A,TRUE,"業務本部(業)";#N/A,#N/A,TRUE,"業-部辦(業)";#N/A,#N/A,TRUE,"業-北直營(業)";#N/A,#N/A,TRUE,"業-中直營(業)";#N/A,#N/A,TRUE,"業-南直營(業)";#N/A,#N/A,TRUE,"業-直銷(業)";#N/A,#N/A,TRUE,"業-經銷(業)";#N/A,#N/A,TRUE,"業-營管(業)";#N/A,#N/A,TRUE,"業-裝修(業)"}</definedName>
    <definedName name="wrn.業務本部." hidden="1">{#N/A,#N/A,TRUE,"營業本部(業)";#N/A,#N/A,TRUE,"業務本部(業)";#N/A,#N/A,TRUE,"業-部辦(業)";#N/A,#N/A,TRUE,"業-北直營(業)";#N/A,#N/A,TRUE,"業-中直營(業)";#N/A,#N/A,TRUE,"業-南直營(業)";#N/A,#N/A,TRUE,"業-直銷(業)";#N/A,#N/A,TRUE,"業-經銷(業)";#N/A,#N/A,TRUE,"業-營管(業)";#N/A,#N/A,TRUE,"業-裝修(業)"}</definedName>
    <definedName name="wrn.管理本部." hidden="1">{#N/A,#N/A,TRUE,"管理本部(業)";#N/A,#N/A,TRUE,"管-部辦(業)";#N/A,#N/A,TRUE,"管-人事(業)";#N/A,#N/A,TRUE,"管-資材(業)";#N/A,#N/A,TRUE,"管-總務(業)"}</definedName>
    <definedName name="wrn.行銷." hidden="1">{#N/A,#N/A,TRUE,"行銷本部 (業)";#N/A,#N/A,TRUE,"行-部辦(業)";#N/A,#N/A,TRUE,"行-行銷(業)";#N/A,#N/A,TRUE,"行-計劃(業)";#N/A,#N/A,TRUE,"行-媒體(業)"}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wrn_Ebitda" hidden="1">{"EBITDA Print Range",#N/A,FALSE,"EBITDA"}</definedName>
    <definedName name="wrn_EBITDA_Range" hidden="1">{"EBITDA Print Range",#N/A,FALSE,"EBITDA"}</definedName>
    <definedName name="wrn_Informe_mode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rn_Informe_mode2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rn_Informe_mode3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rn_Informe_mode4" hidden="1">{#N/A,#N/A,TRUE,"Valuation";#N/A,#N/A,TRUE,"Financ. Stat.";#N/A,#N/A,TRUE,"Contr. Sales";#N/A,#N/A,TRUE,"Sales-Purch. CDEC-SING";#N/A,#N/A,TRUE,"SING Oper.";#N/A,#N/A,TRUE,"Costs &amp; Other Sales";#N/A,#N/A,TRUE,"Fuel Consum.";#N/A,#N/A,TRUE,"Depreciation";#N/A,#N/A,TRUE,"Work. Cap.";#N/A,#N/A,TRUE,"Assump.";#N/A,#N/A,TRUE,"Discount Rates"}</definedName>
    <definedName name="wrn_Schedule" hidden="1">{"Dividend",#N/A,FALSE,"Cash Flow"}</definedName>
    <definedName name="wrn_schedule2" hidden="1">{"Dividend",#N/A,FALSE,"Cash Flow"}</definedName>
    <definedName name="wrn_xoa2" hidden="1">{#N/A,#N/A,FALSE,"Chi tiÆt"}</definedName>
    <definedName name="wrn1.comparison" hidden="1">{"COMPARISON",#N/A,FALSE,"Sheet1"}</definedName>
    <definedName name="wrn1.india" hidden="1">{#N/A,#N/A,FALSE,"India - 3f";#N/A,#N/A,FALSE,"India - 3";#N/A,#N/A,FALSE,"India - 4f";#N/A,#N/A,FALSE,"India - 4";#N/A,#N/A,FALSE,"Retail Spider"}</definedName>
    <definedName name="wrn2.all" hidden="1">{"PAGE1",#N/A,FALSE,"YIELDS";"PAGE2",#N/A,FALSE,"YIELDS";"PAGE3",#N/A,FALSE,"YIELDS"}</definedName>
    <definedName name="wrn2.all." hidden="1">{"PAGE1",#N/A,FALSE,"YIELDS";"PAGE2",#N/A,FALSE,"YIELDS";"PAGE3",#N/A,FALSE,"YIELDS"}</definedName>
    <definedName name="wrn2.gasodem." hidden="1">{"monthly",#N/A,FALSE,"GASODEM";"qtr to yr",#N/A,FALSE,"GASODEM"}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O.RP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WRRREWR" hidden="1">#REF!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T">#REF!</definedName>
    <definedName name="ＷＴＴ" hidden="1">#REF!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MDC1.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2.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3.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4.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RDOTOT.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ollierend." hidden="1">{TRUE,TRUE,-1.25,-15.5,604.5,366.75,FALSE,FALSE,TRUE,TRUE,0,1,#N/A,1,#N/A,25.1833333333333,61.9230769230769,1,FALSE,FALSE,3,TRUE,1,FALSE,75,"Swvu.Rollierend.","ACwvu.Rollierend.",1,FALSE,FALSE,0.393700787401575,0.393700787401575,0.393700787401575,0.78740157480315,2,"","&amp;L&amp;9vl-tz-il &amp;F &amp;A&amp;R&amp;9&amp;D  &amp;T",TRUE,FALSE,FALSE,FALSE,1,100,#N/A,#N/A,"=R1C1:R55C18",FALSE,"Rwvu.Rollierend.","Cwvu.Rollierend.",FALSE,FALSE,FALSE,1,65532,65532,FALSE,FALSE,TRUE,TRUE,TRUE}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localSheetId="1" hidden="1">Main.SAPF4Help()</definedName>
    <definedName name="ww" hidden="1">Main.SAPF4Help()</definedName>
    <definedName name="ｗｗ" hidden="1">{"'Sheet1'!$L$16"}</definedName>
    <definedName name="WW_BUMON">#REF!</definedName>
    <definedName name="WWEWERE" hidden="1">{#N/A,#N/A,FALSE,"신규dep";#N/A,#N/A,FALSE,"신규dep-금형상각후";#N/A,#N/A,FALSE,"신규dep-연구비상각후";#N/A,#N/A,FALSE,"신규dep-기계,공구상각후"}</definedName>
    <definedName name="wwewewe" hidden="1">{#N/A,"プレ技3/24見直し",FALSE,"内製専用設投";#N/A,"プレ技3/24見直し",FALSE,"内製汎用設投";#N/A,#N/A,FALSE,"ドアトリムコスト検証"}</definedName>
    <definedName name="wwhh" hidden="1">{#N/A,#N/A,FALSE,"Chi tiÆt"}</definedName>
    <definedName name="wwhwhwrh" hidden="1">{"'Sheet1'!$L$16"}</definedName>
    <definedName name="www" localSheetId="1" hidden="1">Main.SAPF4Help()</definedName>
    <definedName name="www" hidden="1">Main.SAPF4Help()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>#REF!</definedName>
    <definedName name="ｗｗｗｗ" hidden="1">{"'Sheet1'!$L$16"}</definedName>
    <definedName name="wwwww">#REF!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x">#REF!</definedName>
    <definedName name="WYU" hidden="1">{#N/A,#N/A,FALSE,"단축1";#N/A,#N/A,FALSE,"단축2";#N/A,#N/A,FALSE,"단축3";#N/A,#N/A,FALSE,"장축";#N/A,#N/A,FALSE,"4WD"}</definedName>
    <definedName name="x" hidden="1">{"fleisch",#N/A,FALSE,"WG HK";"food",#N/A,FALSE,"WG HK";"hartwaren",#N/A,FALSE,"WG HK";"weichwaren",#N/A,FALSE,"WG HK"}</definedName>
    <definedName name="Ｘ" hidden="1">#REF!</definedName>
    <definedName name="x.">(#REF!-1)*100+#REF!</definedName>
    <definedName name="xác" hidden="1">{"'Sheet1'!$L$16"}</definedName>
    <definedName name="XAxisIncr" hidden="1">#REF!</definedName>
    <definedName name="XAY" hidden="1">{"'Sheet1'!$L$16"}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B" hidden="1">#REF!</definedName>
    <definedName name="XCBB">#REF!</definedName>
    <definedName name="xccccfds">#REF!</definedName>
    <definedName name="XCCT">0.5</definedName>
    <definedName name="xccx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CCXVCX">#REF!</definedName>
    <definedName name="xcfgdsg" hidden="1">{"'Sheet1'!$L$16"}</definedName>
    <definedName name="xcv">#REF!</definedName>
    <definedName name="XCVXCVXCV">#REF!</definedName>
    <definedName name="XCVXCVXCVXCVXCVXCV">#REF!</definedName>
    <definedName name="xcx">[0]!xcx</definedName>
    <definedName name="xcx11111111111111111111111">[0]!xcx11111111111111111111111</definedName>
    <definedName name="ＸＣＺＸ" hidden="1">#REF!</definedName>
    <definedName name="XD" hidden="1">{"'Sheet1'!$L$16"}</definedName>
    <definedName name="XDKT" hidden="1">{"NGUYEN QUI THIEP - Personal View",#N/A,FALSE,"XDCB.HT.FUR."}</definedName>
    <definedName name="xdv" hidden="1">#REF!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eca">#REF!</definedName>
    <definedName name="xeca01">#REF!</definedName>
    <definedName name="xeca02">#REF!</definedName>
    <definedName name="xf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fhs" hidden="1">#N/A</definedName>
    <definedName name="XG">#REF!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ls" hidden="1">{"F3 detail",#N/A,FALSE,"F1";"F3 Presentation",#N/A,FALSE,"F3 "}</definedName>
    <definedName name="xlttbninh" hidden="1">{"'Sheet1'!$L$16"}</definedName>
    <definedName name="XN908nam2003" hidden="1">{"'Sheet1'!$L$16"}</definedName>
    <definedName name="XNDMCV" hidden="1">#REF!</definedName>
    <definedName name="xnw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oa1" hidden="1">{"'Sheet1'!$L$16"}</definedName>
    <definedName name="xoa1_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REF_COLUMN_1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RangeCount" hidden="1">3</definedName>
    <definedName name="XRefPaste1" hidden="1">#REF!</definedName>
    <definedName name="XRefPaste2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6" hidden="1">#REF!</definedName>
    <definedName name="XRefPaste6Row" hidden="1">#REF!</definedName>
    <definedName name="XRefPasteRangeCount" hidden="1">5</definedName>
    <definedName name="xs">(#REF!-1)*100+#REF!</definedName>
    <definedName name="xscv">{"RUN3A",#N/A,FALSE,"BS-exist";"RUN3A","GROWTH RATE 8-5-7",FALSE,"IS-exist";"RUN3A","3rdRun without EquityInfusion;Sale of land(50-50)",FALSE,"CF-exist"}</definedName>
    <definedName name="xsfff" hidden="1">{"COMPARISON",#N/A,FALSE,"Sheet1"}</definedName>
    <definedName name="XSS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TRA1">#REF!</definedName>
    <definedName name="XTRA2">#REF!</definedName>
    <definedName name="XTRA3">#REF!</definedName>
    <definedName name="XTRA4">#REF!</definedName>
    <definedName name="XTRA5">#REF!</definedName>
    <definedName name="xu">#REF!</definedName>
    <definedName name="xvxcvxc" hidden="1">{"'Sheet1'!$L$16"}</definedName>
    <definedName name="XX" hidden="1">{#N/A,#N/A,TRUE,"일정"}</definedName>
    <definedName name="xxsss">#REF!</definedName>
    <definedName name="xxx" hidden="1">{#N/A,#N/A,FALSE,"Sensitivity"}</definedName>
    <definedName name="ｘｘｘ" hidden="1">{"'Sheet1'!$L$16"}</definedName>
    <definedName name="XXXAAAA" hidden="1">{"'Sheet1'!$L$16"}</definedName>
    <definedName name="XXXAAAA_1" hidden="1">{"'Sheet1'!$L$16"}</definedName>
    <definedName name="xxxx">#REF!</definedName>
    <definedName name="ｘｘｘｘ" hidden="1">{"'Sheet1'!$L$16"}</definedName>
    <definedName name="xxxxx">#REF!</definedName>
    <definedName name="ｘｘｘｘｘ" hidden="1">{"'Sheet1'!$L$16"}</definedName>
    <definedName name="XXXXXX">#REF!</definedName>
    <definedName name="xxxxxxx">#REF!</definedName>
    <definedName name="xxxxxxxxxxxxxxxxx" hidden="1">#REF!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xyz" hidden="1">{#N/A,#N/A,FALSE,"17"}</definedName>
    <definedName name="Y">#REF!</definedName>
    <definedName name="Ｙ" hidden="1">#REF!</definedName>
    <definedName name="y6ytyjtyjytjtyj" hidden="1">#REF!</definedName>
    <definedName name="YAxisIncr" hidden="1">#REF!</definedName>
    <definedName name="YAxisMax" hidden="1">#REF!</definedName>
    <definedName name="YAxisMin" hidden="1">#REF!</definedName>
    <definedName name="yc" hidden="1">{#N/A,#N/A,FALSE,"CCTV"}</definedName>
    <definedName name="ỳdhgg" hidden="1">{"'Sheet1'!$L$16"}</definedName>
    <definedName name="year">#REF!</definedName>
    <definedName name="Year_of_Graduation">#REF!</definedName>
    <definedName name="Year0">YEAR(#REF!)</definedName>
    <definedName name="Year1">#REF!</definedName>
    <definedName name="yearind">#REF!</definedName>
    <definedName name="Yes">#REF!</definedName>
    <definedName name="yes1">#REF!</definedName>
    <definedName name="yesno">#REF!</definedName>
    <definedName name="YesNoAnswer">#REF!</definedName>
    <definedName name="yet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u" hidden="1">{"'Sheet1'!$L$16"}</definedName>
    <definedName name="yh" hidden="1">#REF!</definedName>
    <definedName name="yhgjg" hidden="1">{"'Sheet1'!$L$16"}</definedName>
    <definedName name="yhyhy" hidden="1">{"'Sheet1'!$L$16"}</definedName>
    <definedName name="yhyyu" hidden="1">#REF!</definedName>
    <definedName name="yiuti" hidden="1">{"'Sheet1'!$L$16"}</definedName>
    <definedName name="yiuyu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jujjr" hidden="1">{#N/A,#N/A,FALSE,"Chi tiÆt"}</definedName>
    <definedName name="yjy" hidden="1">{#N/A,#N/A,FALSE,"sum";#N/A,#N/A,FALSE,"MARTV";#N/A,#N/A,FALSE,"APRTV"}</definedName>
    <definedName name="YKien1_E" hidden="1">#REF!</definedName>
    <definedName name="YKien1_V" hidden="1">#REF!</definedName>
    <definedName name="YKien2_E" hidden="1">#REF!</definedName>
    <definedName name="YKien2_V" hidden="1">#REF!</definedName>
    <definedName name="YKien3_E" hidden="1">#REF!</definedName>
    <definedName name="YKien3_V" hidden="1">#REF!</definedName>
    <definedName name="YKien4_E" hidden="1">#REF!</definedName>
    <definedName name="YKien4_V" hidden="1">#REF!</definedName>
    <definedName name="YKienKT" hidden="1">#REF!</definedName>
    <definedName name="yn" hidden="1">{"'Sheet1'!$L$16"}</definedName>
    <definedName name="YSY" hidden="1">{#N/A,#N/A,FALSE,"Sheet2";#N/A,#N/A,FALSE,"Sheet4";#N/A,#N/A,FALSE,"Sheet6"}</definedName>
    <definedName name="Y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tdtemp">"$H$11"</definedName>
    <definedName name="ytri" hidden="1">{"'Sheet1'!$L$16"}</definedName>
    <definedName name="ytru" hidden="1">{"'Sheet1'!$L$16"}</definedName>
    <definedName name="ＹＴＲＹ" hidden="1">#REF!</definedName>
    <definedName name="YTTT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ＹＴＹＴＹ" hidden="1">#REF!</definedName>
    <definedName name="ＹＴＹＴＹＴ" hidden="1">#REF!</definedName>
    <definedName name="ỵu" hidden="1">{"'Sheet1'!$L$16"}</definedName>
    <definedName name="yu76ti7tjtyj" hidden="1">{"'Sheet1'!$L$16"}</definedName>
    <definedName name="yuh" hidden="1">{#N/A,#N/A,TRUE,"일정"}</definedName>
    <definedName name="yui">#REF!</definedName>
    <definedName name="yuo" hidden="1">#REF!</definedName>
    <definedName name="yx" hidden="1">{#N/A,#N/A,FALSE,"Profit Status";#N/A,#N/A,FALSE,"Invest";#N/A,#N/A,FALSE,"Revenue";#N/A,#N/A,FALSE,"Variable Cost";#N/A,#N/A,FALSE,"Options &amp; Series"}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#REF!</definedName>
    <definedName name="yyjuyu" hidden="1">#REF!</definedName>
    <definedName name="yyjy_ukyu" hidden="1">{"'Sheet1'!$L$16"}</definedName>
    <definedName name="yyy">#REF!</definedName>
    <definedName name="ｙｙｙ" hidden="1">{"'Sheet1'!$L$16"}</definedName>
    <definedName name="YYY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yyyyyy">#N/A</definedName>
    <definedName name="yyyyyyyyyyyyyyyyyyyyyyyyyyyyyyyy">[0]!yyyyyyyyyyyyyyyyyyyyyyyyyyyyyyyy</definedName>
    <definedName name="ＹＹつゆ" hidden="1">#REF!</definedName>
    <definedName name="ＹれＹＴＹ" hidden="1">#REF!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.">(#REF!-1)*100+1&amp;":"&amp;(#REF!-1)*100+12</definedName>
    <definedName name="Z_12B1600C_2EE0_4015_B752_CC274939F5C2_.wvu.PrintArea" hidden="1">#REF!</definedName>
    <definedName name="Z_2A21F877_8EB9_4C56_9E45_912CC1D46E1F_.wvu.Rows" hidden="1">#REF!,#REF!,#REF!,#REF!,#REF!,#REF!,#REF!,#REF!,#REF!,#REF!,#REF!,#REF!,#REF!,#REF!,#REF!,#REF!,#REF!</definedName>
    <definedName name="Z_2BD578FA_E2CB_4B2F_9A88_B148DA6298A5_.wvu.Cols" hidden="1">#REF!</definedName>
    <definedName name="Z_2BD578FA_E2CB_4B2F_9A88_B148DA6298A5_.wvu.PrintArea" hidden="1">#REF!</definedName>
    <definedName name="Z_53EF3DDC_E987_4257_8998_93C307FE1106_.wvu.FilterData" hidden="1">#REF!</definedName>
    <definedName name="Z_648BB400_D0DC_4DFD_A575_C25DE0358997_.wvu.FilterData" hidden="1">#REF!</definedName>
    <definedName name="Z_7C442072_817E_4850_88E2_04C4C8A0AAA6_.wvu.Rows" hidden="1">#REF!,#REF!,#REF!,#REF!,#REF!,#REF!,#REF!,#REF!,#REF!,#REF!,#REF!,#REF!,#REF!,#REF!,#REF!,#REF!,#REF!,#REF!,#REF!</definedName>
    <definedName name="Z_AE5C6502_0235_11D4_AE2A_080009061A5A_.wvu.PrintTitles" hidden="1">#REF!</definedName>
    <definedName name="Z_B11DED36_35CD_4C41_AE4D_DBDFEDA4E24F_.wvu.Rows" hidden="1">#REF!,#REF!,#REF!,#REF!,#REF!,#REF!,#REF!,#REF!,#REF!,#REF!,#REF!,#REF!,#REF!,#REF!,#REF!,#REF!</definedName>
    <definedName name="Z_B29960FE_C0E6_4CC1_B512_90F5AC0D3183_.wvu.PrintArea" hidden="1">#REF!</definedName>
    <definedName name="Z_B6D82DE0_6701_11DA_9820_00304F1E4471_.wvu.Cols" hidden="1">#REF!</definedName>
    <definedName name="Z_BAA28561_1CF7_11D4_B09F_0050DA8A5AC7_.wvu.PrintTitles" hidden="1">#REF!</definedName>
    <definedName name="Z_D9021915_F014_4E80_9B43_E037ACED559C_.wvu.FilterData" hidden="1">#REF!</definedName>
    <definedName name="za" hidden="1">#REF!</definedName>
    <definedName name="zc">#REF!</definedName>
    <definedName name="zcg" hidden="1">{"'Sheet1'!$L$16"}</definedName>
    <definedName name="zcgxf" hidden="1">{"'Sheet1'!$L$16"}</definedName>
    <definedName name="zcv" hidden="1">{"RUN3A",#N/A,FALSE,"BS-exist";"RUN3A","GROWTH RATE 8-5-7",FALSE,"IS-exist";"RUN3A","3rdRun without EquityInfusion;Sale of land(50-50)",FALSE,"CF-exist"}</definedName>
    <definedName name="zd">#REF!</definedName>
    <definedName name="zdf" hidden="1">{#N/A,#N/A,FALSE,"sum";#N/A,#N/A,FALSE,"MARTV";#N/A,#N/A,FALSE,"APRTV"}</definedName>
    <definedName name="zdfbfa" hidden="1">{#N/A,#N/A,FALSE,"1997 P&amp;L(pk) (Atlanta)";#N/A,#N/A,FALSE,"ONGOING P&amp;L(PK)(Atlanta)"}</definedName>
    <definedName name="zdQFDASXDAc" hidden="1">{"'2공장'!$A$1:$H$216"}</definedName>
    <definedName name="zDT_End" hidden="1">#REF!</definedName>
    <definedName name="ZenjituCopy">#N/A</definedName>
    <definedName name="zero" hidden="1">{"SIM Report",#N/A,FALSE,"Output";"Price Report",#N/A,FALSE,"Data Input "}</definedName>
    <definedName name="zfzsf" hidden="1">{"page1",#N/A,FALSE,"BHCOMPC5";"page2",#N/A,FALSE,"BHCOMPC5";"page3",#N/A,FALSE,"BHCOMPC5";"page4",#N/A,FALSE,"BHCOMPC5"}</definedName>
    <definedName name="zhz">#REF!</definedName>
    <definedName name="zielmarge">#REF!</definedName>
    <definedName name="zk">#REF!</definedName>
    <definedName name="zl">#REF!</definedName>
    <definedName name="Zoomfaktor">#REF!</definedName>
    <definedName name="ZOU_KIN">#REF!</definedName>
    <definedName name="zs">#REF!</definedName>
    <definedName name="ZUS">1.4815</definedName>
    <definedName name="zx">#REF!</definedName>
    <definedName name="zxc">#REF!</definedName>
    <definedName name="zxcv" hidden="1">{"RUN3A",#N/A,FALSE,"BS-exist";"RUN3A","GROWTH RATE 8-5-7",FALSE,"IS-exist";"RUN3A","3rdRun without EquityInfusion;Sale of land(50-50)",FALSE,"CF-exist"}</definedName>
    <definedName name="ZXzX" hidden="1">{"'Sheet1'!$L$16"}</definedName>
    <definedName name="zz" hidden="1">{"'Sheet1'!$L$16"}</definedName>
    <definedName name="zzz">#N/A</definedName>
    <definedName name="ZZZ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z" hidden="1">{"TAG1AGMS",#N/A,FALSE,"TAG 1A"}</definedName>
    <definedName name="ｚｚｚｚｚ" hidden="1">{"'Sheet1'!$L$16"}</definedName>
    <definedName name="zzzzzz">#REF!</definedName>
    <definedName name="ｚｚｚｚｚｚ" hidden="1">{"'Sheet1'!$L$16"}</definedName>
    <definedName name="zzzzzzz">#REF!</definedName>
    <definedName name="zzzzzzzzzzzzzzzzzzzsssssssssssssscd" hidden="1">{"'Sheet1'!$L$16"}</definedName>
    <definedName name="あ">#REF!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ｲﾙｺﾝ">{1,2,3,4,5,6,7,8,9,10}</definedName>
    <definedName name="う" hidden="1">#REF!</definedName>
    <definedName name="ううう" hidden="1">{"'Sheet1'!$L$16"}</definedName>
    <definedName name="うゆＹ" hidden="1">#REF!</definedName>
    <definedName name="えええ" hidden="1">{"'Sheet1'!$L$16"}</definedName>
    <definedName name="エディット8_Change">#N/A</definedName>
    <definedName name="お" hidden="1">#REF!</definedName>
    <definedName name="おい" hidden="1">#REF!</definedName>
    <definedName name="おうぽ" hidden="1">#REF!</definedName>
    <definedName name="おぎおい" hidden="1">#REF!</definedName>
    <definedName name="カッコ">#N/A</definedName>
    <definedName name="カッコ2">#N/A</definedName>
    <definedName name="キーマン会議">#REF!</definedName>
    <definedName name="キャンセル">#N/A</definedName>
    <definedName name="グラフＡ１">"グラフ 3"</definedName>
    <definedName name="さだＳＤさ" hidden="1">#REF!</definedName>
    <definedName name="ソートする">#N/A</definedName>
    <definedName name="ソフトFB電流検出ゲイン">#REF!</definedName>
    <definedName name="ソフト使用部位">#REF!</definedName>
    <definedName name="ダブリ" hidden="1">{"年販売台数計画",#N/A,FALSE,"販売台数計画";"月販売台数計画",#N/A,FALSE,"販売台数計画"}</definedName>
    <definedName name="だぶり">#N/A</definedName>
    <definedName name="っｋ" hidden="1">#REF!</definedName>
    <definedName name="てＲＴＲ" hidden="1">#REF!</definedName>
    <definedName name="てＲＴれ" hidden="1">#REF!</definedName>
    <definedName name="デｰタの消去">#N/A</definedName>
    <definedName name="とりあえず" hidden="1">#REF!</definedName>
    <definedName name="ﾊﾟｲﾌﾟ">#REF!</definedName>
    <definedName name="ぴＪ" hidden="1">#REF!</definedName>
    <definedName name="ぴお" hidden="1">#REF!</definedName>
    <definedName name="ﾋﾞｯﾄｱｻｲﾝ">#REF!</definedName>
    <definedName name="ほいＰ" hidden="1">#REF!</definedName>
    <definedName name="ぽぽ" hidden="1">#REF!</definedName>
    <definedName name="マイコン">#REF!</definedName>
    <definedName name="マイコン周波数">#REF!</definedName>
    <definedName name="ﾒﾆｭｰ">#REF!</definedName>
    <definedName name="ゆゆ" hidden="1">#REF!</definedName>
    <definedName name="よいＰ" hidden="1">#REF!</definedName>
    <definedName name="よおいＰ" hidden="1">#REF!</definedName>
    <definedName name="リニアソレノイド種類">#REF!</definedName>
    <definedName name="れええええ" hidden="1">#REF!</definedName>
    <definedName name="んｎ" hidden="1">{"'Sheet1'!$L$16"}</definedName>
    <definedName name="んんｎ" hidden="1">{"'Sheet1'!$L$16"}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" hidden="1">{"'2공장'!$A$1:$H$216"}</definedName>
    <definedName name="ㄱ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ㅅㄱㄷㅅㄱㄷㅅ" hidden="1">{"'2공장'!$A$1:$H$216"}</definedName>
    <definedName name="ㄱㄷㅅㄱㄷㅅㄱㄷㅅㄱ" hidden="1">{"'2공장'!$A$1:$H$216"}</definedName>
    <definedName name="ㄱ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ㄱㅈㅎ" hidden="1">#REF!</definedName>
    <definedName name="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가가" hidden="1">{#N/A,#N/A,FALSE,"단축1";#N/A,#N/A,FALSE,"단축2";#N/A,#N/A,FALSE,"단축3";#N/A,#N/A,FALSE,"장축";#N/A,#N/A,FALSE,"4WD"}</definedName>
    <definedName name="가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라" hidden="1">{#N/A,#N/A,TRUE,"일정"}</definedName>
    <definedName name="가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각방안" hidden="1">{#N/A,#N/A,FALSE,"단축1";#N/A,#N/A,FALSE,"단축2";#N/A,#N/A,FALSE,"단축3";#N/A,#N/A,FALSE,"장축";#N/A,#N/A,FALSE,"4WD"}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사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갑지" hidden="1">#REF!</definedName>
    <definedName name="개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문제범" hidden="1">{#N/A,#N/A,FALSE,"단축1";#N/A,#N/A,FALSE,"단축2";#N/A,#N/A,FALSE,"단축3";#N/A,#N/A,FALSE,"장축";#N/A,#N/A,FALSE,"4WD"}</definedName>
    <definedName name="개발비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사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9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비교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정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정후비교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합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요" hidden="1">#REF!</definedName>
    <definedName name="개요1" hidden="1">#REF!</definedName>
    <definedName name="개요2" hidden="1">#REF!</definedName>
    <definedName name="거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거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건축비목집계" hidden="1">{#N/A,#N/A,FALSE,"표지"}</definedName>
    <definedName name="건축원가" hidden="1">#REF!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" hidden="1">{#N/A,#N/A,TRUE,"일정"}</definedName>
    <definedName name="견적서2" hidden="1">{#N/A,#N/A,FALSE,"신규dep";#N/A,#N/A,FALSE,"신규dep-금형상각후";#N/A,#N/A,FALSE,"신규dep-연구비상각후";#N/A,#N/A,FALSE,"신규dep-기계,공구상각후"}</definedName>
    <definedName name="결과" hidden="1">{#N/A,#N/A,TRUE,"일정"}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경영계획">#REF!</definedName>
    <definedName name="경영목표2" hidden="1">{#N/A,#N/A,FALSE,"자재관리";#N/A,#N/A,FALSE,"자재관리";#N/A,#N/A,FALSE,"자재관리"}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" hidden="1">{#N/A,#N/A,TRUE,"일정"}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가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고광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고구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고도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기1" hidden="1">#REF!</definedName>
    <definedName name="공사비" hidden="1">{#N/A,#N/A,FALSE,"전력간선"}</definedName>
    <definedName name="공사비분석" hidden="1">#REF!</definedName>
    <definedName name="공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비2" hidden="1">{#N/A,#N/A,FALSE,"갑지";#N/A,#N/A,FALSE,"개요";#N/A,#N/A,FALSE,"비목별";#N/A,#N/A,FALSE,"건물별";#N/A,#N/A,FALSE,"기구표";#N/A,#N/A,FALSE,"직원투입"}</definedName>
    <definedName name="교환기신규구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구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구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매" hidden="1">{"'2공장'!$A$1:$H$216"}</definedName>
    <definedName name="구분기준" hidden="1">{"'연구소 (게시용)'!$A$2:$H$12"}</definedName>
    <definedName name="구성비1" hidden="1">{#N/A,#N/A,FALSE,"신규dep";#N/A,#N/A,FALSE,"신규dep-금형상각후";#N/A,#N/A,FALSE,"신규dep-연구비상각후";#N/A,#N/A,FALSE,"신규dep-기계,공구상각후"}</definedName>
    <definedName name="구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국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국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계주차" hidden="1">{#N/A,#N/A,FALSE,"CCTV"}</definedName>
    <definedName name="기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방향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아" hidden="1">{#N/A,#N/A,FALSE,"단축1";#N/A,#N/A,FALSE,"단축2";#N/A,#N/A,FALSE,"단축3";#N/A,#N/A,FALSE,"장축";#N/A,#N/A,FALSE,"4WD"}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승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진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창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까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ㄱㄹ" hidden="1">#REF!</definedName>
    <definedName name="ㄴ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ㄷㄱ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ㄷㄹ" hidden="1">{#N/A,#N/A,FALSE,"Sheet1"}</definedName>
    <definedName name="ㄴㄹ" hidden="1">{#N/A,#N/A,FALSE,"단축1";#N/A,#N/A,FALSE,"단축2";#N/A,#N/A,FALSE,"단축3";#N/A,#N/A,FALSE,"장축";#N/A,#N/A,FALSE,"4WD"}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#REF!</definedName>
    <definedName name="ㄴㅁㄹ" hidden="1">{#N/A,#N/A,FALSE,"단축1";#N/A,#N/A,FALSE,"단축2";#N/A,#N/A,FALSE,"단축3";#N/A,#N/A,FALSE,"장축";#N/A,#N/A,FALSE,"4WD"}</definedName>
    <definedName name="ㄴㅁㅇㅎㅇ롱로" hidden="1">#REF!</definedName>
    <definedName name="ㄴ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ㄴㅇ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ㄴ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ㄹ루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ㄻㄴ" hidden="1">{#N/A,#N/A,FALSE,"Status";#N/A,#N/A,FALSE,"Deckblatt 1";#N/A,#N/A,FALSE,"Deckblatt2"}</definedName>
    <definedName name="ㄴㅇㅇ" hidden="1">{#N/A,#N/A,TRUE,"일정"}</definedName>
    <definedName name="ㄴㅇㅇㅇ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ㅇㅇㅇㅇㅇ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ㅋ" hidden="1">{#N/A,#N/A,FALSE,"단축1";#N/A,#N/A,FALSE,"단축2";#N/A,#N/A,FALSE,"단축3";#N/A,#N/A,FALSE,"장축";#N/A,#N/A,FALSE,"4WD"}</definedName>
    <definedName name="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내역산출근거" hidden="1">{#N/A,#N/A,TRUE,"1";#N/A,#N/A,TRUE,"2";#N/A,#N/A,TRUE,"3";#N/A,#N/A,TRUE,"4";#N/A,#N/A,TRUE,"5";#N/A,#N/A,TRUE,"6";#N/A,#N/A,TRUE,"7"}</definedName>
    <definedName name="내용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내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ㄵ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ㄷㅈ" hidden="1">{"'2공장'!$A$1:$H$216"}</definedName>
    <definedName name="ㄷㄳ" hidden="1">{#N/A,#N/A,FALSE,"Sheet1"}</definedName>
    <definedName name="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ㄱㄷㄷㄱㄱㄷㄷㄱㄷㄱ" hidden="1">{#N/A,#N/A,FALSE,"단축1";#N/A,#N/A,FALSE,"단축2";#N/A,#N/A,FALSE,"단축3";#N/A,#N/A,FALSE,"장축";#N/A,#N/A,FALSE,"4WD"}</definedName>
    <definedName name="ㄷㄷㄱㄷㅈㄱ" hidden="1">{"'2공장'!$A$1:$H$216"}</definedName>
    <definedName name="ㄷㄷㄷ" hidden="1">{#N/A,#N/A,TRUE,"일정"}</definedName>
    <definedName name="ㄷㄷ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ㅈ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아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단ㄱ" hidden="1">{#N/A,#N/A,FALSE,"전력간선"}</definedName>
    <definedName name="단기" hidden="1">#REF!</definedName>
    <definedName name="담당1" hidden="1">{#N/A,#N/A,TRUE,"일정"}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부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데이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직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구연숩" hidden="1">{#N/A,#N/A,FALSE,"전력간선"}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ㄴㅇ" hidden="1">{"'연구소 (게시용)'!$A$2:$H$12"}</definedName>
    <definedName name="ㄹㄴㅇ2" hidden="1">{"'연구소 (게시용)'!$A$2:$H$12"}</definedName>
    <definedName name="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ㄹ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루" hidden="1">{#N/A,#N/A,TRUE,"일정"}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류ㅠㅠ" hidden="1">{#N/A,#N/A,FALSE,"단축1";#N/A,#N/A,FALSE,"단축2";#N/A,#N/A,FALSE,"단축3";#N/A,#N/A,FALSE,"장축";#N/A,#N/A,FALSE,"4WD"}</definedName>
    <definedName name="ㄹ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ㅇㄴㅇㄴ" hidden="1">{"'2공장'!$A$1:$H$216"}</definedName>
    <definedName name="ㄹㅇㅇㄹ" hidden="1">{#N/A,#N/A,FALSE,"단축1";#N/A,#N/A,FALSE,"단축2";#N/A,#N/A,FALSE,"단축3";#N/A,#N/A,FALSE,"장축";#N/A,#N/A,FALSE,"4WD"}</definedName>
    <definedName name="ㄹㅇ유" hidden="1">{#N/A,#N/A,FALSE,"단축1";#N/A,#N/A,FALSE,"단축2";#N/A,#N/A,FALSE,"단축3";#N/A,#N/A,FALSE,"장축";#N/A,#N/A,FALSE,"4WD"}</definedName>
    <definedName name="ㄹㅇㅎ" hidden="1">{#N/A,#N/A,FALSE,"단축1";#N/A,#N/A,FALSE,"단축2";#N/A,#N/A,FALSE,"단축3";#N/A,#N/A,FALSE,"장축";#N/A,#N/A,FALSE,"4WD"}</definedName>
    <definedName name="ㄹㅇㅎㄹㅇㅎ" hidden="1">{"'2공장'!$A$1:$H$216"}</definedName>
    <definedName name="ㄹㅇㅎㄹㅇㅎㄹㅇㅎ" hidden="1">{"'2공장'!$A$1:$H$216"}</definedName>
    <definedName name="ㄹ어ㅓ럴" hidden="1">{#N/A,#N/A,FALSE,"단축1";#N/A,#N/A,FALSE,"단축2";#N/A,#N/A,FALSE,"단축3";#N/A,#N/A,FALSE,"장축";#N/A,#N/A,FALSE,"4WD"}</definedName>
    <definedName name="ㄹ호" hidden="1">#REF!</definedName>
    <definedName name="ㄹ호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라마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라ㅓㄴㄹㅎ" hidden="1">{#N/A,#N/A,FALSE,"단축1";#N/A,#N/A,FALSE,"단축2";#N/A,#N/A,FALSE,"단축3";#N/A,#N/A,FALSE,"장축";#N/A,#N/A,FALSE,"4WD"}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래그" hidden="1">{#N/A,#N/A,FALSE,"CCTV"}</definedName>
    <definedName name="러시아" hidden="1">{#N/A,#N/A,FALSE,"단축1";#N/A,#N/A,FALSE,"단축2";#N/A,#N/A,FALSE,"단축3";#N/A,#N/A,FALSE,"장축";#N/A,#N/A,FALSE,"4WD"}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커커버" hidden="1">{#N/A,#N/A,FALSE,"단축1";#N/A,#N/A,FALSE,"단축2";#N/A,#N/A,FALSE,"단축3";#N/A,#N/A,FALSE,"장축";#N/A,#N/A,FALSE,"4WD"}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몰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ㅀㅀ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{#N/A,#N/A,TRUE,"일정"}</definedName>
    <definedName name="ㅁㄴ" hidden="1">#REF!</definedName>
    <definedName name="ㅁㄴㄹ" hidden="1">{#N/A,#N/A,FALSE,"전력간선"}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ㅊㄹㅇㄻ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ㄵㄷ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ㄻ" hidden="1">{#N/A,#N/A,FALSE,"Sheet1"}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ㄴㅊ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ㅁㅁ" hidden="1">{#N/A,#N/A,TRUE,"일정"}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ㅁ" hidden="1">#REF!</definedName>
    <definedName name="ㅁㅁㅁㅁㅁㅁㅁㅁㅁ" hidden="1">{#N/A,#N/A,TRUE,"일정"}</definedName>
    <definedName name="ㅁㅁㅁㅁㅁㅁ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ㅇㅁㅇㅁㅇ" hidden="1">{#N/A,#N/A,TRUE,"일정"}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ㅁ" hidden="1">{#N/A,#N/A,FALSE,"Sheet1"}</definedName>
    <definedName name="마" hidden="1">{#N/A,#N/A,TRUE,"일정"}</definedName>
    <definedName name="마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머아ㅏㅏ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멍" hidden="1">{#N/A,#N/A,TRUE,"일정"}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hidden="1">{#N/A,#N/A,FALSE,"단축1";#N/A,#N/A,FALSE,"단축2";#N/A,#N/A,FALSE,"단축3";#N/A,#N/A,FALSE,"장축";#N/A,#N/A,FALSE,"4WD"}</definedName>
    <definedName name="목표" hidden="1">{#N/A,#N/A,FALSE,"자재관리";#N/A,#N/A,FALSE,"자재관리";#N/A,#N/A,FALSE,"자재관리"}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hidden="1">{#N/A,#N/A,TRUE,"일정"}</definedName>
    <definedName name="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무슨" hidden="1">{#N/A,#N/A,TRUE,"일정"}</definedName>
    <definedName name="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" hidden="1">{#N/A,#N/A,TRUE,"일정"}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므" hidden="1">{#N/A,#N/A,TRUE,"일정"}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투자내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{#N/A,#N/A,FALSE,"표지"}</definedName>
    <definedName name="ㅂㅂㅂ" hidden="1">{#N/A,#N/A,TRUE,"일정"}</definedName>
    <definedName name="ㅂㅈ" hidden="1">{#N/A,#N/A,TRUE,"1";#N/A,#N/A,TRUE,"2";#N/A,#N/A,TRUE,"3";#N/A,#N/A,TRUE,"4";#N/A,#N/A,TRUE,"5";#N/A,#N/A,TRUE,"6";#N/A,#N/A,TRUE,"7"}</definedName>
    <definedName name="ㅂㅈ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로가기" hidden="1">{#N/A,#N/A,FALSE,"단축1";#N/A,#N/A,FALSE,"단축2";#N/A,#N/A,FALSE,"단축3";#N/A,#N/A,FALSE,"장축";#N/A,#N/A,FALSE,"4WD"}</definedName>
    <definedName name="바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붕" hidden="1">{#N/A,#N/A,FALSE,"전력간선"}</definedName>
    <definedName name="박" hidden="1">{#N/A,#N/A,FALSE,"삼진정공";#N/A,#N/A,FALSE,"영신금속";#N/A,#N/A,FALSE,"태양금속";#N/A,#N/A,FALSE,"진합정공";#N/A,#N/A,FALSE,"코리아";#N/A,#N/A,FALSE,"풍강금속";#N/A,#N/A,FALSE,"선일기계"}</definedName>
    <definedName name="박기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hidden="1">{#N/A,#N/A,TRUE,"일정"}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반영" hidden="1">{#N/A,#N/A,TRUE,"일정"}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배기덕트공사" hidden="1">{#N/A,#N/A,FALSE,"CCTV"}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개요" hidden="1">#REF!</definedName>
    <definedName name="변경개요2" hidden="1">#REF!</definedName>
    <definedName name="변경목차" hidden="1">{#N/A,#N/A,FALSE,"단축1";#N/A,#N/A,FALSE,"단축2";#N/A,#N/A,FALSE,"단축3";#N/A,#N/A,FALSE,"장축";#N/A,#N/A,FALSE,"4WD"}</definedName>
    <definedName name="변경후개요" hidden="1">#REF!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첨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" hidden="1">{#N/A,#N/A,FALSE,"단축1";#N/A,#N/A,FALSE,"단축2";#N/A,#N/A,FALSE,"단축3";#N/A,#N/A,FALSE,"장축";#N/A,#N/A,FALSE,"4WD"}</definedName>
    <definedName name="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고자료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험료" hidden="1">{#N/A,#N/A,TRUE,"일정"}</definedName>
    <definedName name="복지" hidden="1">#REF!</definedName>
    <definedName name="볼트수정" hidden="1">{#N/A,#N/A,FALSE,"단축1";#N/A,#N/A,FALSE,"단축2";#N/A,#N/A,FALSE,"단축3";#N/A,#N/A,FALSE,"장축";#N/A,#N/A,FALSE,"4WD"}</definedName>
    <definedName name="부대원본" hidden="1">{#N/A,#N/A,FALSE,"토공2"}</definedName>
    <definedName name="부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시책3개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서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실채권" hidden="1">#REF!</definedName>
    <definedName name="부천상동조경" hidden="1">{#N/A,#N/A,FALSE,"표지"}</definedName>
    <definedName name="북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분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석변경" hidden="1">{#N/A,#N/A,FALSE,"변경관리예산";#N/A,#N/A,FALSE,"변경장비예산";#N/A,#N/A,FALSE,"변경준설예산";#N/A,#N/A,FALSE,"변경철구예산"}</definedName>
    <definedName name="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총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품개요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ㄱ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ㅈㅈㅈㅈ" hidden="1">{#N/A,#N/A,FALSE,"신규dep";#N/A,#N/A,FALSE,"신규dep-금형상각후";#N/A,#N/A,FALSE,"신규dep-연구비상각후";#N/A,#N/A,FALSE,"신규dep-기계,공구상각후"}</definedName>
    <definedName name="ㅅㄹ녀ㅛㅅ누ㅛㅅㄴ구ㅛㅅㄱ누" hidden="1">{#N/A,#N/A,TRUE,"일정"}</definedName>
    <definedName name="ㅅㅅㅅ" hidden="1">{#N/A,#N/A,TRUE,"일정"}</definedName>
    <definedName name="사" hidden="1">#REF!</definedName>
    <definedName name="사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람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랑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사아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양" hidden="1">{#N/A,#N/A,FALSE,"신규dep";#N/A,#N/A,FALSE,"신규dep-금형상각후";#N/A,#N/A,FALSE,"신규dep-연구비상각후";#N/A,#N/A,FALSE,"신규dep-기계,공구상각후"}</definedName>
    <definedName name="사양접수" hidden="1">{#N/A,#N/A,TRUE,"일정"}</definedName>
    <definedName name="사양접수2" hidden="1">{#N/A,#N/A,TRUE,"일정"}</definedName>
    <definedName name="사양확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계획투자비" hidden="1">{#N/A,#N/A,TRUE,"일정"}</definedName>
    <definedName name="사업성요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자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능력">#REF!</definedName>
    <definedName name="생산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성3" hidden="1">{#N/A,#N/A,TRUE,"일정"}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판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공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석재받은의뢰업체" hidden="1">255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계배포" hidden="1">{#N/A,#N/A,FALSE,"삼진정공";#N/A,#N/A,FALSE,"영신금속";#N/A,#N/A,FALSE,"태양금속";#N/A,#N/A,FALSE,"진합정공";#N/A,#N/A,FALSE,"코리아";#N/A,#N/A,FALSE,"풍강금속";#N/A,#N/A,FALSE,"선일기계"}</definedName>
    <definedName name="설변요청" hidden="1">{#N/A,#N/A,FALSE,"단축1";#N/A,#N/A,FALSE,"단축2";#N/A,#N/A,FALSE,"단축3";#N/A,#N/A,FALSE,"장축";#N/A,#N/A,FALSE,"4WD"}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설" hidden="1">{#N/A,#N/A,FALSE,"단축1";#N/A,#N/A,FALSE,"단축2";#N/A,#N/A,FALSE,"단축3";#N/A,#N/A,FALSE,"장축";#N/A,#N/A,FALSE,"4WD"}</definedName>
    <definedName name="세부시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실행2" hidden="1">{#N/A,#N/A,TRUE,"일정"}</definedName>
    <definedName name="셀리카" hidden="1">#REF!</definedName>
    <definedName name="소료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소뮨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ㅑ104" hidden="1">#REF!</definedName>
    <definedName name="손익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손익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손익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쇼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쇼바2" hidden="1">{#N/A,#N/A,FALSE,"단축1";#N/A,#N/A,FALSE,"단축2";#N/A,#N/A,FALSE,"단축3";#N/A,#N/A,FALSE,"장축";#N/A,#N/A,FALSE,"4WD"}</definedName>
    <definedName name="수" hidden="1">#REF!</definedName>
    <definedName name="수량산출근거" hidden="1">{#N/A,#N/A,FALSE,"표지"}</definedName>
    <definedName name="수밀직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" hidden="1">{#N/A,#N/A,TRUE,"일정"}</definedName>
    <definedName name="수정계획" hidden="1">{"'연구소 (게시용)'!$A$2:$H$12"}</definedName>
    <definedName name="수정사항" hidden="1">#REF!</definedName>
    <definedName name="수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스케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린더블록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린더블록칩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용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집계" hidden="1">{#N/A,#N/A,FALSE,"단축1";#N/A,#N/A,FALSE,"단축2";#N/A,#N/A,FALSE,"단축3";#N/A,#N/A,FALSE,"장축";#N/A,#N/A,FALSE,"4WD"}</definedName>
    <definedName name="실행예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쌍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씨팔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ㄹ" hidden="1">{#N/A,#N/A,FALSE,"Sheet1"}</definedName>
    <definedName name="ㅇㄴㄿ" hidden="1">{#N/A,#N/A,FALSE,"CCTV"}</definedName>
    <definedName name="ㅇㄴㅁ" hidden="1">#REF!</definedName>
    <definedName name="ㅇ누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ㄷ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ㄷㅇ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" hidden="1">#REF!</definedName>
    <definedName name="ㅇㄹㄴ" hidden="1">{#N/A,#N/A,FALSE,"단축1";#N/A,#N/A,FALSE,"단축2";#N/A,#N/A,FALSE,"단축3";#N/A,#N/A,FALSE,"장축";#N/A,#N/A,FALSE,"4WD"}</definedName>
    <definedName name="ㅇㄹㄴ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ㄴㅇ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ㄹㄹ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" hidden="1">{"'연구소 (게시용)'!$A$2:$H$12"}</definedName>
    <definedName name="ㅇㄹㅇㄹㄴ" hidden="1">{#N/A,#N/A,TRUE,"일정"}</definedName>
    <definedName name="ㅇㄹ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롱" hidden="1">{#N/A,#N/A,FALSE,"단축1";#N/A,#N/A,FALSE,"단축2";#N/A,#N/A,FALSE,"단축3";#N/A,#N/A,FALSE,"장축";#N/A,#N/A,FALSE,"4WD"}</definedName>
    <definedName name="ㅇ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ㄺㄷㅅㄹㅇ" hidden="1">{"'2공장'!$A$1:$H$216"}</definedName>
    <definedName name="ㅇㄻㄴㅇ롸ㅣ" hidden="1">{#N/A,#N/A,FALSE,"단축1";#N/A,#N/A,FALSE,"단축2";#N/A,#N/A,FALSE,"단축3";#N/A,#N/A,FALSE,"장축";#N/A,#N/A,FALSE,"4WD"}</definedName>
    <definedName name="ㅇ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ㄹㅇㅎㄹㅇㅎ" hidden="1">{"'2공장'!$A$1:$H$216"}</definedName>
    <definedName name="ㅇㅀㄺㅎㄹㅇㅎㄹㅇ" hidden="1">{"'2공장'!$A$1:$H$216"}</definedName>
    <definedName name="ㅇㅀ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ㅇㄹㄶ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ㅇㅀㄹㅇ" hidden="1">{"'2공장'!$A$1:$H$216"}</definedName>
    <definedName name="ㅇㅀㅎ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{#N/A,#N/A,TRUE,"일정"}</definedName>
    <definedName name="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" hidden="1">{#VALUE!,#N/A,TRUE,0}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ㅎㄹ" hidden="1">{#N/A,#N/A,FALSE,"단축1";#N/A,#N/A,FALSE,"단축2";#N/A,#N/A,FALSE,"단축3";#N/A,#N/A,FALSE,"장축";#N/A,#N/A,FALSE,"4WD"}</definedName>
    <definedName name="ㅇㅎㄹㅀ" hidden="1">{#N/A,#N/A,FALSE,"단축1";#N/A,#N/A,FALSE,"단축2";#N/A,#N/A,FALSE,"단축3";#N/A,#N/A,FALSE,"장축";#N/A,#N/A,FALSE,"4WD"}</definedName>
    <definedName name="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싸" hidden="1">{#N/A,#N/A,FALSE,"CCTV"}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템별투자" hidden="1">{#N/A,#N/A,FALSE,"자재관리";#N/A,#N/A,FALSE,"자재관리";#N/A,#N/A,FALSE,"자재관리"}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전배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현모" hidden="1">{#N/A,#N/A,FALSE,"단축1";#N/A,#N/A,FALSE,"단축2";#N/A,#N/A,FALSE,"단축3";#N/A,#N/A,FALSE,"장축";#N/A,#N/A,FALSE,"4WD"}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앙" hidden="1">{#N/A,#N/A,FALSE,"자재관리";#N/A,#N/A,FALSE,"자재관리";#N/A,#N/A,FALSE,"자재관리"}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이란" hidden="1">{#N/A,#N/A,TRUE,"일정"}</definedName>
    <definedName name="어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억이상" hidden="1">{#N/A,#N/A,FALSE,"2~8번"}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체" hidden="1">#REF!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오" hidden="1">#REF!</definedName>
    <definedName name="오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직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외주개발" hidden="1">{#N/A,#N/A,TRUE,"일정"}</definedName>
    <definedName name="외주업체" hidden="1">{#N/A,#N/A,FALSE,"단축1";#N/A,#N/A,FALSE,"단축2";#N/A,#N/A,FALSE,"단축3";#N/A,#N/A,FALSE,"장축";#N/A,#N/A,FALSE,"4WD"}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약" hidden="1">#REF!</definedName>
    <definedName name="요청사항2공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인보고표지" hidden="1">{#N/A,#N/A,FALSE,"자재관리";#N/A,#N/A,FALSE,"자재관리";#N/A,#N/A,FALSE,"자재관리"}</definedName>
    <definedName name="우인표지" hidden="1">{#N/A,#N/A,TRUE,"자재관리";#N/A,#N/A,TRUE,"품질"}</definedName>
    <definedName name="운영1" hidden="1">{#N/A,#N/A,FALSE,"단축1";#N/A,#N/A,FALSE,"단축2";#N/A,#N/A,FALSE,"단축3";#N/A,#N/A,FALSE,"장축";#N/A,#N/A,FALSE,"4WD"}</definedName>
    <definedName name="원가" hidden="1">{#N/A,#N/A,TRUE,"일정"}</definedName>
    <definedName name="원가1" hidden="1">{#N/A,#N/A,FALSE,"개발계획표지";#N/A,#N/A,FALSE,"목차";#N/A,#N/A,FALSE,"개요"}</definedName>
    <definedName name="원가TABLE" hidden="1">{#N/A,#N/A,TRUE,"자재관리";#N/A,#N/A,TRUE,"품질"}</definedName>
    <definedName name="원남내역" hidden="1">#REF!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월별목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차" hidden="1">{#N/A,#N/A,FALSE,"신규dep";#N/A,#N/A,FALSE,"신규dep-금형상각후";#N/A,#N/A,FALSE,"신규dep-연구비상각후";#N/A,#N/A,FALSE,"신규dep-기계,공구상각후"}</definedName>
    <definedName name="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윤영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은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의" hidden="1">{#N/A,#N/A,FALSE,"운반시간"}</definedName>
    <definedName name="의장5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6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" hidden="1">{#N/A,#N/A,FALSE,"자재관리";#N/A,#N/A,FALSE,"자재관리";#N/A,#N/A,FALSE,"자재관리"}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릉" hidden="1">#REF!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슈" hidden="1">{#N/A,#N/A,TRUE,"일정"}</definedName>
    <definedName name="이이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종통화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종훈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혁준" hidden="1">{#N/A,#N/A,FALSE,"단축1";#N/A,#N/A,FALSE,"단축2";#N/A,#N/A,FALSE,"단축3";#N/A,#N/A,FALSE,"장축";#N/A,#N/A,FALSE,"4WD"}</definedName>
    <definedName name="인건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인원절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#REF!</definedName>
    <definedName name="일반경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석" hidden="1">{#N/A,#N/A,TRUE,"일정"}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입찰금액안" hidden="1">#REF!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ㄴㄴ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ㄷㅈㄷㅈㄷㄷㄷㄹㄷㄹ" hidden="1">{#N/A,#N/A,FALSE,"단축1";#N/A,#N/A,FALSE,"단축2";#N/A,#N/A,FALSE,"단축3";#N/A,#N/A,FALSE,"장축";#N/A,#N/A,FALSE,"4WD"}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ㄹ" hidden="1">{#N/A,#N/A,FALSE,"단축1";#N/A,#N/A,FALSE,"단축2";#N/A,#N/A,FALSE,"단축3";#N/A,#N/A,FALSE,"장축";#N/A,#N/A,FALSE,"4WD"}</definedName>
    <definedName name="ㅈㅂㄷㅈㄱㄷ" hidden="1">{#N/A,#N/A,FALSE,"단축1";#N/A,#N/A,FALSE,"단축2";#N/A,#N/A,FALSE,"단축3";#N/A,#N/A,FALSE,"장축";#N/A,#N/A,FALSE,"4WD"}</definedName>
    <definedName name="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{#N/A,#N/A,TRUE,"일정"}</definedName>
    <definedName name="ㅈㅈㅈㅈㅈㅈㅈㅈ" hidden="1">{"'2공장'!$A$1:$H$216"}</definedName>
    <definedName name="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가소비" hidden="1">#REF!</definedName>
    <definedName name="자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단가근거" hidden="1">#REF!</definedName>
    <definedName name="자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타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작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장갑오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관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료" hidden="1">{#N/A,#N/A,FALSE,"자재관리";#N/A,#N/A,FALSE,"자재관리";#N/A,#N/A,FALSE,"자재관리"}</definedName>
    <definedName name="재료비1" hidden="1">{#N/A,#N/A,FALSE,"자재관리";#N/A,#N/A,FALSE,"자재관리";#N/A,#N/A,FALSE,"자재관리"}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개계획" hidden="1">{#N/A,#N/A,FALSE,"단축1";#N/A,#N/A,FALSE,"단축2";#N/A,#N/A,FALSE,"단축3";#N/A,#N/A,FALSE,"장축";#N/A,#N/A,FALSE,"4WD"}</definedName>
    <definedName name="전개방안1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기산출" hidden="1">#REF!</definedName>
    <definedName name="전기산출내역" hidden="1">#REF!</definedName>
    <definedName name="전년" hidden="1">{#N/A,#N/A,FALSE,"자재관리";#N/A,#N/A,FALSE,"자재관리";#N/A,#N/A,FALSE,"자재관리"}</definedName>
    <definedName name="전년1" hidden="1">{#N/A,#N/A,FALSE,"자재관리";#N/A,#N/A,FALSE,"자재관리";#N/A,#N/A,FALSE,"자재관리"}</definedName>
    <definedName name="전년월" hidden="1">{#N/A,#N/A,FALSE,"자재관리";#N/A,#N/A,FALSE,"자재관리";#N/A,#N/A,FALSE,"자재관리"}</definedName>
    <definedName name="전장" hidden="1">{#N/A,#N/A,FALSE,"삼진정공";#N/A,#N/A,FALSE,"영신금속";#N/A,#N/A,FALSE,"태양금속";#N/A,#N/A,FALSE,"진합정공";#N/A,#N/A,FALSE,"코리아";#N/A,#N/A,FALSE,"풍강금속";#N/A,#N/A,FALSE,"선일기계"}</definedName>
    <definedName name="전장설계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" hidden="1">{#N/A,#N/A,FALSE,"단축1";#N/A,#N/A,FALSE,"단축2";#N/A,#N/A,FALSE,"단축3";#N/A,#N/A,FALSE,"장축";#N/A,#N/A,FALSE,"4WD"}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정" hidden="1">{#N/A,#N/A,FALSE,"단축1";#N/A,#N/A,FALSE,"단축2";#N/A,#N/A,FALSE,"단축3";#N/A,#N/A,FALSE,"장축";#N/A,#N/A,FALSE,"4WD"}</definedName>
    <definedName name="제작문제점" hidden="1">{#N/A,#N/A,FALSE,"단축1";#N/A,#N/A,FALSE,"단축2";#N/A,#N/A,FALSE,"단축3";#N/A,#N/A,FALSE,"장축";#N/A,#N/A,FALSE,"4WD"}</definedName>
    <definedName name="졍ㅇ호ㅗ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경공사" hidden="1">{#N/A,#N/A,FALSE,"표지"}</definedName>
    <definedName name="조경사본" hidden="1">{#N/A,#N/A,FALSE,"표지"}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사가" hidden="1">#REF!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" hidden="1">{#N/A,#N/A,TRUE,"일정"}</definedName>
    <definedName name="종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SHEET양식" hidden="1">{#N/A,#N/A,TRUE,"일정"}</definedName>
    <definedName name="종합그래프" hidden="1">{#N/A,#N/A,FALSE,"단축1";#N/A,#N/A,FALSE,"단축2";#N/A,#N/A,FALSE,"단축3";#N/A,#N/A,FALSE,"장축";#N/A,#N/A,FALSE,"4WD"}</definedName>
    <definedName name="종합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간업무보고" hidden="1">#REF!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주차장" hidden="1">{#N/A,#N/A,FALSE,"표지"}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간요약" hidden="1">{#N/A,#N/A,FALSE,"BS";#N/A,#N/A,FALSE,"PL";#N/A,#N/A,FALSE,"처분";#N/A,#N/A,FALSE,"현금";#N/A,#N/A,FALSE,"매출";#N/A,#N/A,FALSE,"원가";#N/A,#N/A,FALSE,"경영"}</definedName>
    <definedName name="중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복" hidden="1">{#N/A,#N/A,TRUE,"일정"}</definedName>
    <definedName name="중앙" hidden="1">{#N/A,#N/A,FALSE,"단축1";#N/A,#N/A,FALSE,"단축2";#N/A,#N/A,FALSE,"단축3";#N/A,#N/A,FALSE,"장축";#N/A,#N/A,FALSE,"4WD"}</definedName>
    <definedName name="중요도B" hidden="1">{#N/A,#N/A,TRUE,"일정"}</definedName>
    <definedName name="중점추진" hidden="1">{#N/A,#N/A,TRUE,"일정"}</definedName>
    <definedName name="중점항목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중점항목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중점항목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호" hidden="1">{#N/A,#N/A,FALSE,"단축1";#N/A,#N/A,FALSE,"단축2";#N/A,#N/A,FALSE,"단축3";#N/A,#N/A,FALSE,"장축";#N/A,#N/A,FALSE,"4WD"}</definedName>
    <definedName name="직급별" hidden="1">#REF!</definedName>
    <definedName name="직별113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별13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ㅌ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ㅎㅇㅀㄹㅇ" hidden="1">{"'2공장'!$A$1:$H$216"}</definedName>
    <definedName name="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차량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hidden="1">{#N/A,#N/A,TRUE,"일정"}</definedName>
    <definedName name="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카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참조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창원" hidden="1">{#N/A,#N/A,TRUE,"일정"}</definedName>
    <definedName name="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철근량" hidden="1">{#N/A,#N/A,FALSE,"전력간선"}</definedName>
    <definedName name="철콘부대외" hidden="1">{#N/A,#N/A,FALSE,"Sheet1"}</definedName>
    <definedName name="첨부" hidden="1">{#N/A,#N/A,TRUE,"일정"}</definedName>
    <definedName name="첨부1" hidden="1">{#N/A,#N/A,TRUE,"일정"}</definedName>
    <definedName name="첨부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촘" hidden="1">{#N/A,#N/A,TRUE,"일정"}</definedName>
    <definedName name="초ㅐ" hidden="1">{"'Monthly 1997'!$A$3:$S$89"}</definedName>
    <definedName name="총공사비2" hidden="1">{#N/A,#N/A,FALSE,"전력간선"}</definedName>
    <definedName name="총괄제출2차" hidden="1">#REF!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옵션01" hidden="1">#REF!</definedName>
    <definedName name="추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치형변화" hidden="1">{#N/A,#N/A,TRUE,"일정"}</definedName>
    <definedName name="ㅋㅇㅍ" hidden="1">{#N/A,#N/A,FALSE,"단축1";#N/A,#N/A,FALSE,"단축2";#N/A,#N/A,FALSE,"단축3";#N/A,#N/A,FALSE,"장축";#N/A,#N/A,FALSE,"4WD"}</definedName>
    <definedName name="카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켐온건축" hidden="1">{#N/A,#N/A,FALSE,"CCTV"}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ㅌㅌ" hidden="1">{#N/A,#N/A,TRUE,"일정"}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토" hidden="1">#REF!</definedName>
    <definedName name="토공사" hidden="1">#REF!</definedName>
    <definedName name="토공사2" hidden="1">#REF!</definedName>
    <definedName name="토목" hidden="1">{#N/A,#N/A,FALSE,"CCTV"}</definedName>
    <definedName name="토목설계" hidden="1">{#N/A,#N/A,FALSE,"골재소요량";#N/A,#N/A,FALSE,"골재소요량"}</definedName>
    <definedName name="통합1장" hidden="1">{#N/A,#N/A,FALSE,"단축1";#N/A,#N/A,FALSE,"단축2";#N/A,#N/A,FALSE,"단축3";#N/A,#N/A,FALSE,"장축";#N/A,#N/A,FALSE,"4WD"}</definedName>
    <definedName name="투" hidden="1">{#N/A,#N/A,TRUE,"일정"}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" hidden="1">{#N/A,#N/A,FALSE,"삼진정공";#N/A,#N/A,FALSE,"영신금속";#N/A,#N/A,FALSE,"태양금속";#N/A,#N/A,FALSE,"진합정공";#N/A,#N/A,FALSE,"코리아";#N/A,#N/A,FALSE,"풍강금속";#N/A,#N/A,FALSE,"선일기계"}</definedName>
    <definedName name="투자개요2005" hidden="1">{#N/A,#N/A,TRUE,"일정"}</definedName>
    <definedName name="투자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및자재" hidden="1">{#N/A,#N/A,FALSE,"자재관리";#N/A,#N/A,FALSE,"자재관리";#N/A,#N/A,FALSE,"자재관리"}</definedName>
    <definedName name="투자비000" hidden="1">{#N/A,#N/A,FALSE,"단축1";#N/A,#N/A,FALSE,"단축2";#N/A,#N/A,FALSE,"단축3";#N/A,#N/A,FALSE,"장축";#N/A,#N/A,FALSE,"4WD"}</definedName>
    <definedName name="투자비내역" hidden="1">{#N/A,#N/A,TRUE,"자재관리";#N/A,#N/A,TRUE,"품질"}</definedName>
    <definedName name="투자비실적" hidden="1">{#N/A,#N/A,FALSE,"단축1";#N/A,#N/A,FALSE,"단축2";#N/A,#N/A,FALSE,"단축3";#N/A,#N/A,FALSE,"장축";#N/A,#N/A,FALSE,"4WD"}</definedName>
    <definedName name="투자비절감" hidden="1">{#N/A,#N/A,TRUE,"일정"}</definedName>
    <definedName name="투자사업개요서" hidden="1">{#N/A,#N/A,TRUE,"일정"}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벼2" hidden="1">#REF!</definedName>
    <definedName name="팀별" hidden="1">{#N/A,#N/A,FALSE,"자재관리";#N/A,#N/A,FALSE,"자재관리";#N/A,#N/A,FALSE,"자재관리"}</definedName>
    <definedName name="팀별2" hidden="1">#REF!</definedName>
    <definedName name="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ㅍㅍ" hidden="1">{#N/A,#N/A,FALSE,"개발계획표지";#N/A,#N/A,FALSE,"목차";#N/A,#N/A,FALSE,"개요"}</definedName>
    <definedName name="ㅍ퓨퓨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파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팔" hidden="1">#REF!</definedName>
    <definedName name="펜다" hidden="1">{#N/A,#N/A,TRUE,"일정"}</definedName>
    <definedName name="평당견적" hidden="1">#REF!</definedName>
    <definedName name="표지1" hidden="1">{#N/A,#N/A,FALSE,"단축1";#N/A,#N/A,FALSE,"단축2";#N/A,#N/A,FALSE,"단축3";#N/A,#N/A,FALSE,"장축";#N/A,#N/A,FALSE,"4WD"}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품관" hidden="1">{#N/A,#N/A,TRUE,"일정"}</definedName>
    <definedName name="품질" hidden="1">{#N/A,#N/A,TRUE,"일정"}</definedName>
    <definedName name="품질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품질피드백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품질향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확" hidden="1">{#N/A,#N/A,FALSE,"단축1";#N/A,#N/A,FALSE,"단축2";#N/A,#N/A,FALSE,"단축3";#N/A,#N/A,FALSE,"장축";#N/A,#N/A,FALSE,"4WD"}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렌지" hidden="1">{#N/A,#N/A,FALSE,"단축1";#N/A,#N/A,FALSE,"단축2";#N/A,#N/A,FALSE,"단축3";#N/A,#N/A,FALSE,"장축";#N/A,#N/A,FALSE,"4WD"}</definedName>
    <definedName name="ㅎ" hidden="1">{#N/A,#N/A,TRUE,"일정"}</definedName>
    <definedName name="ㅎ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hidden="1">{#N/A,#N/A,TRUE,"일정"}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로ㅎ로" hidden="1">{#N/A,#N/A,FALSE,"삼진정공";#N/A,#N/A,FALSE,"영신금속";#N/A,#N/A,FALSE,"태양금속";#N/A,#N/A,FALSE,"진합정공";#N/A,#N/A,FALSE,"코리아";#N/A,#N/A,FALSE,"풍강금속";#N/A,#N/A,FALSE,"선일기계"}</definedName>
    <definedName name="ㅎ룰후ㅎㅎ" hidden="1">{#N/A,#N/A,FALSE,"단축1";#N/A,#N/A,FALSE,"단축2";#N/A,#N/A,FALSE,"단축3";#N/A,#N/A,FALSE,"장축";#N/A,#N/A,FALSE,"4WD"}</definedName>
    <definedName name="ㅎㅅ공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ㅎㄹㅇㅎ" hidden="1">{"'2공장'!$A$1:$H$216"}</definedName>
    <definedName name="ㅎㅈ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ㅎ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ㅎ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호ㅓㅓㅗ" hidden="1">{#N/A,#N/A,FALSE,"단축1";#N/A,#N/A,FALSE,"단축2";#N/A,#N/A,FALSE,"단축3";#N/A,#N/A,FALSE,"장축";#N/A,#N/A,FALSE,"4WD"}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연" hidden="1">{#N/A,#N/A,TRUE,"일정"}</definedName>
    <definedName name="한" hidden="1">#REF!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향ㅎ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허ㅗ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현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협의" hidden="1">{#N/A,#N/A,FALSE,"단축1";#N/A,#N/A,FALSE,"단축2";#N/A,#N/A,FALSE,"단축3";#N/A,#N/A,FALSE,"장축";#N/A,#N/A,FALSE,"4WD"}</definedName>
    <definedName name="호" hidden="1">{#N/A,#N/A,TRUE,"일정"}</definedName>
    <definedName name="호ㅓㅓㅗㅓ" hidden="1">{#N/A,#N/A,FALSE,"삼진정공";#N/A,#N/A,FALSE,"영신금속";#N/A,#N/A,FALSE,"태양금속";#N/A,#N/A,FALSE,"진합정공";#N/A,#N/A,FALSE,"코리아";#N/A,#N/A,FALSE,"풍강금속";#N/A,#N/A,FALSE,"선일기계"}</definedName>
    <definedName name="호ㅓㅕㅏ6ㅅ서ㅛㅓ" hidden="1">#REF!</definedName>
    <definedName name="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활동결과REVI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활동계획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활동점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" hidden="1">{#N/A,#N/A,TRUE,"일정"}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ㅏ" hidden="1">{#N/A,#N/A,FALSE,"단축1";#N/A,#N/A,FALSE,"단축2";#N/A,#N/A,FALSE,"단축3";#N/A,#N/A,FALSE,"장축";#N/A,#N/A,FALSE,"4WD"}</definedName>
    <definedName name="ㅏㅏㅏㅏㅏㅏㅏㅏㅏㅏㅏㅏㅏ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ㅏ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ㅗ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ㅣㅣ" hidden="1">{#N/A,#N/A,FALSE,"단축1";#N/A,#N/A,FALSE,"단축2";#N/A,#N/A,FALSE,"단축3";#N/A,#N/A,FALSE,"장축";#N/A,#N/A,FALSE,"4WD"}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hidden="1">{#N/A,#N/A,TRUE,"일정"}</definedName>
    <definedName name="ㅑㅑㅑㅑ" hidden="1">{#N/A,#N/A,FALSE,"삼진정공";#N/A,#N/A,FALSE,"영신금속";#N/A,#N/A,FALSE,"태양금속";#N/A,#N/A,FALSE,"진합정공";#N/A,#N/A,FALSE,"코리아";#N/A,#N/A,FALSE,"풍강금속";#N/A,#N/A,FALSE,"선일기계"}</definedName>
    <definedName name="ㅓ" hidden="1">{#N/A,#N/A,TRUE,"자재관리";#N/A,#N/A,TRUE,"품질"}</definedName>
    <definedName name="ㅓㄴㄱ" hidden="1">#REF!</definedName>
    <definedName name="ㅓㄹ" hidden="1">{#N/A,#N/A,TRUE,"일정"}</definedName>
    <definedName name="ㅓ로럴" hidden="1">{#N/A,#N/A,FALSE,"단축1";#N/A,#N/A,FALSE,"단축2";#N/A,#N/A,FALSE,"단축3";#N/A,#N/A,FALSE,"장축";#N/A,#N/A,FALSE,"4WD"}</definedName>
    <definedName name="ㅓ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ㅏ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ㅣ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ㅔ" hidden="1">{#N/A,#N/A,TRUE,"일정"}</definedName>
    <definedName name="ㅔㅔㅔㅔ" hidden="1">{#N/A,#N/A,FALSE,"삼진정공";#N/A,#N/A,FALSE,"영신금속";#N/A,#N/A,FALSE,"태양금속";#N/A,#N/A,FALSE,"진합정공";#N/A,#N/A,FALSE,"코리아";#N/A,#N/A,FALSE,"풍강금속";#N/A,#N/A,FALSE,"선일기계"}</definedName>
    <definedName name="ㅕ" hidden="1">{#N/A,#N/A,FALSE,"BS";#N/A,#N/A,FALSE,"PL";#N/A,#N/A,FALSE,"처분";#N/A,#N/A,FALSE,"현금";#N/A,#N/A,FALSE,"매출";#N/A,#N/A,FALSE,"원가";#N/A,#N/A,FALSE,"경영"}</definedName>
    <definedName name="ㅕㅕㅕㅕㅕㅕ" hidden="1">{#N/A,#N/A,FALSE,"단축1";#N/A,#N/A,FALSE,"단축2";#N/A,#N/A,FALSE,"단축3";#N/A,#N/A,FALSE,"장축";#N/A,#N/A,FALSE,"4WD"}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hidden="1">{#N/A,#N/A,TRUE,"일정"}</definedName>
    <definedName name="ㅗㅅㄱ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후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ㅏ" hidden="1">#REF!</definedName>
    <definedName name="ㅗㅓㅗㅎ" hidden="1">{#N/A,#N/A,FALSE,"삼진정공";#N/A,#N/A,FALSE,"영신금속";#N/A,#N/A,FALSE,"태양금속";#N/A,#N/A,FALSE,"진합정공";#N/A,#N/A,FALSE,"코리아";#N/A,#N/A,FALSE,"풍강금속";#N/A,#N/A,FALSE,"선일기계"}</definedName>
    <definedName name="ㅗㅗㅗㅗ" hidden="1">{#N/A,#N/A,TRUE,"일정"}</definedName>
    <definedName name="ㅗㅗㅗㅗㅗㅗㅗㅗㅗㅗ" hidden="1">{#N/A,#N/A,TRUE,"일정"}</definedName>
    <definedName name="ㅗㅛㅓ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hidden="1">{#N/A,#N/A,TRUE,"일정"}</definedName>
    <definedName name="ㅛ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ㅅㄷ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ㄷㅇㅇ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ㄹㅇ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ㄹ호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hidden="1">{#N/A,#N/A,TRUE,"일정"}</definedName>
    <definedName name="ㅜㅜ" hidden="1">{#N/A,#N/A,TRUE,"일정"}</definedName>
    <definedName name="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" hidden="1">{#N/A,#N/A,TRUE,"일정"}</definedName>
    <definedName name="ㅜㅜㅜㅜㅜㅜㅜ" hidden="1">{#N/A,#N/A,TRUE,"일정"}</definedName>
    <definedName name="ㅠㅍㅇㅌㄹ" hidden="1">{#N/A,#N/A,FALSE,"단축1";#N/A,#N/A,FALSE,"단축2";#N/A,#N/A,FALSE,"단축3";#N/A,#N/A,FALSE,"장축";#N/A,#N/A,FALSE,"4WD"}</definedName>
    <definedName name="ㅠㅜㅡ호" hidden="1">{#N/A,#N/A,TRUE,"일정"}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ㅜㅡ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ㅡㅡㅡ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ㅏㅓ일ㄴ어" hidden="1">{#N/A,#N/A,FALSE,"Status";#N/A,#N/A,FALSE,"Deckblatt 1";#N/A,#N/A,FALSE,"Deckblatt2"}</definedName>
    <definedName name="ㅣ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ㅣㅣ" hidden="1">{#N/A,#N/A,FALSE,"삼진정공";#N/A,#N/A,FALSE,"영신금속";#N/A,#N/A,FALSE,"태양금속";#N/A,#N/A,FALSE,"진합정공";#N/A,#N/A,FALSE,"코리아";#N/A,#N/A,FALSE,"풍강금속";#N/A,#N/A,FALSE,"선일기계"}</definedName>
    <definedName name="五大類預算12月" hidden="1">{#N/A,#N/A,TRUE,"工務本部(業)";#N/A,#N/A,TRUE,"工-部辦(業)";#N/A,#N/A,TRUE,"工-設計(業)";#N/A,#N/A,TRUE,"工-工務(業)";#N/A,#N/A,TRUE,"工-網管(業)";#N/A,#N/A,TRUE,"工-一維(業)";#N/A,#N/A,TRUE,"工-二維(業)";#N/A,#N/A,TRUE,"工-三維(業)";#N/A,#N/A,TRUE,"工-四維(業)";#N/A,#N/A,TRUE,"資訊管理本部(業)";#N/A,#N/A,TRUE,"研發本部(業)"}</definedName>
    <definedName name="他材料費">#REF!</definedName>
    <definedName name="倍率" hidden="1">{#N/A,#N/A,FALSE,"Bare Battery F.G."}</definedName>
    <definedName name="倍率放电" hidden="1">{#N/A,#N/A,FALSE,"Bare Battery F.G."}</definedName>
    <definedName name="倍率放电１" hidden="1">{#N/A,#N/A,FALSE,"Bare Battery F.G."}</definedName>
    <definedName name="倍率放电2" hidden="1">{#N/A,#N/A,FALSE,"Bare Battery F.G."}</definedName>
    <definedName name="元" hidden="1">#REF!</definedName>
    <definedName name="元Date">#REF!</definedName>
    <definedName name="冷延ﾊﾟｲﾌﾟ">#REF!</definedName>
    <definedName name="冷延ﾊﾟｲﾌﾟ径ｴｷｽﾄﾗ">#REF!</definedName>
    <definedName name="冷延ﾊﾟｲﾌﾟ板厚ｴｷｽﾄﾗ">#REF!</definedName>
    <definedName name="冷延板厚ｴｷｽﾄﾗ">#REF!</definedName>
    <definedName name="冷延鋼板">#REF!</definedName>
    <definedName name="分周タイプ設定">#REF!</definedName>
    <definedName name="判断書変番ﾘｽﾄ">{1,2,3,4,5,6,7,8,9,10}</definedName>
    <definedName name="印刷">#N/A</definedName>
    <definedName name="印刷_進捗DataAreaF">#REF!</definedName>
    <definedName name="印刷ヘッダ">#REF!</definedName>
    <definedName name="台数">#N/A</definedName>
    <definedName name="品番ソートする">#N/A</definedName>
    <definedName name="回路">#REF!</definedName>
    <definedName name="変番">"["&amp;#REF!&amp;"]"</definedName>
    <definedName name="外装">#REF!</definedName>
    <definedName name="外観寸法">#REF!</definedName>
    <definedName name="実行" hidden="1">{"'Sheet1'!$L$16"}</definedName>
    <definedName name="岡田" hidden="1">{#N/A,#N/A,TRUE,"SUM";#N/A,#N/A,TRUE,"EE";#N/A,#N/A,TRUE,"AC";#N/A,#N/A,TRUE,"SN"}</definedName>
    <definedName name="差異" hidden="1">{#N/A,#N/A,TRUE,"客服本部(業)";#N/A,#N/A,TRUE,"客-部辦(業)";#N/A,#N/A,TRUE,"客-專案(業)";#N/A,#N/A,TRUE,"客-支援(業)";#N/A,#N/A,TRUE,"客-專一(業)";#N/A,#N/A,TRUE,"客-專二(業)";#N/A,#N/A,TRUE,"客-專三(業)";#N/A,#N/A,TRUE,"客-專四(業)";#N/A,#N/A,TRUE,"客-專五(業)";#N/A,#N/A,TRUE,"客-專五(業)";#N/A,#N/A,TRUE,"客-專六(業)";#N/A,#N/A,TRUE,"客-專七(業)";#N/A,#N/A,TRUE,"客-系統處(業)"}</definedName>
    <definedName name="差異分析" hidden="1">{#N/A,#N/A,TRUE,"客服本部(業)";#N/A,#N/A,TRUE,"客-部辦(業)";#N/A,#N/A,TRUE,"客-專案(業)";#N/A,#N/A,TRUE,"客-支援(業)";#N/A,#N/A,TRUE,"客-專一(業)";#N/A,#N/A,TRUE,"客-專二(業)";#N/A,#N/A,TRUE,"客-專三(業)";#N/A,#N/A,TRUE,"客-專四(業)";#N/A,#N/A,TRUE,"客-專五(業)";#N/A,#N/A,TRUE,"客-專五(業)";#N/A,#N/A,TRUE,"客-專六(業)";#N/A,#N/A,TRUE,"客-專七(業)";#N/A,#N/A,TRUE,"客-系統處(業)"}</definedName>
    <definedName name="差異分析AUDIT" hidden="1">{#N/A,#N/A,TRUE,"工務本部(業)";#N/A,#N/A,TRUE,"工-部辦(業)";#N/A,#N/A,TRUE,"工-設計(業)";#N/A,#N/A,TRUE,"工-工務(業)";#N/A,#N/A,TRUE,"工-網管(業)";#N/A,#N/A,TRUE,"工-一維(業)";#N/A,#N/A,TRUE,"工-二維(業)";#N/A,#N/A,TRUE,"工-三維(業)";#N/A,#N/A,TRUE,"工-四維(業)";#N/A,#N/A,TRUE,"資訊管理本部(業)";#N/A,#N/A,TRUE,"研發本部(業)"}</definedName>
    <definedName name="指度ﾃﾞｰﾀ">#REF!</definedName>
    <definedName name="業種">#REF!</definedName>
    <definedName name="欠歯判定比">#REF!</definedName>
    <definedName name="無し">#REF!</definedName>
    <definedName name="熱延鋼板">#REF!</definedName>
    <definedName name="生計ﾃﾞｰﾀ">#N/A</definedName>
    <definedName name="異常値">#REF!</definedName>
    <definedName name="碳粉充填机每周保养点检" hidden="1">{"'Sheet2'!$I$8"}</definedName>
    <definedName name="端子">#REF!</definedName>
    <definedName name="第10表長期" hidden="1">{"'Sheet1'!$B$3:$H$74"}</definedName>
    <definedName name="自動入力">#N/A</definedName>
    <definedName name="英語" hidden="1">{#VALUE!,#N/A,FALSE,0;#N/A,#N/A,FALSE,0;#N/A,#N/A,FALSE,0;#N/A,#N/A,FALSE,0}</definedName>
    <definedName name="解除">#N/A</definedName>
    <definedName name="訂正" hidden="1">#N/A</definedName>
    <definedName name="車体A">#N/A</definedName>
    <definedName name="車速センサ系信号分周値">#REF!</definedName>
    <definedName name="車速センサ系分周">#REF!</definedName>
    <definedName name="車速センサ系分周値">#REF!</definedName>
    <definedName name="進捗状況_印刷D">#REF!,#REF!</definedName>
    <definedName name="進捗管理_row">INDIRECT(#REF!)</definedName>
    <definedName name="進捗管理_分担">INDIRECT(#REF!)</definedName>
    <definedName name="配車要望">#N/A</definedName>
    <definedName name="长度单位·" hidden="1">#REF!</definedName>
    <definedName name="関連表" hidden="1">#REF!</definedName>
    <definedName name="黑糊糊黑糊糊黑糊糊后">[0]!黑糊糊黑糊糊黑糊糊后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232" i="4" l="1"/>
  <c r="K3232" i="4"/>
  <c r="L3225" i="4"/>
  <c r="L3226" i="4"/>
  <c r="L3227" i="4"/>
  <c r="L3228" i="4"/>
  <c r="L3229" i="4"/>
  <c r="L3230" i="4"/>
  <c r="L3231" i="4"/>
  <c r="K3687" i="1"/>
  <c r="L3687" i="1"/>
  <c r="M3687" i="1"/>
  <c r="N3687" i="1"/>
  <c r="O3687" i="1"/>
  <c r="P3687" i="1"/>
  <c r="J3687" i="1"/>
  <c r="I3232" i="4"/>
  <c r="L3224" i="4"/>
  <c r="T3686" i="1"/>
  <c r="S3686" i="1"/>
  <c r="R3686" i="1"/>
  <c r="Q3686" i="1"/>
  <c r="T3685" i="1"/>
  <c r="S3685" i="1"/>
  <c r="R3685" i="1"/>
  <c r="Q3685" i="1"/>
  <c r="T3684" i="1"/>
  <c r="S3684" i="1"/>
  <c r="R3684" i="1"/>
  <c r="Q3684" i="1"/>
  <c r="T3683" i="1"/>
  <c r="S3683" i="1"/>
  <c r="R3683" i="1"/>
  <c r="Q3683" i="1"/>
  <c r="T3682" i="1"/>
  <c r="S3682" i="1"/>
  <c r="R3682" i="1"/>
  <c r="Q3682" i="1"/>
  <c r="T3681" i="1"/>
  <c r="S3681" i="1"/>
  <c r="R3681" i="1"/>
  <c r="Q3681" i="1"/>
  <c r="N3680" i="1"/>
  <c r="K3223" i="4"/>
  <c r="J3223" i="4"/>
  <c r="I3223" i="4"/>
  <c r="L3222" i="4"/>
  <c r="L3221" i="4"/>
  <c r="L3220" i="4"/>
  <c r="L3219" i="4"/>
  <c r="L3218" i="4"/>
  <c r="L3217" i="4"/>
  <c r="L3216" i="4"/>
  <c r="P3680" i="1"/>
  <c r="O3680" i="1"/>
  <c r="M3680" i="1"/>
  <c r="L3680" i="1"/>
  <c r="S3679" i="1"/>
  <c r="T3678" i="1"/>
  <c r="S3678" i="1"/>
  <c r="R3678" i="1"/>
  <c r="Q3678" i="1"/>
  <c r="R3677" i="1"/>
  <c r="R3676" i="1"/>
  <c r="R3675" i="1"/>
  <c r="T3674" i="1"/>
  <c r="J3673" i="1"/>
  <c r="S3673" i="1" s="1"/>
  <c r="J3672" i="1"/>
  <c r="S3672" i="1" s="1"/>
  <c r="J3215" i="4"/>
  <c r="K3215" i="4"/>
  <c r="I3215" i="4"/>
  <c r="L3211" i="4"/>
  <c r="L3210" i="4"/>
  <c r="L3671" i="1"/>
  <c r="M3671" i="1"/>
  <c r="N3671" i="1"/>
  <c r="O3671" i="1"/>
  <c r="P3671" i="1"/>
  <c r="J3671" i="1"/>
  <c r="T3670" i="1"/>
  <c r="S3670" i="1"/>
  <c r="R3670" i="1"/>
  <c r="K3670" i="1"/>
  <c r="Q3670" i="1" s="1"/>
  <c r="L3213" i="4"/>
  <c r="L3212" i="4"/>
  <c r="L3209" i="4"/>
  <c r="L3208" i="4"/>
  <c r="T3669" i="1"/>
  <c r="S3669" i="1"/>
  <c r="R3669" i="1"/>
  <c r="K3669" i="1"/>
  <c r="Q3669" i="1" s="1"/>
  <c r="T3668" i="1"/>
  <c r="S3668" i="1"/>
  <c r="R3668" i="1"/>
  <c r="K3668" i="1"/>
  <c r="Q3668" i="1" s="1"/>
  <c r="T3667" i="1"/>
  <c r="S3667" i="1"/>
  <c r="R3667" i="1"/>
  <c r="K3667" i="1"/>
  <c r="Q3667" i="1" s="1"/>
  <c r="T3666" i="1"/>
  <c r="S3666" i="1"/>
  <c r="R3666" i="1"/>
  <c r="K3666" i="1"/>
  <c r="T3665" i="1"/>
  <c r="S3665" i="1"/>
  <c r="R3665" i="1"/>
  <c r="K3665" i="1"/>
  <c r="Q3665" i="1" s="1"/>
  <c r="J3207" i="4"/>
  <c r="K3207" i="4"/>
  <c r="I3207" i="4"/>
  <c r="L3206" i="4"/>
  <c r="L3664" i="1"/>
  <c r="M3664" i="1"/>
  <c r="N3664" i="1"/>
  <c r="O3664" i="1"/>
  <c r="P3664" i="1"/>
  <c r="J3664" i="1"/>
  <c r="T3658" i="1"/>
  <c r="S3658" i="1"/>
  <c r="R3658" i="1"/>
  <c r="K3658" i="1"/>
  <c r="Q3658" i="1" s="1"/>
  <c r="T3657" i="1"/>
  <c r="S3657" i="1"/>
  <c r="R3657" i="1"/>
  <c r="K3657" i="1"/>
  <c r="Q3657" i="1" s="1"/>
  <c r="L3205" i="4"/>
  <c r="L3204" i="4"/>
  <c r="L3203" i="4"/>
  <c r="L3202" i="4"/>
  <c r="L3201" i="4"/>
  <c r="L3200" i="4"/>
  <c r="L3199" i="4"/>
  <c r="T3663" i="1"/>
  <c r="S3663" i="1"/>
  <c r="R3663" i="1"/>
  <c r="K3663" i="1"/>
  <c r="Q3663" i="1" s="1"/>
  <c r="T3662" i="1"/>
  <c r="S3662" i="1"/>
  <c r="R3662" i="1"/>
  <c r="K3662" i="1"/>
  <c r="Q3662" i="1" s="1"/>
  <c r="T3661" i="1"/>
  <c r="S3661" i="1"/>
  <c r="R3661" i="1"/>
  <c r="K3661" i="1"/>
  <c r="Q3661" i="1" s="1"/>
  <c r="T3660" i="1"/>
  <c r="S3660" i="1"/>
  <c r="R3660" i="1"/>
  <c r="K3660" i="1"/>
  <c r="Q3660" i="1" s="1"/>
  <c r="T3659" i="1"/>
  <c r="S3659" i="1"/>
  <c r="R3659" i="1"/>
  <c r="K3659" i="1"/>
  <c r="Q3659" i="1" s="1"/>
  <c r="L3196" i="4"/>
  <c r="L3191" i="4"/>
  <c r="J3198" i="4"/>
  <c r="K3198" i="4"/>
  <c r="I3198" i="4"/>
  <c r="K3653" i="1"/>
  <c r="Q3653" i="1" s="1"/>
  <c r="R3653" i="1"/>
  <c r="S3653" i="1"/>
  <c r="T3653" i="1"/>
  <c r="L3197" i="4"/>
  <c r="L3195" i="4"/>
  <c r="L3194" i="4"/>
  <c r="L3193" i="4"/>
  <c r="L3192" i="4"/>
  <c r="L3190" i="4"/>
  <c r="L3189" i="4"/>
  <c r="L3188" i="4"/>
  <c r="L3232" i="4" l="1"/>
  <c r="U3682" i="1"/>
  <c r="U3685" i="1"/>
  <c r="U3681" i="1"/>
  <c r="U3684" i="1"/>
  <c r="U3683" i="1"/>
  <c r="U3686" i="1"/>
  <c r="L3223" i="4"/>
  <c r="T3675" i="1"/>
  <c r="T3673" i="1"/>
  <c r="T3677" i="1"/>
  <c r="T3679" i="1"/>
  <c r="T3672" i="1"/>
  <c r="U3678" i="1"/>
  <c r="Q3674" i="1"/>
  <c r="S3676" i="1"/>
  <c r="S3674" i="1"/>
  <c r="T3676" i="1"/>
  <c r="S3675" i="1"/>
  <c r="S3677" i="1"/>
  <c r="J3680" i="1"/>
  <c r="Q3672" i="1"/>
  <c r="Q3673" i="1"/>
  <c r="Q3679" i="1"/>
  <c r="K3680" i="1"/>
  <c r="R3672" i="1"/>
  <c r="R3673" i="1"/>
  <c r="Q3675" i="1"/>
  <c r="Q3676" i="1"/>
  <c r="Q3677" i="1"/>
  <c r="R3679" i="1"/>
  <c r="L3215" i="4"/>
  <c r="R3674" i="1"/>
  <c r="K3671" i="1"/>
  <c r="Q3671" i="1" s="1"/>
  <c r="U3669" i="1"/>
  <c r="U3665" i="1"/>
  <c r="U3667" i="1"/>
  <c r="S3671" i="1"/>
  <c r="R3671" i="1"/>
  <c r="U3668" i="1"/>
  <c r="U3670" i="1"/>
  <c r="T3671" i="1"/>
  <c r="Q3666" i="1"/>
  <c r="U3666" i="1" s="1"/>
  <c r="L3207" i="4"/>
  <c r="K3664" i="1"/>
  <c r="Q3664" i="1" s="1"/>
  <c r="T3664" i="1"/>
  <c r="S3664" i="1"/>
  <c r="U3657" i="1"/>
  <c r="U3658" i="1"/>
  <c r="R3664" i="1"/>
  <c r="U3662" i="1"/>
  <c r="U3659" i="1"/>
  <c r="U3663" i="1"/>
  <c r="U3661" i="1"/>
  <c r="U3660" i="1"/>
  <c r="U3653" i="1"/>
  <c r="L3198" i="4"/>
  <c r="T3680" i="1" l="1"/>
  <c r="Q3687" i="1"/>
  <c r="Q3680" i="1"/>
  <c r="U3674" i="1"/>
  <c r="U3679" i="1"/>
  <c r="U3673" i="1"/>
  <c r="U3672" i="1"/>
  <c r="U3677" i="1"/>
  <c r="R3680" i="1"/>
  <c r="U3676" i="1"/>
  <c r="S3680" i="1"/>
  <c r="U3675" i="1"/>
  <c r="U3671" i="1"/>
  <c r="U3664" i="1"/>
  <c r="L3656" i="1"/>
  <c r="M3656" i="1"/>
  <c r="N3656" i="1"/>
  <c r="O3656" i="1"/>
  <c r="P3656" i="1"/>
  <c r="K3652" i="1"/>
  <c r="Q3652" i="1" s="1"/>
  <c r="R3652" i="1"/>
  <c r="S3652" i="1"/>
  <c r="T3652" i="1"/>
  <c r="K3648" i="1"/>
  <c r="Q3648" i="1" s="1"/>
  <c r="K3649" i="1"/>
  <c r="Q3649" i="1" s="1"/>
  <c r="K3650" i="1"/>
  <c r="Q3650" i="1" s="1"/>
  <c r="K3651" i="1"/>
  <c r="Q3651" i="1" s="1"/>
  <c r="K3654" i="1"/>
  <c r="Q3654" i="1" s="1"/>
  <c r="K3655" i="1"/>
  <c r="Q3655" i="1" s="1"/>
  <c r="J3656" i="1"/>
  <c r="R3651" i="1"/>
  <c r="S3651" i="1"/>
  <c r="T3651" i="1"/>
  <c r="R3654" i="1"/>
  <c r="S3654" i="1"/>
  <c r="T3654" i="1"/>
  <c r="R3655" i="1"/>
  <c r="S3655" i="1"/>
  <c r="T3655" i="1"/>
  <c r="T3650" i="1"/>
  <c r="S3650" i="1"/>
  <c r="R3650" i="1"/>
  <c r="T3649" i="1"/>
  <c r="S3649" i="1"/>
  <c r="R3649" i="1"/>
  <c r="T3648" i="1"/>
  <c r="S3648" i="1"/>
  <c r="R3648" i="1"/>
  <c r="L3182" i="4"/>
  <c r="R3687" i="1" l="1"/>
  <c r="S3687" i="1"/>
  <c r="T3687" i="1"/>
  <c r="U3680" i="1"/>
  <c r="K3656" i="1"/>
  <c r="Q3656" i="1" s="1"/>
  <c r="U3652" i="1"/>
  <c r="R3656" i="1"/>
  <c r="U3655" i="1"/>
  <c r="U3651" i="1"/>
  <c r="U3654" i="1"/>
  <c r="S3656" i="1"/>
  <c r="T3656" i="1"/>
  <c r="U3650" i="1"/>
  <c r="U3649" i="1"/>
  <c r="U3648" i="1"/>
  <c r="K3645" i="1"/>
  <c r="K3646" i="1"/>
  <c r="K3187" i="4"/>
  <c r="J3187" i="4"/>
  <c r="I3187" i="4"/>
  <c r="L3186" i="4"/>
  <c r="L3185" i="4"/>
  <c r="L3184" i="4"/>
  <c r="L3183" i="4"/>
  <c r="L3181" i="4"/>
  <c r="L3180" i="4"/>
  <c r="L3179" i="4"/>
  <c r="L3647" i="1"/>
  <c r="M3647" i="1"/>
  <c r="N3647" i="1"/>
  <c r="O3647" i="1"/>
  <c r="P3647" i="1"/>
  <c r="J3647" i="1"/>
  <c r="K3642" i="1"/>
  <c r="Q3642" i="1" s="1"/>
  <c r="K3643" i="1"/>
  <c r="Q3643" i="1" s="1"/>
  <c r="K3644" i="1"/>
  <c r="T3643" i="1"/>
  <c r="S3643" i="1"/>
  <c r="R3643" i="1"/>
  <c r="T3642" i="1"/>
  <c r="S3642" i="1"/>
  <c r="R3642" i="1"/>
  <c r="T3641" i="1"/>
  <c r="S3641" i="1"/>
  <c r="R3641" i="1"/>
  <c r="K3641" i="1"/>
  <c r="Q3641" i="1" s="1"/>
  <c r="K3631" i="1"/>
  <c r="K3640" i="1" s="1"/>
  <c r="L3176" i="4"/>
  <c r="L3177" i="4"/>
  <c r="J3638" i="1"/>
  <c r="Q3638" i="1" s="1"/>
  <c r="K3178" i="4"/>
  <c r="J3178" i="4"/>
  <c r="I3178" i="4"/>
  <c r="L3175" i="4"/>
  <c r="L3174" i="4"/>
  <c r="L3173" i="4"/>
  <c r="L3172" i="4"/>
  <c r="L3171" i="4"/>
  <c r="L3170" i="4"/>
  <c r="L3169" i="4"/>
  <c r="L3168" i="4"/>
  <c r="P3640" i="1"/>
  <c r="O3640" i="1"/>
  <c r="N3640" i="1"/>
  <c r="M3640" i="1"/>
  <c r="L3640" i="1"/>
  <c r="J3639" i="1"/>
  <c r="S3639" i="1" s="1"/>
  <c r="J3637" i="1"/>
  <c r="S3637" i="1" s="1"/>
  <c r="J3636" i="1"/>
  <c r="S3636" i="1" s="1"/>
  <c r="T3635" i="1"/>
  <c r="S3635" i="1"/>
  <c r="R3635" i="1"/>
  <c r="Q3635" i="1"/>
  <c r="J3634" i="1"/>
  <c r="T3634" i="1" s="1"/>
  <c r="J3633" i="1"/>
  <c r="T3633" i="1" s="1"/>
  <c r="J3632" i="1"/>
  <c r="T3632" i="1" s="1"/>
  <c r="J3630" i="1"/>
  <c r="S3630" i="1" s="1"/>
  <c r="J3629" i="1"/>
  <c r="S3629" i="1" s="1"/>
  <c r="J3167" i="4"/>
  <c r="K3167" i="4"/>
  <c r="I3167" i="4"/>
  <c r="L3166" i="4"/>
  <c r="L3628" i="1"/>
  <c r="M3628" i="1"/>
  <c r="N3628" i="1"/>
  <c r="O3628" i="1"/>
  <c r="P3628" i="1"/>
  <c r="J3628" i="1"/>
  <c r="K3627" i="1"/>
  <c r="Q3627" i="1" s="1"/>
  <c r="R3627" i="1"/>
  <c r="S3627" i="1"/>
  <c r="T3627" i="1"/>
  <c r="L3165" i="4"/>
  <c r="L3164" i="4"/>
  <c r="L3163" i="4"/>
  <c r="L3162" i="4"/>
  <c r="L3161" i="4"/>
  <c r="L3160" i="4"/>
  <c r="K3623" i="1"/>
  <c r="Q3623" i="1" s="1"/>
  <c r="K3622" i="1"/>
  <c r="Q3622" i="1" s="1"/>
  <c r="T3623" i="1"/>
  <c r="S3623" i="1"/>
  <c r="R3623" i="1"/>
  <c r="T3622" i="1"/>
  <c r="S3622" i="1"/>
  <c r="R3622" i="1"/>
  <c r="T3621" i="1"/>
  <c r="S3621" i="1"/>
  <c r="R3621" i="1"/>
  <c r="K3621" i="1"/>
  <c r="Q3621" i="1" s="1"/>
  <c r="K3611" i="1"/>
  <c r="K3620" i="1" s="1"/>
  <c r="L3156" i="4"/>
  <c r="L3157" i="4"/>
  <c r="L3158" i="4"/>
  <c r="J3619" i="1"/>
  <c r="Q3619" i="1" s="1"/>
  <c r="J3618" i="1"/>
  <c r="S3618" i="1" s="1"/>
  <c r="J3617" i="1"/>
  <c r="R3617" i="1" s="1"/>
  <c r="J3613" i="1"/>
  <c r="S3613" i="1" s="1"/>
  <c r="J3614" i="1"/>
  <c r="S3614" i="1" s="1"/>
  <c r="J3615" i="1"/>
  <c r="Q3615" i="1" s="1"/>
  <c r="P3620" i="1"/>
  <c r="O3620" i="1"/>
  <c r="N3620" i="1"/>
  <c r="M3620" i="1"/>
  <c r="L3620" i="1"/>
  <c r="T3616" i="1"/>
  <c r="S3616" i="1"/>
  <c r="R3616" i="1"/>
  <c r="Q3616" i="1"/>
  <c r="J3612" i="1"/>
  <c r="S3612" i="1" s="1"/>
  <c r="J3610" i="1"/>
  <c r="Q3610" i="1" s="1"/>
  <c r="J3609" i="1"/>
  <c r="Q3609" i="1" s="1"/>
  <c r="K3159" i="4"/>
  <c r="J3159" i="4"/>
  <c r="I3159" i="4"/>
  <c r="L3155" i="4"/>
  <c r="L3154" i="4"/>
  <c r="L3153" i="4"/>
  <c r="L3152" i="4"/>
  <c r="L3151" i="4"/>
  <c r="L3150" i="4"/>
  <c r="L3149" i="4"/>
  <c r="L3146" i="4"/>
  <c r="L3147" i="4"/>
  <c r="R3603" i="1"/>
  <c r="S3603" i="1"/>
  <c r="T3603" i="1"/>
  <c r="R3604" i="1"/>
  <c r="S3604" i="1"/>
  <c r="T3604" i="1"/>
  <c r="R3605" i="1"/>
  <c r="S3605" i="1"/>
  <c r="T3605" i="1"/>
  <c r="R3606" i="1"/>
  <c r="S3606" i="1"/>
  <c r="T3606" i="1"/>
  <c r="R3607" i="1"/>
  <c r="S3607" i="1"/>
  <c r="T3607" i="1"/>
  <c r="L3141" i="4"/>
  <c r="L3142" i="4"/>
  <c r="L3143" i="4"/>
  <c r="L3144" i="4"/>
  <c r="L3145" i="4"/>
  <c r="J3148" i="4"/>
  <c r="K3148" i="4"/>
  <c r="I3148" i="4"/>
  <c r="L3608" i="1"/>
  <c r="M3608" i="1"/>
  <c r="N3608" i="1"/>
  <c r="O3608" i="1"/>
  <c r="P3608" i="1"/>
  <c r="J3608" i="1"/>
  <c r="K3603" i="1"/>
  <c r="Q3603" i="1" s="1"/>
  <c r="K3604" i="1"/>
  <c r="Q3604" i="1" s="1"/>
  <c r="K3605" i="1"/>
  <c r="Q3605" i="1" s="1"/>
  <c r="K3606" i="1"/>
  <c r="Q3606" i="1" s="1"/>
  <c r="K3607" i="1"/>
  <c r="Q3607" i="1" s="1"/>
  <c r="T3602" i="1"/>
  <c r="S3602" i="1"/>
  <c r="R3602" i="1"/>
  <c r="K3602" i="1"/>
  <c r="L3139" i="4"/>
  <c r="N3601" i="1"/>
  <c r="K3593" i="1"/>
  <c r="J3593" i="1" s="1"/>
  <c r="K3140" i="4"/>
  <c r="J3140" i="4"/>
  <c r="I3140" i="4"/>
  <c r="L3138" i="4"/>
  <c r="L3137" i="4"/>
  <c r="L3136" i="4"/>
  <c r="L3135" i="4"/>
  <c r="L3134" i="4"/>
  <c r="L3133" i="4"/>
  <c r="L3132" i="4"/>
  <c r="P3601" i="1"/>
  <c r="O3601" i="1"/>
  <c r="M3601" i="1"/>
  <c r="L3601" i="1"/>
  <c r="T3600" i="1"/>
  <c r="S3600" i="1"/>
  <c r="R3600" i="1"/>
  <c r="Q3600" i="1"/>
  <c r="T3599" i="1"/>
  <c r="S3599" i="1"/>
  <c r="R3599" i="1"/>
  <c r="Q3599" i="1"/>
  <c r="T3598" i="1"/>
  <c r="S3598" i="1"/>
  <c r="R3598" i="1"/>
  <c r="Q3598" i="1"/>
  <c r="T3597" i="1"/>
  <c r="S3597" i="1"/>
  <c r="R3597" i="1"/>
  <c r="Q3597" i="1"/>
  <c r="T3596" i="1"/>
  <c r="S3596" i="1"/>
  <c r="R3596" i="1"/>
  <c r="Q3596" i="1"/>
  <c r="J3595" i="1"/>
  <c r="T3595" i="1" s="1"/>
  <c r="J3594" i="1"/>
  <c r="T3594" i="1" s="1"/>
  <c r="J3592" i="1"/>
  <c r="R3592" i="1" s="1"/>
  <c r="J3591" i="1"/>
  <c r="T3591" i="1" s="1"/>
  <c r="J3131" i="4"/>
  <c r="K3131" i="4"/>
  <c r="I3131" i="4"/>
  <c r="L3126" i="4"/>
  <c r="L3127" i="4"/>
  <c r="L3128" i="4"/>
  <c r="L3129" i="4"/>
  <c r="L3130" i="4"/>
  <c r="L3125" i="4"/>
  <c r="L3590" i="1"/>
  <c r="M3590" i="1"/>
  <c r="N3590" i="1"/>
  <c r="O3590" i="1"/>
  <c r="P3590" i="1"/>
  <c r="J3590" i="1"/>
  <c r="R3587" i="1"/>
  <c r="S3587" i="1"/>
  <c r="T3587" i="1"/>
  <c r="R3588" i="1"/>
  <c r="S3588" i="1"/>
  <c r="T3588" i="1"/>
  <c r="R3589" i="1"/>
  <c r="S3589" i="1"/>
  <c r="T3589" i="1"/>
  <c r="K3583" i="1"/>
  <c r="K3584" i="1"/>
  <c r="K3585" i="1"/>
  <c r="K3586" i="1"/>
  <c r="K3587" i="1"/>
  <c r="Q3587" i="1" s="1"/>
  <c r="K3588" i="1"/>
  <c r="Q3588" i="1" s="1"/>
  <c r="K3589" i="1"/>
  <c r="Q3589" i="1" s="1"/>
  <c r="U3687" i="1" l="1"/>
  <c r="U3656" i="1"/>
  <c r="L3187" i="4"/>
  <c r="U3643" i="1"/>
  <c r="U3642" i="1"/>
  <c r="U3641" i="1"/>
  <c r="T3638" i="1"/>
  <c r="S3638" i="1"/>
  <c r="R3638" i="1"/>
  <c r="L3178" i="4"/>
  <c r="T3639" i="1"/>
  <c r="S3633" i="1"/>
  <c r="Q3630" i="1"/>
  <c r="T3630" i="1"/>
  <c r="T3636" i="1"/>
  <c r="U3635" i="1"/>
  <c r="S3634" i="1"/>
  <c r="Q3637" i="1"/>
  <c r="Q3629" i="1"/>
  <c r="T3637" i="1"/>
  <c r="T3629" i="1"/>
  <c r="S3632" i="1"/>
  <c r="Q3636" i="1"/>
  <c r="Q3639" i="1"/>
  <c r="J3631" i="1"/>
  <c r="J3640" i="1" s="1"/>
  <c r="R3629" i="1"/>
  <c r="R3630" i="1"/>
  <c r="Q3632" i="1"/>
  <c r="Q3633" i="1"/>
  <c r="Q3634" i="1"/>
  <c r="R3636" i="1"/>
  <c r="R3637" i="1"/>
  <c r="R3639" i="1"/>
  <c r="R3632" i="1"/>
  <c r="R3633" i="1"/>
  <c r="R3634" i="1"/>
  <c r="L3167" i="4"/>
  <c r="U3627" i="1"/>
  <c r="U3623" i="1"/>
  <c r="U3621" i="1"/>
  <c r="U3622" i="1"/>
  <c r="R3618" i="1"/>
  <c r="T3618" i="1"/>
  <c r="Q3618" i="1"/>
  <c r="J3611" i="1"/>
  <c r="S3611" i="1" s="1"/>
  <c r="T3619" i="1"/>
  <c r="R3619" i="1"/>
  <c r="S3619" i="1"/>
  <c r="T3617" i="1"/>
  <c r="S3617" i="1"/>
  <c r="Q3617" i="1"/>
  <c r="S3615" i="1"/>
  <c r="R3615" i="1"/>
  <c r="T3615" i="1"/>
  <c r="T3614" i="1"/>
  <c r="R3614" i="1"/>
  <c r="Q3614" i="1"/>
  <c r="R3613" i="1"/>
  <c r="Q3613" i="1"/>
  <c r="S3610" i="1"/>
  <c r="T3613" i="1"/>
  <c r="R3610" i="1"/>
  <c r="Q3612" i="1"/>
  <c r="U3616" i="1"/>
  <c r="R3609" i="1"/>
  <c r="R3612" i="1"/>
  <c r="S3609" i="1"/>
  <c r="T3612" i="1"/>
  <c r="T3609" i="1"/>
  <c r="T3610" i="1"/>
  <c r="L3159" i="4"/>
  <c r="U3603" i="1"/>
  <c r="U3604" i="1"/>
  <c r="U3607" i="1"/>
  <c r="U3605" i="1"/>
  <c r="U3606" i="1"/>
  <c r="K3608" i="1"/>
  <c r="K3601" i="1"/>
  <c r="L3148" i="4"/>
  <c r="Q3602" i="1"/>
  <c r="U3602" i="1" s="1"/>
  <c r="L3140" i="4"/>
  <c r="T3592" i="1"/>
  <c r="U3600" i="1"/>
  <c r="Q3591" i="1"/>
  <c r="U3599" i="1"/>
  <c r="R3591" i="1"/>
  <c r="S3591" i="1"/>
  <c r="S3592" i="1"/>
  <c r="Q3595" i="1"/>
  <c r="R3595" i="1"/>
  <c r="U3598" i="1"/>
  <c r="U3597" i="1"/>
  <c r="Q3592" i="1"/>
  <c r="Q3594" i="1"/>
  <c r="R3594" i="1"/>
  <c r="U3596" i="1"/>
  <c r="R3593" i="1"/>
  <c r="J3601" i="1"/>
  <c r="Q3593" i="1"/>
  <c r="T3593" i="1"/>
  <c r="S3593" i="1"/>
  <c r="S3594" i="1"/>
  <c r="S3595" i="1"/>
  <c r="U3589" i="1"/>
  <c r="L3131" i="4"/>
  <c r="U3587" i="1"/>
  <c r="U3588" i="1"/>
  <c r="T3586" i="1"/>
  <c r="S3586" i="1"/>
  <c r="R3586" i="1"/>
  <c r="Q3586" i="1"/>
  <c r="T3585" i="1"/>
  <c r="S3585" i="1"/>
  <c r="R3585" i="1"/>
  <c r="Q3585" i="1"/>
  <c r="T3584" i="1"/>
  <c r="S3584" i="1"/>
  <c r="R3584" i="1"/>
  <c r="Q3584" i="1"/>
  <c r="T3583" i="1"/>
  <c r="S3583" i="1"/>
  <c r="R3583" i="1"/>
  <c r="Q3583" i="1"/>
  <c r="T3582" i="1"/>
  <c r="S3582" i="1"/>
  <c r="R3582" i="1"/>
  <c r="K3582" i="1"/>
  <c r="K3573" i="1"/>
  <c r="J3573" i="1" s="1"/>
  <c r="R3573" i="1" s="1"/>
  <c r="L3571" i="1"/>
  <c r="L3581" i="1" s="1"/>
  <c r="K3571" i="1"/>
  <c r="L3121" i="4"/>
  <c r="L3122" i="4"/>
  <c r="L3123" i="4"/>
  <c r="K3124" i="4"/>
  <c r="J3124" i="4"/>
  <c r="I3124" i="4"/>
  <c r="L3120" i="4"/>
  <c r="L3119" i="4"/>
  <c r="L3118" i="4"/>
  <c r="L3117" i="4"/>
  <c r="L3116" i="4"/>
  <c r="L3115" i="4"/>
  <c r="Q3578" i="1"/>
  <c r="R3578" i="1"/>
  <c r="S3578" i="1"/>
  <c r="T3578" i="1"/>
  <c r="Q3579" i="1"/>
  <c r="R3579" i="1"/>
  <c r="S3579" i="1"/>
  <c r="T3579" i="1"/>
  <c r="P3581" i="1"/>
  <c r="O3581" i="1"/>
  <c r="N3581" i="1"/>
  <c r="M3581" i="1"/>
  <c r="T3580" i="1"/>
  <c r="S3580" i="1"/>
  <c r="R3580" i="1"/>
  <c r="Q3580" i="1"/>
  <c r="T3577" i="1"/>
  <c r="S3577" i="1"/>
  <c r="R3577" i="1"/>
  <c r="Q3577" i="1"/>
  <c r="T3576" i="1"/>
  <c r="S3576" i="1"/>
  <c r="R3576" i="1"/>
  <c r="Q3576" i="1"/>
  <c r="J3575" i="1"/>
  <c r="R3575" i="1" s="1"/>
  <c r="J3574" i="1"/>
  <c r="R3574" i="1" s="1"/>
  <c r="J3572" i="1"/>
  <c r="R3572" i="1" s="1"/>
  <c r="K3114" i="4"/>
  <c r="L3113" i="4"/>
  <c r="J3114" i="4"/>
  <c r="I3114" i="4"/>
  <c r="L3108" i="4"/>
  <c r="T3640" i="1" l="1"/>
  <c r="U3638" i="1"/>
  <c r="U3629" i="1"/>
  <c r="U3633" i="1"/>
  <c r="U3634" i="1"/>
  <c r="U3636" i="1"/>
  <c r="U3637" i="1"/>
  <c r="U3630" i="1"/>
  <c r="U3632" i="1"/>
  <c r="U3639" i="1"/>
  <c r="T3631" i="1"/>
  <c r="R3631" i="1"/>
  <c r="S3631" i="1"/>
  <c r="Q3640" i="1"/>
  <c r="Q3631" i="1"/>
  <c r="S3640" i="1"/>
  <c r="R3640" i="1"/>
  <c r="U3618" i="1"/>
  <c r="T3611" i="1"/>
  <c r="R3611" i="1"/>
  <c r="Q3611" i="1"/>
  <c r="J3620" i="1"/>
  <c r="U3619" i="1"/>
  <c r="U3617" i="1"/>
  <c r="U3615" i="1"/>
  <c r="U3614" i="1"/>
  <c r="U3613" i="1"/>
  <c r="U3610" i="1"/>
  <c r="U3612" i="1"/>
  <c r="U3609" i="1"/>
  <c r="R3601" i="1"/>
  <c r="U3591" i="1"/>
  <c r="U3592" i="1"/>
  <c r="U3595" i="1"/>
  <c r="U3594" i="1"/>
  <c r="U3593" i="1"/>
  <c r="Q3601" i="1"/>
  <c r="S3601" i="1"/>
  <c r="T3601" i="1"/>
  <c r="Q3582" i="1"/>
  <c r="U3582" i="1" s="1"/>
  <c r="K3590" i="1"/>
  <c r="Q3590" i="1" s="1"/>
  <c r="S3590" i="1"/>
  <c r="T3590" i="1"/>
  <c r="U3584" i="1"/>
  <c r="U3585" i="1"/>
  <c r="U3586" i="1"/>
  <c r="R3590" i="1"/>
  <c r="U3583" i="1"/>
  <c r="J3571" i="1"/>
  <c r="R3571" i="1" s="1"/>
  <c r="K3581" i="1"/>
  <c r="U3578" i="1"/>
  <c r="L3124" i="4"/>
  <c r="U3580" i="1"/>
  <c r="U3579" i="1"/>
  <c r="T3575" i="1"/>
  <c r="T3572" i="1"/>
  <c r="U3577" i="1"/>
  <c r="T3573" i="1"/>
  <c r="T3574" i="1"/>
  <c r="U3576" i="1"/>
  <c r="S3573" i="1"/>
  <c r="S3575" i="1"/>
  <c r="S3572" i="1"/>
  <c r="S3574" i="1"/>
  <c r="Q3572" i="1"/>
  <c r="Q3573" i="1"/>
  <c r="Q3574" i="1"/>
  <c r="Q3575" i="1"/>
  <c r="R3568" i="1"/>
  <c r="S3568" i="1"/>
  <c r="T3568" i="1"/>
  <c r="R3569" i="1"/>
  <c r="S3569" i="1"/>
  <c r="T3569" i="1"/>
  <c r="K3568" i="1"/>
  <c r="Q3568" i="1" s="1"/>
  <c r="K3569" i="1"/>
  <c r="Q3569" i="1" s="1"/>
  <c r="L3570" i="1"/>
  <c r="M3570" i="1"/>
  <c r="N3570" i="1"/>
  <c r="O3570" i="1"/>
  <c r="P3570" i="1"/>
  <c r="J3570" i="1"/>
  <c r="K3565" i="1"/>
  <c r="Q3565" i="1" s="1"/>
  <c r="K3566" i="1"/>
  <c r="Q3566" i="1" s="1"/>
  <c r="K3567" i="1"/>
  <c r="Q3567" i="1" s="1"/>
  <c r="K3563" i="1"/>
  <c r="L3112" i="4"/>
  <c r="L3111" i="4"/>
  <c r="L3110" i="4"/>
  <c r="L3109" i="4"/>
  <c r="L3107" i="4"/>
  <c r="L3106" i="4"/>
  <c r="L3105" i="4"/>
  <c r="T3567" i="1"/>
  <c r="S3567" i="1"/>
  <c r="R3567" i="1"/>
  <c r="T3566" i="1"/>
  <c r="S3566" i="1"/>
  <c r="R3566" i="1"/>
  <c r="T3565" i="1"/>
  <c r="S3565" i="1"/>
  <c r="R3565" i="1"/>
  <c r="L3554" i="1"/>
  <c r="L3562" i="1" s="1"/>
  <c r="K3554" i="1"/>
  <c r="L3102" i="4"/>
  <c r="J3555" i="1"/>
  <c r="T3555" i="1" s="1"/>
  <c r="J3556" i="1"/>
  <c r="T3556" i="1" s="1"/>
  <c r="J3557" i="1"/>
  <c r="R3557" i="1" s="1"/>
  <c r="J3558" i="1"/>
  <c r="T3558" i="1" s="1"/>
  <c r="Q3560" i="1"/>
  <c r="R3560" i="1"/>
  <c r="S3560" i="1"/>
  <c r="T3560" i="1"/>
  <c r="K3104" i="4"/>
  <c r="J3104" i="4"/>
  <c r="I3104" i="4"/>
  <c r="L3103" i="4"/>
  <c r="L3101" i="4"/>
  <c r="L3100" i="4"/>
  <c r="L3099" i="4"/>
  <c r="L3098" i="4"/>
  <c r="L3097" i="4"/>
  <c r="L3096" i="4"/>
  <c r="P3562" i="1"/>
  <c r="O3562" i="1"/>
  <c r="N3562" i="1"/>
  <c r="M3562" i="1"/>
  <c r="T3561" i="1"/>
  <c r="S3561" i="1"/>
  <c r="R3561" i="1"/>
  <c r="Q3561" i="1"/>
  <c r="T3559" i="1"/>
  <c r="S3559" i="1"/>
  <c r="R3559" i="1"/>
  <c r="Q3559" i="1"/>
  <c r="U3640" i="1" l="1"/>
  <c r="U3631" i="1"/>
  <c r="Q3620" i="1"/>
  <c r="U3611" i="1"/>
  <c r="T3620" i="1"/>
  <c r="R3620" i="1"/>
  <c r="S3620" i="1"/>
  <c r="R3608" i="1"/>
  <c r="S3608" i="1"/>
  <c r="T3608" i="1"/>
  <c r="Q3608" i="1"/>
  <c r="U3601" i="1"/>
  <c r="U3590" i="1"/>
  <c r="J3581" i="1"/>
  <c r="T3581" i="1" s="1"/>
  <c r="S3571" i="1"/>
  <c r="T3571" i="1"/>
  <c r="Q3571" i="1"/>
  <c r="U3575" i="1"/>
  <c r="U3573" i="1"/>
  <c r="U3572" i="1"/>
  <c r="L3114" i="4"/>
  <c r="U3574" i="1"/>
  <c r="T3570" i="1"/>
  <c r="U3568" i="1"/>
  <c r="U3569" i="1"/>
  <c r="S3570" i="1"/>
  <c r="R3570" i="1"/>
  <c r="U3567" i="1"/>
  <c r="U3566" i="1"/>
  <c r="Q3563" i="1"/>
  <c r="U3565" i="1"/>
  <c r="T3563" i="1"/>
  <c r="J3554" i="1"/>
  <c r="Q3554" i="1" s="1"/>
  <c r="Q3555" i="1"/>
  <c r="Q3556" i="1"/>
  <c r="S3556" i="1"/>
  <c r="R3556" i="1"/>
  <c r="U3560" i="1"/>
  <c r="R3555" i="1"/>
  <c r="Q3558" i="1"/>
  <c r="S3555" i="1"/>
  <c r="R3558" i="1"/>
  <c r="S3558" i="1"/>
  <c r="S3557" i="1"/>
  <c r="T3557" i="1"/>
  <c r="Q3557" i="1"/>
  <c r="L3104" i="4"/>
  <c r="K3562" i="1"/>
  <c r="U3559" i="1"/>
  <c r="U3561" i="1"/>
  <c r="K3545" i="1"/>
  <c r="K3546" i="1"/>
  <c r="Q3546" i="1" s="1"/>
  <c r="K3547" i="1"/>
  <c r="Q3547" i="1" s="1"/>
  <c r="K3548" i="1"/>
  <c r="Q3548" i="1" s="1"/>
  <c r="K3549" i="1"/>
  <c r="Q3549" i="1" s="1"/>
  <c r="K3550" i="1"/>
  <c r="Q3550" i="1" s="1"/>
  <c r="K3551" i="1"/>
  <c r="Q3551" i="1" s="1"/>
  <c r="K3552" i="1"/>
  <c r="Q3552" i="1" s="1"/>
  <c r="K3544" i="1"/>
  <c r="Q3544" i="1" s="1"/>
  <c r="L3090" i="4"/>
  <c r="L3091" i="4"/>
  <c r="R3548" i="1"/>
  <c r="S3548" i="1"/>
  <c r="T3548" i="1"/>
  <c r="R3549" i="1"/>
  <c r="S3549" i="1"/>
  <c r="T3549" i="1"/>
  <c r="P3553" i="1"/>
  <c r="T3544" i="1"/>
  <c r="N3553" i="1"/>
  <c r="L3553" i="1"/>
  <c r="O3553" i="1"/>
  <c r="M3553" i="1"/>
  <c r="S3552" i="1"/>
  <c r="R3552" i="1"/>
  <c r="T3552" i="1"/>
  <c r="S3551" i="1"/>
  <c r="R3551" i="1"/>
  <c r="T3551" i="1"/>
  <c r="S3550" i="1"/>
  <c r="R3550" i="1"/>
  <c r="T3550" i="1"/>
  <c r="S3547" i="1"/>
  <c r="R3547" i="1"/>
  <c r="T3547" i="1"/>
  <c r="S3546" i="1"/>
  <c r="R3546" i="1"/>
  <c r="T3546" i="1"/>
  <c r="L3086" i="4"/>
  <c r="L3087" i="4"/>
  <c r="L3088" i="4"/>
  <c r="L3089" i="4"/>
  <c r="L3092" i="4"/>
  <c r="L3093" i="4"/>
  <c r="L3094" i="4"/>
  <c r="K3095" i="4"/>
  <c r="J3095" i="4"/>
  <c r="I3095" i="4"/>
  <c r="K3535" i="1"/>
  <c r="Q3535" i="1" s="1"/>
  <c r="K3536" i="1"/>
  <c r="Q3536" i="1" s="1"/>
  <c r="K3537" i="1"/>
  <c r="Q3537" i="1" s="1"/>
  <c r="K3538" i="1"/>
  <c r="Q3538" i="1" s="1"/>
  <c r="K3539" i="1"/>
  <c r="Q3539" i="1" s="1"/>
  <c r="K3540" i="1"/>
  <c r="Q3540" i="1" s="1"/>
  <c r="L3543" i="1"/>
  <c r="M3543" i="1"/>
  <c r="N3543" i="1"/>
  <c r="O3543" i="1"/>
  <c r="P3543" i="1"/>
  <c r="L3076" i="4"/>
  <c r="L3077" i="4"/>
  <c r="L3078" i="4"/>
  <c r="L3079" i="4"/>
  <c r="L3080" i="4"/>
  <c r="L3081" i="4"/>
  <c r="L3082" i="4"/>
  <c r="L3083" i="4"/>
  <c r="L3084" i="4"/>
  <c r="J3085" i="4"/>
  <c r="K3085" i="4"/>
  <c r="I3085" i="4"/>
  <c r="J3543" i="1"/>
  <c r="Q3542" i="1"/>
  <c r="Q3541" i="1"/>
  <c r="R3541" i="1"/>
  <c r="S3541" i="1"/>
  <c r="T3541" i="1"/>
  <c r="R3542" i="1"/>
  <c r="S3542" i="1"/>
  <c r="T3542" i="1"/>
  <c r="R3539" i="1"/>
  <c r="S3539" i="1"/>
  <c r="T3539" i="1"/>
  <c r="R3540" i="1"/>
  <c r="S3540" i="1"/>
  <c r="T3540" i="1"/>
  <c r="P3534" i="1"/>
  <c r="K3527" i="1"/>
  <c r="K3534" i="1" s="1"/>
  <c r="L3527" i="1"/>
  <c r="J3528" i="1"/>
  <c r="T3528" i="1" s="1"/>
  <c r="J3529" i="1"/>
  <c r="R3529" i="1" s="1"/>
  <c r="J3530" i="1"/>
  <c r="Q3530" i="1" s="1"/>
  <c r="J3531" i="1"/>
  <c r="N3534" i="1"/>
  <c r="O3534" i="1"/>
  <c r="M3534" i="1"/>
  <c r="S3538" i="1"/>
  <c r="R3538" i="1"/>
  <c r="T3538" i="1"/>
  <c r="S3537" i="1"/>
  <c r="R3537" i="1"/>
  <c r="T3537" i="1"/>
  <c r="S3536" i="1"/>
  <c r="R3536" i="1"/>
  <c r="T3536" i="1"/>
  <c r="S3535" i="1"/>
  <c r="R3535" i="1"/>
  <c r="T3535" i="1"/>
  <c r="L3073" i="4"/>
  <c r="L3068" i="4"/>
  <c r="L3069" i="4"/>
  <c r="L3070" i="4"/>
  <c r="L3071" i="4"/>
  <c r="L3072" i="4"/>
  <c r="L3074" i="4"/>
  <c r="K3075" i="4"/>
  <c r="J3075" i="4"/>
  <c r="I3075" i="4"/>
  <c r="Q3532" i="1"/>
  <c r="R3532" i="1"/>
  <c r="S3532" i="1"/>
  <c r="T3532" i="1"/>
  <c r="Q3533" i="1"/>
  <c r="R3533" i="1"/>
  <c r="S3533" i="1"/>
  <c r="T3533" i="1"/>
  <c r="J3067" i="4"/>
  <c r="K3067" i="4"/>
  <c r="L3061" i="4"/>
  <c r="L3062" i="4"/>
  <c r="L3063" i="4"/>
  <c r="L3064" i="4"/>
  <c r="L3065" i="4"/>
  <c r="L3066" i="4"/>
  <c r="I3067" i="4"/>
  <c r="K3521" i="1"/>
  <c r="Q3521" i="1" s="1"/>
  <c r="K3522" i="1"/>
  <c r="Q3522" i="1" s="1"/>
  <c r="K3523" i="1"/>
  <c r="Q3523" i="1" s="1"/>
  <c r="K3524" i="1"/>
  <c r="Q3524" i="1" s="1"/>
  <c r="K3525" i="1"/>
  <c r="Q3525" i="1" s="1"/>
  <c r="K3520" i="1"/>
  <c r="Q3520" i="1" s="1"/>
  <c r="L3526" i="1"/>
  <c r="M3526" i="1"/>
  <c r="N3526" i="1"/>
  <c r="O3526" i="1"/>
  <c r="P3526" i="1"/>
  <c r="J3526" i="1"/>
  <c r="S3525" i="1"/>
  <c r="R3525" i="1"/>
  <c r="T3525" i="1"/>
  <c r="S3524" i="1"/>
  <c r="R3524" i="1"/>
  <c r="T3524" i="1"/>
  <c r="S3523" i="1"/>
  <c r="R3523" i="1"/>
  <c r="T3523" i="1"/>
  <c r="S3522" i="1"/>
  <c r="R3522" i="1"/>
  <c r="T3522" i="1"/>
  <c r="S3521" i="1"/>
  <c r="R3521" i="1"/>
  <c r="T3521" i="1"/>
  <c r="S3520" i="1"/>
  <c r="R3520" i="1"/>
  <c r="T3520" i="1"/>
  <c r="K3512" i="1"/>
  <c r="K3519" i="1" s="1"/>
  <c r="L3512" i="1"/>
  <c r="L3519" i="1" s="1"/>
  <c r="L3058" i="4"/>
  <c r="J3514" i="1"/>
  <c r="T3514" i="1" s="1"/>
  <c r="Q3517" i="1"/>
  <c r="R3517" i="1"/>
  <c r="S3517" i="1"/>
  <c r="T3517" i="1"/>
  <c r="L3053" i="4"/>
  <c r="L3054" i="4"/>
  <c r="L3055" i="4"/>
  <c r="L3056" i="4"/>
  <c r="L3057" i="4"/>
  <c r="L3059" i="4"/>
  <c r="K3060" i="4"/>
  <c r="J3060" i="4"/>
  <c r="I3060" i="4"/>
  <c r="P3519" i="1"/>
  <c r="J3513" i="1"/>
  <c r="S3513" i="1" s="1"/>
  <c r="N3519" i="1"/>
  <c r="O3519" i="1"/>
  <c r="M3519" i="1"/>
  <c r="S3518" i="1"/>
  <c r="R3518" i="1"/>
  <c r="Q3518" i="1"/>
  <c r="T3518" i="1"/>
  <c r="S3516" i="1"/>
  <c r="R3516" i="1"/>
  <c r="Q3516" i="1"/>
  <c r="T3516" i="1"/>
  <c r="S3515" i="1"/>
  <c r="R3515" i="1"/>
  <c r="Q3515" i="1"/>
  <c r="T3515" i="1"/>
  <c r="L3046" i="4"/>
  <c r="L3047" i="4"/>
  <c r="L3048" i="4"/>
  <c r="L3049" i="4"/>
  <c r="L3050" i="4"/>
  <c r="L3051" i="4"/>
  <c r="K3504" i="1"/>
  <c r="Q3504" i="1" s="1"/>
  <c r="K3505" i="1"/>
  <c r="Q3505" i="1" s="1"/>
  <c r="K3508" i="1"/>
  <c r="Q3508" i="1" s="1"/>
  <c r="K3506" i="1"/>
  <c r="Q3506" i="1" s="1"/>
  <c r="K3507" i="1"/>
  <c r="Q3507" i="1" s="1"/>
  <c r="K3509" i="1"/>
  <c r="Q3509" i="1" s="1"/>
  <c r="K3510" i="1"/>
  <c r="Q3510" i="1" s="1"/>
  <c r="L3511" i="1"/>
  <c r="M3511" i="1"/>
  <c r="N3511" i="1"/>
  <c r="O3511" i="1"/>
  <c r="P3511" i="1"/>
  <c r="J3511" i="1"/>
  <c r="J3052" i="4"/>
  <c r="K3052" i="4"/>
  <c r="L3045" i="4"/>
  <c r="I3052" i="4"/>
  <c r="S3510" i="1"/>
  <c r="R3510" i="1"/>
  <c r="T3510" i="1"/>
  <c r="S3509" i="1"/>
  <c r="R3509" i="1"/>
  <c r="T3509" i="1"/>
  <c r="S3504" i="1"/>
  <c r="R3504" i="1"/>
  <c r="T3504" i="1"/>
  <c r="P3503" i="1"/>
  <c r="K3496" i="1"/>
  <c r="L3496" i="1"/>
  <c r="L3503" i="1" s="1"/>
  <c r="J3497" i="1"/>
  <c r="R3497" i="1" s="1"/>
  <c r="J3498" i="1"/>
  <c r="Q3498" i="1" s="1"/>
  <c r="N3503" i="1"/>
  <c r="O3503" i="1"/>
  <c r="M3503" i="1"/>
  <c r="S3508" i="1"/>
  <c r="R3508" i="1"/>
  <c r="T3508" i="1"/>
  <c r="S3507" i="1"/>
  <c r="R3507" i="1"/>
  <c r="T3507" i="1"/>
  <c r="S3506" i="1"/>
  <c r="R3506" i="1"/>
  <c r="T3506" i="1"/>
  <c r="S3505" i="1"/>
  <c r="R3505" i="1"/>
  <c r="T3505" i="1"/>
  <c r="S3502" i="1"/>
  <c r="R3502" i="1"/>
  <c r="Q3502" i="1"/>
  <c r="T3502" i="1"/>
  <c r="S3501" i="1"/>
  <c r="R3501" i="1"/>
  <c r="Q3501" i="1"/>
  <c r="T3501" i="1"/>
  <c r="S3500" i="1"/>
  <c r="R3500" i="1"/>
  <c r="Q3500" i="1"/>
  <c r="T3500" i="1"/>
  <c r="S3499" i="1"/>
  <c r="R3499" i="1"/>
  <c r="Q3499" i="1"/>
  <c r="T3499" i="1"/>
  <c r="L3037" i="4"/>
  <c r="L3038" i="4"/>
  <c r="L3039" i="4"/>
  <c r="L3040" i="4"/>
  <c r="L3041" i="4"/>
  <c r="L3042" i="4"/>
  <c r="L3043" i="4"/>
  <c r="K3044" i="4"/>
  <c r="J3044" i="4"/>
  <c r="I3044" i="4"/>
  <c r="L3029" i="4"/>
  <c r="L3030" i="4"/>
  <c r="L3031" i="4"/>
  <c r="L3032" i="4"/>
  <c r="L3033" i="4"/>
  <c r="L3034" i="4"/>
  <c r="L3035" i="4"/>
  <c r="L3028" i="4"/>
  <c r="J3036" i="4"/>
  <c r="K3036" i="4"/>
  <c r="I3036" i="4"/>
  <c r="K3489" i="1"/>
  <c r="Q3489" i="1" s="1"/>
  <c r="K3492" i="1"/>
  <c r="Q3492" i="1" s="1"/>
  <c r="K3493" i="1"/>
  <c r="Q3493" i="1" s="1"/>
  <c r="K3488" i="1"/>
  <c r="K3490" i="1"/>
  <c r="Q3490" i="1" s="1"/>
  <c r="K3491" i="1"/>
  <c r="Q3491" i="1" s="1"/>
  <c r="L3495" i="1"/>
  <c r="M3495" i="1"/>
  <c r="N3495" i="1"/>
  <c r="O3495" i="1"/>
  <c r="P3495" i="1"/>
  <c r="R3489" i="1"/>
  <c r="S3489" i="1"/>
  <c r="T3489" i="1"/>
  <c r="R3490" i="1"/>
  <c r="S3490" i="1"/>
  <c r="T3490" i="1"/>
  <c r="R3491" i="1"/>
  <c r="S3491" i="1"/>
  <c r="T3491" i="1"/>
  <c r="R3492" i="1"/>
  <c r="S3492" i="1"/>
  <c r="T3492" i="1"/>
  <c r="R3493" i="1"/>
  <c r="S3493" i="1"/>
  <c r="T3493" i="1"/>
  <c r="Q3494" i="1"/>
  <c r="R3494" i="1"/>
  <c r="S3494" i="1"/>
  <c r="T3494" i="1"/>
  <c r="J3495" i="1"/>
  <c r="P3487" i="1"/>
  <c r="K3476" i="1"/>
  <c r="L3476" i="1"/>
  <c r="J3477" i="1"/>
  <c r="K3478" i="1"/>
  <c r="J3478" i="1" s="1"/>
  <c r="J3479" i="1"/>
  <c r="R3479" i="1" s="1"/>
  <c r="J3480" i="1"/>
  <c r="J3481" i="1"/>
  <c r="J3484" i="1"/>
  <c r="S3484" i="1" s="1"/>
  <c r="N3487" i="1"/>
  <c r="O3487" i="1"/>
  <c r="M3487" i="1"/>
  <c r="S3488" i="1"/>
  <c r="R3488" i="1"/>
  <c r="T3488" i="1"/>
  <c r="L3020" i="4"/>
  <c r="L3021" i="4"/>
  <c r="L3022" i="4"/>
  <c r="L3023" i="4"/>
  <c r="Q3482" i="1"/>
  <c r="R3482" i="1"/>
  <c r="S3482" i="1"/>
  <c r="T3482" i="1"/>
  <c r="Q3483" i="1"/>
  <c r="R3483" i="1"/>
  <c r="S3483" i="1"/>
  <c r="T3483" i="1"/>
  <c r="L3016" i="4"/>
  <c r="L3017" i="4"/>
  <c r="L3018" i="4"/>
  <c r="L3019" i="4"/>
  <c r="L3024" i="4"/>
  <c r="L3025" i="4"/>
  <c r="L3026" i="4"/>
  <c r="K3027" i="4"/>
  <c r="J3027" i="4"/>
  <c r="I3027" i="4"/>
  <c r="S3486" i="1"/>
  <c r="R3486" i="1"/>
  <c r="Q3486" i="1"/>
  <c r="T3486" i="1"/>
  <c r="S3485" i="1"/>
  <c r="R3485" i="1"/>
  <c r="Q3485" i="1"/>
  <c r="T3485" i="1"/>
  <c r="K3468" i="1"/>
  <c r="Q3468" i="1" s="1"/>
  <c r="K3469" i="1"/>
  <c r="K3470" i="1"/>
  <c r="Q3470" i="1" s="1"/>
  <c r="K3471" i="1"/>
  <c r="Q3471" i="1" s="1"/>
  <c r="K3472" i="1"/>
  <c r="Q3472" i="1" s="1"/>
  <c r="K3473" i="1"/>
  <c r="Q3473" i="1" s="1"/>
  <c r="L3475" i="1"/>
  <c r="M3475" i="1"/>
  <c r="N3475" i="1"/>
  <c r="O3475" i="1"/>
  <c r="P3475" i="1"/>
  <c r="J3475" i="1"/>
  <c r="R3473" i="1"/>
  <c r="S3473" i="1"/>
  <c r="T3473" i="1"/>
  <c r="Q3474" i="1"/>
  <c r="R3474" i="1"/>
  <c r="S3474" i="1"/>
  <c r="T3474" i="1"/>
  <c r="L3007" i="4"/>
  <c r="L3008" i="4"/>
  <c r="L3009" i="4"/>
  <c r="L3010" i="4"/>
  <c r="L3011" i="4"/>
  <c r="L3012" i="4"/>
  <c r="L3013" i="4"/>
  <c r="L3014" i="4"/>
  <c r="K3015" i="4"/>
  <c r="J3015" i="4"/>
  <c r="I3015" i="4"/>
  <c r="P3467" i="1"/>
  <c r="K3458" i="1"/>
  <c r="K3467" i="1" s="1"/>
  <c r="L3458" i="1"/>
  <c r="L3467" i="1" s="1"/>
  <c r="J3459" i="1"/>
  <c r="T3459" i="1" s="1"/>
  <c r="J3460" i="1"/>
  <c r="J3461" i="1"/>
  <c r="R3461" i="1" s="1"/>
  <c r="J3462" i="1"/>
  <c r="T3462" i="1" s="1"/>
  <c r="N3467" i="1"/>
  <c r="O3467" i="1"/>
  <c r="M3467" i="1"/>
  <c r="S3472" i="1"/>
  <c r="R3472" i="1"/>
  <c r="T3472" i="1"/>
  <c r="S3471" i="1"/>
  <c r="R3471" i="1"/>
  <c r="T3471" i="1"/>
  <c r="S3470" i="1"/>
  <c r="R3470" i="1"/>
  <c r="T3470" i="1"/>
  <c r="S3469" i="1"/>
  <c r="R3469" i="1"/>
  <c r="T3469" i="1"/>
  <c r="S3468" i="1"/>
  <c r="R3468" i="1"/>
  <c r="T3468" i="1"/>
  <c r="J3006" i="4"/>
  <c r="K3006" i="4"/>
  <c r="L2997" i="4"/>
  <c r="L2998" i="4"/>
  <c r="L2999" i="4"/>
  <c r="L3000" i="4"/>
  <c r="L3001" i="4"/>
  <c r="L3002" i="4"/>
  <c r="L3003" i="4"/>
  <c r="L3004" i="4"/>
  <c r="L3005" i="4"/>
  <c r="I3006" i="4"/>
  <c r="S3466" i="1"/>
  <c r="R3466" i="1"/>
  <c r="Q3466" i="1"/>
  <c r="T3466" i="1"/>
  <c r="S3465" i="1"/>
  <c r="R3465" i="1"/>
  <c r="Q3465" i="1"/>
  <c r="T3465" i="1"/>
  <c r="S3464" i="1"/>
  <c r="R3464" i="1"/>
  <c r="Q3464" i="1"/>
  <c r="T3464" i="1"/>
  <c r="S3463" i="1"/>
  <c r="R3463" i="1"/>
  <c r="Q3463" i="1"/>
  <c r="T3463" i="1"/>
  <c r="J2996" i="4"/>
  <c r="K2996" i="4"/>
  <c r="L2988" i="4"/>
  <c r="L2989" i="4"/>
  <c r="L2990" i="4"/>
  <c r="L2991" i="4"/>
  <c r="L2992" i="4"/>
  <c r="L2993" i="4"/>
  <c r="L2994" i="4"/>
  <c r="L2995" i="4"/>
  <c r="I2996" i="4"/>
  <c r="S3456" i="1"/>
  <c r="K3456" i="1"/>
  <c r="Q3456" i="1" s="1"/>
  <c r="R3456" i="1"/>
  <c r="T3456" i="1"/>
  <c r="S3455" i="1"/>
  <c r="K3455" i="1"/>
  <c r="Q3455" i="1" s="1"/>
  <c r="R3455" i="1"/>
  <c r="T3455" i="1"/>
  <c r="K3450" i="1"/>
  <c r="Q3450" i="1" s="1"/>
  <c r="K3452" i="1"/>
  <c r="Q3452" i="1" s="1"/>
  <c r="K3453" i="1"/>
  <c r="Q3453" i="1" s="1"/>
  <c r="K3454" i="1"/>
  <c r="Q3454" i="1" s="1"/>
  <c r="K3449" i="1"/>
  <c r="Q3449" i="1" s="1"/>
  <c r="P3448" i="1"/>
  <c r="P3457" i="1" s="1"/>
  <c r="K3438" i="1"/>
  <c r="K3448" i="1" s="1"/>
  <c r="L3438" i="1"/>
  <c r="L3448" i="1" s="1"/>
  <c r="L3457" i="1" s="1"/>
  <c r="J3439" i="1"/>
  <c r="T3439" i="1" s="1"/>
  <c r="J3440" i="1"/>
  <c r="J3441" i="1"/>
  <c r="T3441" i="1" s="1"/>
  <c r="J3442" i="1"/>
  <c r="S3442" i="1" s="1"/>
  <c r="J3443" i="1"/>
  <c r="N3448" i="1"/>
  <c r="N3457" i="1" s="1"/>
  <c r="O3448" i="1"/>
  <c r="M3448" i="1"/>
  <c r="M3457" i="1" s="1"/>
  <c r="S3454" i="1"/>
  <c r="R3454" i="1"/>
  <c r="T3454" i="1"/>
  <c r="S3453" i="1"/>
  <c r="R3453" i="1"/>
  <c r="T3453" i="1"/>
  <c r="S3452" i="1"/>
  <c r="R3452" i="1"/>
  <c r="T3452" i="1"/>
  <c r="S3450" i="1"/>
  <c r="R3450" i="1"/>
  <c r="T3450" i="1"/>
  <c r="S3449" i="1"/>
  <c r="R3449" i="1"/>
  <c r="T3449" i="1"/>
  <c r="L2982" i="4"/>
  <c r="L2983" i="4"/>
  <c r="L2984" i="4"/>
  <c r="L2985" i="4"/>
  <c r="L2986" i="4"/>
  <c r="Q3446" i="1"/>
  <c r="R3446" i="1"/>
  <c r="S3446" i="1"/>
  <c r="T3446" i="1"/>
  <c r="Q3445" i="1"/>
  <c r="R3445" i="1"/>
  <c r="S3445" i="1"/>
  <c r="T3445" i="1"/>
  <c r="Q3447" i="1"/>
  <c r="R3447" i="1"/>
  <c r="S3447" i="1"/>
  <c r="T3447" i="1"/>
  <c r="L2977" i="4"/>
  <c r="L2978" i="4"/>
  <c r="L2979" i="4"/>
  <c r="L2980" i="4"/>
  <c r="L2981" i="4"/>
  <c r="K2987" i="4"/>
  <c r="S3444" i="1"/>
  <c r="R3444" i="1"/>
  <c r="Q3444" i="1"/>
  <c r="T3444" i="1"/>
  <c r="L2970" i="4"/>
  <c r="L2971" i="4"/>
  <c r="K3430" i="1"/>
  <c r="Q3430" i="1" s="1"/>
  <c r="K3431" i="1"/>
  <c r="Q3431" i="1" s="1"/>
  <c r="K3432" i="1"/>
  <c r="Q3432" i="1" s="1"/>
  <c r="K3433" i="1"/>
  <c r="Q3433" i="1" s="1"/>
  <c r="K3434" i="1"/>
  <c r="K3435" i="1"/>
  <c r="Q3435" i="1" s="1"/>
  <c r="I2976" i="4"/>
  <c r="J2976" i="4"/>
  <c r="K2976" i="4"/>
  <c r="L2969" i="4"/>
  <c r="L2972" i="4"/>
  <c r="L2973" i="4"/>
  <c r="L2974" i="4"/>
  <c r="L2975" i="4"/>
  <c r="Q3436" i="1"/>
  <c r="K3429" i="1"/>
  <c r="Q3429" i="1" s="1"/>
  <c r="L3437" i="1"/>
  <c r="M3437" i="1"/>
  <c r="N3437" i="1"/>
  <c r="O3437" i="1"/>
  <c r="P3437" i="1"/>
  <c r="J3437" i="1"/>
  <c r="R3430" i="1"/>
  <c r="S3430" i="1"/>
  <c r="T3430" i="1"/>
  <c r="R3431" i="1"/>
  <c r="S3431" i="1"/>
  <c r="T3431" i="1"/>
  <c r="R3432" i="1"/>
  <c r="S3432" i="1"/>
  <c r="T3432" i="1"/>
  <c r="R3433" i="1"/>
  <c r="S3433" i="1"/>
  <c r="T3433" i="1"/>
  <c r="R3434" i="1"/>
  <c r="S3434" i="1"/>
  <c r="T3434" i="1"/>
  <c r="R3435" i="1"/>
  <c r="S3435" i="1"/>
  <c r="T3435" i="1"/>
  <c r="R3436" i="1"/>
  <c r="S3436" i="1"/>
  <c r="T3436" i="1"/>
  <c r="L2968" i="4"/>
  <c r="T3429" i="1"/>
  <c r="S3429" i="1"/>
  <c r="R3429" i="1"/>
  <c r="J3425" i="1"/>
  <c r="Q3425" i="1" s="1"/>
  <c r="L2966" i="4"/>
  <c r="Q3427" i="1"/>
  <c r="R3427" i="1"/>
  <c r="S3427" i="1"/>
  <c r="T3427" i="1"/>
  <c r="K2967" i="4"/>
  <c r="L2965" i="4"/>
  <c r="L2964" i="4"/>
  <c r="L2963" i="4"/>
  <c r="L2962" i="4"/>
  <c r="L2961" i="4"/>
  <c r="P3428" i="1"/>
  <c r="O3428" i="1"/>
  <c r="N3428" i="1"/>
  <c r="M3428" i="1"/>
  <c r="L3428" i="1"/>
  <c r="K3428" i="1"/>
  <c r="T3426" i="1"/>
  <c r="S3426" i="1"/>
  <c r="R3426" i="1"/>
  <c r="Q3426" i="1"/>
  <c r="J3424" i="1"/>
  <c r="S3424" i="1" s="1"/>
  <c r="T3423" i="1"/>
  <c r="S3422" i="1"/>
  <c r="J3421" i="1"/>
  <c r="T3421" i="1" s="1"/>
  <c r="J3420" i="1"/>
  <c r="L2955" i="4"/>
  <c r="L2956" i="4"/>
  <c r="J2960" i="4"/>
  <c r="K2960" i="4"/>
  <c r="I2960" i="4"/>
  <c r="L2958" i="4"/>
  <c r="K3413" i="1"/>
  <c r="Q3413" i="1" s="1"/>
  <c r="K3414" i="1"/>
  <c r="Q3414" i="1" s="1"/>
  <c r="K3415" i="1"/>
  <c r="Q3415" i="1" s="1"/>
  <c r="K3416" i="1"/>
  <c r="Q3416" i="1" s="1"/>
  <c r="Q3417" i="1"/>
  <c r="K3418" i="1"/>
  <c r="L3419" i="1"/>
  <c r="M3419" i="1"/>
  <c r="N3419" i="1"/>
  <c r="O3419" i="1"/>
  <c r="P3419" i="1"/>
  <c r="J3419" i="1"/>
  <c r="R3413" i="1"/>
  <c r="S3413" i="1"/>
  <c r="T3413" i="1"/>
  <c r="R3414" i="1"/>
  <c r="S3414" i="1"/>
  <c r="T3414" i="1"/>
  <c r="R3415" i="1"/>
  <c r="S3415" i="1"/>
  <c r="T3415" i="1"/>
  <c r="R3416" i="1"/>
  <c r="S3416" i="1"/>
  <c r="T3416" i="1"/>
  <c r="R3417" i="1"/>
  <c r="S3417" i="1"/>
  <c r="T3417" i="1"/>
  <c r="R3418" i="1"/>
  <c r="S3418" i="1"/>
  <c r="T3418" i="1"/>
  <c r="T3412" i="1"/>
  <c r="S3412" i="1"/>
  <c r="R3412" i="1"/>
  <c r="K3412" i="1"/>
  <c r="Q3412" i="1" s="1"/>
  <c r="L2959" i="4"/>
  <c r="L2957" i="4"/>
  <c r="L2954" i="4"/>
  <c r="L2953" i="4"/>
  <c r="L2950" i="4"/>
  <c r="K2952" i="4"/>
  <c r="L2951" i="4"/>
  <c r="L2949" i="4"/>
  <c r="L2948" i="4"/>
  <c r="L2947" i="4"/>
  <c r="L2946" i="4"/>
  <c r="L2945" i="4"/>
  <c r="L2944" i="4"/>
  <c r="J3406" i="1"/>
  <c r="T3406" i="1" s="1"/>
  <c r="J3407" i="1"/>
  <c r="Q3409" i="1"/>
  <c r="R3409" i="1"/>
  <c r="S3409" i="1"/>
  <c r="T3409" i="1"/>
  <c r="P3411" i="1"/>
  <c r="O3411" i="1"/>
  <c r="N3411" i="1"/>
  <c r="M3411" i="1"/>
  <c r="L3411" i="1"/>
  <c r="K3411" i="1"/>
  <c r="T3410" i="1"/>
  <c r="S3410" i="1"/>
  <c r="R3410" i="1"/>
  <c r="Q3410" i="1"/>
  <c r="T3408" i="1"/>
  <c r="S3408" i="1"/>
  <c r="R3408" i="1"/>
  <c r="Q3408" i="1"/>
  <c r="J3405" i="1"/>
  <c r="S3405" i="1" s="1"/>
  <c r="J3404" i="1"/>
  <c r="J3403" i="1"/>
  <c r="Q3403" i="1" s="1"/>
  <c r="L2939" i="4"/>
  <c r="K3397" i="1"/>
  <c r="Q3397" i="1" s="1"/>
  <c r="R3397" i="1"/>
  <c r="S3397" i="1"/>
  <c r="T3397" i="1"/>
  <c r="I2943" i="4"/>
  <c r="J2943" i="4"/>
  <c r="K2943" i="4"/>
  <c r="L3402" i="1"/>
  <c r="M3402" i="1"/>
  <c r="N3402" i="1"/>
  <c r="O3402" i="1"/>
  <c r="P3402" i="1"/>
  <c r="J3395" i="1"/>
  <c r="T3395" i="1" s="1"/>
  <c r="J3394" i="1"/>
  <c r="K3394" i="1" s="1"/>
  <c r="Q3394" i="1" s="1"/>
  <c r="K3396" i="1"/>
  <c r="K3398" i="1"/>
  <c r="Q3398" i="1" s="1"/>
  <c r="K3399" i="1"/>
  <c r="Q3399" i="1" s="1"/>
  <c r="K3400" i="1"/>
  <c r="Q3400" i="1" s="1"/>
  <c r="K3401" i="1"/>
  <c r="Q3401" i="1" s="1"/>
  <c r="L2940" i="4"/>
  <c r="L2941" i="4"/>
  <c r="L2942" i="4"/>
  <c r="S3401" i="1"/>
  <c r="T3401" i="1"/>
  <c r="R3401" i="1"/>
  <c r="S3400" i="1"/>
  <c r="T3400" i="1"/>
  <c r="R3400" i="1"/>
  <c r="L2938" i="4"/>
  <c r="L2937" i="4"/>
  <c r="L2936" i="4"/>
  <c r="T3399" i="1"/>
  <c r="S3399" i="1"/>
  <c r="R3399" i="1"/>
  <c r="T3398" i="1"/>
  <c r="S3398" i="1"/>
  <c r="R3398" i="1"/>
  <c r="T3396" i="1"/>
  <c r="S3396" i="1"/>
  <c r="R3396" i="1"/>
  <c r="K2935" i="4"/>
  <c r="L2934" i="4"/>
  <c r="L2933" i="4"/>
  <c r="L2932" i="4"/>
  <c r="L2931" i="4"/>
  <c r="L2930" i="4"/>
  <c r="L2929" i="4"/>
  <c r="L2928" i="4"/>
  <c r="P3393" i="1"/>
  <c r="O3393" i="1"/>
  <c r="N3393" i="1"/>
  <c r="M3393" i="1"/>
  <c r="L3393" i="1"/>
  <c r="K3393" i="1"/>
  <c r="T3392" i="1"/>
  <c r="S3392" i="1"/>
  <c r="R3392" i="1"/>
  <c r="Q3392" i="1"/>
  <c r="R3391" i="1"/>
  <c r="R3390" i="1"/>
  <c r="J3389" i="1"/>
  <c r="R3389" i="1" s="1"/>
  <c r="J3388" i="1"/>
  <c r="R3388" i="1" s="1"/>
  <c r="J3387" i="1"/>
  <c r="J3386" i="1"/>
  <c r="S3386" i="1" s="1"/>
  <c r="K3381" i="1"/>
  <c r="Q3381" i="1" s="1"/>
  <c r="K3382" i="1"/>
  <c r="Q3382" i="1" s="1"/>
  <c r="K3383" i="1"/>
  <c r="Q3383" i="1" s="1"/>
  <c r="K3384" i="1"/>
  <c r="Q3384" i="1" s="1"/>
  <c r="T3422" i="1"/>
  <c r="Q3423" i="1"/>
  <c r="Q3422" i="1"/>
  <c r="R3422" i="1"/>
  <c r="S3423" i="1"/>
  <c r="R3423" i="1"/>
  <c r="S3390" i="1"/>
  <c r="T3390" i="1"/>
  <c r="S3391" i="1"/>
  <c r="T3391" i="1"/>
  <c r="Q3390" i="1"/>
  <c r="Q3391" i="1"/>
  <c r="L2919" i="4"/>
  <c r="L2920" i="4"/>
  <c r="L2921" i="4"/>
  <c r="L2922" i="4"/>
  <c r="L2923" i="4"/>
  <c r="L2924" i="4"/>
  <c r="L2925" i="4"/>
  <c r="K3378" i="1"/>
  <c r="Q3378" i="1" s="1"/>
  <c r="K3379" i="1"/>
  <c r="Q3379" i="1" s="1"/>
  <c r="K3380" i="1"/>
  <c r="K3377" i="1"/>
  <c r="Q3377" i="1" s="1"/>
  <c r="J2927" i="4"/>
  <c r="K2927" i="4"/>
  <c r="I2927" i="4"/>
  <c r="L2926" i="4"/>
  <c r="L3385" i="1"/>
  <c r="M3385" i="1"/>
  <c r="N3385" i="1"/>
  <c r="O3385" i="1"/>
  <c r="P3385" i="1"/>
  <c r="J3385" i="1"/>
  <c r="R3383" i="1"/>
  <c r="S3383" i="1"/>
  <c r="T3383" i="1"/>
  <c r="R3384" i="1"/>
  <c r="S3384" i="1"/>
  <c r="T3384" i="1"/>
  <c r="L2918" i="4"/>
  <c r="T3382" i="1"/>
  <c r="S3382" i="1"/>
  <c r="R3382" i="1"/>
  <c r="T3381" i="1"/>
  <c r="S3381" i="1"/>
  <c r="R3381" i="1"/>
  <c r="T3380" i="1"/>
  <c r="S3380" i="1"/>
  <c r="R3380" i="1"/>
  <c r="T3379" i="1"/>
  <c r="S3379" i="1"/>
  <c r="R3379" i="1"/>
  <c r="T3378" i="1"/>
  <c r="S3378" i="1"/>
  <c r="R3378" i="1"/>
  <c r="T3377" i="1"/>
  <c r="S3377" i="1"/>
  <c r="R3377" i="1"/>
  <c r="L2915" i="4"/>
  <c r="Q3374" i="1"/>
  <c r="R3374" i="1"/>
  <c r="S3374" i="1"/>
  <c r="T3374" i="1"/>
  <c r="J3371" i="1"/>
  <c r="T3371" i="1" s="1"/>
  <c r="J3368" i="1"/>
  <c r="Q3368" i="1" s="1"/>
  <c r="J3369" i="1"/>
  <c r="T3369" i="1" s="1"/>
  <c r="J3370" i="1"/>
  <c r="R3370" i="1" s="1"/>
  <c r="L2911" i="4"/>
  <c r="L2912" i="4"/>
  <c r="L2913" i="4"/>
  <c r="L2914" i="4"/>
  <c r="L2916" i="4"/>
  <c r="Q3372" i="1"/>
  <c r="R3372" i="1"/>
  <c r="S3372" i="1"/>
  <c r="T3372" i="1"/>
  <c r="K2917" i="4"/>
  <c r="J2917" i="4"/>
  <c r="I2917" i="4"/>
  <c r="L2910" i="4"/>
  <c r="L2909" i="4"/>
  <c r="L2908" i="4"/>
  <c r="L2907" i="4"/>
  <c r="P3376" i="1"/>
  <c r="O3376" i="1"/>
  <c r="N3376" i="1"/>
  <c r="M3376" i="1"/>
  <c r="L3376" i="1"/>
  <c r="K3376" i="1"/>
  <c r="T3375" i="1"/>
  <c r="S3375" i="1"/>
  <c r="R3375" i="1"/>
  <c r="Q3375" i="1"/>
  <c r="T3373" i="1"/>
  <c r="S3373" i="1"/>
  <c r="R3373" i="1"/>
  <c r="Q3373" i="1"/>
  <c r="J3367" i="1"/>
  <c r="Q3367" i="1" s="1"/>
  <c r="J3366" i="1"/>
  <c r="S3366" i="1" s="1"/>
  <c r="L2899" i="4"/>
  <c r="L2900" i="4"/>
  <c r="L2901" i="4"/>
  <c r="L2902" i="4"/>
  <c r="L2903" i="4"/>
  <c r="L2904" i="4"/>
  <c r="L2905" i="4"/>
  <c r="K3361" i="1"/>
  <c r="Q3361" i="1" s="1"/>
  <c r="J2906" i="4"/>
  <c r="K2906" i="4"/>
  <c r="I2906" i="4"/>
  <c r="L2898" i="4"/>
  <c r="Q3362" i="1"/>
  <c r="R3362" i="1"/>
  <c r="S3362" i="1"/>
  <c r="T3362" i="1"/>
  <c r="Q3363" i="1"/>
  <c r="R3363" i="1"/>
  <c r="S3363" i="1"/>
  <c r="T3363" i="1"/>
  <c r="Q3364" i="1"/>
  <c r="R3364" i="1"/>
  <c r="S3364" i="1"/>
  <c r="T3364" i="1"/>
  <c r="T3361" i="1"/>
  <c r="S3361" i="1"/>
  <c r="R3361" i="1"/>
  <c r="T3360" i="1"/>
  <c r="S3360" i="1"/>
  <c r="R3360" i="1"/>
  <c r="Q3360" i="1"/>
  <c r="T3359" i="1"/>
  <c r="S3359" i="1"/>
  <c r="R3359" i="1"/>
  <c r="Q3359" i="1"/>
  <c r="T3358" i="1"/>
  <c r="S3358" i="1"/>
  <c r="R3358" i="1"/>
  <c r="Q3358" i="1"/>
  <c r="K2897" i="4"/>
  <c r="J2897" i="4"/>
  <c r="I2897" i="4"/>
  <c r="L2896" i="4"/>
  <c r="L2895" i="4"/>
  <c r="L2894" i="4"/>
  <c r="L2893" i="4"/>
  <c r="L2892" i="4"/>
  <c r="L2891" i="4"/>
  <c r="P3357" i="1"/>
  <c r="P3365" i="1" s="1"/>
  <c r="O3357" i="1"/>
  <c r="N3357" i="1"/>
  <c r="N3365" i="1" s="1"/>
  <c r="M3357" i="1"/>
  <c r="M3365" i="1" s="1"/>
  <c r="L3357" i="1"/>
  <c r="L3365" i="1" s="1"/>
  <c r="K3357" i="1"/>
  <c r="T3356" i="1"/>
  <c r="S3356" i="1"/>
  <c r="R3356" i="1"/>
  <c r="Q3356" i="1"/>
  <c r="T3355" i="1"/>
  <c r="S3355" i="1"/>
  <c r="R3355" i="1"/>
  <c r="Q3355" i="1"/>
  <c r="Q3354" i="1"/>
  <c r="T3353" i="1"/>
  <c r="S3353" i="1"/>
  <c r="R3353" i="1"/>
  <c r="Q3353" i="1"/>
  <c r="J3352" i="1"/>
  <c r="J3351" i="1"/>
  <c r="Q3351" i="1" s="1"/>
  <c r="L2888" i="4"/>
  <c r="Q3345" i="1"/>
  <c r="R3345" i="1"/>
  <c r="S3345" i="1"/>
  <c r="T3345" i="1"/>
  <c r="R3346" i="1"/>
  <c r="S3346" i="1"/>
  <c r="T3346" i="1"/>
  <c r="J2890" i="4"/>
  <c r="K2890" i="4"/>
  <c r="I2890" i="4"/>
  <c r="L2881" i="4"/>
  <c r="L2882" i="4"/>
  <c r="L2883" i="4"/>
  <c r="L2884" i="4"/>
  <c r="L2885" i="4"/>
  <c r="L2886" i="4"/>
  <c r="L2887" i="4"/>
  <c r="L2889" i="4"/>
  <c r="L2880" i="4"/>
  <c r="L3350" i="1"/>
  <c r="M3350" i="1"/>
  <c r="N3350" i="1"/>
  <c r="O3350" i="1"/>
  <c r="P3350" i="1"/>
  <c r="J3350" i="1"/>
  <c r="K3346" i="1"/>
  <c r="Q3346" i="1" s="1"/>
  <c r="K3344" i="1"/>
  <c r="Q3344" i="1" s="1"/>
  <c r="K3343" i="1"/>
  <c r="Q3343" i="1" s="1"/>
  <c r="T3349" i="1"/>
  <c r="S3349" i="1"/>
  <c r="R3349" i="1"/>
  <c r="Q3349" i="1"/>
  <c r="T3348" i="1"/>
  <c r="T3347" i="1"/>
  <c r="S3347" i="1"/>
  <c r="R3347" i="1"/>
  <c r="Q3347" i="1"/>
  <c r="T3344" i="1"/>
  <c r="S3344" i="1"/>
  <c r="R3344" i="1"/>
  <c r="T3343" i="1"/>
  <c r="S3343" i="1"/>
  <c r="R3343" i="1"/>
  <c r="T3342" i="1"/>
  <c r="S3342" i="1"/>
  <c r="R3342" i="1"/>
  <c r="Q3342" i="1"/>
  <c r="T3341" i="1"/>
  <c r="S3341" i="1"/>
  <c r="R3341" i="1"/>
  <c r="Q3341" i="1"/>
  <c r="K2879" i="4"/>
  <c r="J2879" i="4"/>
  <c r="I2879" i="4"/>
  <c r="L2878" i="4"/>
  <c r="L2877" i="4"/>
  <c r="L2876" i="4"/>
  <c r="L2875" i="4"/>
  <c r="L2874" i="4"/>
  <c r="L2873" i="4"/>
  <c r="L2872" i="4"/>
  <c r="P3340" i="1"/>
  <c r="O3340" i="1"/>
  <c r="N3340" i="1"/>
  <c r="M3340" i="1"/>
  <c r="L3340" i="1"/>
  <c r="K3340" i="1"/>
  <c r="R3339" i="1"/>
  <c r="R3338" i="1"/>
  <c r="R3337" i="1"/>
  <c r="J3336" i="1"/>
  <c r="R3336" i="1" s="1"/>
  <c r="R3335" i="1"/>
  <c r="J3334" i="1"/>
  <c r="J3333" i="1"/>
  <c r="S3333" i="1" s="1"/>
  <c r="L2867" i="4"/>
  <c r="L2866" i="4"/>
  <c r="T3354" i="1"/>
  <c r="R3354" i="1"/>
  <c r="S3354" i="1"/>
  <c r="Q3348" i="1"/>
  <c r="R3348" i="1"/>
  <c r="S3348" i="1"/>
  <c r="S3337" i="1"/>
  <c r="S3339" i="1"/>
  <c r="T3339" i="1"/>
  <c r="S3338" i="1"/>
  <c r="S3335" i="1"/>
  <c r="T3335" i="1"/>
  <c r="T3337" i="1"/>
  <c r="T3338" i="1"/>
  <c r="Q3335" i="1"/>
  <c r="Q3337" i="1"/>
  <c r="Q3338" i="1"/>
  <c r="Q3339" i="1"/>
  <c r="Q3324" i="1"/>
  <c r="Q3323" i="1"/>
  <c r="R3323" i="1"/>
  <c r="S3323" i="1"/>
  <c r="T3323" i="1"/>
  <c r="R3324" i="1"/>
  <c r="S3324" i="1"/>
  <c r="T3324" i="1"/>
  <c r="Q3325" i="1"/>
  <c r="R3325" i="1"/>
  <c r="S3325" i="1"/>
  <c r="T3325" i="1"/>
  <c r="Q3326" i="1"/>
  <c r="R3326" i="1"/>
  <c r="S3326" i="1"/>
  <c r="T3326" i="1"/>
  <c r="Q3327" i="1"/>
  <c r="R3327" i="1"/>
  <c r="S3327" i="1"/>
  <c r="T3327" i="1"/>
  <c r="Q3328" i="1"/>
  <c r="R3328" i="1"/>
  <c r="S3328" i="1"/>
  <c r="T3328" i="1"/>
  <c r="Q3329" i="1"/>
  <c r="R3329" i="1"/>
  <c r="S3329" i="1"/>
  <c r="T3329" i="1"/>
  <c r="Q3330" i="1"/>
  <c r="R3330" i="1"/>
  <c r="S3330" i="1"/>
  <c r="T3330" i="1"/>
  <c r="Q3331" i="1"/>
  <c r="R3331" i="1"/>
  <c r="S3331" i="1"/>
  <c r="T3331" i="1"/>
  <c r="Q3322" i="1"/>
  <c r="J2871" i="4"/>
  <c r="K2871" i="4"/>
  <c r="I2871" i="4"/>
  <c r="L2864" i="4"/>
  <c r="L2865" i="4"/>
  <c r="L2868" i="4"/>
  <c r="L2869" i="4"/>
  <c r="L2870" i="4"/>
  <c r="L2863" i="4"/>
  <c r="K3332" i="1"/>
  <c r="L3332" i="1"/>
  <c r="M3332" i="1"/>
  <c r="N3332" i="1"/>
  <c r="O3332" i="1"/>
  <c r="P3332" i="1"/>
  <c r="J3332" i="1"/>
  <c r="T3322" i="1"/>
  <c r="S3322" i="1"/>
  <c r="R3322" i="1"/>
  <c r="K2862" i="4"/>
  <c r="J2862" i="4"/>
  <c r="I2862" i="4"/>
  <c r="L2861" i="4"/>
  <c r="L2860" i="4"/>
  <c r="L2859" i="4"/>
  <c r="L2858" i="4"/>
  <c r="L2857" i="4"/>
  <c r="N3317" i="1"/>
  <c r="R3317" i="1" s="1"/>
  <c r="K3318" i="1"/>
  <c r="Q3318" i="1" s="1"/>
  <c r="K3319" i="1"/>
  <c r="Q3319" i="1" s="1"/>
  <c r="K3320" i="1"/>
  <c r="K3316" i="1"/>
  <c r="Q3316" i="1" s="1"/>
  <c r="R3319" i="1"/>
  <c r="S3319" i="1"/>
  <c r="T3319" i="1"/>
  <c r="R3320" i="1"/>
  <c r="S3320" i="1"/>
  <c r="T3320" i="1"/>
  <c r="P3321" i="1"/>
  <c r="O3321" i="1"/>
  <c r="M3321" i="1"/>
  <c r="L3321" i="1"/>
  <c r="J3321" i="1"/>
  <c r="T3318" i="1"/>
  <c r="S3318" i="1"/>
  <c r="R3318" i="1"/>
  <c r="T3317" i="1"/>
  <c r="S3317" i="1"/>
  <c r="T3316" i="1"/>
  <c r="S3316" i="1"/>
  <c r="R3316" i="1"/>
  <c r="L2849" i="4"/>
  <c r="L2850" i="4"/>
  <c r="L2851" i="4"/>
  <c r="L2852" i="4"/>
  <c r="L2853" i="4"/>
  <c r="L2854" i="4"/>
  <c r="L2855" i="4"/>
  <c r="K3309" i="1"/>
  <c r="Q3309" i="1" s="1"/>
  <c r="K3308" i="1"/>
  <c r="Q3308" i="1" s="1"/>
  <c r="J2856" i="4"/>
  <c r="K2856" i="4"/>
  <c r="I2856" i="4"/>
  <c r="L3315" i="1"/>
  <c r="M3315" i="1"/>
  <c r="N3315" i="1"/>
  <c r="O3315" i="1"/>
  <c r="P3315" i="1"/>
  <c r="L2848" i="4"/>
  <c r="T3314" i="1"/>
  <c r="T3313" i="1"/>
  <c r="S3312" i="1"/>
  <c r="S3311" i="1"/>
  <c r="S3310" i="1"/>
  <c r="S3309" i="1"/>
  <c r="S3308" i="1"/>
  <c r="J3298" i="1"/>
  <c r="J3299" i="1"/>
  <c r="T3299" i="1" s="1"/>
  <c r="J3300" i="1"/>
  <c r="Q3300" i="1" s="1"/>
  <c r="J3301" i="1"/>
  <c r="Q3301" i="1" s="1"/>
  <c r="J3302" i="1"/>
  <c r="J3303" i="1"/>
  <c r="R3303" i="1" s="1"/>
  <c r="J3304" i="1"/>
  <c r="Q3304" i="1" s="1"/>
  <c r="J3305" i="1"/>
  <c r="Q3305" i="1" s="1"/>
  <c r="J3306" i="1"/>
  <c r="L2846" i="4"/>
  <c r="K2847" i="4"/>
  <c r="J2847" i="4"/>
  <c r="I2847" i="4"/>
  <c r="L2845" i="4"/>
  <c r="L2844" i="4"/>
  <c r="L2843" i="4"/>
  <c r="L2842" i="4"/>
  <c r="L2841" i="4"/>
  <c r="L2840" i="4"/>
  <c r="L2839" i="4"/>
  <c r="P3307" i="1"/>
  <c r="O3307" i="1"/>
  <c r="N3307" i="1"/>
  <c r="M3307" i="1"/>
  <c r="L3307" i="1"/>
  <c r="K3307" i="1"/>
  <c r="J3297" i="1"/>
  <c r="K3292" i="1"/>
  <c r="Q3292" i="1" s="1"/>
  <c r="K3289" i="1"/>
  <c r="Q3289" i="1" s="1"/>
  <c r="K3291" i="1"/>
  <c r="Q3291" i="1" s="1"/>
  <c r="J3290" i="1"/>
  <c r="L3296" i="1"/>
  <c r="M3296" i="1"/>
  <c r="N3296" i="1"/>
  <c r="O3296" i="1"/>
  <c r="P3296" i="1"/>
  <c r="L2834" i="4"/>
  <c r="T3292" i="1"/>
  <c r="S3292" i="1"/>
  <c r="R3292" i="1"/>
  <c r="K3295" i="1"/>
  <c r="Q3295" i="1" s="1"/>
  <c r="R3295" i="1"/>
  <c r="S3295" i="1"/>
  <c r="T3295" i="1"/>
  <c r="T3294" i="1"/>
  <c r="S3294" i="1"/>
  <c r="R3294" i="1"/>
  <c r="K3294" i="1"/>
  <c r="Q3294" i="1" s="1"/>
  <c r="T3293" i="1"/>
  <c r="S3293" i="1"/>
  <c r="R3293" i="1"/>
  <c r="K3293" i="1"/>
  <c r="Q3293" i="1" s="1"/>
  <c r="T3291" i="1"/>
  <c r="S3291" i="1"/>
  <c r="R3291" i="1"/>
  <c r="T3289" i="1"/>
  <c r="S3289" i="1"/>
  <c r="R3289" i="1"/>
  <c r="L2835" i="4"/>
  <c r="L2836" i="4"/>
  <c r="L2837" i="4"/>
  <c r="I2838" i="4"/>
  <c r="J2838" i="4"/>
  <c r="K2838" i="4"/>
  <c r="L2833" i="4"/>
  <c r="L2832" i="4"/>
  <c r="L2831" i="4"/>
  <c r="L2830" i="4"/>
  <c r="L3288" i="1"/>
  <c r="M3288" i="1"/>
  <c r="N3288" i="1"/>
  <c r="O3288" i="1"/>
  <c r="P3288" i="1"/>
  <c r="J3288" i="1"/>
  <c r="L2824" i="4"/>
  <c r="L2825" i="4"/>
  <c r="L2826" i="4"/>
  <c r="L2827" i="4"/>
  <c r="L2828" i="4"/>
  <c r="K3287" i="1"/>
  <c r="Q3287" i="1" s="1"/>
  <c r="K3286" i="1"/>
  <c r="Q3286" i="1" s="1"/>
  <c r="K3285" i="1"/>
  <c r="Q3285" i="1" s="1"/>
  <c r="K3284" i="1"/>
  <c r="Q3284" i="1" s="1"/>
  <c r="K3283" i="1"/>
  <c r="Q3283" i="1" s="1"/>
  <c r="K3282" i="1"/>
  <c r="Q3282" i="1" s="1"/>
  <c r="K3281" i="1"/>
  <c r="Q3281" i="1" s="1"/>
  <c r="K3280" i="1"/>
  <c r="R3286" i="1"/>
  <c r="S3286" i="1"/>
  <c r="T3286" i="1"/>
  <c r="R3287" i="1"/>
  <c r="S3287" i="1"/>
  <c r="T3287" i="1"/>
  <c r="T3285" i="1"/>
  <c r="S3285" i="1"/>
  <c r="R3285" i="1"/>
  <c r="T3284" i="1"/>
  <c r="S3284" i="1"/>
  <c r="R3284" i="1"/>
  <c r="T3283" i="1"/>
  <c r="S3283" i="1"/>
  <c r="R3283" i="1"/>
  <c r="K2829" i="4"/>
  <c r="J2829" i="4"/>
  <c r="I2829" i="4"/>
  <c r="L2823" i="4"/>
  <c r="L2822" i="4"/>
  <c r="L2821" i="4"/>
  <c r="T3282" i="1"/>
  <c r="S3282" i="1"/>
  <c r="R3282" i="1"/>
  <c r="T3281" i="1"/>
  <c r="S3281" i="1"/>
  <c r="R3281" i="1"/>
  <c r="T3280" i="1"/>
  <c r="S3280" i="1"/>
  <c r="R3280" i="1"/>
  <c r="I2820" i="4"/>
  <c r="K3279" i="1"/>
  <c r="L3279" i="1"/>
  <c r="M3279" i="1"/>
  <c r="N3279" i="1"/>
  <c r="O3279" i="1"/>
  <c r="P3279" i="1"/>
  <c r="J3279" i="1"/>
  <c r="T3275" i="1"/>
  <c r="S3275" i="1"/>
  <c r="R3275" i="1"/>
  <c r="Q3275" i="1"/>
  <c r="J2820" i="4"/>
  <c r="K2820" i="4"/>
  <c r="L2815" i="4"/>
  <c r="L2816" i="4"/>
  <c r="L2817" i="4"/>
  <c r="L2818" i="4"/>
  <c r="L2819" i="4"/>
  <c r="L2814" i="4"/>
  <c r="L2813" i="4"/>
  <c r="L2812" i="4"/>
  <c r="S3278" i="1"/>
  <c r="S3277" i="1"/>
  <c r="T3278" i="1"/>
  <c r="T3277" i="1"/>
  <c r="R3278" i="1"/>
  <c r="R3277" i="1"/>
  <c r="Q3278" i="1"/>
  <c r="Q3277" i="1"/>
  <c r="J3315" i="1"/>
  <c r="T3308" i="1"/>
  <c r="T3311" i="1"/>
  <c r="T3310" i="1"/>
  <c r="T3309" i="1"/>
  <c r="T3312" i="1"/>
  <c r="Q3310" i="1"/>
  <c r="Q3311" i="1"/>
  <c r="Q3312" i="1"/>
  <c r="Q3313" i="1"/>
  <c r="Q3314" i="1"/>
  <c r="R3308" i="1"/>
  <c r="R3309" i="1"/>
  <c r="R3310" i="1"/>
  <c r="R3311" i="1"/>
  <c r="R3312" i="1"/>
  <c r="R3313" i="1"/>
  <c r="R3314" i="1"/>
  <c r="S3313" i="1"/>
  <c r="S3314" i="1"/>
  <c r="T3276" i="1"/>
  <c r="S3276" i="1"/>
  <c r="R3276" i="1"/>
  <c r="Q3276" i="1"/>
  <c r="T3274" i="1"/>
  <c r="S3274" i="1"/>
  <c r="R3274" i="1"/>
  <c r="Q3274" i="1"/>
  <c r="T3273" i="1"/>
  <c r="S3273" i="1"/>
  <c r="R3273" i="1"/>
  <c r="Q3273" i="1"/>
  <c r="T3272" i="1"/>
  <c r="S3272" i="1"/>
  <c r="R3272" i="1"/>
  <c r="Q3272" i="1"/>
  <c r="T3271" i="1"/>
  <c r="S3271" i="1"/>
  <c r="R3271" i="1"/>
  <c r="Q3271" i="1"/>
  <c r="L2808" i="4"/>
  <c r="L2809" i="4"/>
  <c r="L2810" i="4"/>
  <c r="Q3265" i="1"/>
  <c r="R3265" i="1"/>
  <c r="S3265" i="1"/>
  <c r="T3265" i="1"/>
  <c r="Q3266" i="1"/>
  <c r="R3266" i="1"/>
  <c r="S3266" i="1"/>
  <c r="T3266" i="1"/>
  <c r="Q3267" i="1"/>
  <c r="R3267" i="1"/>
  <c r="S3267" i="1"/>
  <c r="T3267" i="1"/>
  <c r="Q3268" i="1"/>
  <c r="R3268" i="1"/>
  <c r="S3268" i="1"/>
  <c r="T3268" i="1"/>
  <c r="K2811" i="4"/>
  <c r="J2811" i="4"/>
  <c r="I2811" i="4"/>
  <c r="L2807" i="4"/>
  <c r="L2806" i="4"/>
  <c r="L2805" i="4"/>
  <c r="L2804" i="4"/>
  <c r="L2803" i="4"/>
  <c r="L2802" i="4"/>
  <c r="L2801" i="4"/>
  <c r="L2800" i="4"/>
  <c r="P3270" i="1"/>
  <c r="O3270" i="1"/>
  <c r="N3270" i="1"/>
  <c r="M3270" i="1"/>
  <c r="L3270" i="1"/>
  <c r="K3270" i="1"/>
  <c r="T3269" i="1"/>
  <c r="S3269" i="1"/>
  <c r="R3269" i="1"/>
  <c r="Q3269" i="1"/>
  <c r="J3264" i="1"/>
  <c r="T3264" i="1" s="1"/>
  <c r="J3263" i="1"/>
  <c r="S3263" i="1" s="1"/>
  <c r="J3262" i="1"/>
  <c r="Q3262" i="1" s="1"/>
  <c r="J3261" i="1"/>
  <c r="T3261" i="1" s="1"/>
  <c r="J3260" i="1"/>
  <c r="S3260" i="1" s="1"/>
  <c r="J3259" i="1"/>
  <c r="K3255" i="1"/>
  <c r="Q3255" i="1" s="1"/>
  <c r="L2797" i="4"/>
  <c r="K3253" i="1"/>
  <c r="Q3253" i="1" s="1"/>
  <c r="K2799" i="4"/>
  <c r="J2799" i="4"/>
  <c r="I2799" i="4"/>
  <c r="L2798" i="4"/>
  <c r="L2796" i="4"/>
  <c r="L2795" i="4"/>
  <c r="L2794" i="4"/>
  <c r="L2793" i="4"/>
  <c r="L2792" i="4"/>
  <c r="L2791" i="4"/>
  <c r="L2790" i="4"/>
  <c r="L2789" i="4"/>
  <c r="S3256" i="1"/>
  <c r="T3256" i="1"/>
  <c r="R3256" i="1"/>
  <c r="Q3256" i="1"/>
  <c r="S3255" i="1"/>
  <c r="T3255" i="1"/>
  <c r="R3255" i="1"/>
  <c r="T3257" i="1"/>
  <c r="S3257" i="1"/>
  <c r="R3257" i="1"/>
  <c r="Q3257" i="1"/>
  <c r="T3254" i="1"/>
  <c r="S3254" i="1"/>
  <c r="R3254" i="1"/>
  <c r="Q3254" i="1"/>
  <c r="T3253" i="1"/>
  <c r="S3253" i="1"/>
  <c r="R3253" i="1"/>
  <c r="T3252" i="1"/>
  <c r="S3252" i="1"/>
  <c r="R3252" i="1"/>
  <c r="Q3252" i="1"/>
  <c r="T3251" i="1"/>
  <c r="S3251" i="1"/>
  <c r="R3251" i="1"/>
  <c r="Q3251" i="1"/>
  <c r="L2781" i="4"/>
  <c r="J3243" i="1"/>
  <c r="S3243" i="1" s="1"/>
  <c r="J3245" i="1"/>
  <c r="J3246" i="1"/>
  <c r="Q3246" i="1" s="1"/>
  <c r="J3247" i="1"/>
  <c r="K2788" i="4"/>
  <c r="J2788" i="4"/>
  <c r="I2788" i="4"/>
  <c r="L2787" i="4"/>
  <c r="L2786" i="4"/>
  <c r="L2785" i="4"/>
  <c r="L2784" i="4"/>
  <c r="L2783" i="4"/>
  <c r="L2782" i="4"/>
  <c r="L2780" i="4"/>
  <c r="L2779" i="4"/>
  <c r="P3250" i="1"/>
  <c r="P3258" i="1" s="1"/>
  <c r="O3250" i="1"/>
  <c r="O3258" i="1" s="1"/>
  <c r="N3250" i="1"/>
  <c r="N3258" i="1" s="1"/>
  <c r="M3250" i="1"/>
  <c r="M3258" i="1" s="1"/>
  <c r="T3249" i="1"/>
  <c r="S3249" i="1"/>
  <c r="R3249" i="1"/>
  <c r="Q3249" i="1"/>
  <c r="T3248" i="1"/>
  <c r="S3248" i="1"/>
  <c r="R3248" i="1"/>
  <c r="Q3248" i="1"/>
  <c r="J3244" i="1"/>
  <c r="Q3244" i="1" s="1"/>
  <c r="J3242" i="1"/>
  <c r="T3242" i="1" s="1"/>
  <c r="L3250" i="1"/>
  <c r="L3258" i="1" s="1"/>
  <c r="J3241" i="1"/>
  <c r="T3241" i="1" s="1"/>
  <c r="L2772" i="4"/>
  <c r="L2773" i="4"/>
  <c r="L2774" i="4"/>
  <c r="J2778" i="4"/>
  <c r="K2778" i="4"/>
  <c r="I2778" i="4"/>
  <c r="L2777" i="4"/>
  <c r="L2776" i="4"/>
  <c r="L2775" i="4"/>
  <c r="L2771" i="4"/>
  <c r="L2770" i="4"/>
  <c r="T3239" i="1"/>
  <c r="S3239" i="1"/>
  <c r="R3239" i="1"/>
  <c r="Q3239" i="1"/>
  <c r="T3238" i="1"/>
  <c r="S3238" i="1"/>
  <c r="R3238" i="1"/>
  <c r="Q3238" i="1"/>
  <c r="T3237" i="1"/>
  <c r="S3237" i="1"/>
  <c r="R3237" i="1"/>
  <c r="Q3237" i="1"/>
  <c r="T3236" i="1"/>
  <c r="S3236" i="1"/>
  <c r="R3236" i="1"/>
  <c r="Q3236" i="1"/>
  <c r="T3235" i="1"/>
  <c r="S3235" i="1"/>
  <c r="R3235" i="1"/>
  <c r="Q3235" i="1"/>
  <c r="T3234" i="1"/>
  <c r="S3234" i="1"/>
  <c r="R3234" i="1"/>
  <c r="Q3234" i="1"/>
  <c r="K3224" i="1"/>
  <c r="L3223" i="1"/>
  <c r="L3233" i="1" s="1"/>
  <c r="K3223" i="1"/>
  <c r="L2767" i="4"/>
  <c r="Q3231" i="1"/>
  <c r="R3231" i="1"/>
  <c r="S3231" i="1"/>
  <c r="T3231" i="1"/>
  <c r="K2769" i="4"/>
  <c r="J2769" i="4"/>
  <c r="I2769" i="4"/>
  <c r="L2768" i="4"/>
  <c r="L2766" i="4"/>
  <c r="L2765" i="4"/>
  <c r="L2764" i="4"/>
  <c r="L2763" i="4"/>
  <c r="L2762" i="4"/>
  <c r="L2761" i="4"/>
  <c r="L2760" i="4"/>
  <c r="L2759" i="4"/>
  <c r="P3233" i="1"/>
  <c r="P3240" i="1" s="1"/>
  <c r="O3233" i="1"/>
  <c r="N3233" i="1"/>
  <c r="N3240" i="1" s="1"/>
  <c r="M3233" i="1"/>
  <c r="M3240" i="1" s="1"/>
  <c r="T3232" i="1"/>
  <c r="S3232" i="1"/>
  <c r="R3232" i="1"/>
  <c r="Q3232" i="1"/>
  <c r="T3230" i="1"/>
  <c r="S3230" i="1"/>
  <c r="R3230" i="1"/>
  <c r="Q3230" i="1"/>
  <c r="T3229" i="1"/>
  <c r="S3229" i="1"/>
  <c r="R3229" i="1"/>
  <c r="Q3229" i="1"/>
  <c r="T3228" i="1"/>
  <c r="S3228" i="1"/>
  <c r="R3228" i="1"/>
  <c r="Q3228" i="1"/>
  <c r="J3227" i="1"/>
  <c r="J3226" i="1"/>
  <c r="S3226" i="1" s="1"/>
  <c r="J3225" i="1"/>
  <c r="Q3225" i="1" s="1"/>
  <c r="L2754" i="4"/>
  <c r="K3217" i="1"/>
  <c r="K3222" i="1" s="1"/>
  <c r="K3250" i="1"/>
  <c r="L3222" i="1"/>
  <c r="M3222" i="1"/>
  <c r="N3222" i="1"/>
  <c r="O3222" i="1"/>
  <c r="P3222" i="1"/>
  <c r="J3222" i="1"/>
  <c r="J2758" i="4"/>
  <c r="K2758" i="4"/>
  <c r="L2752" i="4"/>
  <c r="L2753" i="4"/>
  <c r="L2755" i="4"/>
  <c r="L2756" i="4"/>
  <c r="L2757" i="4"/>
  <c r="Q3220" i="1"/>
  <c r="R3220" i="1"/>
  <c r="S3220" i="1"/>
  <c r="T3220" i="1"/>
  <c r="Q3221" i="1"/>
  <c r="R3221" i="1"/>
  <c r="S3221" i="1"/>
  <c r="T3221" i="1"/>
  <c r="T3219" i="1"/>
  <c r="S3219" i="1"/>
  <c r="R3219" i="1"/>
  <c r="Q3219" i="1"/>
  <c r="I2758" i="4"/>
  <c r="L2751" i="4"/>
  <c r="T3218" i="1"/>
  <c r="S3218" i="1"/>
  <c r="R3218" i="1"/>
  <c r="Q3218" i="1"/>
  <c r="T3217" i="1"/>
  <c r="S3217" i="1"/>
  <c r="R3217" i="1"/>
  <c r="T3216" i="1"/>
  <c r="S3216" i="1"/>
  <c r="R3216" i="1"/>
  <c r="T3215" i="1"/>
  <c r="S3215" i="1"/>
  <c r="R3215" i="1"/>
  <c r="Q3215" i="1"/>
  <c r="L2748" i="4"/>
  <c r="T3212" i="1"/>
  <c r="S3212" i="1"/>
  <c r="R3212" i="1"/>
  <c r="Q3212" i="1"/>
  <c r="K3202" i="1"/>
  <c r="K3214" i="1" s="1"/>
  <c r="J3209" i="1"/>
  <c r="Q3209" i="1" s="1"/>
  <c r="J3203" i="1"/>
  <c r="T3203" i="1" s="1"/>
  <c r="J3204" i="1"/>
  <c r="R3204" i="1" s="1"/>
  <c r="J3205" i="1"/>
  <c r="J3206" i="1"/>
  <c r="J3207" i="1"/>
  <c r="S3207" i="1" s="1"/>
  <c r="J3208" i="1"/>
  <c r="R3208" i="1" s="1"/>
  <c r="L2746" i="4"/>
  <c r="L2747" i="4"/>
  <c r="K2750" i="4"/>
  <c r="J2750" i="4"/>
  <c r="I2750" i="4"/>
  <c r="L2749" i="4"/>
  <c r="L2745" i="4"/>
  <c r="L2744" i="4"/>
  <c r="L2743" i="4"/>
  <c r="L2742" i="4"/>
  <c r="L2741" i="4"/>
  <c r="L2740" i="4"/>
  <c r="L2739" i="4"/>
  <c r="L2738" i="4"/>
  <c r="Q3210" i="1"/>
  <c r="R3210" i="1"/>
  <c r="S3210" i="1"/>
  <c r="T3210" i="1"/>
  <c r="Q3211" i="1"/>
  <c r="R3211" i="1"/>
  <c r="S3211" i="1"/>
  <c r="T3211" i="1"/>
  <c r="Q3213" i="1"/>
  <c r="R3213" i="1"/>
  <c r="S3213" i="1"/>
  <c r="T3213" i="1"/>
  <c r="Q3216" i="1"/>
  <c r="P3214" i="1"/>
  <c r="O3214" i="1"/>
  <c r="M3214" i="1"/>
  <c r="L3214" i="1"/>
  <c r="N3214" i="1"/>
  <c r="L2732" i="4"/>
  <c r="L2731" i="4"/>
  <c r="L2733" i="4"/>
  <c r="L2734" i="4"/>
  <c r="L2735" i="4"/>
  <c r="Q3195" i="1"/>
  <c r="R3195" i="1"/>
  <c r="S3195" i="1"/>
  <c r="T3195" i="1"/>
  <c r="Q3196" i="1"/>
  <c r="R3196" i="1"/>
  <c r="S3196" i="1"/>
  <c r="T3196" i="1"/>
  <c r="Q3200" i="1"/>
  <c r="R3200" i="1"/>
  <c r="S3200" i="1"/>
  <c r="T3200" i="1"/>
  <c r="Q3198" i="1"/>
  <c r="R3198" i="1"/>
  <c r="S3198" i="1"/>
  <c r="T3198" i="1"/>
  <c r="Q3199" i="1"/>
  <c r="R3199" i="1"/>
  <c r="S3199" i="1"/>
  <c r="T3199" i="1"/>
  <c r="J2737" i="4"/>
  <c r="K2737" i="4"/>
  <c r="I2737" i="4"/>
  <c r="L2729" i="4"/>
  <c r="L2730" i="4"/>
  <c r="L2736" i="4"/>
  <c r="L2728" i="4"/>
  <c r="T3197" i="1"/>
  <c r="S3197" i="1"/>
  <c r="R3197" i="1"/>
  <c r="Q3197" i="1"/>
  <c r="T3194" i="1"/>
  <c r="S3194" i="1"/>
  <c r="R3194" i="1"/>
  <c r="Q3194" i="1"/>
  <c r="T3193" i="1"/>
  <c r="S3193" i="1"/>
  <c r="R3193" i="1"/>
  <c r="Q3193" i="1"/>
  <c r="T3192" i="1"/>
  <c r="S3192" i="1"/>
  <c r="R3192" i="1"/>
  <c r="Q3192" i="1"/>
  <c r="N3189" i="1"/>
  <c r="N3191" i="1" s="1"/>
  <c r="K2727" i="4"/>
  <c r="J2727" i="4"/>
  <c r="I2727" i="4"/>
  <c r="L2726" i="4"/>
  <c r="L2725" i="4"/>
  <c r="L2724" i="4"/>
  <c r="L2723" i="4"/>
  <c r="L2722" i="4"/>
  <c r="L2721" i="4"/>
  <c r="P3191" i="1"/>
  <c r="P3201" i="1" s="1"/>
  <c r="O3191" i="1"/>
  <c r="O3201" i="1" s="1"/>
  <c r="M3191" i="1"/>
  <c r="M3201" i="1" s="1"/>
  <c r="T3190" i="1"/>
  <c r="S3190" i="1"/>
  <c r="R3190" i="1"/>
  <c r="Q3190" i="1"/>
  <c r="S3189" i="1"/>
  <c r="J3188" i="1"/>
  <c r="S3188" i="1" s="1"/>
  <c r="J3187" i="1"/>
  <c r="T3187" i="1" s="1"/>
  <c r="J3186" i="1"/>
  <c r="L3191" i="1"/>
  <c r="L3201" i="1" s="1"/>
  <c r="K3191" i="1"/>
  <c r="K3201" i="1" s="1"/>
  <c r="Q3183" i="1"/>
  <c r="L3184" i="1"/>
  <c r="M3184" i="1"/>
  <c r="N3184" i="1"/>
  <c r="O3184" i="1"/>
  <c r="P3184" i="1"/>
  <c r="J3184" i="1"/>
  <c r="R3182" i="1"/>
  <c r="T3182" i="1"/>
  <c r="S3182" i="1"/>
  <c r="Q3182" i="1"/>
  <c r="R3181" i="1"/>
  <c r="S3181" i="1"/>
  <c r="T3181" i="1"/>
  <c r="Q3181" i="1"/>
  <c r="Q3180" i="1"/>
  <c r="T3183" i="1"/>
  <c r="S3183" i="1"/>
  <c r="R3183" i="1"/>
  <c r="T3180" i="1"/>
  <c r="S3180" i="1"/>
  <c r="R3180" i="1"/>
  <c r="T3179" i="1"/>
  <c r="S3179" i="1"/>
  <c r="R3179" i="1"/>
  <c r="Q3179" i="1"/>
  <c r="T3178" i="1"/>
  <c r="S3178" i="1"/>
  <c r="R3178" i="1"/>
  <c r="Q3178" i="1"/>
  <c r="T3177" i="1"/>
  <c r="S3177" i="1"/>
  <c r="R3177" i="1"/>
  <c r="Q3177" i="1"/>
  <c r="J2720" i="4"/>
  <c r="K2720" i="4"/>
  <c r="I2720" i="4"/>
  <c r="L2713" i="4"/>
  <c r="L2714" i="4"/>
  <c r="L2715" i="4"/>
  <c r="L2716" i="4"/>
  <c r="L2717" i="4"/>
  <c r="L2718" i="4"/>
  <c r="L2719" i="4"/>
  <c r="L2712" i="4"/>
  <c r="L3168" i="1"/>
  <c r="L3176" i="1" s="1"/>
  <c r="K3168" i="1"/>
  <c r="K2711" i="4"/>
  <c r="J2711" i="4"/>
  <c r="I2711" i="4"/>
  <c r="L2710" i="4"/>
  <c r="L2709" i="4"/>
  <c r="L2708" i="4"/>
  <c r="L2707" i="4"/>
  <c r="L2706" i="4"/>
  <c r="L2705" i="4"/>
  <c r="L2704" i="4"/>
  <c r="L2703" i="4"/>
  <c r="P3176" i="1"/>
  <c r="O3176" i="1"/>
  <c r="N3176" i="1"/>
  <c r="M3176" i="1"/>
  <c r="T3175" i="1"/>
  <c r="S3175" i="1"/>
  <c r="R3175" i="1"/>
  <c r="Q3175" i="1"/>
  <c r="T3174" i="1"/>
  <c r="S3174" i="1"/>
  <c r="R3174" i="1"/>
  <c r="Q3174" i="1"/>
  <c r="T3173" i="1"/>
  <c r="S3173" i="1"/>
  <c r="R3173" i="1"/>
  <c r="Q3173" i="1"/>
  <c r="J3172" i="1"/>
  <c r="T3172" i="1" s="1"/>
  <c r="J3171" i="1"/>
  <c r="J3170" i="1"/>
  <c r="J3169" i="1"/>
  <c r="S3169" i="1" s="1"/>
  <c r="L2700" i="4"/>
  <c r="L2697" i="4"/>
  <c r="L2698" i="4"/>
  <c r="L2699" i="4"/>
  <c r="S3165" i="1"/>
  <c r="T3165" i="1"/>
  <c r="R3165" i="1"/>
  <c r="Q3165" i="1"/>
  <c r="S3164" i="1"/>
  <c r="T3164" i="1"/>
  <c r="R3164" i="1"/>
  <c r="Q3164" i="1"/>
  <c r="Q3162" i="1"/>
  <c r="Q3166" i="1"/>
  <c r="R3166" i="1"/>
  <c r="S3166" i="1"/>
  <c r="T3166" i="1"/>
  <c r="K2702" i="4"/>
  <c r="J2702" i="4"/>
  <c r="I2702" i="4"/>
  <c r="L2701" i="4"/>
  <c r="L2696" i="4"/>
  <c r="L2695" i="4"/>
  <c r="L2694" i="4"/>
  <c r="L2693" i="4"/>
  <c r="T3163" i="1"/>
  <c r="S3163" i="1"/>
  <c r="R3163" i="1"/>
  <c r="Q3163" i="1"/>
  <c r="T3162" i="1"/>
  <c r="S3162" i="1"/>
  <c r="R3162" i="1"/>
  <c r="T3161" i="1"/>
  <c r="S3161" i="1"/>
  <c r="R3161" i="1"/>
  <c r="Q3161" i="1"/>
  <c r="T3160" i="1"/>
  <c r="S3160" i="1"/>
  <c r="R3160" i="1"/>
  <c r="Q3160" i="1"/>
  <c r="T3159" i="1"/>
  <c r="S3159" i="1"/>
  <c r="R3159" i="1"/>
  <c r="Q3159" i="1"/>
  <c r="M3158" i="1"/>
  <c r="M3167" i="1"/>
  <c r="N3158" i="1"/>
  <c r="N3167" i="1"/>
  <c r="O3158" i="1"/>
  <c r="O3167" i="1"/>
  <c r="P3158" i="1"/>
  <c r="P3167" i="1"/>
  <c r="L3149" i="1"/>
  <c r="L3158" i="1" s="1"/>
  <c r="L3167" i="1"/>
  <c r="K3149" i="1"/>
  <c r="K3158" i="1" s="1"/>
  <c r="L2688" i="4"/>
  <c r="Q3154" i="1"/>
  <c r="T3154" i="1"/>
  <c r="K2692" i="4"/>
  <c r="J2692" i="4"/>
  <c r="I2692" i="4"/>
  <c r="L2691" i="4"/>
  <c r="L2690" i="4"/>
  <c r="L2689" i="4"/>
  <c r="L2687" i="4"/>
  <c r="L2686" i="4"/>
  <c r="L2685" i="4"/>
  <c r="L2684" i="4"/>
  <c r="L2683" i="4"/>
  <c r="T3157" i="1"/>
  <c r="S3157" i="1"/>
  <c r="R3157" i="1"/>
  <c r="Q3157" i="1"/>
  <c r="T3156" i="1"/>
  <c r="S3156" i="1"/>
  <c r="R3156" i="1"/>
  <c r="Q3156" i="1"/>
  <c r="T3155" i="1"/>
  <c r="J3153" i="1"/>
  <c r="R3153" i="1" s="1"/>
  <c r="J3152" i="1"/>
  <c r="Q3152" i="1" s="1"/>
  <c r="J3151" i="1"/>
  <c r="R3151" i="1" s="1"/>
  <c r="J3150" i="1"/>
  <c r="R3150" i="1" s="1"/>
  <c r="L2674" i="4"/>
  <c r="L2675" i="4"/>
  <c r="K3142" i="1"/>
  <c r="Q3142" i="1" s="1"/>
  <c r="K3139" i="1"/>
  <c r="Q3139" i="1" s="1"/>
  <c r="L3148" i="1"/>
  <c r="M3148" i="1"/>
  <c r="N3148" i="1"/>
  <c r="O3148" i="1"/>
  <c r="P3148" i="1"/>
  <c r="J2682" i="4"/>
  <c r="K2682" i="4"/>
  <c r="I2682" i="4"/>
  <c r="L2676" i="4"/>
  <c r="L2677" i="4"/>
  <c r="L2678" i="4"/>
  <c r="L2679" i="4"/>
  <c r="L2680" i="4"/>
  <c r="L2681" i="4"/>
  <c r="L2673" i="4"/>
  <c r="Q3144" i="1"/>
  <c r="R3144" i="1"/>
  <c r="S3144" i="1"/>
  <c r="T3144" i="1"/>
  <c r="Q3145" i="1"/>
  <c r="R3145" i="1"/>
  <c r="S3145" i="1"/>
  <c r="T3145" i="1"/>
  <c r="Q3146" i="1"/>
  <c r="R3146" i="1"/>
  <c r="S3146" i="1"/>
  <c r="T3146" i="1"/>
  <c r="Q3147" i="1"/>
  <c r="R3147" i="1"/>
  <c r="S3147" i="1"/>
  <c r="T3147" i="1"/>
  <c r="T3143" i="1"/>
  <c r="S3143" i="1"/>
  <c r="R3143" i="1"/>
  <c r="Q3143" i="1"/>
  <c r="J3148" i="1"/>
  <c r="T3142" i="1"/>
  <c r="S3142" i="1"/>
  <c r="R3142" i="1"/>
  <c r="T3141" i="1"/>
  <c r="S3141" i="1"/>
  <c r="R3141" i="1"/>
  <c r="Q3141" i="1"/>
  <c r="T3140" i="1"/>
  <c r="S3140" i="1"/>
  <c r="R3140" i="1"/>
  <c r="Q3140" i="1"/>
  <c r="T3139" i="1"/>
  <c r="S3139" i="1"/>
  <c r="R3139" i="1"/>
  <c r="L2665" i="4"/>
  <c r="L2666" i="4"/>
  <c r="L2667" i="4"/>
  <c r="L2668" i="4"/>
  <c r="L2669" i="4"/>
  <c r="L2670" i="4"/>
  <c r="L2671" i="4"/>
  <c r="L2664" i="4"/>
  <c r="Q3189" i="1"/>
  <c r="T3189" i="1"/>
  <c r="J3185" i="1"/>
  <c r="T3185" i="1" s="1"/>
  <c r="K3184" i="1"/>
  <c r="K3167" i="1"/>
  <c r="S3154" i="1"/>
  <c r="R3154" i="1"/>
  <c r="Q3155" i="1"/>
  <c r="R3155" i="1"/>
  <c r="S3155" i="1"/>
  <c r="K2672" i="4"/>
  <c r="J2672" i="4"/>
  <c r="I2672" i="4"/>
  <c r="P3138" i="1"/>
  <c r="O3138" i="1"/>
  <c r="N3138" i="1"/>
  <c r="M3138" i="1"/>
  <c r="L3138" i="1"/>
  <c r="K3138" i="1"/>
  <c r="T3137" i="1"/>
  <c r="S3137" i="1"/>
  <c r="R3137" i="1"/>
  <c r="Q3137" i="1"/>
  <c r="T3136" i="1"/>
  <c r="S3136" i="1"/>
  <c r="R3136" i="1"/>
  <c r="Q3136" i="1"/>
  <c r="J3135" i="1"/>
  <c r="S3135" i="1" s="1"/>
  <c r="J3134" i="1"/>
  <c r="R3134" i="1" s="1"/>
  <c r="J3133" i="1"/>
  <c r="J3132" i="1"/>
  <c r="J3131" i="1"/>
  <c r="J3130" i="1"/>
  <c r="S3130" i="1" s="1"/>
  <c r="L2656" i="4"/>
  <c r="L2657" i="4"/>
  <c r="L2658" i="4"/>
  <c r="K3123" i="1"/>
  <c r="Q3123" i="1" s="1"/>
  <c r="J2663" i="4"/>
  <c r="K2663" i="4"/>
  <c r="I2663" i="4"/>
  <c r="L2655" i="4"/>
  <c r="L2659" i="4"/>
  <c r="L2660" i="4"/>
  <c r="L2661" i="4"/>
  <c r="L2662" i="4"/>
  <c r="L2654" i="4"/>
  <c r="Q3124" i="1"/>
  <c r="L3129" i="1"/>
  <c r="M3129" i="1"/>
  <c r="N3129" i="1"/>
  <c r="O3129" i="1"/>
  <c r="P3129" i="1"/>
  <c r="J3129" i="1"/>
  <c r="R3124" i="1"/>
  <c r="S3124" i="1"/>
  <c r="T3124" i="1"/>
  <c r="Q3125" i="1"/>
  <c r="R3125" i="1"/>
  <c r="S3125" i="1"/>
  <c r="T3125" i="1"/>
  <c r="Q3126" i="1"/>
  <c r="R3126" i="1"/>
  <c r="S3126" i="1"/>
  <c r="T3126" i="1"/>
  <c r="Q3127" i="1"/>
  <c r="R3127" i="1"/>
  <c r="S3127" i="1"/>
  <c r="T3127" i="1"/>
  <c r="K3121" i="1"/>
  <c r="Q3121" i="1" s="1"/>
  <c r="K3120" i="1"/>
  <c r="Q3120" i="1" s="1"/>
  <c r="T3128" i="1"/>
  <c r="S3128" i="1"/>
  <c r="R3128" i="1"/>
  <c r="Q3128" i="1"/>
  <c r="T3123" i="1"/>
  <c r="S3123" i="1"/>
  <c r="R3123" i="1"/>
  <c r="T3122" i="1"/>
  <c r="S3122" i="1"/>
  <c r="R3122" i="1"/>
  <c r="Q3122" i="1"/>
  <c r="T3121" i="1"/>
  <c r="S3121" i="1"/>
  <c r="R3121" i="1"/>
  <c r="T3120" i="1"/>
  <c r="S3120" i="1"/>
  <c r="R3120" i="1"/>
  <c r="K3110" i="1"/>
  <c r="K3119" i="1" s="1"/>
  <c r="J3115" i="1"/>
  <c r="Q3115" i="1" s="1"/>
  <c r="J3116" i="1"/>
  <c r="L2650" i="4"/>
  <c r="K2653" i="4"/>
  <c r="J2653" i="4"/>
  <c r="I2653" i="4"/>
  <c r="L2652" i="4"/>
  <c r="L2651" i="4"/>
  <c r="L2649" i="4"/>
  <c r="L2648" i="4"/>
  <c r="L2647" i="4"/>
  <c r="L2646" i="4"/>
  <c r="L2645" i="4"/>
  <c r="L2644" i="4"/>
  <c r="P3119" i="1"/>
  <c r="O3119" i="1"/>
  <c r="N3119" i="1"/>
  <c r="M3119" i="1"/>
  <c r="T3118" i="1"/>
  <c r="S3118" i="1"/>
  <c r="R3118" i="1"/>
  <c r="Q3118" i="1"/>
  <c r="T3117" i="1"/>
  <c r="S3117" i="1"/>
  <c r="R3117" i="1"/>
  <c r="Q3117" i="1"/>
  <c r="J3114" i="1"/>
  <c r="R3114" i="1" s="1"/>
  <c r="J3113" i="1"/>
  <c r="S3113" i="1" s="1"/>
  <c r="J3112" i="1"/>
  <c r="T3112" i="1" s="1"/>
  <c r="J3111" i="1"/>
  <c r="L3119" i="1"/>
  <c r="L2636" i="4"/>
  <c r="L2637" i="4"/>
  <c r="L2638" i="4"/>
  <c r="L2639" i="4"/>
  <c r="L2640" i="4"/>
  <c r="L2641" i="4"/>
  <c r="L2642" i="4"/>
  <c r="K3108" i="1"/>
  <c r="Q3108" i="1" s="1"/>
  <c r="K3105" i="1"/>
  <c r="Q3105" i="1" s="1"/>
  <c r="K3102" i="1"/>
  <c r="Q3102" i="1" s="1"/>
  <c r="Q3106" i="1"/>
  <c r="R3106" i="1"/>
  <c r="S3106" i="1"/>
  <c r="T3106" i="1"/>
  <c r="Q3107" i="1"/>
  <c r="R3107" i="1"/>
  <c r="S3107" i="1"/>
  <c r="T3107" i="1"/>
  <c r="R3108" i="1"/>
  <c r="S3108" i="1"/>
  <c r="T3108" i="1"/>
  <c r="T3105" i="1"/>
  <c r="S3105" i="1"/>
  <c r="R3105" i="1"/>
  <c r="K2643" i="4"/>
  <c r="J2643" i="4"/>
  <c r="I2643" i="4"/>
  <c r="L2635" i="4"/>
  <c r="T3104" i="1"/>
  <c r="S3104" i="1"/>
  <c r="R3104" i="1"/>
  <c r="Q3104" i="1"/>
  <c r="T3103" i="1"/>
  <c r="S3103" i="1"/>
  <c r="R3103" i="1"/>
  <c r="Q3103" i="1"/>
  <c r="T3102" i="1"/>
  <c r="S3102" i="1"/>
  <c r="R3102" i="1"/>
  <c r="L3091" i="1"/>
  <c r="L3101" i="1" s="1"/>
  <c r="L3109" i="1" s="1"/>
  <c r="K3091" i="1"/>
  <c r="J3097" i="1"/>
  <c r="R3097" i="1" s="1"/>
  <c r="J3098" i="1"/>
  <c r="P3101" i="1"/>
  <c r="O3101" i="1"/>
  <c r="O3109" i="1" s="1"/>
  <c r="N3101" i="1"/>
  <c r="N3109" i="1" s="1"/>
  <c r="M3101" i="1"/>
  <c r="M3109" i="1" s="1"/>
  <c r="T3100" i="1"/>
  <c r="S3100" i="1"/>
  <c r="R3100" i="1"/>
  <c r="Q3100" i="1"/>
  <c r="T3099" i="1"/>
  <c r="S3099" i="1"/>
  <c r="R3099" i="1"/>
  <c r="Q3099" i="1"/>
  <c r="J3096" i="1"/>
  <c r="T3096" i="1" s="1"/>
  <c r="J3095" i="1"/>
  <c r="J3094" i="1"/>
  <c r="J3093" i="1"/>
  <c r="Q3093" i="1" s="1"/>
  <c r="J3092" i="1"/>
  <c r="T3092" i="1" s="1"/>
  <c r="K2634" i="4"/>
  <c r="J2634" i="4"/>
  <c r="I2634" i="4"/>
  <c r="L2633" i="4"/>
  <c r="L2632" i="4"/>
  <c r="L2631" i="4"/>
  <c r="L2630" i="4"/>
  <c r="L2629" i="4"/>
  <c r="L2628" i="4"/>
  <c r="L2627" i="4"/>
  <c r="L2626" i="4"/>
  <c r="L2625" i="4"/>
  <c r="L2624" i="4"/>
  <c r="K3089" i="1"/>
  <c r="Q3089" i="1" s="1"/>
  <c r="L2620" i="4"/>
  <c r="L2619" i="4"/>
  <c r="L2621" i="4"/>
  <c r="L2622" i="4"/>
  <c r="S3088" i="1"/>
  <c r="T3088" i="1"/>
  <c r="R3088" i="1"/>
  <c r="Q3088" i="1"/>
  <c r="K3082" i="1"/>
  <c r="Q3082" i="1" s="1"/>
  <c r="S3087" i="1"/>
  <c r="T3087" i="1"/>
  <c r="R3087" i="1"/>
  <c r="Q3087" i="1"/>
  <c r="S3086" i="1"/>
  <c r="T3086" i="1"/>
  <c r="R3086" i="1"/>
  <c r="Q3086" i="1"/>
  <c r="S3085" i="1"/>
  <c r="T3085" i="1"/>
  <c r="R3085" i="1"/>
  <c r="Q3085" i="1"/>
  <c r="K2623" i="4"/>
  <c r="J2623" i="4"/>
  <c r="I2623" i="4"/>
  <c r="L2618" i="4"/>
  <c r="L2617" i="4"/>
  <c r="L2616" i="4"/>
  <c r="L2615" i="4"/>
  <c r="T3089" i="1"/>
  <c r="S3089" i="1"/>
  <c r="R3089" i="1"/>
  <c r="T3084" i="1"/>
  <c r="S3084" i="1"/>
  <c r="R3084" i="1"/>
  <c r="Q3084" i="1"/>
  <c r="T3083" i="1"/>
  <c r="S3083" i="1"/>
  <c r="R3083" i="1"/>
  <c r="Q3083" i="1"/>
  <c r="T3082" i="1"/>
  <c r="S3082" i="1"/>
  <c r="R3082" i="1"/>
  <c r="T3081" i="1"/>
  <c r="S3081" i="1"/>
  <c r="R3081" i="1"/>
  <c r="Q3081" i="1"/>
  <c r="L2605" i="4"/>
  <c r="L2606" i="4"/>
  <c r="L2607" i="4"/>
  <c r="L2608" i="4"/>
  <c r="L2609" i="4"/>
  <c r="L2610" i="4"/>
  <c r="L2611" i="4"/>
  <c r="L2612" i="4"/>
  <c r="L2613" i="4"/>
  <c r="K3070" i="1"/>
  <c r="J3070" i="1" s="1"/>
  <c r="J2614" i="4"/>
  <c r="I2614" i="4"/>
  <c r="L2604" i="4"/>
  <c r="P3080" i="1"/>
  <c r="P3090" i="1" s="1"/>
  <c r="O3080" i="1"/>
  <c r="O3090" i="1" s="1"/>
  <c r="N3080" i="1"/>
  <c r="N3090" i="1" s="1"/>
  <c r="M3080" i="1"/>
  <c r="M3090" i="1" s="1"/>
  <c r="L3080" i="1"/>
  <c r="L3090" i="1" s="1"/>
  <c r="T3079" i="1"/>
  <c r="S3079" i="1"/>
  <c r="R3079" i="1"/>
  <c r="Q3079" i="1"/>
  <c r="T3078" i="1"/>
  <c r="S3078" i="1"/>
  <c r="R3078" i="1"/>
  <c r="Q3078" i="1"/>
  <c r="T3077" i="1"/>
  <c r="S3077" i="1"/>
  <c r="R3077" i="1"/>
  <c r="Q3077" i="1"/>
  <c r="S3076" i="1"/>
  <c r="J3075" i="1"/>
  <c r="J3074" i="1"/>
  <c r="S3074" i="1" s="1"/>
  <c r="J3073" i="1"/>
  <c r="S3073" i="1" s="1"/>
  <c r="J3072" i="1"/>
  <c r="J3071" i="1"/>
  <c r="S3071" i="1" s="1"/>
  <c r="J2603" i="4"/>
  <c r="I2603" i="4"/>
  <c r="L2602" i="4"/>
  <c r="L2601" i="4"/>
  <c r="L2600" i="4"/>
  <c r="L2599" i="4"/>
  <c r="L2598" i="4"/>
  <c r="L2597" i="4"/>
  <c r="L3069" i="1"/>
  <c r="M3069" i="1"/>
  <c r="N3069" i="1"/>
  <c r="O3069" i="1"/>
  <c r="P3069" i="1"/>
  <c r="J3069" i="1"/>
  <c r="L3062" i="1"/>
  <c r="M3062" i="1"/>
  <c r="N3062" i="1"/>
  <c r="O3062" i="1"/>
  <c r="P3062" i="1"/>
  <c r="J3062" i="1"/>
  <c r="T3068" i="1"/>
  <c r="S3068" i="1"/>
  <c r="R3068" i="1"/>
  <c r="Q3068" i="1"/>
  <c r="T3067" i="1"/>
  <c r="S3067" i="1"/>
  <c r="R3067" i="1"/>
  <c r="Q3067" i="1"/>
  <c r="T3066" i="1"/>
  <c r="S3066" i="1"/>
  <c r="R3066" i="1"/>
  <c r="Q3066" i="1"/>
  <c r="T3065" i="1"/>
  <c r="S3065" i="1"/>
  <c r="R3065" i="1"/>
  <c r="Q3065" i="1"/>
  <c r="T3064" i="1"/>
  <c r="S3064" i="1"/>
  <c r="R3064" i="1"/>
  <c r="K3064" i="1"/>
  <c r="Q3064" i="1" s="1"/>
  <c r="T3063" i="1"/>
  <c r="S3063" i="1"/>
  <c r="R3063" i="1"/>
  <c r="Q3063" i="1"/>
  <c r="K3057" i="1"/>
  <c r="Q3057" i="1" s="1"/>
  <c r="K3056" i="1"/>
  <c r="K2614" i="4"/>
  <c r="T3076" i="1"/>
  <c r="Q3076" i="1"/>
  <c r="R3076" i="1"/>
  <c r="L2591" i="4"/>
  <c r="L2592" i="4"/>
  <c r="L2593" i="4"/>
  <c r="L2594" i="4"/>
  <c r="L2595" i="4"/>
  <c r="J2596" i="4"/>
  <c r="I2596" i="4"/>
  <c r="L2590" i="4"/>
  <c r="L2589" i="4"/>
  <c r="L2588" i="4"/>
  <c r="Q3058" i="1"/>
  <c r="R3058" i="1"/>
  <c r="S3058" i="1"/>
  <c r="T3058" i="1"/>
  <c r="Q3059" i="1"/>
  <c r="R3059" i="1"/>
  <c r="S3059" i="1"/>
  <c r="T3059" i="1"/>
  <c r="Q3060" i="1"/>
  <c r="R3060" i="1"/>
  <c r="S3060" i="1"/>
  <c r="T3060" i="1"/>
  <c r="Q3061" i="1"/>
  <c r="R3061" i="1"/>
  <c r="S3061" i="1"/>
  <c r="T3061" i="1"/>
  <c r="T3057" i="1"/>
  <c r="S3057" i="1"/>
  <c r="R3057" i="1"/>
  <c r="T3056" i="1"/>
  <c r="S3056" i="1"/>
  <c r="R3056" i="1"/>
  <c r="T3055" i="1"/>
  <c r="S3055" i="1"/>
  <c r="R3055" i="1"/>
  <c r="Q3055" i="1"/>
  <c r="T3054" i="1"/>
  <c r="S3054" i="1"/>
  <c r="R3054" i="1"/>
  <c r="K3054" i="1"/>
  <c r="Q3054" i="1" s="1"/>
  <c r="K2584" i="4"/>
  <c r="L2581" i="4"/>
  <c r="J3047" i="1"/>
  <c r="J2587" i="4"/>
  <c r="I2587" i="4"/>
  <c r="L2586" i="4"/>
  <c r="L2585" i="4"/>
  <c r="L2583" i="4"/>
  <c r="L2582" i="4"/>
  <c r="L2580" i="4"/>
  <c r="L2579" i="4"/>
  <c r="L2578" i="4"/>
  <c r="L2577" i="4"/>
  <c r="P3053" i="1"/>
  <c r="O3053" i="1"/>
  <c r="N3053" i="1"/>
  <c r="M3053" i="1"/>
  <c r="L3053" i="1"/>
  <c r="K3053" i="1"/>
  <c r="T3052" i="1"/>
  <c r="S3052" i="1"/>
  <c r="R3052" i="1"/>
  <c r="Q3052" i="1"/>
  <c r="T3051" i="1"/>
  <c r="S3051" i="1"/>
  <c r="R3051" i="1"/>
  <c r="Q3051" i="1"/>
  <c r="T3050" i="1"/>
  <c r="S3050" i="1"/>
  <c r="R3050" i="1"/>
  <c r="Q3050" i="1"/>
  <c r="J3049" i="1"/>
  <c r="J3048" i="1"/>
  <c r="R3048" i="1" s="1"/>
  <c r="J3046" i="1"/>
  <c r="T3046" i="1" s="1"/>
  <c r="J3045" i="1"/>
  <c r="T3045" i="1" s="1"/>
  <c r="J3044" i="1"/>
  <c r="J3043" i="1"/>
  <c r="R3043" i="1" s="1"/>
  <c r="L2574" i="4"/>
  <c r="L2575" i="4"/>
  <c r="Q3040" i="1"/>
  <c r="R3040" i="1"/>
  <c r="S3040" i="1"/>
  <c r="T3040" i="1"/>
  <c r="K3037" i="1"/>
  <c r="Q3037" i="1" s="1"/>
  <c r="L2573" i="4"/>
  <c r="J2576" i="4"/>
  <c r="I2576" i="4"/>
  <c r="L2572" i="4"/>
  <c r="L2571" i="4"/>
  <c r="L2570" i="4"/>
  <c r="L2569" i="4"/>
  <c r="L2568" i="4"/>
  <c r="L2567" i="4"/>
  <c r="T3039" i="1"/>
  <c r="S3039" i="1"/>
  <c r="R3039" i="1"/>
  <c r="Q3039" i="1"/>
  <c r="T3041" i="1"/>
  <c r="S3041" i="1"/>
  <c r="R3041" i="1"/>
  <c r="Q3041" i="1"/>
  <c r="T3038" i="1"/>
  <c r="S3038" i="1"/>
  <c r="R3038" i="1"/>
  <c r="Q3038" i="1"/>
  <c r="T3037" i="1"/>
  <c r="S3037" i="1"/>
  <c r="R3037" i="1"/>
  <c r="T3036" i="1"/>
  <c r="S3036" i="1"/>
  <c r="R3036" i="1"/>
  <c r="Q3036" i="1"/>
  <c r="T3035" i="1"/>
  <c r="S3035" i="1"/>
  <c r="R3035" i="1"/>
  <c r="Q3035" i="1"/>
  <c r="K2564" i="4"/>
  <c r="N3034" i="1"/>
  <c r="L2561" i="4"/>
  <c r="J2566" i="4"/>
  <c r="I2566" i="4"/>
  <c r="L2565" i="4"/>
  <c r="L2563" i="4"/>
  <c r="L2562" i="4"/>
  <c r="L2560" i="4"/>
  <c r="L2559" i="4"/>
  <c r="L2558" i="4"/>
  <c r="L2557" i="4"/>
  <c r="J3028" i="1"/>
  <c r="J3029" i="1"/>
  <c r="J3030" i="1"/>
  <c r="Q3030" i="1" s="1"/>
  <c r="Q3032" i="1"/>
  <c r="R3032" i="1"/>
  <c r="S3032" i="1"/>
  <c r="T3032" i="1"/>
  <c r="P3034" i="1"/>
  <c r="P3042" i="1" s="1"/>
  <c r="O3034" i="1"/>
  <c r="O3042" i="1" s="1"/>
  <c r="M3034" i="1"/>
  <c r="M3042" i="1" s="1"/>
  <c r="L3034" i="1"/>
  <c r="L3042" i="1" s="1"/>
  <c r="K3034" i="1"/>
  <c r="T3033" i="1"/>
  <c r="S3033" i="1"/>
  <c r="R3033" i="1"/>
  <c r="Q3033" i="1"/>
  <c r="T3031" i="1"/>
  <c r="S3031" i="1"/>
  <c r="R3031" i="1"/>
  <c r="Q3031" i="1"/>
  <c r="J3027" i="1"/>
  <c r="Q3027" i="1" s="1"/>
  <c r="J3026" i="1"/>
  <c r="R3026" i="1" s="1"/>
  <c r="J3025" i="1"/>
  <c r="S3025" i="1" s="1"/>
  <c r="Q3020" i="1"/>
  <c r="Q3021" i="1"/>
  <c r="L2550" i="4"/>
  <c r="L2551" i="4"/>
  <c r="L2552" i="4"/>
  <c r="L2553" i="4"/>
  <c r="L2554" i="4"/>
  <c r="L2555" i="4"/>
  <c r="K2556" i="4"/>
  <c r="J2556" i="4"/>
  <c r="I2556" i="4"/>
  <c r="L2549" i="4"/>
  <c r="R3021" i="1"/>
  <c r="S3021" i="1"/>
  <c r="T3021" i="1"/>
  <c r="P3024" i="1"/>
  <c r="O3024" i="1"/>
  <c r="N3024" i="1"/>
  <c r="M3024" i="1"/>
  <c r="L3024" i="1"/>
  <c r="J3024" i="1"/>
  <c r="T3023" i="1"/>
  <c r="S3023" i="1"/>
  <c r="R3023" i="1"/>
  <c r="Q3023" i="1"/>
  <c r="T3022" i="1"/>
  <c r="S3022" i="1"/>
  <c r="R3022" i="1"/>
  <c r="Q3022" i="1"/>
  <c r="T3020" i="1"/>
  <c r="S3020" i="1"/>
  <c r="R3020" i="1"/>
  <c r="T3019" i="1"/>
  <c r="S3019" i="1"/>
  <c r="R3019" i="1"/>
  <c r="Q3019" i="1"/>
  <c r="T3018" i="1"/>
  <c r="S3018" i="1"/>
  <c r="R3018" i="1"/>
  <c r="Q3018" i="1"/>
  <c r="J3012" i="1"/>
  <c r="K2548" i="4"/>
  <c r="J2548" i="4"/>
  <c r="I2548" i="4"/>
  <c r="L2547" i="4"/>
  <c r="L2546" i="4"/>
  <c r="L2545" i="4"/>
  <c r="L2544" i="4"/>
  <c r="L2543" i="4"/>
  <c r="L2542" i="4"/>
  <c r="L2541" i="4"/>
  <c r="P3017" i="1"/>
  <c r="O3017" i="1"/>
  <c r="N3017" i="1"/>
  <c r="M3017" i="1"/>
  <c r="L3017" i="1"/>
  <c r="K3017" i="1"/>
  <c r="T3016" i="1"/>
  <c r="S3016" i="1"/>
  <c r="R3016" i="1"/>
  <c r="Q3016" i="1"/>
  <c r="T3015" i="1"/>
  <c r="S3015" i="1"/>
  <c r="R3015" i="1"/>
  <c r="Q3015" i="1"/>
  <c r="J3014" i="1"/>
  <c r="Q3014" i="1" s="1"/>
  <c r="T3013" i="1"/>
  <c r="S3013" i="1"/>
  <c r="R3013" i="1"/>
  <c r="Q3013" i="1"/>
  <c r="J3011" i="1"/>
  <c r="Q3011" i="1" s="1"/>
  <c r="J3010" i="1"/>
  <c r="Q3010" i="1" s="1"/>
  <c r="Q3006" i="1"/>
  <c r="R3006" i="1"/>
  <c r="S3006" i="1"/>
  <c r="T3006" i="1"/>
  <c r="Q3007" i="1"/>
  <c r="R3007" i="1"/>
  <c r="S3007" i="1"/>
  <c r="T3007" i="1"/>
  <c r="L2533" i="4"/>
  <c r="L2534" i="4"/>
  <c r="L2535" i="4"/>
  <c r="L2536" i="4"/>
  <c r="L2537" i="4"/>
  <c r="L2538" i="4"/>
  <c r="L2539" i="4"/>
  <c r="K2540" i="4"/>
  <c r="J2540" i="4"/>
  <c r="I2540" i="4"/>
  <c r="L2532" i="4"/>
  <c r="T3008" i="1"/>
  <c r="S3008" i="1"/>
  <c r="R3008" i="1"/>
  <c r="Q3008" i="1"/>
  <c r="T3005" i="1"/>
  <c r="S3005" i="1"/>
  <c r="R3005" i="1"/>
  <c r="Q3005" i="1"/>
  <c r="T3004" i="1"/>
  <c r="S3004" i="1"/>
  <c r="R3004" i="1"/>
  <c r="Q3004" i="1"/>
  <c r="T3003" i="1"/>
  <c r="S3003" i="1"/>
  <c r="R3003" i="1"/>
  <c r="Q3003" i="1"/>
  <c r="T3002" i="1"/>
  <c r="S3002" i="1"/>
  <c r="R3002" i="1"/>
  <c r="Q3002" i="1"/>
  <c r="T3001" i="1"/>
  <c r="S3001" i="1"/>
  <c r="R3001" i="1"/>
  <c r="Q3001" i="1"/>
  <c r="L2526" i="4"/>
  <c r="Q2994" i="1"/>
  <c r="R2994" i="1"/>
  <c r="S2994" i="1"/>
  <c r="T2994" i="1"/>
  <c r="P3000" i="1"/>
  <c r="P3009" i="1" s="1"/>
  <c r="K2531" i="4"/>
  <c r="J2531" i="4"/>
  <c r="I2531" i="4"/>
  <c r="L2530" i="4"/>
  <c r="L2529" i="4"/>
  <c r="L2528" i="4"/>
  <c r="L2527" i="4"/>
  <c r="L2525" i="4"/>
  <c r="L2524" i="4"/>
  <c r="L2523" i="4"/>
  <c r="J2995" i="1"/>
  <c r="Q2995" i="1" s="1"/>
  <c r="Q2996" i="1"/>
  <c r="O3000" i="1"/>
  <c r="O3009" i="1" s="1"/>
  <c r="N3000" i="1"/>
  <c r="N3009" i="1" s="1"/>
  <c r="M3000" i="1"/>
  <c r="M3009" i="1" s="1"/>
  <c r="L3000" i="1"/>
  <c r="L3009" i="1" s="1"/>
  <c r="K3000" i="1"/>
  <c r="K3009" i="1" s="1"/>
  <c r="T2999" i="1"/>
  <c r="S2999" i="1"/>
  <c r="R2999" i="1"/>
  <c r="Q2999" i="1"/>
  <c r="T2998" i="1"/>
  <c r="S2998" i="1"/>
  <c r="R2998" i="1"/>
  <c r="Q2998" i="1"/>
  <c r="T2997" i="1"/>
  <c r="S2997" i="1"/>
  <c r="R2997" i="1"/>
  <c r="Q2997" i="1"/>
  <c r="T2993" i="1"/>
  <c r="J2992" i="1"/>
  <c r="S2992" i="1" s="1"/>
  <c r="J2991" i="1"/>
  <c r="L2520" i="4"/>
  <c r="L2515" i="4"/>
  <c r="L2516" i="4"/>
  <c r="L2517" i="4"/>
  <c r="K2989" i="1"/>
  <c r="Q2989" i="1" s="1"/>
  <c r="J3167" i="1"/>
  <c r="K2596" i="4"/>
  <c r="K2576" i="4"/>
  <c r="K3024" i="1"/>
  <c r="T2996" i="1"/>
  <c r="S2996" i="1"/>
  <c r="R2996" i="1"/>
  <c r="R2993" i="1"/>
  <c r="S2993" i="1"/>
  <c r="Q2993" i="1"/>
  <c r="K2522" i="4"/>
  <c r="J2522" i="4"/>
  <c r="I2522" i="4"/>
  <c r="L2521" i="4"/>
  <c r="L2519" i="4"/>
  <c r="L2518" i="4"/>
  <c r="L2514" i="4"/>
  <c r="S2988" i="1"/>
  <c r="T2988" i="1"/>
  <c r="R2988" i="1"/>
  <c r="Q2988" i="1"/>
  <c r="S2986" i="1"/>
  <c r="T2986" i="1"/>
  <c r="R2986" i="1"/>
  <c r="Q2986" i="1"/>
  <c r="Q2983" i="1"/>
  <c r="T2989" i="1"/>
  <c r="S2989" i="1"/>
  <c r="R2989" i="1"/>
  <c r="T2987" i="1"/>
  <c r="S2987" i="1"/>
  <c r="R2987" i="1"/>
  <c r="Q2987" i="1"/>
  <c r="T2985" i="1"/>
  <c r="S2985" i="1"/>
  <c r="R2985" i="1"/>
  <c r="Q2985" i="1"/>
  <c r="T2984" i="1"/>
  <c r="S2984" i="1"/>
  <c r="R2984" i="1"/>
  <c r="Q2984" i="1"/>
  <c r="T2983" i="1"/>
  <c r="S2983" i="1"/>
  <c r="R2983" i="1"/>
  <c r="T2982" i="1"/>
  <c r="S2982" i="1"/>
  <c r="R2982" i="1"/>
  <c r="Q2982" i="1"/>
  <c r="T2981" i="1"/>
  <c r="S2981" i="1"/>
  <c r="R2981" i="1"/>
  <c r="Q2981" i="1"/>
  <c r="L2511" i="4"/>
  <c r="Q2978" i="1"/>
  <c r="R2978" i="1"/>
  <c r="S2978" i="1"/>
  <c r="T2978" i="1"/>
  <c r="K2513" i="4"/>
  <c r="J2513" i="4"/>
  <c r="I2513" i="4"/>
  <c r="L2512" i="4"/>
  <c r="L2510" i="4"/>
  <c r="L2509" i="4"/>
  <c r="L2508" i="4"/>
  <c r="L2507" i="4"/>
  <c r="L2506" i="4"/>
  <c r="L2505" i="4"/>
  <c r="L2504" i="4"/>
  <c r="P2980" i="1"/>
  <c r="P2990" i="1" s="1"/>
  <c r="O2980" i="1"/>
  <c r="N2980" i="1"/>
  <c r="N2990" i="1" s="1"/>
  <c r="M2980" i="1"/>
  <c r="M2990" i="1" s="1"/>
  <c r="L2980" i="1"/>
  <c r="L2990" i="1" s="1"/>
  <c r="K2980" i="1"/>
  <c r="T2979" i="1"/>
  <c r="S2979" i="1"/>
  <c r="R2979" i="1"/>
  <c r="Q2979" i="1"/>
  <c r="T2977" i="1"/>
  <c r="S2977" i="1"/>
  <c r="R2977" i="1"/>
  <c r="Q2977" i="1"/>
  <c r="T2976" i="1"/>
  <c r="S2976" i="1"/>
  <c r="R2976" i="1"/>
  <c r="Q2976" i="1"/>
  <c r="Q2975" i="1"/>
  <c r="Q2974" i="1"/>
  <c r="J2973" i="1"/>
  <c r="T2973" i="1" s="1"/>
  <c r="J2972" i="1"/>
  <c r="Q2972" i="1" s="1"/>
  <c r="J2971" i="1"/>
  <c r="S2971" i="1" s="1"/>
  <c r="S2968" i="1"/>
  <c r="T2968" i="1"/>
  <c r="R2968" i="1"/>
  <c r="Q2968" i="1"/>
  <c r="S2967" i="1"/>
  <c r="T2967" i="1"/>
  <c r="R2967" i="1"/>
  <c r="Q2967" i="1"/>
  <c r="K2963" i="1"/>
  <c r="Q2963" i="1" s="1"/>
  <c r="K2503" i="4"/>
  <c r="J2503" i="4"/>
  <c r="I2503" i="4"/>
  <c r="L2502" i="4"/>
  <c r="L2501" i="4"/>
  <c r="L2500" i="4"/>
  <c r="L2499" i="4"/>
  <c r="L2498" i="4"/>
  <c r="L2497" i="4"/>
  <c r="T2969" i="1"/>
  <c r="S2969" i="1"/>
  <c r="R2969" i="1"/>
  <c r="Q2969" i="1"/>
  <c r="T2966" i="1"/>
  <c r="S2966" i="1"/>
  <c r="R2966" i="1"/>
  <c r="Q2966" i="1"/>
  <c r="T2965" i="1"/>
  <c r="S2965" i="1"/>
  <c r="R2965" i="1"/>
  <c r="Q2965" i="1"/>
  <c r="T2964" i="1"/>
  <c r="S2964" i="1"/>
  <c r="R2964" i="1"/>
  <c r="Q2964" i="1"/>
  <c r="T2963" i="1"/>
  <c r="S2963" i="1"/>
  <c r="R2963" i="1"/>
  <c r="L2494" i="4"/>
  <c r="L2492" i="4"/>
  <c r="L2493" i="4"/>
  <c r="L2495" i="4"/>
  <c r="K2496" i="4"/>
  <c r="J2496" i="4"/>
  <c r="I2496" i="4"/>
  <c r="L2491" i="4"/>
  <c r="L2490" i="4"/>
  <c r="L2489" i="4"/>
  <c r="L2488" i="4"/>
  <c r="L2487" i="4"/>
  <c r="Q2959" i="1"/>
  <c r="Q2960" i="1"/>
  <c r="R2960" i="1"/>
  <c r="S2960" i="1"/>
  <c r="T2960" i="1"/>
  <c r="J2957" i="1"/>
  <c r="J2955" i="1"/>
  <c r="R2955" i="1" s="1"/>
  <c r="J2956" i="1"/>
  <c r="R2956" i="1" s="1"/>
  <c r="Q2958" i="1"/>
  <c r="R2958" i="1"/>
  <c r="S2958" i="1"/>
  <c r="T2958" i="1"/>
  <c r="R2959" i="1"/>
  <c r="S2959" i="1"/>
  <c r="T2959" i="1"/>
  <c r="P2962" i="1"/>
  <c r="P2970" i="1" s="1"/>
  <c r="O2962" i="1"/>
  <c r="O2970" i="1" s="1"/>
  <c r="N2962" i="1"/>
  <c r="N2970" i="1" s="1"/>
  <c r="M2962" i="1"/>
  <c r="M2970" i="1" s="1"/>
  <c r="T2961" i="1"/>
  <c r="S2961" i="1"/>
  <c r="R2961" i="1"/>
  <c r="Q2961" i="1"/>
  <c r="L2962" i="1"/>
  <c r="L2970" i="1" s="1"/>
  <c r="J2953" i="1"/>
  <c r="S2953" i="1" s="1"/>
  <c r="K2947" i="1"/>
  <c r="J2947" i="1" s="1"/>
  <c r="L2946" i="1"/>
  <c r="L2952" i="1" s="1"/>
  <c r="K2946" i="1"/>
  <c r="J2948" i="1"/>
  <c r="R2948" i="1" s="1"/>
  <c r="Q2949" i="1"/>
  <c r="R2949" i="1"/>
  <c r="S2949" i="1"/>
  <c r="T2949" i="1"/>
  <c r="L2483" i="4"/>
  <c r="K2486" i="4"/>
  <c r="J2486" i="4"/>
  <c r="I2486" i="4"/>
  <c r="L2485" i="4"/>
  <c r="L2484" i="4"/>
  <c r="L2482" i="4"/>
  <c r="L2481" i="4"/>
  <c r="L2480" i="4"/>
  <c r="P2952" i="1"/>
  <c r="O2952" i="1"/>
  <c r="N2952" i="1"/>
  <c r="M2952" i="1"/>
  <c r="T2951" i="1"/>
  <c r="S2951" i="1"/>
  <c r="R2951" i="1"/>
  <c r="Q2951" i="1"/>
  <c r="R2950" i="1"/>
  <c r="L2474" i="4"/>
  <c r="I2479" i="4"/>
  <c r="J2945" i="1"/>
  <c r="S2943" i="1"/>
  <c r="T2943" i="1"/>
  <c r="R2943" i="1"/>
  <c r="Q2943" i="1"/>
  <c r="Q2941" i="1"/>
  <c r="R2941" i="1"/>
  <c r="S2941" i="1"/>
  <c r="T2941" i="1"/>
  <c r="Q2942" i="1"/>
  <c r="R2942" i="1"/>
  <c r="S2942" i="1"/>
  <c r="T2942" i="1"/>
  <c r="K2940" i="1"/>
  <c r="K2945" i="1" s="1"/>
  <c r="R2974" i="1"/>
  <c r="S2974" i="1"/>
  <c r="T2974" i="1"/>
  <c r="T2975" i="1"/>
  <c r="R2975" i="1"/>
  <c r="S2975" i="1"/>
  <c r="J2954" i="1"/>
  <c r="S2954" i="1" s="1"/>
  <c r="K2962" i="1"/>
  <c r="S2950" i="1"/>
  <c r="T2950" i="1"/>
  <c r="Q2950" i="1"/>
  <c r="J2479" i="4"/>
  <c r="K2479" i="4"/>
  <c r="L2475" i="4"/>
  <c r="L2476" i="4"/>
  <c r="L2477" i="4"/>
  <c r="L2478" i="4"/>
  <c r="Q2938" i="1"/>
  <c r="L2945" i="1"/>
  <c r="M2945" i="1"/>
  <c r="N2945" i="1"/>
  <c r="O2945" i="1"/>
  <c r="P2945" i="1"/>
  <c r="R2938" i="1"/>
  <c r="S2938" i="1"/>
  <c r="T2938" i="1"/>
  <c r="Q2939" i="1"/>
  <c r="R2939" i="1"/>
  <c r="S2939" i="1"/>
  <c r="R2940" i="1"/>
  <c r="S2940" i="1"/>
  <c r="T2940" i="1"/>
  <c r="Q2944" i="1"/>
  <c r="R2944" i="1"/>
  <c r="S2944" i="1"/>
  <c r="T2944" i="1"/>
  <c r="L2473" i="4"/>
  <c r="L2472" i="4"/>
  <c r="T2939" i="1"/>
  <c r="T2937" i="1"/>
  <c r="S2937" i="1"/>
  <c r="R2937" i="1"/>
  <c r="Q2937" i="1"/>
  <c r="O2933" i="1"/>
  <c r="T2933" i="1" s="1"/>
  <c r="L2469" i="4"/>
  <c r="T2934" i="1"/>
  <c r="S2934" i="1"/>
  <c r="R2934" i="1"/>
  <c r="Q2934" i="1"/>
  <c r="K2471" i="4"/>
  <c r="J2471" i="4"/>
  <c r="I2471" i="4"/>
  <c r="L2470" i="4"/>
  <c r="L2468" i="4"/>
  <c r="L2467" i="4"/>
  <c r="L2466" i="4"/>
  <c r="L2465" i="4"/>
  <c r="L2464" i="4"/>
  <c r="L2463" i="4"/>
  <c r="P2936" i="1"/>
  <c r="N2936" i="1"/>
  <c r="M2936" i="1"/>
  <c r="L2936" i="1"/>
  <c r="K2936" i="1"/>
  <c r="T2935" i="1"/>
  <c r="S2935" i="1"/>
  <c r="R2935" i="1"/>
  <c r="Q2935" i="1"/>
  <c r="S2933" i="1"/>
  <c r="R2933" i="1"/>
  <c r="Q2933" i="1"/>
  <c r="T2932" i="1"/>
  <c r="S2932" i="1"/>
  <c r="R2932" i="1"/>
  <c r="Q2932" i="1"/>
  <c r="J2931" i="1"/>
  <c r="R2931" i="1" s="1"/>
  <c r="J2930" i="1"/>
  <c r="J2929" i="1"/>
  <c r="Q2929" i="1" s="1"/>
  <c r="J2928" i="1"/>
  <c r="Q2928" i="1" s="1"/>
  <c r="L2460" i="4"/>
  <c r="L2455" i="4"/>
  <c r="Q2922" i="1"/>
  <c r="Q2926" i="1"/>
  <c r="Q2923" i="1"/>
  <c r="Q2924" i="1"/>
  <c r="R2924" i="1"/>
  <c r="S2924" i="1"/>
  <c r="T2924" i="1"/>
  <c r="Q2925" i="1"/>
  <c r="R2925" i="1"/>
  <c r="S2925" i="1"/>
  <c r="T2925" i="1"/>
  <c r="R2926" i="1"/>
  <c r="S2926" i="1"/>
  <c r="T2926" i="1"/>
  <c r="L2457" i="4"/>
  <c r="L2458" i="4"/>
  <c r="L2459" i="4"/>
  <c r="L2461" i="4"/>
  <c r="K2462" i="4"/>
  <c r="J2462" i="4"/>
  <c r="I2462" i="4"/>
  <c r="L2456" i="4"/>
  <c r="L2454" i="4"/>
  <c r="L2453" i="4"/>
  <c r="T2923" i="1"/>
  <c r="S2923" i="1"/>
  <c r="R2923" i="1"/>
  <c r="T2922" i="1"/>
  <c r="S2922" i="1"/>
  <c r="R2922" i="1"/>
  <c r="T2921" i="1"/>
  <c r="S2921" i="1"/>
  <c r="R2921" i="1"/>
  <c r="Q2921" i="1"/>
  <c r="T2920" i="1"/>
  <c r="S2920" i="1"/>
  <c r="R2920" i="1"/>
  <c r="Q2920" i="1"/>
  <c r="L2448" i="4"/>
  <c r="J2914" i="1"/>
  <c r="S2914" i="1" s="1"/>
  <c r="K2452" i="4"/>
  <c r="J2452" i="4"/>
  <c r="I2452" i="4"/>
  <c r="L2451" i="4"/>
  <c r="L2450" i="4"/>
  <c r="L2449" i="4"/>
  <c r="L2447" i="4"/>
  <c r="L2446" i="4"/>
  <c r="L2445" i="4"/>
  <c r="L2444" i="4"/>
  <c r="P2919" i="1"/>
  <c r="P2927" i="1" s="1"/>
  <c r="O2919" i="1"/>
  <c r="O2927" i="1" s="1"/>
  <c r="N2919" i="1"/>
  <c r="M2919" i="1"/>
  <c r="M2927" i="1" s="1"/>
  <c r="T2918" i="1"/>
  <c r="S2918" i="1"/>
  <c r="R2918" i="1"/>
  <c r="Q2918" i="1"/>
  <c r="T2917" i="1"/>
  <c r="S2917" i="1"/>
  <c r="R2917" i="1"/>
  <c r="Q2917" i="1"/>
  <c r="T2916" i="1"/>
  <c r="S2916" i="1"/>
  <c r="R2916" i="1"/>
  <c r="Q2916" i="1"/>
  <c r="T2915" i="1"/>
  <c r="S2915" i="1"/>
  <c r="R2915" i="1"/>
  <c r="Q2915" i="1"/>
  <c r="Q2913" i="1"/>
  <c r="J2912" i="1"/>
  <c r="Q2912" i="1" s="1"/>
  <c r="J2911" i="1"/>
  <c r="S2911" i="1" s="1"/>
  <c r="L2919" i="1"/>
  <c r="L2927" i="1" s="1"/>
  <c r="K2919" i="1"/>
  <c r="K2927" i="1" s="1"/>
  <c r="L2439" i="4"/>
  <c r="I2443" i="4"/>
  <c r="L2438" i="4"/>
  <c r="L2440" i="4"/>
  <c r="L2441" i="4"/>
  <c r="K2443" i="4"/>
  <c r="J2443" i="4"/>
  <c r="L2442" i="4"/>
  <c r="L2437" i="4"/>
  <c r="L2436" i="4"/>
  <c r="L2435" i="4"/>
  <c r="Q2905" i="1"/>
  <c r="R2905" i="1"/>
  <c r="S2905" i="1"/>
  <c r="T2905" i="1"/>
  <c r="Q2906" i="1"/>
  <c r="R2906" i="1"/>
  <c r="S2906" i="1"/>
  <c r="T2906" i="1"/>
  <c r="Q2907" i="1"/>
  <c r="R2907" i="1"/>
  <c r="S2907" i="1"/>
  <c r="T2907" i="1"/>
  <c r="Q2908" i="1"/>
  <c r="R2908" i="1"/>
  <c r="S2908" i="1"/>
  <c r="T2908" i="1"/>
  <c r="T2904" i="1"/>
  <c r="S2904" i="1"/>
  <c r="R2904" i="1"/>
  <c r="Q2904" i="1"/>
  <c r="T2903" i="1"/>
  <c r="S2903" i="1"/>
  <c r="R2903" i="1"/>
  <c r="Q2903" i="1"/>
  <c r="T2902" i="1"/>
  <c r="S2902" i="1"/>
  <c r="R2902" i="1"/>
  <c r="Q2902" i="1"/>
  <c r="T2901" i="1"/>
  <c r="S2901" i="1"/>
  <c r="R2901" i="1"/>
  <c r="Q2901" i="1"/>
  <c r="J2893" i="1"/>
  <c r="Q2893" i="1" s="1"/>
  <c r="J2894" i="1"/>
  <c r="Q2894" i="1" s="1"/>
  <c r="J2895" i="1"/>
  <c r="T2895" i="1" s="1"/>
  <c r="L2892" i="1"/>
  <c r="L2900" i="1" s="1"/>
  <c r="K2892" i="1"/>
  <c r="K2900" i="1" s="1"/>
  <c r="K2909" i="1" s="1"/>
  <c r="L2432" i="4"/>
  <c r="S2898" i="1"/>
  <c r="T2898" i="1"/>
  <c r="Q2898" i="1"/>
  <c r="R2898" i="1"/>
  <c r="K2434" i="4"/>
  <c r="I2434" i="4"/>
  <c r="L2433" i="4"/>
  <c r="L2431" i="4"/>
  <c r="L2430" i="4"/>
  <c r="L2429" i="4"/>
  <c r="J2434" i="4"/>
  <c r="L2427" i="4"/>
  <c r="L2426" i="4"/>
  <c r="T2897" i="1"/>
  <c r="S2897" i="1"/>
  <c r="R2897" i="1"/>
  <c r="Q2897" i="1"/>
  <c r="Q2896" i="1"/>
  <c r="R2896" i="1"/>
  <c r="S2896" i="1"/>
  <c r="T2896" i="1"/>
  <c r="Q2899" i="1"/>
  <c r="R2899" i="1"/>
  <c r="S2899" i="1"/>
  <c r="T2899" i="1"/>
  <c r="P2900" i="1"/>
  <c r="P2909" i="1" s="1"/>
  <c r="O2900" i="1"/>
  <c r="N2900" i="1"/>
  <c r="N2909" i="1" s="1"/>
  <c r="M2900" i="1"/>
  <c r="M2909" i="1" s="1"/>
  <c r="L2891" i="1"/>
  <c r="M2891" i="1"/>
  <c r="N2891" i="1"/>
  <c r="O2891" i="1"/>
  <c r="P2891" i="1"/>
  <c r="J2891" i="1"/>
  <c r="L2421" i="4"/>
  <c r="L2422" i="4"/>
  <c r="L2423" i="4"/>
  <c r="J2420" i="4"/>
  <c r="J2425" i="4" s="1"/>
  <c r="K2425" i="4"/>
  <c r="I2425" i="4"/>
  <c r="L2424" i="4"/>
  <c r="L2419" i="4"/>
  <c r="L2418" i="4"/>
  <c r="K2887" i="1"/>
  <c r="Q2887" i="1" s="1"/>
  <c r="K2888" i="1"/>
  <c r="Q2888" i="1" s="1"/>
  <c r="K2889" i="1"/>
  <c r="Q2889" i="1" s="1"/>
  <c r="K2890" i="1"/>
  <c r="Q2890" i="1" s="1"/>
  <c r="K2886" i="1"/>
  <c r="Q2886" i="1" s="1"/>
  <c r="K2885" i="1"/>
  <c r="Q2885" i="1" s="1"/>
  <c r="K2884" i="1"/>
  <c r="T2890" i="1"/>
  <c r="S2890" i="1"/>
  <c r="R2890" i="1"/>
  <c r="T2889" i="1"/>
  <c r="S2889" i="1"/>
  <c r="R2889" i="1"/>
  <c r="T2888" i="1"/>
  <c r="S2888" i="1"/>
  <c r="R2888" i="1"/>
  <c r="T2887" i="1"/>
  <c r="S2887" i="1"/>
  <c r="R2887" i="1"/>
  <c r="T2886" i="1"/>
  <c r="S2886" i="1"/>
  <c r="R2886" i="1"/>
  <c r="T2885" i="1"/>
  <c r="S2885" i="1"/>
  <c r="R2885" i="1"/>
  <c r="T2884" i="1"/>
  <c r="S2884" i="1"/>
  <c r="R2884" i="1"/>
  <c r="L2412" i="4"/>
  <c r="Q2876" i="1"/>
  <c r="Q2880" i="1"/>
  <c r="R2880" i="1"/>
  <c r="S2880" i="1"/>
  <c r="T2880" i="1"/>
  <c r="Q2881" i="1"/>
  <c r="R2881" i="1"/>
  <c r="S2881" i="1"/>
  <c r="T2881" i="1"/>
  <c r="K2875" i="1"/>
  <c r="Q2875" i="1" s="1"/>
  <c r="S2877" i="1"/>
  <c r="T2877" i="1"/>
  <c r="R2877" i="1"/>
  <c r="Q2877" i="1"/>
  <c r="K2872" i="1"/>
  <c r="Q2872" i="1" s="1"/>
  <c r="J2417" i="4"/>
  <c r="K2417" i="4"/>
  <c r="L2414" i="4"/>
  <c r="L2415" i="4"/>
  <c r="L2416" i="4"/>
  <c r="R2879" i="1"/>
  <c r="T2879" i="1"/>
  <c r="S2879" i="1"/>
  <c r="S2878" i="1"/>
  <c r="T2878" i="1"/>
  <c r="R2878" i="1"/>
  <c r="Q2879" i="1"/>
  <c r="Q2878" i="1"/>
  <c r="I2417" i="4"/>
  <c r="L2413" i="4"/>
  <c r="L2411" i="4"/>
  <c r="L2410" i="4"/>
  <c r="L2409" i="4"/>
  <c r="L2408" i="4"/>
  <c r="T2882" i="1"/>
  <c r="S2882" i="1"/>
  <c r="R2882" i="1"/>
  <c r="Q2882" i="1"/>
  <c r="T2876" i="1"/>
  <c r="S2876" i="1"/>
  <c r="R2876" i="1"/>
  <c r="T2875" i="1"/>
  <c r="S2875" i="1"/>
  <c r="R2875" i="1"/>
  <c r="T2874" i="1"/>
  <c r="S2874" i="1"/>
  <c r="R2874" i="1"/>
  <c r="Q2874" i="1"/>
  <c r="T2873" i="1"/>
  <c r="S2873" i="1"/>
  <c r="R2873" i="1"/>
  <c r="Q2873" i="1"/>
  <c r="T2872" i="1"/>
  <c r="S2872" i="1"/>
  <c r="R2872" i="1"/>
  <c r="L2405" i="4"/>
  <c r="T2869" i="1"/>
  <c r="S2869" i="1"/>
  <c r="R2869" i="1"/>
  <c r="Q2869" i="1"/>
  <c r="Q2868" i="1"/>
  <c r="R2868" i="1"/>
  <c r="S2868" i="1"/>
  <c r="T2868" i="1"/>
  <c r="L2863" i="1"/>
  <c r="L2871" i="1" s="1"/>
  <c r="L2883" i="1" s="1"/>
  <c r="K2407" i="4"/>
  <c r="J2407" i="4"/>
  <c r="I2407" i="4"/>
  <c r="L2406" i="4"/>
  <c r="L2404" i="4"/>
  <c r="L2403" i="4"/>
  <c r="L2402" i="4"/>
  <c r="L2401" i="4"/>
  <c r="L2400" i="4"/>
  <c r="L2399" i="4"/>
  <c r="P2871" i="1"/>
  <c r="P2883" i="1" s="1"/>
  <c r="O2871" i="1"/>
  <c r="N2871" i="1"/>
  <c r="N2883" i="1" s="1"/>
  <c r="M2871" i="1"/>
  <c r="M2883" i="1" s="1"/>
  <c r="K2871" i="1"/>
  <c r="T2870" i="1"/>
  <c r="S2870" i="1"/>
  <c r="R2870" i="1"/>
  <c r="Q2870" i="1"/>
  <c r="T2867" i="1"/>
  <c r="S2867" i="1"/>
  <c r="R2867" i="1"/>
  <c r="Q2867" i="1"/>
  <c r="T2866" i="1"/>
  <c r="S2866" i="1"/>
  <c r="R2866" i="1"/>
  <c r="Q2866" i="1"/>
  <c r="Q2865" i="1"/>
  <c r="J2864" i="1"/>
  <c r="Q2864" i="1" s="1"/>
  <c r="L2391" i="4"/>
  <c r="L2392" i="4"/>
  <c r="K2855" i="1"/>
  <c r="K2854" i="1"/>
  <c r="Q2854" i="1" s="1"/>
  <c r="S2913" i="1"/>
  <c r="T2913" i="1"/>
  <c r="R2913" i="1"/>
  <c r="J2910" i="1"/>
  <c r="L2428" i="4"/>
  <c r="R2865" i="1"/>
  <c r="S2865" i="1"/>
  <c r="T2865" i="1"/>
  <c r="L2393" i="4"/>
  <c r="S2853" i="1"/>
  <c r="T2853" i="1"/>
  <c r="R2853" i="1"/>
  <c r="Q2853" i="1"/>
  <c r="L2390" i="4"/>
  <c r="K2398" i="4"/>
  <c r="J2398" i="4"/>
  <c r="I2398" i="4"/>
  <c r="L2397" i="4"/>
  <c r="L2396" i="4"/>
  <c r="L2395" i="4"/>
  <c r="L2394" i="4"/>
  <c r="L2389" i="4"/>
  <c r="L2862" i="1"/>
  <c r="M2862" i="1"/>
  <c r="N2862" i="1"/>
  <c r="O2862" i="1"/>
  <c r="P2862" i="1"/>
  <c r="J2862" i="1"/>
  <c r="Q2859" i="1"/>
  <c r="R2859" i="1"/>
  <c r="S2859" i="1"/>
  <c r="T2859" i="1"/>
  <c r="Q2860" i="1"/>
  <c r="R2860" i="1"/>
  <c r="S2860" i="1"/>
  <c r="T2860" i="1"/>
  <c r="T2861" i="1"/>
  <c r="S2861" i="1"/>
  <c r="R2861" i="1"/>
  <c r="Q2861" i="1"/>
  <c r="T2858" i="1"/>
  <c r="S2858" i="1"/>
  <c r="R2858" i="1"/>
  <c r="Q2858" i="1"/>
  <c r="T2857" i="1"/>
  <c r="S2857" i="1"/>
  <c r="R2857" i="1"/>
  <c r="Q2857" i="1"/>
  <c r="T2856" i="1"/>
  <c r="S2856" i="1"/>
  <c r="R2856" i="1"/>
  <c r="Q2856" i="1"/>
  <c r="T2855" i="1"/>
  <c r="S2855" i="1"/>
  <c r="R2855" i="1"/>
  <c r="T2854" i="1"/>
  <c r="S2854" i="1"/>
  <c r="R2854" i="1"/>
  <c r="T2852" i="1"/>
  <c r="S2852" i="1"/>
  <c r="R2852" i="1"/>
  <c r="Q2852" i="1"/>
  <c r="K2851" i="1"/>
  <c r="L2844" i="1"/>
  <c r="K2388" i="4"/>
  <c r="J2388" i="4"/>
  <c r="I2388" i="4"/>
  <c r="L2387" i="4"/>
  <c r="L2386" i="4"/>
  <c r="L2385" i="4"/>
  <c r="L2384" i="4"/>
  <c r="L2383" i="4"/>
  <c r="L2382" i="4"/>
  <c r="L2381" i="4"/>
  <c r="P2851" i="1"/>
  <c r="O2851" i="1"/>
  <c r="N2851" i="1"/>
  <c r="M2851" i="1"/>
  <c r="T2850" i="1"/>
  <c r="S2850" i="1"/>
  <c r="R2850" i="1"/>
  <c r="Q2850" i="1"/>
  <c r="T2849" i="1"/>
  <c r="S2849" i="1"/>
  <c r="R2849" i="1"/>
  <c r="Q2849" i="1"/>
  <c r="T2848" i="1"/>
  <c r="S2848" i="1"/>
  <c r="R2848" i="1"/>
  <c r="Q2848" i="1"/>
  <c r="T2847" i="1"/>
  <c r="S2847" i="1"/>
  <c r="R2847" i="1"/>
  <c r="Q2847" i="1"/>
  <c r="J2846" i="1"/>
  <c r="T2846" i="1" s="1"/>
  <c r="K2838" i="1"/>
  <c r="Q2838" i="1" s="1"/>
  <c r="S2841" i="1"/>
  <c r="T2841" i="1"/>
  <c r="R2841" i="1"/>
  <c r="Q2841" i="1"/>
  <c r="Q2837" i="1"/>
  <c r="R2837" i="1"/>
  <c r="S2837" i="1"/>
  <c r="T2837" i="1"/>
  <c r="I2380" i="4"/>
  <c r="L2374" i="4"/>
  <c r="L2375" i="4"/>
  <c r="L2376" i="4"/>
  <c r="L2377" i="4"/>
  <c r="L2378" i="4"/>
  <c r="L2379" i="4"/>
  <c r="K2380" i="4"/>
  <c r="J2380" i="4"/>
  <c r="L2373" i="4"/>
  <c r="L2843" i="1"/>
  <c r="M2843" i="1"/>
  <c r="N2843" i="1"/>
  <c r="O2843" i="1"/>
  <c r="P2843" i="1"/>
  <c r="J2843" i="1"/>
  <c r="T2842" i="1"/>
  <c r="S2842" i="1"/>
  <c r="R2842" i="1"/>
  <c r="Q2842" i="1"/>
  <c r="T2840" i="1"/>
  <c r="S2840" i="1"/>
  <c r="R2840" i="1"/>
  <c r="Q2840" i="1"/>
  <c r="T2839" i="1"/>
  <c r="S2839" i="1"/>
  <c r="R2839" i="1"/>
  <c r="Q2839" i="1"/>
  <c r="T2838" i="1"/>
  <c r="S2838" i="1"/>
  <c r="R2838" i="1"/>
  <c r="T2836" i="1"/>
  <c r="S2836" i="1"/>
  <c r="R2836" i="1"/>
  <c r="Q2836" i="1"/>
  <c r="T2835" i="1"/>
  <c r="S2835" i="1"/>
  <c r="R2835" i="1"/>
  <c r="Q2835" i="1"/>
  <c r="T2834" i="1"/>
  <c r="S2834" i="1"/>
  <c r="R2834" i="1"/>
  <c r="Q2834" i="1"/>
  <c r="L2826" i="1"/>
  <c r="L2833" i="1" s="1"/>
  <c r="K2826" i="1"/>
  <c r="K2833" i="1" s="1"/>
  <c r="J2372" i="4"/>
  <c r="I2372" i="4"/>
  <c r="L2371" i="4"/>
  <c r="K2372" i="4"/>
  <c r="L2369" i="4"/>
  <c r="L2368" i="4"/>
  <c r="L2367" i="4"/>
  <c r="L2366" i="4"/>
  <c r="L2365" i="4"/>
  <c r="P2833" i="1"/>
  <c r="O2833" i="1"/>
  <c r="N2833" i="1"/>
  <c r="M2833" i="1"/>
  <c r="T2832" i="1"/>
  <c r="S2832" i="1"/>
  <c r="R2832" i="1"/>
  <c r="Q2832" i="1"/>
  <c r="T2831" i="1"/>
  <c r="S2831" i="1"/>
  <c r="R2831" i="1"/>
  <c r="Q2831" i="1"/>
  <c r="T2830" i="1"/>
  <c r="S2830" i="1"/>
  <c r="R2830" i="1"/>
  <c r="Q2830" i="1"/>
  <c r="T2829" i="1"/>
  <c r="S2829" i="1"/>
  <c r="R2829" i="1"/>
  <c r="Q2829" i="1"/>
  <c r="J2828" i="1"/>
  <c r="T2828" i="1" s="1"/>
  <c r="J2827" i="1"/>
  <c r="L2358" i="4"/>
  <c r="L2357" i="4"/>
  <c r="L2359" i="4"/>
  <c r="L2360" i="4"/>
  <c r="L2361" i="4"/>
  <c r="L2362" i="4"/>
  <c r="L2363" i="4"/>
  <c r="J2845" i="1"/>
  <c r="T2845" i="1" s="1"/>
  <c r="L2370" i="4"/>
  <c r="J2364" i="4"/>
  <c r="I2364" i="4"/>
  <c r="K2364" i="4"/>
  <c r="L2356" i="4"/>
  <c r="K2825" i="1"/>
  <c r="L2825" i="1"/>
  <c r="M2825" i="1"/>
  <c r="N2825" i="1"/>
  <c r="O2825" i="1"/>
  <c r="P2825" i="1"/>
  <c r="J2825" i="1"/>
  <c r="T2824" i="1"/>
  <c r="S2824" i="1"/>
  <c r="R2824" i="1"/>
  <c r="Q2824" i="1"/>
  <c r="T2823" i="1"/>
  <c r="S2823" i="1"/>
  <c r="R2823" i="1"/>
  <c r="Q2823" i="1"/>
  <c r="T2822" i="1"/>
  <c r="S2822" i="1"/>
  <c r="R2822" i="1"/>
  <c r="Q2822" i="1"/>
  <c r="T2821" i="1"/>
  <c r="S2821" i="1"/>
  <c r="R2821" i="1"/>
  <c r="Q2821" i="1"/>
  <c r="T2820" i="1"/>
  <c r="S2820" i="1"/>
  <c r="R2820" i="1"/>
  <c r="Q2820" i="1"/>
  <c r="T2819" i="1"/>
  <c r="S2819" i="1"/>
  <c r="R2819" i="1"/>
  <c r="Q2819" i="1"/>
  <c r="T2818" i="1"/>
  <c r="S2818" i="1"/>
  <c r="R2818" i="1"/>
  <c r="Q2818" i="1"/>
  <c r="K2353" i="4"/>
  <c r="L2353" i="4" s="1"/>
  <c r="L2810" i="1"/>
  <c r="K2810" i="1"/>
  <c r="K2817" i="1" s="1"/>
  <c r="J2355" i="4"/>
  <c r="I2355" i="4"/>
  <c r="L2354" i="4"/>
  <c r="L2352" i="4"/>
  <c r="L2351" i="4"/>
  <c r="L2350" i="4"/>
  <c r="L2349" i="4"/>
  <c r="L2348" i="4"/>
  <c r="P2817" i="1"/>
  <c r="O2817" i="1"/>
  <c r="N2817" i="1"/>
  <c r="M2817" i="1"/>
  <c r="T2816" i="1"/>
  <c r="S2816" i="1"/>
  <c r="R2816" i="1"/>
  <c r="Q2816" i="1"/>
  <c r="T2815" i="1"/>
  <c r="S2815" i="1"/>
  <c r="R2815" i="1"/>
  <c r="Q2815" i="1"/>
  <c r="T2814" i="1"/>
  <c r="S2814" i="1"/>
  <c r="R2814" i="1"/>
  <c r="Q2814" i="1"/>
  <c r="T2813" i="1"/>
  <c r="S2813" i="1"/>
  <c r="R2813" i="1"/>
  <c r="Q2813" i="1"/>
  <c r="J2812" i="1"/>
  <c r="J2811" i="1"/>
  <c r="K2803" i="1"/>
  <c r="K2809" i="1" s="1"/>
  <c r="J2347" i="4"/>
  <c r="K2347" i="4"/>
  <c r="I2347" i="4"/>
  <c r="L2346" i="4"/>
  <c r="L2345" i="4"/>
  <c r="L2344" i="4"/>
  <c r="L2343" i="4"/>
  <c r="L2342" i="4"/>
  <c r="L2341" i="4"/>
  <c r="L2340" i="4"/>
  <c r="L2809" i="1"/>
  <c r="M2809" i="1"/>
  <c r="N2809" i="1"/>
  <c r="O2809" i="1"/>
  <c r="P2809" i="1"/>
  <c r="J2809" i="1"/>
  <c r="T2808" i="1"/>
  <c r="S2808" i="1"/>
  <c r="R2808" i="1"/>
  <c r="Q2808" i="1"/>
  <c r="T2807" i="1"/>
  <c r="S2807" i="1"/>
  <c r="R2807" i="1"/>
  <c r="Q2807" i="1"/>
  <c r="T2806" i="1"/>
  <c r="S2806" i="1"/>
  <c r="R2806" i="1"/>
  <c r="Q2806" i="1"/>
  <c r="T2805" i="1"/>
  <c r="S2805" i="1"/>
  <c r="R2805" i="1"/>
  <c r="Q2805" i="1"/>
  <c r="T2804" i="1"/>
  <c r="S2804" i="1"/>
  <c r="R2804" i="1"/>
  <c r="Q2804" i="1"/>
  <c r="T2803" i="1"/>
  <c r="S2803" i="1"/>
  <c r="R2803" i="1"/>
  <c r="T2802" i="1"/>
  <c r="S2802" i="1"/>
  <c r="R2802" i="1"/>
  <c r="Q2802" i="1"/>
  <c r="T2801" i="1"/>
  <c r="S2801" i="1"/>
  <c r="R2801" i="1"/>
  <c r="Q2801" i="1"/>
  <c r="L2793" i="1"/>
  <c r="L2800" i="1" s="1"/>
  <c r="K2793" i="1"/>
  <c r="K2800" i="1" s="1"/>
  <c r="K2339" i="4"/>
  <c r="J2339" i="4"/>
  <c r="I2339" i="4"/>
  <c r="L2338" i="4"/>
  <c r="L2337" i="4"/>
  <c r="L2336" i="4"/>
  <c r="L2335" i="4"/>
  <c r="L2334" i="4"/>
  <c r="L2333" i="4"/>
  <c r="L2332" i="4"/>
  <c r="P2800" i="1"/>
  <c r="O2800" i="1"/>
  <c r="N2800" i="1"/>
  <c r="M2800" i="1"/>
  <c r="T2799" i="1"/>
  <c r="S2799" i="1"/>
  <c r="R2799" i="1"/>
  <c r="Q2799" i="1"/>
  <c r="T2798" i="1"/>
  <c r="S2798" i="1"/>
  <c r="R2798" i="1"/>
  <c r="Q2798" i="1"/>
  <c r="T2797" i="1"/>
  <c r="S2797" i="1"/>
  <c r="R2797" i="1"/>
  <c r="Q2797" i="1"/>
  <c r="T2796" i="1"/>
  <c r="S2796" i="1"/>
  <c r="R2796" i="1"/>
  <c r="Q2796" i="1"/>
  <c r="J2795" i="1"/>
  <c r="Q2795" i="1" s="1"/>
  <c r="J2794" i="1"/>
  <c r="Q2794" i="1" s="1"/>
  <c r="K2790" i="1"/>
  <c r="Q2790" i="1" s="1"/>
  <c r="J2788" i="1"/>
  <c r="K2786" i="1"/>
  <c r="Q2786" i="1" s="1"/>
  <c r="J2331" i="4"/>
  <c r="K2331" i="4"/>
  <c r="I2331" i="4"/>
  <c r="L2330" i="4"/>
  <c r="L2329" i="4"/>
  <c r="L2328" i="4"/>
  <c r="L2327" i="4"/>
  <c r="L2326" i="4"/>
  <c r="L2325" i="4"/>
  <c r="T2791" i="1"/>
  <c r="S2791" i="1"/>
  <c r="R2791" i="1"/>
  <c r="Q2791" i="1"/>
  <c r="T2790" i="1"/>
  <c r="S2790" i="1"/>
  <c r="R2790" i="1"/>
  <c r="T2789" i="1"/>
  <c r="S2789" i="1"/>
  <c r="R2789" i="1"/>
  <c r="Q2789" i="1"/>
  <c r="T2787" i="1"/>
  <c r="S2787" i="1"/>
  <c r="R2787" i="1"/>
  <c r="Q2787" i="1"/>
  <c r="T2786" i="1"/>
  <c r="S2786" i="1"/>
  <c r="R2786" i="1"/>
  <c r="L2322" i="4"/>
  <c r="Q2783" i="1"/>
  <c r="R2783" i="1"/>
  <c r="S2783" i="1"/>
  <c r="T2783" i="1"/>
  <c r="L2317" i="4"/>
  <c r="J2324" i="4"/>
  <c r="I2324" i="4"/>
  <c r="L2323" i="4"/>
  <c r="K2324" i="4"/>
  <c r="L2320" i="4"/>
  <c r="L2319" i="4"/>
  <c r="L2318" i="4"/>
  <c r="L2316" i="4"/>
  <c r="J2778" i="1"/>
  <c r="R2778" i="1" s="1"/>
  <c r="P2785" i="1"/>
  <c r="P2792" i="1" s="1"/>
  <c r="O2785" i="1"/>
  <c r="N2785" i="1"/>
  <c r="N2792" i="1" s="1"/>
  <c r="L2785" i="1"/>
  <c r="L2792" i="1" s="1"/>
  <c r="K2785" i="1"/>
  <c r="T2784" i="1"/>
  <c r="S2784" i="1"/>
  <c r="R2784" i="1"/>
  <c r="Q2784" i="1"/>
  <c r="T2782" i="1"/>
  <c r="S2782" i="1"/>
  <c r="R2782" i="1"/>
  <c r="Q2782" i="1"/>
  <c r="T2781" i="1"/>
  <c r="S2781" i="1"/>
  <c r="R2781" i="1"/>
  <c r="Q2781" i="1"/>
  <c r="M2785" i="1"/>
  <c r="M2792" i="1" s="1"/>
  <c r="T2780" i="1"/>
  <c r="S2780" i="1"/>
  <c r="R2780" i="1"/>
  <c r="Q2780" i="1"/>
  <c r="J2779" i="1"/>
  <c r="T2779" i="1" s="1"/>
  <c r="J2777" i="1"/>
  <c r="Q2777" i="1" s="1"/>
  <c r="V2771" i="1"/>
  <c r="K2771" i="1" s="1"/>
  <c r="Q2771" i="1" s="1"/>
  <c r="V2772" i="1"/>
  <c r="K2772" i="1" s="1"/>
  <c r="Q2772" i="1" s="1"/>
  <c r="V2773" i="1"/>
  <c r="K2773" i="1" s="1"/>
  <c r="Q2773" i="1" s="1"/>
  <c r="V2770" i="1"/>
  <c r="K2770" i="1" s="1"/>
  <c r="L2321" i="4"/>
  <c r="I2315" i="4"/>
  <c r="J2315" i="4"/>
  <c r="L2314" i="4"/>
  <c r="Q2775" i="1"/>
  <c r="R2775" i="1"/>
  <c r="S2775" i="1"/>
  <c r="T2775" i="1"/>
  <c r="Q2774" i="1"/>
  <c r="R2774" i="1"/>
  <c r="S2774" i="1"/>
  <c r="T2774" i="1"/>
  <c r="P2776" i="1"/>
  <c r="O2776" i="1"/>
  <c r="N2776" i="1"/>
  <c r="L2776" i="1"/>
  <c r="J2776" i="1"/>
  <c r="T2773" i="1"/>
  <c r="S2773" i="1"/>
  <c r="R2773" i="1"/>
  <c r="T2772" i="1"/>
  <c r="S2772" i="1"/>
  <c r="R2772" i="1"/>
  <c r="T2771" i="1"/>
  <c r="S2771" i="1"/>
  <c r="R2771" i="1"/>
  <c r="M2776" i="1"/>
  <c r="T2770" i="1"/>
  <c r="S2770" i="1"/>
  <c r="R2770" i="1"/>
  <c r="L2313" i="4"/>
  <c r="K2312" i="4"/>
  <c r="K2315" i="4" s="1"/>
  <c r="L2311" i="4"/>
  <c r="L2310" i="4"/>
  <c r="K2307" i="4"/>
  <c r="L2307" i="4" s="1"/>
  <c r="M2765" i="1"/>
  <c r="M2769" i="1" s="1"/>
  <c r="K2762" i="1"/>
  <c r="J2762" i="1" s="1"/>
  <c r="J2309" i="4"/>
  <c r="I2309" i="4"/>
  <c r="L2308" i="4"/>
  <c r="L2306" i="4"/>
  <c r="L2305" i="4"/>
  <c r="L2304" i="4"/>
  <c r="L2303" i="4"/>
  <c r="P2769" i="1"/>
  <c r="O2769" i="1"/>
  <c r="N2769" i="1"/>
  <c r="L2769" i="1"/>
  <c r="T2768" i="1"/>
  <c r="S2768" i="1"/>
  <c r="R2768" i="1"/>
  <c r="Q2768" i="1"/>
  <c r="T2767" i="1"/>
  <c r="S2767" i="1"/>
  <c r="R2767" i="1"/>
  <c r="Q2767" i="1"/>
  <c r="T2766" i="1"/>
  <c r="S2766" i="1"/>
  <c r="R2766" i="1"/>
  <c r="Q2766" i="1"/>
  <c r="T2765" i="1"/>
  <c r="S2765" i="1"/>
  <c r="R2765" i="1"/>
  <c r="Q2765" i="1"/>
  <c r="Q2764" i="1"/>
  <c r="J2763" i="1"/>
  <c r="Q2763" i="1" s="1"/>
  <c r="L2299" i="4"/>
  <c r="K2755" i="1"/>
  <c r="K2761" i="1" s="1"/>
  <c r="K2302" i="4"/>
  <c r="J2302" i="4"/>
  <c r="I2302" i="4"/>
  <c r="L2301" i="4"/>
  <c r="L2300" i="4"/>
  <c r="L2298" i="4"/>
  <c r="L2297" i="4"/>
  <c r="L2296" i="4"/>
  <c r="L2295" i="4"/>
  <c r="Q2756" i="1"/>
  <c r="R2756" i="1"/>
  <c r="S2756" i="1"/>
  <c r="T2756" i="1"/>
  <c r="Q2757" i="1"/>
  <c r="R2757" i="1"/>
  <c r="S2757" i="1"/>
  <c r="T2757" i="1"/>
  <c r="Q2758" i="1"/>
  <c r="R2758" i="1"/>
  <c r="S2758" i="1"/>
  <c r="T2758" i="1"/>
  <c r="Q2759" i="1"/>
  <c r="R2759" i="1"/>
  <c r="S2759" i="1"/>
  <c r="T2759" i="1"/>
  <c r="Q2753" i="1"/>
  <c r="P2761" i="1"/>
  <c r="O2761" i="1"/>
  <c r="N2761" i="1"/>
  <c r="M2761" i="1"/>
  <c r="L2761" i="1"/>
  <c r="J2761" i="1"/>
  <c r="T2760" i="1"/>
  <c r="S2760" i="1"/>
  <c r="R2760" i="1"/>
  <c r="Q2760" i="1"/>
  <c r="T2755" i="1"/>
  <c r="S2755" i="1"/>
  <c r="R2755" i="1"/>
  <c r="T2754" i="1"/>
  <c r="S2754" i="1"/>
  <c r="R2754" i="1"/>
  <c r="Q2754" i="1"/>
  <c r="T2753" i="1"/>
  <c r="S2753" i="1"/>
  <c r="R2753" i="1"/>
  <c r="T2752" i="1"/>
  <c r="S2752" i="1"/>
  <c r="R2752" i="1"/>
  <c r="Q2752" i="1"/>
  <c r="M2747" i="1"/>
  <c r="M2751" i="1" s="1"/>
  <c r="T2749" i="1"/>
  <c r="S2749" i="1"/>
  <c r="R2749" i="1"/>
  <c r="Q2749" i="1"/>
  <c r="L2290" i="4"/>
  <c r="J2746" i="1"/>
  <c r="S2746" i="1" s="1"/>
  <c r="K2294" i="4"/>
  <c r="J2294" i="4"/>
  <c r="I2294" i="4"/>
  <c r="L2293" i="4"/>
  <c r="L2292" i="4"/>
  <c r="L2291" i="4"/>
  <c r="L2289" i="4"/>
  <c r="L2288" i="4"/>
  <c r="J2745" i="1"/>
  <c r="T2745" i="1" s="1"/>
  <c r="J2744" i="1"/>
  <c r="P2751" i="1"/>
  <c r="O2751" i="1"/>
  <c r="N2751" i="1"/>
  <c r="L2751" i="1"/>
  <c r="T2750" i="1"/>
  <c r="S2750" i="1"/>
  <c r="R2750" i="1"/>
  <c r="Q2750" i="1"/>
  <c r="T2748" i="1"/>
  <c r="S2748" i="1"/>
  <c r="R2748" i="1"/>
  <c r="Q2748" i="1"/>
  <c r="T2747" i="1"/>
  <c r="S2747" i="1"/>
  <c r="R2747" i="1"/>
  <c r="Q2747" i="1"/>
  <c r="M2743" i="1"/>
  <c r="L2743" i="1"/>
  <c r="N2743" i="1"/>
  <c r="O2743" i="1"/>
  <c r="P2743" i="1"/>
  <c r="J2743" i="1"/>
  <c r="T2742" i="1"/>
  <c r="S2742" i="1"/>
  <c r="R2742" i="1"/>
  <c r="Q2742" i="1"/>
  <c r="T2741" i="1"/>
  <c r="S2741" i="1"/>
  <c r="R2741" i="1"/>
  <c r="Q2741" i="1"/>
  <c r="I2287" i="4"/>
  <c r="L2280" i="4"/>
  <c r="L2281" i="4"/>
  <c r="L2282" i="4"/>
  <c r="L2283" i="4"/>
  <c r="L2284" i="4"/>
  <c r="L2285" i="4"/>
  <c r="L2286" i="4"/>
  <c r="S2764" i="1"/>
  <c r="R2764" i="1"/>
  <c r="T2764" i="1"/>
  <c r="K2751" i="1"/>
  <c r="J2287" i="4"/>
  <c r="K2287" i="4"/>
  <c r="L2279" i="4"/>
  <c r="T2740" i="1"/>
  <c r="S2740" i="1"/>
  <c r="R2740" i="1"/>
  <c r="T2739" i="1"/>
  <c r="S2739" i="1"/>
  <c r="R2739" i="1"/>
  <c r="Q2739" i="1"/>
  <c r="T2738" i="1"/>
  <c r="S2738" i="1"/>
  <c r="R2738" i="1"/>
  <c r="T2737" i="1"/>
  <c r="S2737" i="1"/>
  <c r="R2737" i="1"/>
  <c r="Q2737" i="1"/>
  <c r="T2736" i="1"/>
  <c r="S2736" i="1"/>
  <c r="R2736" i="1"/>
  <c r="L2274" i="4"/>
  <c r="Q2736" i="1"/>
  <c r="K2743" i="1"/>
  <c r="Q2740" i="1"/>
  <c r="Q2738" i="1"/>
  <c r="K2278" i="4"/>
  <c r="J2278" i="4"/>
  <c r="I2278" i="4"/>
  <c r="L2277" i="4"/>
  <c r="L2276" i="4"/>
  <c r="L2275" i="4"/>
  <c r="L2273" i="4"/>
  <c r="L2272" i="4"/>
  <c r="L2271" i="4"/>
  <c r="K2733" i="1"/>
  <c r="Q2733" i="1" s="1"/>
  <c r="R2733" i="1"/>
  <c r="S2733" i="1"/>
  <c r="T2733" i="1"/>
  <c r="K2732" i="1"/>
  <c r="Q2732" i="1" s="1"/>
  <c r="K2734" i="1"/>
  <c r="Q2734" i="1" s="1"/>
  <c r="K2731" i="1"/>
  <c r="Q2731" i="1" s="1"/>
  <c r="K2730" i="1"/>
  <c r="Q2730" i="1" s="1"/>
  <c r="K2729" i="1"/>
  <c r="Q2729" i="1" s="1"/>
  <c r="K2728" i="1"/>
  <c r="Q2728" i="1" s="1"/>
  <c r="R2729" i="1"/>
  <c r="S2729" i="1"/>
  <c r="T2729" i="1"/>
  <c r="P2735" i="1"/>
  <c r="O2735" i="1"/>
  <c r="N2735" i="1"/>
  <c r="M2735" i="1"/>
  <c r="L2735" i="1"/>
  <c r="J2735" i="1"/>
  <c r="T2734" i="1"/>
  <c r="S2734" i="1"/>
  <c r="R2734" i="1"/>
  <c r="T2732" i="1"/>
  <c r="S2732" i="1"/>
  <c r="R2732" i="1"/>
  <c r="T2731" i="1"/>
  <c r="S2731" i="1"/>
  <c r="R2731" i="1"/>
  <c r="T2730" i="1"/>
  <c r="S2730" i="1"/>
  <c r="R2730" i="1"/>
  <c r="T2728" i="1"/>
  <c r="S2728" i="1"/>
  <c r="R2728" i="1"/>
  <c r="J2270" i="4"/>
  <c r="K2270" i="4"/>
  <c r="I2270" i="4"/>
  <c r="L2264" i="4"/>
  <c r="L2265" i="4"/>
  <c r="K2725" i="1"/>
  <c r="Q2725" i="1" s="1"/>
  <c r="K2724" i="1"/>
  <c r="Q2724" i="1" s="1"/>
  <c r="L2269" i="4"/>
  <c r="L2268" i="4"/>
  <c r="L2267" i="4"/>
  <c r="L2266" i="4"/>
  <c r="L2263" i="4"/>
  <c r="K2722" i="1"/>
  <c r="L2727" i="1"/>
  <c r="M2727" i="1"/>
  <c r="N2727" i="1"/>
  <c r="O2727" i="1"/>
  <c r="P2727" i="1"/>
  <c r="J2727" i="1"/>
  <c r="T2726" i="1"/>
  <c r="S2726" i="1"/>
  <c r="R2726" i="1"/>
  <c r="Q2726" i="1"/>
  <c r="T2725" i="1"/>
  <c r="S2725" i="1"/>
  <c r="R2725" i="1"/>
  <c r="T2724" i="1"/>
  <c r="S2724" i="1"/>
  <c r="R2724" i="1"/>
  <c r="T2723" i="1"/>
  <c r="S2723" i="1"/>
  <c r="R2723" i="1"/>
  <c r="Q2723" i="1"/>
  <c r="T2722" i="1"/>
  <c r="S2722" i="1"/>
  <c r="R2722" i="1"/>
  <c r="K2262" i="4"/>
  <c r="J2262" i="4"/>
  <c r="I2262" i="4"/>
  <c r="L2261" i="4"/>
  <c r="L2260" i="4"/>
  <c r="L2259" i="4"/>
  <c r="L2258" i="4"/>
  <c r="L2257" i="4"/>
  <c r="L2256" i="4"/>
  <c r="Q2720" i="1"/>
  <c r="R2720" i="1"/>
  <c r="S2720" i="1"/>
  <c r="T2720" i="1"/>
  <c r="P2721" i="1"/>
  <c r="O2721" i="1"/>
  <c r="N2721" i="1"/>
  <c r="M2721" i="1"/>
  <c r="L2721" i="1"/>
  <c r="K2721" i="1"/>
  <c r="J2721" i="1"/>
  <c r="T2719" i="1"/>
  <c r="S2719" i="1"/>
  <c r="R2719" i="1"/>
  <c r="Q2719" i="1"/>
  <c r="T2718" i="1"/>
  <c r="S2718" i="1"/>
  <c r="R2718" i="1"/>
  <c r="Q2718" i="1"/>
  <c r="T2717" i="1"/>
  <c r="S2717" i="1"/>
  <c r="R2717" i="1"/>
  <c r="Q2717" i="1"/>
  <c r="T2716" i="1"/>
  <c r="S2716" i="1"/>
  <c r="R2716" i="1"/>
  <c r="Q2716" i="1"/>
  <c r="T2715" i="1"/>
  <c r="S2715" i="1"/>
  <c r="R2715" i="1"/>
  <c r="Q2715" i="1"/>
  <c r="K2712" i="1"/>
  <c r="Q2712" i="1" s="1"/>
  <c r="K2710" i="1"/>
  <c r="Q2710" i="1" s="1"/>
  <c r="K2708" i="1"/>
  <c r="Q2708" i="1" s="1"/>
  <c r="K2707" i="1"/>
  <c r="Q2707" i="1" s="1"/>
  <c r="J2255" i="4"/>
  <c r="K2255" i="4"/>
  <c r="I2255" i="4"/>
  <c r="L2253" i="4"/>
  <c r="L2254" i="4"/>
  <c r="L2252" i="4"/>
  <c r="L2251" i="4"/>
  <c r="L2250" i="4"/>
  <c r="L2249" i="4"/>
  <c r="P2714" i="1"/>
  <c r="O2714" i="1"/>
  <c r="N2714" i="1"/>
  <c r="M2714" i="1"/>
  <c r="L2714" i="1"/>
  <c r="J2714" i="1"/>
  <c r="T2713" i="1"/>
  <c r="S2713" i="1"/>
  <c r="R2713" i="1"/>
  <c r="Q2713" i="1"/>
  <c r="T2712" i="1"/>
  <c r="S2712" i="1"/>
  <c r="R2712" i="1"/>
  <c r="T2711" i="1"/>
  <c r="S2711" i="1"/>
  <c r="R2711" i="1"/>
  <c r="Q2711" i="1"/>
  <c r="T2710" i="1"/>
  <c r="S2710" i="1"/>
  <c r="R2710" i="1"/>
  <c r="T2709" i="1"/>
  <c r="S2709" i="1"/>
  <c r="R2709" i="1"/>
  <c r="Q2709" i="1"/>
  <c r="T2708" i="1"/>
  <c r="S2708" i="1"/>
  <c r="R2708" i="1"/>
  <c r="T2707" i="1"/>
  <c r="S2707" i="1"/>
  <c r="R2707" i="1"/>
  <c r="Q2701" i="1"/>
  <c r="R2701" i="1"/>
  <c r="S2701" i="1"/>
  <c r="T2701" i="1"/>
  <c r="L2246" i="4"/>
  <c r="L2247" i="4"/>
  <c r="Q2704" i="1"/>
  <c r="R2704" i="1"/>
  <c r="S2704" i="1"/>
  <c r="T2704" i="1"/>
  <c r="K2248" i="4"/>
  <c r="J2248" i="4"/>
  <c r="I2248" i="4"/>
  <c r="L2245" i="4"/>
  <c r="L2244" i="4"/>
  <c r="L2243" i="4"/>
  <c r="L2242" i="4"/>
  <c r="P2706" i="1"/>
  <c r="O2706" i="1"/>
  <c r="N2706" i="1"/>
  <c r="M2706" i="1"/>
  <c r="L2706" i="1"/>
  <c r="K2706" i="1"/>
  <c r="J2706" i="1"/>
  <c r="T2705" i="1"/>
  <c r="S2705" i="1"/>
  <c r="R2705" i="1"/>
  <c r="Q2705" i="1"/>
  <c r="T2703" i="1"/>
  <c r="S2703" i="1"/>
  <c r="R2703" i="1"/>
  <c r="Q2703" i="1"/>
  <c r="Q2702" i="1"/>
  <c r="T2700" i="1"/>
  <c r="Q2700" i="1"/>
  <c r="T2699" i="1"/>
  <c r="S2699" i="1"/>
  <c r="R2699" i="1"/>
  <c r="Q2699" i="1"/>
  <c r="K2690" i="1"/>
  <c r="Q2690" i="1" s="1"/>
  <c r="L2239" i="4"/>
  <c r="K2691" i="1"/>
  <c r="Q2691" i="1" s="1"/>
  <c r="J2241" i="4"/>
  <c r="K2241" i="4"/>
  <c r="I2241" i="4"/>
  <c r="J2234" i="4"/>
  <c r="K2234" i="4"/>
  <c r="L2236" i="4"/>
  <c r="L2237" i="4"/>
  <c r="L2238" i="4"/>
  <c r="L2240" i="4"/>
  <c r="L2235" i="4"/>
  <c r="L2698" i="1"/>
  <c r="M2698" i="1"/>
  <c r="N2698" i="1"/>
  <c r="O2698" i="1"/>
  <c r="P2698" i="1"/>
  <c r="J2698" i="1"/>
  <c r="T2697" i="1"/>
  <c r="S2697" i="1"/>
  <c r="R2697" i="1"/>
  <c r="Q2697" i="1"/>
  <c r="T2696" i="1"/>
  <c r="S2696" i="1"/>
  <c r="R2696" i="1"/>
  <c r="Q2696" i="1"/>
  <c r="T2695" i="1"/>
  <c r="S2695" i="1"/>
  <c r="R2695" i="1"/>
  <c r="Q2695" i="1"/>
  <c r="T2694" i="1"/>
  <c r="S2694" i="1"/>
  <c r="R2694" i="1"/>
  <c r="Q2694" i="1"/>
  <c r="T2693" i="1"/>
  <c r="S2693" i="1"/>
  <c r="R2693" i="1"/>
  <c r="Q2693" i="1"/>
  <c r="T2692" i="1"/>
  <c r="S2692" i="1"/>
  <c r="R2692" i="1"/>
  <c r="Q2692" i="1"/>
  <c r="T2691" i="1"/>
  <c r="S2691" i="1"/>
  <c r="R2691" i="1"/>
  <c r="T2690" i="1"/>
  <c r="S2690" i="1"/>
  <c r="R2690" i="1"/>
  <c r="L2232" i="4"/>
  <c r="L2233" i="4"/>
  <c r="I2234" i="4"/>
  <c r="L2231" i="4"/>
  <c r="L2230" i="4"/>
  <c r="L2229" i="4"/>
  <c r="L2228" i="4"/>
  <c r="Q2687" i="1"/>
  <c r="R2687" i="1"/>
  <c r="S2687" i="1"/>
  <c r="T2687" i="1"/>
  <c r="Q2688" i="1"/>
  <c r="R2688" i="1"/>
  <c r="S2688" i="1"/>
  <c r="T2688" i="1"/>
  <c r="P2689" i="1"/>
  <c r="O2689" i="1"/>
  <c r="N2689" i="1"/>
  <c r="M2689" i="1"/>
  <c r="L2689" i="1"/>
  <c r="K2689" i="1"/>
  <c r="T2686" i="1"/>
  <c r="S2686" i="1"/>
  <c r="R2686" i="1"/>
  <c r="Q2686" i="1"/>
  <c r="J2685" i="1"/>
  <c r="R2685" i="1" s="1"/>
  <c r="J2684" i="1"/>
  <c r="S2684" i="1" s="1"/>
  <c r="J2683" i="1"/>
  <c r="L2682" i="1"/>
  <c r="M2682" i="1"/>
  <c r="N2682" i="1"/>
  <c r="O2682" i="1"/>
  <c r="P2682" i="1"/>
  <c r="J2682" i="1"/>
  <c r="J2227" i="4"/>
  <c r="K2227" i="4"/>
  <c r="I2227" i="4"/>
  <c r="L2226" i="4"/>
  <c r="L2225" i="4"/>
  <c r="L2224" i="4"/>
  <c r="L2223" i="4"/>
  <c r="K2672" i="1"/>
  <c r="Q2672" i="1" s="1"/>
  <c r="K2676" i="1"/>
  <c r="L2222" i="4"/>
  <c r="L2221" i="4"/>
  <c r="L2220" i="4"/>
  <c r="S2673" i="1"/>
  <c r="T2673" i="1"/>
  <c r="R2673" i="1"/>
  <c r="Q2673" i="1"/>
  <c r="S2679" i="1"/>
  <c r="T2679" i="1"/>
  <c r="R2679" i="1"/>
  <c r="Q2679" i="1"/>
  <c r="T2681" i="1"/>
  <c r="S2681" i="1"/>
  <c r="R2681" i="1"/>
  <c r="Q2681" i="1"/>
  <c r="T2680" i="1"/>
  <c r="S2680" i="1"/>
  <c r="R2680" i="1"/>
  <c r="Q2680" i="1"/>
  <c r="T2678" i="1"/>
  <c r="S2678" i="1"/>
  <c r="R2678" i="1"/>
  <c r="Q2678" i="1"/>
  <c r="T2677" i="1"/>
  <c r="S2677" i="1"/>
  <c r="R2677" i="1"/>
  <c r="Q2677" i="1"/>
  <c r="T2676" i="1"/>
  <c r="S2676" i="1"/>
  <c r="R2676" i="1"/>
  <c r="T2675" i="1"/>
  <c r="S2675" i="1"/>
  <c r="R2675" i="1"/>
  <c r="Q2675" i="1"/>
  <c r="T2674" i="1"/>
  <c r="S2674" i="1"/>
  <c r="R2674" i="1"/>
  <c r="Q2674" i="1"/>
  <c r="T2672" i="1"/>
  <c r="S2672" i="1"/>
  <c r="R2672" i="1"/>
  <c r="K2219" i="4"/>
  <c r="J2219" i="4"/>
  <c r="I2219" i="4"/>
  <c r="L2218" i="4"/>
  <c r="L2217" i="4"/>
  <c r="L2216" i="4"/>
  <c r="L2215" i="4"/>
  <c r="L2214" i="4"/>
  <c r="P2671" i="1"/>
  <c r="O2671" i="1"/>
  <c r="N2671" i="1"/>
  <c r="L2671" i="1"/>
  <c r="K2671" i="1"/>
  <c r="M2671" i="1"/>
  <c r="T2670" i="1"/>
  <c r="S2670" i="1"/>
  <c r="R2670" i="1"/>
  <c r="Q2670" i="1"/>
  <c r="T2669" i="1"/>
  <c r="S2669" i="1"/>
  <c r="R2669" i="1"/>
  <c r="Q2669" i="1"/>
  <c r="J2668" i="1"/>
  <c r="Q2668" i="1" s="1"/>
  <c r="J2667" i="1"/>
  <c r="T2667" i="1" s="1"/>
  <c r="J2666" i="1"/>
  <c r="R2666" i="1" s="1"/>
  <c r="L2207" i="4"/>
  <c r="L2208" i="4"/>
  <c r="L2211" i="4"/>
  <c r="Q2659" i="1"/>
  <c r="Q2663" i="1"/>
  <c r="R2663" i="1"/>
  <c r="S2663" i="1"/>
  <c r="T2663" i="1"/>
  <c r="Q2657" i="1"/>
  <c r="I2213" i="4"/>
  <c r="K2213" i="4"/>
  <c r="J2213" i="4"/>
  <c r="L2212" i="4"/>
  <c r="L2210" i="4"/>
  <c r="L2209" i="4"/>
  <c r="L2206" i="4"/>
  <c r="L2665" i="1"/>
  <c r="M2665" i="1"/>
  <c r="N2665" i="1"/>
  <c r="O2665" i="1"/>
  <c r="P2665" i="1"/>
  <c r="J2665" i="1"/>
  <c r="T2664" i="1"/>
  <c r="S2664" i="1"/>
  <c r="R2664" i="1"/>
  <c r="Q2664" i="1"/>
  <c r="T2662" i="1"/>
  <c r="S2662" i="1"/>
  <c r="R2662" i="1"/>
  <c r="Q2662" i="1"/>
  <c r="T2661" i="1"/>
  <c r="S2661" i="1"/>
  <c r="R2661" i="1"/>
  <c r="Q2661" i="1"/>
  <c r="T2660" i="1"/>
  <c r="S2660" i="1"/>
  <c r="R2660" i="1"/>
  <c r="Q2660" i="1"/>
  <c r="T2659" i="1"/>
  <c r="S2659" i="1"/>
  <c r="R2659" i="1"/>
  <c r="T2658" i="1"/>
  <c r="S2658" i="1"/>
  <c r="R2658" i="1"/>
  <c r="Q2658" i="1"/>
  <c r="T2657" i="1"/>
  <c r="S2657" i="1"/>
  <c r="R2657" i="1"/>
  <c r="T2656" i="1"/>
  <c r="S2656" i="1"/>
  <c r="R2656" i="1"/>
  <c r="R2702" i="1"/>
  <c r="S2702" i="1"/>
  <c r="R2700" i="1"/>
  <c r="T2702" i="1"/>
  <c r="S2700" i="1"/>
  <c r="K2665" i="1"/>
  <c r="Q2656" i="1"/>
  <c r="N2655" i="1"/>
  <c r="M2654" i="1"/>
  <c r="M2655" i="1" s="1"/>
  <c r="K2205" i="4"/>
  <c r="J2205" i="4"/>
  <c r="I2205" i="4"/>
  <c r="L2204" i="4"/>
  <c r="L2203" i="4"/>
  <c r="L2202" i="4"/>
  <c r="L2201" i="4"/>
  <c r="L2200" i="4"/>
  <c r="L2199" i="4"/>
  <c r="P2655" i="1"/>
  <c r="O2655" i="1"/>
  <c r="T2654" i="1"/>
  <c r="S2654" i="1"/>
  <c r="R2654" i="1"/>
  <c r="Q2654" i="1"/>
  <c r="T2653" i="1"/>
  <c r="S2653" i="1"/>
  <c r="R2653" i="1"/>
  <c r="Q2653" i="1"/>
  <c r="T2652" i="1"/>
  <c r="S2652" i="1"/>
  <c r="R2652" i="1"/>
  <c r="Q2652" i="1"/>
  <c r="T2651" i="1"/>
  <c r="T2650" i="1"/>
  <c r="J2649" i="1"/>
  <c r="Q2649" i="1" s="1"/>
  <c r="J2648" i="1"/>
  <c r="Q2648" i="1" s="1"/>
  <c r="L2655" i="1"/>
  <c r="R2644" i="1"/>
  <c r="T2644" i="1"/>
  <c r="S2644" i="1"/>
  <c r="Q2644" i="1"/>
  <c r="M2639" i="1"/>
  <c r="M2646" i="1" s="1"/>
  <c r="K2638" i="1"/>
  <c r="Q2638" i="1" s="1"/>
  <c r="K2637" i="1"/>
  <c r="Q2637" i="1" s="1"/>
  <c r="J2198" i="4"/>
  <c r="K2198" i="4"/>
  <c r="I2198" i="4"/>
  <c r="L2646" i="1"/>
  <c r="N2646" i="1"/>
  <c r="O2646" i="1"/>
  <c r="P2646" i="1"/>
  <c r="J2646" i="1"/>
  <c r="T2645" i="1"/>
  <c r="S2645" i="1"/>
  <c r="R2645" i="1"/>
  <c r="Q2645" i="1"/>
  <c r="T2643" i="1"/>
  <c r="S2643" i="1"/>
  <c r="R2643" i="1"/>
  <c r="Q2643" i="1"/>
  <c r="T2642" i="1"/>
  <c r="S2642" i="1"/>
  <c r="R2642" i="1"/>
  <c r="Q2642" i="1"/>
  <c r="T2641" i="1"/>
  <c r="S2641" i="1"/>
  <c r="R2641" i="1"/>
  <c r="Q2641" i="1"/>
  <c r="L2196" i="4"/>
  <c r="L2197" i="4"/>
  <c r="L2195" i="4"/>
  <c r="L2194" i="4"/>
  <c r="L2193" i="4"/>
  <c r="L2192" i="4"/>
  <c r="L2191" i="4"/>
  <c r="L2190" i="4"/>
  <c r="L2189" i="4"/>
  <c r="L2188" i="4"/>
  <c r="K2634" i="1"/>
  <c r="Q2634" i="1" s="1"/>
  <c r="T2640" i="1"/>
  <c r="S2640" i="1"/>
  <c r="R2640" i="1"/>
  <c r="Q2640" i="1"/>
  <c r="T2639" i="1"/>
  <c r="S2639" i="1"/>
  <c r="R2639" i="1"/>
  <c r="Q2639" i="1"/>
  <c r="T2638" i="1"/>
  <c r="S2638" i="1"/>
  <c r="R2638" i="1"/>
  <c r="T2637" i="1"/>
  <c r="S2637" i="1"/>
  <c r="R2637" i="1"/>
  <c r="T2636" i="1"/>
  <c r="S2636" i="1"/>
  <c r="R2636" i="1"/>
  <c r="Q2636" i="1"/>
  <c r="T2635" i="1"/>
  <c r="S2635" i="1"/>
  <c r="R2635" i="1"/>
  <c r="Q2635" i="1"/>
  <c r="T2634" i="1"/>
  <c r="S2634" i="1"/>
  <c r="R2634" i="1"/>
  <c r="K2625" i="1"/>
  <c r="J2625" i="1" s="1"/>
  <c r="L2623" i="1"/>
  <c r="L2633" i="1" s="1"/>
  <c r="K2623" i="1"/>
  <c r="L2181" i="4"/>
  <c r="L2182" i="4"/>
  <c r="L2183" i="4"/>
  <c r="L2184" i="4"/>
  <c r="L2185" i="4"/>
  <c r="L2186" i="4"/>
  <c r="K2187" i="4"/>
  <c r="J2187" i="4"/>
  <c r="I2187" i="4"/>
  <c r="L2180" i="4"/>
  <c r="L2179" i="4"/>
  <c r="L2178" i="4"/>
  <c r="L2177" i="4"/>
  <c r="J2624" i="1"/>
  <c r="J2626" i="1"/>
  <c r="T2626" i="1" s="1"/>
  <c r="J2627" i="1"/>
  <c r="R2627" i="1" s="1"/>
  <c r="Q2630" i="1"/>
  <c r="R2630" i="1"/>
  <c r="S2630" i="1"/>
  <c r="T2630" i="1"/>
  <c r="Q2631" i="1"/>
  <c r="R2631" i="1"/>
  <c r="S2631" i="1"/>
  <c r="T2631" i="1"/>
  <c r="Q2628" i="1"/>
  <c r="R2628" i="1"/>
  <c r="S2628" i="1"/>
  <c r="T2628" i="1"/>
  <c r="Q2629" i="1"/>
  <c r="R2629" i="1"/>
  <c r="S2629" i="1"/>
  <c r="T2629" i="1"/>
  <c r="P2633" i="1"/>
  <c r="O2633" i="1"/>
  <c r="N2633" i="1"/>
  <c r="M2633" i="1"/>
  <c r="T2632" i="1"/>
  <c r="S2632" i="1"/>
  <c r="R2632" i="1"/>
  <c r="Q2632" i="1"/>
  <c r="J2176" i="4"/>
  <c r="K2176" i="4"/>
  <c r="I2176" i="4"/>
  <c r="L2174" i="4"/>
  <c r="L2175" i="4"/>
  <c r="L2173" i="4"/>
  <c r="L2172" i="4"/>
  <c r="L2171" i="4"/>
  <c r="L2170" i="4"/>
  <c r="L2622" i="1"/>
  <c r="M2622" i="1"/>
  <c r="N2622" i="1"/>
  <c r="O2622" i="1"/>
  <c r="P2622" i="1"/>
  <c r="J2622" i="1"/>
  <c r="T2621" i="1"/>
  <c r="S2621" i="1"/>
  <c r="R2621" i="1"/>
  <c r="Q2621" i="1"/>
  <c r="T2620" i="1"/>
  <c r="S2620" i="1"/>
  <c r="R2620" i="1"/>
  <c r="Q2620" i="1"/>
  <c r="T2619" i="1"/>
  <c r="S2619" i="1"/>
  <c r="R2619" i="1"/>
  <c r="Q2619" i="1"/>
  <c r="T2618" i="1"/>
  <c r="S2618" i="1"/>
  <c r="R2618" i="1"/>
  <c r="Q2618" i="1"/>
  <c r="T2614" i="1"/>
  <c r="S2614" i="1"/>
  <c r="R2614" i="1"/>
  <c r="Q2614" i="1"/>
  <c r="T2613" i="1"/>
  <c r="S2613" i="1"/>
  <c r="R2613" i="1"/>
  <c r="Q2613" i="1"/>
  <c r="K2612" i="1"/>
  <c r="T2617" i="1"/>
  <c r="S2617" i="1"/>
  <c r="R2617" i="1"/>
  <c r="Q2617" i="1"/>
  <c r="T2616" i="1"/>
  <c r="S2616" i="1"/>
  <c r="R2616" i="1"/>
  <c r="Q2616" i="1"/>
  <c r="T2615" i="1"/>
  <c r="S2615" i="1"/>
  <c r="R2615" i="1"/>
  <c r="Q2615" i="1"/>
  <c r="T2612" i="1"/>
  <c r="S2612" i="1"/>
  <c r="R2612" i="1"/>
  <c r="I2169" i="4"/>
  <c r="J2169" i="4"/>
  <c r="L2606" i="1"/>
  <c r="K2169" i="4"/>
  <c r="L2168" i="4"/>
  <c r="L2167" i="4"/>
  <c r="L2166" i="4"/>
  <c r="L2165" i="4"/>
  <c r="L2164" i="4"/>
  <c r="P2611" i="1"/>
  <c r="O2611" i="1"/>
  <c r="N2611" i="1"/>
  <c r="M2611" i="1"/>
  <c r="K2611" i="1"/>
  <c r="T2610" i="1"/>
  <c r="S2610" i="1"/>
  <c r="R2610" i="1"/>
  <c r="Q2610" i="1"/>
  <c r="S2609" i="1"/>
  <c r="S2608" i="1"/>
  <c r="Q2607" i="1"/>
  <c r="J2647" i="1"/>
  <c r="Q2647" i="1" s="1"/>
  <c r="Q2650" i="1"/>
  <c r="Q2651" i="1"/>
  <c r="R2650" i="1"/>
  <c r="R2651" i="1"/>
  <c r="K2655" i="1"/>
  <c r="S2650" i="1"/>
  <c r="S2651" i="1"/>
  <c r="T2608" i="1"/>
  <c r="T2609" i="1"/>
  <c r="R2607" i="1"/>
  <c r="S2607" i="1"/>
  <c r="T2607" i="1"/>
  <c r="Q2608" i="1"/>
  <c r="Q2609" i="1"/>
  <c r="R2608" i="1"/>
  <c r="R2609" i="1"/>
  <c r="K2600" i="1"/>
  <c r="Q2600" i="1" s="1"/>
  <c r="K2599" i="1"/>
  <c r="Q2599" i="1" s="1"/>
  <c r="Q2597" i="1"/>
  <c r="K2598" i="1"/>
  <c r="Q2598" i="1" s="1"/>
  <c r="J2163" i="4"/>
  <c r="K2163" i="4"/>
  <c r="I2163" i="4"/>
  <c r="L2160" i="4"/>
  <c r="L2161" i="4"/>
  <c r="L2162" i="4"/>
  <c r="L2159" i="4"/>
  <c r="L2158" i="4"/>
  <c r="L2157" i="4"/>
  <c r="Q2602" i="1"/>
  <c r="R2602" i="1"/>
  <c r="S2602" i="1"/>
  <c r="T2602" i="1"/>
  <c r="Q2603" i="1"/>
  <c r="R2603" i="1"/>
  <c r="S2603" i="1"/>
  <c r="T2603" i="1"/>
  <c r="Q2604" i="1"/>
  <c r="R2604" i="1"/>
  <c r="S2604" i="1"/>
  <c r="T2604" i="1"/>
  <c r="S2601" i="1"/>
  <c r="T2601" i="1"/>
  <c r="R2601" i="1"/>
  <c r="Q2601" i="1"/>
  <c r="L2605" i="1"/>
  <c r="M2605" i="1"/>
  <c r="N2605" i="1"/>
  <c r="O2605" i="1"/>
  <c r="P2605" i="1"/>
  <c r="J2605" i="1"/>
  <c r="Q2596" i="1"/>
  <c r="T2597" i="1"/>
  <c r="S2597" i="1"/>
  <c r="R2597" i="1"/>
  <c r="T2600" i="1"/>
  <c r="S2600" i="1"/>
  <c r="R2600" i="1"/>
  <c r="T2599" i="1"/>
  <c r="S2599" i="1"/>
  <c r="R2599" i="1"/>
  <c r="T2598" i="1"/>
  <c r="S2598" i="1"/>
  <c r="R2598" i="1"/>
  <c r="T2596" i="1"/>
  <c r="S2596" i="1"/>
  <c r="R2596" i="1"/>
  <c r="L2151" i="4"/>
  <c r="J2590" i="1"/>
  <c r="Q2590" i="1" s="1"/>
  <c r="J2591" i="1"/>
  <c r="T2591" i="1" s="1"/>
  <c r="K2156" i="4"/>
  <c r="J2156" i="4"/>
  <c r="I2156" i="4"/>
  <c r="L2155" i="4"/>
  <c r="L2154" i="4"/>
  <c r="L2153" i="4"/>
  <c r="L2152" i="4"/>
  <c r="L2150" i="4"/>
  <c r="L2149" i="4"/>
  <c r="L2148" i="4"/>
  <c r="L2147" i="4"/>
  <c r="P2595" i="1"/>
  <c r="O2595" i="1"/>
  <c r="N2595" i="1"/>
  <c r="L2595" i="1"/>
  <c r="K2595" i="1"/>
  <c r="T2594" i="1"/>
  <c r="S2594" i="1"/>
  <c r="R2594" i="1"/>
  <c r="Q2594" i="1"/>
  <c r="T2593" i="1"/>
  <c r="S2593" i="1"/>
  <c r="R2593" i="1"/>
  <c r="Q2593" i="1"/>
  <c r="M2595" i="1"/>
  <c r="J2592" i="1"/>
  <c r="R2592" i="1" s="1"/>
  <c r="J2589" i="1"/>
  <c r="Q2589" i="1" s="1"/>
  <c r="J2588" i="1"/>
  <c r="J2587" i="1"/>
  <c r="R2587" i="1" s="1"/>
  <c r="J2586" i="1"/>
  <c r="J2146" i="4"/>
  <c r="K2146" i="4"/>
  <c r="I2146" i="4"/>
  <c r="L2144" i="4"/>
  <c r="K2581" i="1"/>
  <c r="Q2581" i="1" s="1"/>
  <c r="L2141" i="4"/>
  <c r="L2142" i="4"/>
  <c r="L2140" i="4"/>
  <c r="L2145" i="4"/>
  <c r="L2143" i="4"/>
  <c r="L2139" i="4"/>
  <c r="L2585" i="1"/>
  <c r="M2585" i="1"/>
  <c r="N2585" i="1"/>
  <c r="O2585" i="1"/>
  <c r="P2585" i="1"/>
  <c r="J2585" i="1"/>
  <c r="Q2579" i="1"/>
  <c r="Q2578" i="1"/>
  <c r="T2584" i="1"/>
  <c r="T2583" i="1"/>
  <c r="T2582" i="1"/>
  <c r="T2581" i="1"/>
  <c r="T2580" i="1"/>
  <c r="S2580" i="1"/>
  <c r="R2580" i="1"/>
  <c r="Q2580" i="1"/>
  <c r="T2579" i="1"/>
  <c r="S2579" i="1"/>
  <c r="R2579" i="1"/>
  <c r="T2578" i="1"/>
  <c r="S2578" i="1"/>
  <c r="R2578" i="1"/>
  <c r="R2581" i="1"/>
  <c r="R2582" i="1"/>
  <c r="R2583" i="1"/>
  <c r="R2584" i="1"/>
  <c r="Q2582" i="1"/>
  <c r="Q2584" i="1"/>
  <c r="S2581" i="1"/>
  <c r="S2582" i="1"/>
  <c r="S2583" i="1"/>
  <c r="S2584" i="1"/>
  <c r="Q2583" i="1"/>
  <c r="M2564" i="1"/>
  <c r="M2563" i="1"/>
  <c r="L2134" i="4"/>
  <c r="L2135" i="4"/>
  <c r="L2136" i="4"/>
  <c r="M2575" i="1"/>
  <c r="M2577" i="1" s="1"/>
  <c r="J2572" i="1"/>
  <c r="T2572" i="1" s="1"/>
  <c r="J2573" i="1"/>
  <c r="S2573" i="1" s="1"/>
  <c r="J2574" i="1"/>
  <c r="T2574" i="1" s="1"/>
  <c r="T2575" i="1"/>
  <c r="S2575" i="1"/>
  <c r="R2575" i="1"/>
  <c r="Q2575" i="1"/>
  <c r="K2138" i="4"/>
  <c r="J2138" i="4"/>
  <c r="I2138" i="4"/>
  <c r="L2137" i="4"/>
  <c r="L2133" i="4"/>
  <c r="L2132" i="4"/>
  <c r="L2131" i="4"/>
  <c r="L2130" i="4"/>
  <c r="P2577" i="1"/>
  <c r="O2577" i="1"/>
  <c r="N2577" i="1"/>
  <c r="L2577" i="1"/>
  <c r="K2577" i="1"/>
  <c r="T2576" i="1"/>
  <c r="S2576" i="1"/>
  <c r="R2576" i="1"/>
  <c r="Q2576" i="1"/>
  <c r="J2571" i="1"/>
  <c r="S2571" i="1" s="1"/>
  <c r="J2570" i="1"/>
  <c r="Q2570" i="1" s="1"/>
  <c r="J2569" i="1"/>
  <c r="Q2569" i="1" s="1"/>
  <c r="K2568" i="1"/>
  <c r="J2129" i="4"/>
  <c r="K2129" i="4"/>
  <c r="I2129" i="4"/>
  <c r="L2128" i="4"/>
  <c r="L2127" i="4"/>
  <c r="L2126" i="4"/>
  <c r="L2125" i="4"/>
  <c r="L2124" i="4"/>
  <c r="L2123" i="4"/>
  <c r="L2568" i="1"/>
  <c r="N2568" i="1"/>
  <c r="O2568" i="1"/>
  <c r="P2568" i="1"/>
  <c r="T2567" i="1"/>
  <c r="S2567" i="1"/>
  <c r="R2567" i="1"/>
  <c r="Q2567" i="1"/>
  <c r="T2565" i="1"/>
  <c r="T2564" i="1"/>
  <c r="T2563" i="1"/>
  <c r="T2562" i="1"/>
  <c r="S2562" i="1"/>
  <c r="R2562" i="1"/>
  <c r="Q2562" i="1"/>
  <c r="S2561" i="1"/>
  <c r="J2559" i="1"/>
  <c r="R2559" i="1" s="1"/>
  <c r="M2556" i="1"/>
  <c r="J2556" i="1" s="1"/>
  <c r="S2556" i="1" s="1"/>
  <c r="M2555" i="1"/>
  <c r="K2122" i="4"/>
  <c r="J2122" i="4"/>
  <c r="I2122" i="4"/>
  <c r="L2121" i="4"/>
  <c r="L2120" i="4"/>
  <c r="L2119" i="4"/>
  <c r="L2118" i="4"/>
  <c r="L2117" i="4"/>
  <c r="P2558" i="1"/>
  <c r="O2558" i="1"/>
  <c r="N2558" i="1"/>
  <c r="L2558" i="1"/>
  <c r="K2558" i="1"/>
  <c r="T2557" i="1"/>
  <c r="S2557" i="1"/>
  <c r="R2557" i="1"/>
  <c r="Q2557" i="1"/>
  <c r="J2554" i="1"/>
  <c r="S2554" i="1" s="1"/>
  <c r="J2553" i="1"/>
  <c r="S2553" i="1" s="1"/>
  <c r="J2552" i="1"/>
  <c r="J2116" i="4"/>
  <c r="K2116" i="4"/>
  <c r="I2116" i="4"/>
  <c r="K2545" i="1"/>
  <c r="Q2545" i="1" s="1"/>
  <c r="Q2544" i="1"/>
  <c r="K2542" i="1"/>
  <c r="Q2542" i="1" s="1"/>
  <c r="L2115" i="4"/>
  <c r="L2114" i="4"/>
  <c r="L2113" i="4"/>
  <c r="L2112" i="4"/>
  <c r="L2111" i="4"/>
  <c r="M2551" i="1"/>
  <c r="N2551" i="1"/>
  <c r="O2551" i="1"/>
  <c r="P2551" i="1"/>
  <c r="L2551" i="1"/>
  <c r="J2551" i="1"/>
  <c r="T2550" i="1"/>
  <c r="S2550" i="1"/>
  <c r="R2550" i="1"/>
  <c r="Q2550" i="1"/>
  <c r="S2549" i="1"/>
  <c r="S2548" i="1"/>
  <c r="S2547" i="1"/>
  <c r="S2546" i="1"/>
  <c r="T2545" i="1"/>
  <c r="S2545" i="1"/>
  <c r="R2545" i="1"/>
  <c r="T2544" i="1"/>
  <c r="S2544" i="1"/>
  <c r="R2544" i="1"/>
  <c r="S2543" i="1"/>
  <c r="S2542" i="1"/>
  <c r="K2110" i="4"/>
  <c r="J2110" i="4"/>
  <c r="I2110" i="4"/>
  <c r="L2109" i="4"/>
  <c r="L2108" i="4"/>
  <c r="L2107" i="4"/>
  <c r="L2106" i="4"/>
  <c r="L2105" i="4"/>
  <c r="L2104" i="4"/>
  <c r="L2103" i="4"/>
  <c r="P2541" i="1"/>
  <c r="O2541" i="1"/>
  <c r="N2541" i="1"/>
  <c r="M2541" i="1"/>
  <c r="K2541" i="1"/>
  <c r="T2540" i="1"/>
  <c r="S2540" i="1"/>
  <c r="R2540" i="1"/>
  <c r="Q2540" i="1"/>
  <c r="T2539" i="1"/>
  <c r="S2539" i="1"/>
  <c r="R2539" i="1"/>
  <c r="Q2539" i="1"/>
  <c r="J2538" i="1"/>
  <c r="R2538" i="1" s="1"/>
  <c r="J2537" i="1"/>
  <c r="R2537" i="1" s="1"/>
  <c r="J2536" i="1"/>
  <c r="R2536" i="1" s="1"/>
  <c r="J2535" i="1"/>
  <c r="T2535" i="1" s="1"/>
  <c r="J2534" i="1"/>
  <c r="R2534" i="1" s="1"/>
  <c r="J2102" i="4"/>
  <c r="K2102" i="4"/>
  <c r="I2102" i="4"/>
  <c r="L2098" i="4"/>
  <c r="L2099" i="4"/>
  <c r="L2100" i="4"/>
  <c r="L2101" i="4"/>
  <c r="K2526" i="1"/>
  <c r="Q2526" i="1" s="1"/>
  <c r="T2531" i="1"/>
  <c r="S2531" i="1"/>
  <c r="R2531" i="1"/>
  <c r="Q2531" i="1"/>
  <c r="T2560" i="1"/>
  <c r="R2566" i="1"/>
  <c r="T2566" i="1"/>
  <c r="S2566" i="1"/>
  <c r="T2561" i="1"/>
  <c r="Q2563" i="1"/>
  <c r="Q2564" i="1"/>
  <c r="Q2565" i="1"/>
  <c r="R2563" i="1"/>
  <c r="R2564" i="1"/>
  <c r="R2565" i="1"/>
  <c r="S2563" i="1"/>
  <c r="S2564" i="1"/>
  <c r="S2565" i="1"/>
  <c r="Q2566" i="1"/>
  <c r="Q2561" i="1"/>
  <c r="R2561" i="1"/>
  <c r="T2546" i="1"/>
  <c r="T2547" i="1"/>
  <c r="T2549" i="1"/>
  <c r="T2548" i="1"/>
  <c r="Q2546" i="1"/>
  <c r="Q2548" i="1"/>
  <c r="Q2549" i="1"/>
  <c r="R2546" i="1"/>
  <c r="R2547" i="1"/>
  <c r="R2548" i="1"/>
  <c r="R2549" i="1"/>
  <c r="Q2547" i="1"/>
  <c r="T2542" i="1"/>
  <c r="T2543" i="1"/>
  <c r="Q2543" i="1"/>
  <c r="R2542" i="1"/>
  <c r="R2543" i="1"/>
  <c r="L2541" i="1"/>
  <c r="R2560" i="1"/>
  <c r="Q2560" i="1"/>
  <c r="S2560" i="1"/>
  <c r="L2097" i="4"/>
  <c r="Q2528" i="1"/>
  <c r="R2528" i="1"/>
  <c r="S2528" i="1"/>
  <c r="T2528" i="1"/>
  <c r="R2526" i="1"/>
  <c r="S2526" i="1"/>
  <c r="T2526" i="1"/>
  <c r="Q2527" i="1"/>
  <c r="R2527" i="1"/>
  <c r="S2527" i="1"/>
  <c r="T2527" i="1"/>
  <c r="Q2529" i="1"/>
  <c r="R2529" i="1"/>
  <c r="S2529" i="1"/>
  <c r="T2529" i="1"/>
  <c r="Q2530" i="1"/>
  <c r="R2530" i="1"/>
  <c r="S2530" i="1"/>
  <c r="T2530" i="1"/>
  <c r="T2532" i="1"/>
  <c r="S2532" i="1"/>
  <c r="R2532" i="1"/>
  <c r="Q2532" i="1"/>
  <c r="T2525" i="1"/>
  <c r="S2525" i="1"/>
  <c r="R2525" i="1"/>
  <c r="Q2525" i="1"/>
  <c r="L2094" i="4"/>
  <c r="T2522" i="1"/>
  <c r="S2522" i="1"/>
  <c r="R2522" i="1"/>
  <c r="Q2522" i="1"/>
  <c r="L2516" i="1"/>
  <c r="J2516" i="1" s="1"/>
  <c r="J2096" i="4"/>
  <c r="I2096" i="4"/>
  <c r="K2096" i="4"/>
  <c r="L2093" i="4"/>
  <c r="L2092" i="4"/>
  <c r="L2091" i="4"/>
  <c r="L2090" i="4"/>
  <c r="L2089" i="4"/>
  <c r="L2088" i="4"/>
  <c r="J2519" i="1"/>
  <c r="S2519" i="1" s="1"/>
  <c r="J2520" i="1"/>
  <c r="S2520" i="1" s="1"/>
  <c r="P2524" i="1"/>
  <c r="P2533" i="1" s="1"/>
  <c r="O2524" i="1"/>
  <c r="O2533" i="1" s="1"/>
  <c r="N2524" i="1"/>
  <c r="N2533" i="1" s="1"/>
  <c r="M2524" i="1"/>
  <c r="M2533" i="1" s="1"/>
  <c r="T2523" i="1"/>
  <c r="S2523" i="1"/>
  <c r="Q2523" i="1"/>
  <c r="R2523" i="1"/>
  <c r="T2521" i="1"/>
  <c r="S2521" i="1"/>
  <c r="R2521" i="1"/>
  <c r="Q2521" i="1"/>
  <c r="J2518" i="1"/>
  <c r="S2518" i="1" s="1"/>
  <c r="J2517" i="1"/>
  <c r="T2517" i="1" s="1"/>
  <c r="K2524" i="1"/>
  <c r="L2083" i="4"/>
  <c r="Q2513" i="1"/>
  <c r="R2513" i="1"/>
  <c r="S2513" i="1"/>
  <c r="T2513" i="1"/>
  <c r="L2095" i="4"/>
  <c r="L2515" i="1"/>
  <c r="M2515" i="1"/>
  <c r="N2515" i="1"/>
  <c r="O2515" i="1"/>
  <c r="P2515" i="1"/>
  <c r="J2515" i="1"/>
  <c r="T2514" i="1"/>
  <c r="S2514" i="1"/>
  <c r="R2514" i="1"/>
  <c r="Q2514" i="1"/>
  <c r="T2512" i="1"/>
  <c r="S2512" i="1"/>
  <c r="R2512" i="1"/>
  <c r="Q2512" i="1"/>
  <c r="K2511" i="1"/>
  <c r="Q2511" i="1" s="1"/>
  <c r="J2087" i="4"/>
  <c r="K2087" i="4"/>
  <c r="I2087" i="4"/>
  <c r="L2086" i="4"/>
  <c r="L2085" i="4"/>
  <c r="L2084" i="4"/>
  <c r="L2082" i="4"/>
  <c r="L2081" i="4"/>
  <c r="L2080" i="4"/>
  <c r="T2511" i="1"/>
  <c r="S2511" i="1"/>
  <c r="R2511" i="1"/>
  <c r="T2510" i="1"/>
  <c r="S2510" i="1"/>
  <c r="R2510" i="1"/>
  <c r="Q2510" i="1"/>
  <c r="T2509" i="1"/>
  <c r="S2509" i="1"/>
  <c r="R2509" i="1"/>
  <c r="Q2509" i="1"/>
  <c r="T2508" i="1"/>
  <c r="S2508" i="1"/>
  <c r="R2508" i="1"/>
  <c r="Q2508" i="1"/>
  <c r="K2078" i="4"/>
  <c r="L2078" i="4" s="1"/>
  <c r="L2077" i="4"/>
  <c r="N2506" i="1"/>
  <c r="T2505" i="1"/>
  <c r="S2505" i="1"/>
  <c r="R2505" i="1"/>
  <c r="Q2505" i="1"/>
  <c r="M2505" i="1"/>
  <c r="M2507" i="1" s="1"/>
  <c r="L2500" i="1"/>
  <c r="K2500" i="1"/>
  <c r="K2507" i="1" s="1"/>
  <c r="J2079" i="4"/>
  <c r="I2079" i="4"/>
  <c r="L2076" i="4"/>
  <c r="L2075" i="4"/>
  <c r="L2074" i="4"/>
  <c r="L2073" i="4"/>
  <c r="L2072" i="4"/>
  <c r="P2507" i="1"/>
  <c r="O2507" i="1"/>
  <c r="T2506" i="1"/>
  <c r="S2506" i="1"/>
  <c r="Q2506" i="1"/>
  <c r="T2504" i="1"/>
  <c r="S2504" i="1"/>
  <c r="R2504" i="1"/>
  <c r="Q2504" i="1"/>
  <c r="T2503" i="1"/>
  <c r="S2503" i="1"/>
  <c r="R2503" i="1"/>
  <c r="Q2503" i="1"/>
  <c r="J2502" i="1"/>
  <c r="J2501" i="1"/>
  <c r="Q2501" i="1" s="1"/>
  <c r="L2066" i="4"/>
  <c r="J2071" i="4"/>
  <c r="K2071" i="4"/>
  <c r="I2071" i="4"/>
  <c r="L2070" i="4"/>
  <c r="L2068" i="4"/>
  <c r="L2067" i="4"/>
  <c r="L2065" i="4"/>
  <c r="L2064" i="4"/>
  <c r="L2499" i="1"/>
  <c r="M2499" i="1"/>
  <c r="N2499" i="1"/>
  <c r="O2499" i="1"/>
  <c r="P2499" i="1"/>
  <c r="J2499" i="1"/>
  <c r="R2492" i="1"/>
  <c r="S2492" i="1"/>
  <c r="T2492" i="1"/>
  <c r="Q2493" i="1"/>
  <c r="R2493" i="1"/>
  <c r="S2493" i="1"/>
  <c r="T2493" i="1"/>
  <c r="Q2494" i="1"/>
  <c r="R2494" i="1"/>
  <c r="S2494" i="1"/>
  <c r="T2494" i="1"/>
  <c r="Q2495" i="1"/>
  <c r="R2495" i="1"/>
  <c r="S2495" i="1"/>
  <c r="T2495" i="1"/>
  <c r="Q2496" i="1"/>
  <c r="R2496" i="1"/>
  <c r="S2496" i="1"/>
  <c r="T2496" i="1"/>
  <c r="Q2497" i="1"/>
  <c r="R2497" i="1"/>
  <c r="S2497" i="1"/>
  <c r="T2497" i="1"/>
  <c r="Q2498" i="1"/>
  <c r="R2498" i="1"/>
  <c r="S2498" i="1"/>
  <c r="T2498" i="1"/>
  <c r="K2492" i="1"/>
  <c r="Q2492" i="1" s="1"/>
  <c r="K2063" i="4"/>
  <c r="J2063" i="4"/>
  <c r="I2063" i="4"/>
  <c r="L2062" i="4"/>
  <c r="L2061" i="4"/>
  <c r="L2060" i="4"/>
  <c r="L2059" i="4"/>
  <c r="L2058" i="4"/>
  <c r="L2057" i="4"/>
  <c r="L2056" i="4"/>
  <c r="L2055" i="4"/>
  <c r="J2487" i="1"/>
  <c r="R2487" i="1" s="1"/>
  <c r="Q2489" i="1"/>
  <c r="P2491" i="1"/>
  <c r="O2491" i="1"/>
  <c r="N2491" i="1"/>
  <c r="M2491" i="1"/>
  <c r="L2491" i="1"/>
  <c r="K2491" i="1"/>
  <c r="T2490" i="1"/>
  <c r="S2490" i="1"/>
  <c r="R2490" i="1"/>
  <c r="Q2490" i="1"/>
  <c r="S2489" i="1"/>
  <c r="R2489" i="1"/>
  <c r="T2488" i="1"/>
  <c r="S2488" i="1"/>
  <c r="R2488" i="1"/>
  <c r="Q2488" i="1"/>
  <c r="J2486" i="1"/>
  <c r="T2486" i="1" s="1"/>
  <c r="J2485" i="1"/>
  <c r="Q2485" i="1" s="1"/>
  <c r="J2484" i="1"/>
  <c r="J2483" i="1"/>
  <c r="K2476" i="1"/>
  <c r="T2489" i="1"/>
  <c r="K2054" i="4"/>
  <c r="J2054" i="4"/>
  <c r="I2054" i="4"/>
  <c r="L2053" i="4"/>
  <c r="L2052" i="4"/>
  <c r="L2051" i="4"/>
  <c r="L2050" i="4"/>
  <c r="L2049" i="4"/>
  <c r="L2048" i="4"/>
  <c r="L2482" i="1"/>
  <c r="M2482" i="1"/>
  <c r="N2482" i="1"/>
  <c r="O2482" i="1"/>
  <c r="P2482" i="1"/>
  <c r="J2482" i="1"/>
  <c r="T2481" i="1"/>
  <c r="S2481" i="1"/>
  <c r="R2481" i="1"/>
  <c r="Q2481" i="1"/>
  <c r="T2480" i="1"/>
  <c r="S2480" i="1"/>
  <c r="R2480" i="1"/>
  <c r="Q2480" i="1"/>
  <c r="T2479" i="1"/>
  <c r="S2479" i="1"/>
  <c r="R2479" i="1"/>
  <c r="Q2479" i="1"/>
  <c r="T2478" i="1"/>
  <c r="S2478" i="1"/>
  <c r="R2478" i="1"/>
  <c r="Q2478" i="1"/>
  <c r="T2477" i="1"/>
  <c r="S2477" i="1"/>
  <c r="R2477" i="1"/>
  <c r="Q2477" i="1"/>
  <c r="T2476" i="1"/>
  <c r="S2476" i="1"/>
  <c r="R2476" i="1"/>
  <c r="K2467" i="1"/>
  <c r="J2047" i="4"/>
  <c r="L2467" i="1"/>
  <c r="L2042" i="4"/>
  <c r="J2470" i="1"/>
  <c r="J2471" i="1"/>
  <c r="K2047" i="4"/>
  <c r="I2047" i="4"/>
  <c r="L2046" i="4"/>
  <c r="L2045" i="4"/>
  <c r="L2044" i="4"/>
  <c r="L2043" i="4"/>
  <c r="L2041" i="4"/>
  <c r="L2040" i="4"/>
  <c r="L2039" i="4"/>
  <c r="J2468" i="1"/>
  <c r="Q2468" i="1" s="1"/>
  <c r="J2469" i="1"/>
  <c r="P2475" i="1"/>
  <c r="O2475" i="1"/>
  <c r="N2475" i="1"/>
  <c r="M2475" i="1"/>
  <c r="T2474" i="1"/>
  <c r="S2474" i="1"/>
  <c r="R2474" i="1"/>
  <c r="Q2474" i="1"/>
  <c r="T2473" i="1"/>
  <c r="S2473" i="1"/>
  <c r="R2473" i="1"/>
  <c r="Q2473" i="1"/>
  <c r="T2472" i="1"/>
  <c r="S2472" i="1"/>
  <c r="R2472" i="1"/>
  <c r="Q2472" i="1"/>
  <c r="K2463" i="1"/>
  <c r="Q2463" i="1" s="1"/>
  <c r="Q2461" i="1"/>
  <c r="R2461" i="1"/>
  <c r="S2461" i="1"/>
  <c r="T2461" i="1"/>
  <c r="L2034" i="4"/>
  <c r="J2038" i="4"/>
  <c r="K2038" i="4"/>
  <c r="I2038" i="4"/>
  <c r="L2037" i="4"/>
  <c r="L2036" i="4"/>
  <c r="L2035" i="4"/>
  <c r="L2033" i="4"/>
  <c r="L2032" i="4"/>
  <c r="L2031" i="4"/>
  <c r="P2466" i="1"/>
  <c r="O2466" i="1"/>
  <c r="N2466" i="1"/>
  <c r="L2466" i="1"/>
  <c r="J2466" i="1"/>
  <c r="T2465" i="1"/>
  <c r="S2465" i="1"/>
  <c r="R2465" i="1"/>
  <c r="Q2465" i="1"/>
  <c r="T2464" i="1"/>
  <c r="S2464" i="1"/>
  <c r="R2464" i="1"/>
  <c r="Q2464" i="1"/>
  <c r="M2466" i="1"/>
  <c r="T2463" i="1"/>
  <c r="S2463" i="1"/>
  <c r="R2463" i="1"/>
  <c r="T2462" i="1"/>
  <c r="S2462" i="1"/>
  <c r="R2462" i="1"/>
  <c r="Q2462" i="1"/>
  <c r="T2460" i="1"/>
  <c r="S2460" i="1"/>
  <c r="R2460" i="1"/>
  <c r="Q2460" i="1"/>
  <c r="T2459" i="1"/>
  <c r="S2459" i="1"/>
  <c r="R2459" i="1"/>
  <c r="Q2459" i="1"/>
  <c r="T2458" i="1"/>
  <c r="S2458" i="1"/>
  <c r="R2458" i="1"/>
  <c r="K2448" i="1"/>
  <c r="J2448" i="1" s="1"/>
  <c r="M2454" i="1"/>
  <c r="M2457" i="1" s="1"/>
  <c r="K2030" i="4"/>
  <c r="J2030" i="4"/>
  <c r="I2030" i="4"/>
  <c r="L2029" i="4"/>
  <c r="L2028" i="4"/>
  <c r="L2027" i="4"/>
  <c r="L2026" i="4"/>
  <c r="L2025" i="4"/>
  <c r="L2024" i="4"/>
  <c r="L2023" i="4"/>
  <c r="L2022" i="4"/>
  <c r="L2021" i="4"/>
  <c r="J2449" i="1"/>
  <c r="J2450" i="1"/>
  <c r="R2450" i="1" s="1"/>
  <c r="J2451" i="1"/>
  <c r="J2452" i="1"/>
  <c r="S2452" i="1" s="1"/>
  <c r="P2457" i="1"/>
  <c r="O2457" i="1"/>
  <c r="N2457" i="1"/>
  <c r="L2457" i="1"/>
  <c r="T2456" i="1"/>
  <c r="S2456" i="1"/>
  <c r="R2456" i="1"/>
  <c r="Q2456" i="1"/>
  <c r="T2455" i="1"/>
  <c r="S2455" i="1"/>
  <c r="R2455" i="1"/>
  <c r="Q2455" i="1"/>
  <c r="T2454" i="1"/>
  <c r="S2454" i="1"/>
  <c r="R2454" i="1"/>
  <c r="Q2454" i="1"/>
  <c r="T2453" i="1"/>
  <c r="S2453" i="1"/>
  <c r="R2453" i="1"/>
  <c r="Q2453" i="1"/>
  <c r="L2018" i="4"/>
  <c r="Q2458" i="1"/>
  <c r="L2016" i="4"/>
  <c r="J2020" i="4"/>
  <c r="K2020" i="4"/>
  <c r="I2020" i="4"/>
  <c r="L2019" i="4"/>
  <c r="L2017" i="4"/>
  <c r="L2015" i="4"/>
  <c r="L2014" i="4"/>
  <c r="L2447" i="1"/>
  <c r="M2447" i="1"/>
  <c r="N2447" i="1"/>
  <c r="O2447" i="1"/>
  <c r="P2447" i="1"/>
  <c r="J2447" i="1"/>
  <c r="Q2446" i="1"/>
  <c r="T2446" i="1"/>
  <c r="S2446" i="1"/>
  <c r="R2446" i="1"/>
  <c r="T2445" i="1"/>
  <c r="S2445" i="1"/>
  <c r="R2445" i="1"/>
  <c r="Q2445" i="1"/>
  <c r="T2444" i="1"/>
  <c r="S2444" i="1"/>
  <c r="R2444" i="1"/>
  <c r="Q2444" i="1"/>
  <c r="T2443" i="1"/>
  <c r="S2443" i="1"/>
  <c r="R2443" i="1"/>
  <c r="Q2443" i="1"/>
  <c r="Q2441" i="1"/>
  <c r="K2440" i="1"/>
  <c r="Q2440" i="1" s="1"/>
  <c r="T2442" i="1"/>
  <c r="S2442" i="1"/>
  <c r="R2442" i="1"/>
  <c r="Q2442" i="1"/>
  <c r="T2441" i="1"/>
  <c r="S2441" i="1"/>
  <c r="R2441" i="1"/>
  <c r="T2440" i="1"/>
  <c r="S2440" i="1"/>
  <c r="R2440" i="1"/>
  <c r="K2430" i="1"/>
  <c r="J2430" i="1" s="1"/>
  <c r="M2436" i="1"/>
  <c r="M2439" i="1" s="1"/>
  <c r="L2011" i="4"/>
  <c r="T2437" i="1"/>
  <c r="S2437" i="1"/>
  <c r="R2437" i="1"/>
  <c r="Q2437" i="1"/>
  <c r="J2431" i="1"/>
  <c r="S2431" i="1" s="1"/>
  <c r="J2434" i="1"/>
  <c r="J2433" i="1"/>
  <c r="J2432" i="1"/>
  <c r="L2006" i="4"/>
  <c r="L2007" i="4"/>
  <c r="K2013" i="4"/>
  <c r="J2013" i="4"/>
  <c r="I2013" i="4"/>
  <c r="L2012" i="4"/>
  <c r="L2010" i="4"/>
  <c r="L2009" i="4"/>
  <c r="L2008" i="4"/>
  <c r="L2005" i="4"/>
  <c r="L2004" i="4"/>
  <c r="P2439" i="1"/>
  <c r="O2439" i="1"/>
  <c r="N2439" i="1"/>
  <c r="L2439" i="1"/>
  <c r="T2438" i="1"/>
  <c r="S2438" i="1"/>
  <c r="R2438" i="1"/>
  <c r="Q2438" i="1"/>
  <c r="T2436" i="1"/>
  <c r="S2436" i="1"/>
  <c r="R2436" i="1"/>
  <c r="Q2436" i="1"/>
  <c r="T2435" i="1"/>
  <c r="S2435" i="1"/>
  <c r="R2435" i="1"/>
  <c r="Q2435" i="1"/>
  <c r="J2003" i="4"/>
  <c r="K2003" i="4"/>
  <c r="I2003" i="4"/>
  <c r="K2425" i="1"/>
  <c r="Q2425" i="1" s="1"/>
  <c r="K2421" i="1"/>
  <c r="L2429" i="1"/>
  <c r="M2429" i="1"/>
  <c r="N2429" i="1"/>
  <c r="O2429" i="1"/>
  <c r="P2429" i="1"/>
  <c r="J2429" i="1"/>
  <c r="L2002" i="4"/>
  <c r="L2001" i="4"/>
  <c r="L2000" i="4"/>
  <c r="L1999" i="4"/>
  <c r="L1998" i="4"/>
  <c r="L1997" i="4"/>
  <c r="L1996" i="4"/>
  <c r="T2428" i="1"/>
  <c r="S2428" i="1"/>
  <c r="R2428" i="1"/>
  <c r="Q2428" i="1"/>
  <c r="T2427" i="1"/>
  <c r="S2427" i="1"/>
  <c r="R2427" i="1"/>
  <c r="Q2427" i="1"/>
  <c r="T2426" i="1"/>
  <c r="S2426" i="1"/>
  <c r="R2426" i="1"/>
  <c r="Q2426" i="1"/>
  <c r="T2425" i="1"/>
  <c r="S2425" i="1"/>
  <c r="R2425" i="1"/>
  <c r="T2424" i="1"/>
  <c r="S2424" i="1"/>
  <c r="R2424" i="1"/>
  <c r="Q2424" i="1"/>
  <c r="T2423" i="1"/>
  <c r="S2423" i="1"/>
  <c r="R2423" i="1"/>
  <c r="Q2423" i="1"/>
  <c r="T2422" i="1"/>
  <c r="S2422" i="1"/>
  <c r="R2422" i="1"/>
  <c r="Q2422" i="1"/>
  <c r="T2421" i="1"/>
  <c r="S2421" i="1"/>
  <c r="R2421" i="1"/>
  <c r="T2420" i="1"/>
  <c r="S2420" i="1"/>
  <c r="R2420" i="1"/>
  <c r="Q2420" i="1"/>
  <c r="S2416" i="1"/>
  <c r="S2417" i="1"/>
  <c r="T2418" i="1"/>
  <c r="S2418" i="1"/>
  <c r="Q2418" i="1"/>
  <c r="T2417" i="1"/>
  <c r="R2417" i="1"/>
  <c r="Q2417" i="1"/>
  <c r="T2416" i="1"/>
  <c r="R2416" i="1"/>
  <c r="Q2416" i="1"/>
  <c r="T2415" i="1"/>
  <c r="S2415" i="1"/>
  <c r="R2415" i="1"/>
  <c r="Q2415" i="1"/>
  <c r="T2414" i="1"/>
  <c r="S2414" i="1"/>
  <c r="R2414" i="1"/>
  <c r="Q2414" i="1"/>
  <c r="T2413" i="1"/>
  <c r="S2413" i="1"/>
  <c r="R2413" i="1"/>
  <c r="Q2413" i="1"/>
  <c r="T2412" i="1"/>
  <c r="S2412" i="1"/>
  <c r="R2412" i="1"/>
  <c r="Q2412" i="1"/>
  <c r="L1989" i="4"/>
  <c r="L1990" i="4"/>
  <c r="L1991" i="4"/>
  <c r="L1992" i="4"/>
  <c r="L1993" i="4"/>
  <c r="L1994" i="4"/>
  <c r="L1988" i="4"/>
  <c r="J1995" i="4"/>
  <c r="K1995" i="4"/>
  <c r="I1995" i="4"/>
  <c r="K2419" i="1"/>
  <c r="L2419" i="1"/>
  <c r="M2419" i="1"/>
  <c r="O2419" i="1"/>
  <c r="P2419" i="1"/>
  <c r="J2419" i="1"/>
  <c r="N2418" i="1"/>
  <c r="R2418" i="1" s="1"/>
  <c r="L1981" i="4"/>
  <c r="J1987" i="4"/>
  <c r="K1987" i="4"/>
  <c r="I1987" i="4"/>
  <c r="L1982" i="4"/>
  <c r="L1984" i="4"/>
  <c r="L1985" i="4"/>
  <c r="L1986" i="4"/>
  <c r="Q2407" i="1"/>
  <c r="R2407" i="1"/>
  <c r="S2407" i="1"/>
  <c r="T2407" i="1"/>
  <c r="Q2408" i="1"/>
  <c r="R2408" i="1"/>
  <c r="S2408" i="1"/>
  <c r="T2408" i="1"/>
  <c r="Q2409" i="1"/>
  <c r="R2409" i="1"/>
  <c r="S2409" i="1"/>
  <c r="T2409" i="1"/>
  <c r="T2410" i="1"/>
  <c r="S2410" i="1"/>
  <c r="R2410" i="1"/>
  <c r="Q2410" i="1"/>
  <c r="T2406" i="1"/>
  <c r="S2406" i="1"/>
  <c r="R2406" i="1"/>
  <c r="Q2406" i="1"/>
  <c r="T2405" i="1"/>
  <c r="S2405" i="1"/>
  <c r="R2405" i="1"/>
  <c r="Q2405" i="1"/>
  <c r="T2404" i="1"/>
  <c r="S2404" i="1"/>
  <c r="R2404" i="1"/>
  <c r="Q2404" i="1"/>
  <c r="N2402" i="1"/>
  <c r="R2402" i="1" s="1"/>
  <c r="L2399" i="1"/>
  <c r="K2399" i="1"/>
  <c r="K2403" i="1" s="1"/>
  <c r="K2411" i="1" s="1"/>
  <c r="K1980" i="4"/>
  <c r="J1980" i="4"/>
  <c r="I1980" i="4"/>
  <c r="L1979" i="4"/>
  <c r="L1978" i="4"/>
  <c r="L1977" i="4"/>
  <c r="L1976" i="4"/>
  <c r="P2403" i="1"/>
  <c r="P2411" i="1" s="1"/>
  <c r="O2403" i="1"/>
  <c r="O2411" i="1" s="1"/>
  <c r="T2402" i="1"/>
  <c r="S2402" i="1"/>
  <c r="Q2402" i="1"/>
  <c r="T2401" i="1"/>
  <c r="M2403" i="1"/>
  <c r="M2411" i="1" s="1"/>
  <c r="S2401" i="1"/>
  <c r="T2400" i="1"/>
  <c r="R2400" i="1"/>
  <c r="Q2401" i="1"/>
  <c r="Q2400" i="1"/>
  <c r="R2401" i="1"/>
  <c r="S2400" i="1"/>
  <c r="K1974" i="4"/>
  <c r="J1971" i="4"/>
  <c r="I1971" i="4"/>
  <c r="I1975" i="4" s="1"/>
  <c r="L1972" i="4"/>
  <c r="L1973" i="4"/>
  <c r="L1970" i="4"/>
  <c r="L1969" i="4"/>
  <c r="L1968" i="4"/>
  <c r="K2395" i="1"/>
  <c r="Q2395" i="1" s="1"/>
  <c r="K2392" i="1"/>
  <c r="Q2392" i="1" s="1"/>
  <c r="P2398" i="1"/>
  <c r="O2398" i="1"/>
  <c r="N2398" i="1"/>
  <c r="M2398" i="1"/>
  <c r="L2398" i="1"/>
  <c r="T2397" i="1"/>
  <c r="S2397" i="1"/>
  <c r="R2397" i="1"/>
  <c r="Q2397" i="1"/>
  <c r="T2396" i="1"/>
  <c r="S2396" i="1"/>
  <c r="R2396" i="1"/>
  <c r="K2396" i="1"/>
  <c r="Q2396" i="1" s="1"/>
  <c r="T2395" i="1"/>
  <c r="S2395" i="1"/>
  <c r="R2395" i="1"/>
  <c r="T2394" i="1"/>
  <c r="S2394" i="1"/>
  <c r="R2394" i="1"/>
  <c r="Q2394" i="1"/>
  <c r="J2393" i="1"/>
  <c r="R2393" i="1" s="1"/>
  <c r="T2392" i="1"/>
  <c r="S2392" i="1"/>
  <c r="R2392" i="1"/>
  <c r="T2391" i="1"/>
  <c r="S2391" i="1"/>
  <c r="R2391" i="1"/>
  <c r="Q2391" i="1"/>
  <c r="T2390" i="1"/>
  <c r="S2390" i="1"/>
  <c r="R2390" i="1"/>
  <c r="Q2390" i="1"/>
  <c r="J2389" i="1"/>
  <c r="T2389" i="1" s="1"/>
  <c r="K2386" i="1"/>
  <c r="Q2386" i="1" s="1"/>
  <c r="J1967" i="4"/>
  <c r="K1967" i="4"/>
  <c r="I1967" i="4"/>
  <c r="L1962" i="4"/>
  <c r="L1963" i="4"/>
  <c r="L1964" i="4"/>
  <c r="L1965" i="4"/>
  <c r="L1966" i="4"/>
  <c r="L1961" i="4"/>
  <c r="Q2382" i="1"/>
  <c r="Q2380" i="1"/>
  <c r="L2388" i="1"/>
  <c r="M2388" i="1"/>
  <c r="N2388" i="1"/>
  <c r="O2388" i="1"/>
  <c r="P2388" i="1"/>
  <c r="T2387" i="1"/>
  <c r="S2387" i="1"/>
  <c r="R2387" i="1"/>
  <c r="Q2387" i="1"/>
  <c r="T2386" i="1"/>
  <c r="S2386" i="1"/>
  <c r="R2386" i="1"/>
  <c r="Q2381" i="1"/>
  <c r="Q2384" i="1"/>
  <c r="Q2385" i="1"/>
  <c r="R2380" i="1"/>
  <c r="S2380" i="1"/>
  <c r="T2380" i="1"/>
  <c r="R2381" i="1"/>
  <c r="S2381" i="1"/>
  <c r="T2381" i="1"/>
  <c r="R2382" i="1"/>
  <c r="S2382" i="1"/>
  <c r="T2382" i="1"/>
  <c r="R2384" i="1"/>
  <c r="S2384" i="1"/>
  <c r="T2384" i="1"/>
  <c r="R2385" i="1"/>
  <c r="S2385" i="1"/>
  <c r="T2385" i="1"/>
  <c r="J2383" i="1"/>
  <c r="T2383" i="1" s="1"/>
  <c r="J2379" i="1"/>
  <c r="M2375" i="1"/>
  <c r="M2378" i="1" s="1"/>
  <c r="J2375" i="1"/>
  <c r="R2375" i="1" s="1"/>
  <c r="Q2377" i="1"/>
  <c r="R2377" i="1"/>
  <c r="S2377" i="1"/>
  <c r="T2377" i="1"/>
  <c r="K1960" i="4"/>
  <c r="J1960" i="4"/>
  <c r="I1960" i="4"/>
  <c r="L1959" i="4"/>
  <c r="L1958" i="4"/>
  <c r="L1957" i="4"/>
  <c r="L1956" i="4"/>
  <c r="L1955" i="4"/>
  <c r="P2378" i="1"/>
  <c r="O2378" i="1"/>
  <c r="N2378" i="1"/>
  <c r="T2376" i="1"/>
  <c r="S2376" i="1"/>
  <c r="R2376" i="1"/>
  <c r="Q2376" i="1"/>
  <c r="J2374" i="1"/>
  <c r="S2374" i="1" s="1"/>
  <c r="L2378" i="1"/>
  <c r="J2373" i="1"/>
  <c r="J1954" i="4"/>
  <c r="K1954" i="4"/>
  <c r="K2369" i="1"/>
  <c r="Q2369" i="1" s="1"/>
  <c r="L1953" i="4"/>
  <c r="I1951" i="4"/>
  <c r="L1951" i="4" s="1"/>
  <c r="K2370" i="1"/>
  <c r="Q2370" i="1" s="1"/>
  <c r="K2367" i="1"/>
  <c r="Q2367" i="1" s="1"/>
  <c r="L1952" i="4"/>
  <c r="I1950" i="4"/>
  <c r="T2371" i="1"/>
  <c r="S2371" i="1"/>
  <c r="R2371" i="1"/>
  <c r="Q2371" i="1"/>
  <c r="T2370" i="1"/>
  <c r="S2370" i="1"/>
  <c r="R2370" i="1"/>
  <c r="T2369" i="1"/>
  <c r="S2369" i="1"/>
  <c r="R2369" i="1"/>
  <c r="T2367" i="1"/>
  <c r="S2367" i="1"/>
  <c r="R2367" i="1"/>
  <c r="T2366" i="1"/>
  <c r="S2366" i="1"/>
  <c r="R2366" i="1"/>
  <c r="K2366" i="1"/>
  <c r="Q2366" i="1" s="1"/>
  <c r="T2365" i="1"/>
  <c r="S2365" i="1"/>
  <c r="R2365" i="1"/>
  <c r="K2365" i="1"/>
  <c r="Q2365" i="1" s="1"/>
  <c r="K2378" i="1"/>
  <c r="J1947" i="4"/>
  <c r="I1947" i="4"/>
  <c r="J1946" i="4"/>
  <c r="I1946" i="4"/>
  <c r="I1943" i="4"/>
  <c r="R2361" i="1"/>
  <c r="K2361" i="1"/>
  <c r="Q2361" i="1" s="1"/>
  <c r="K2359" i="1"/>
  <c r="Q2359" i="1" s="1"/>
  <c r="K2358" i="1"/>
  <c r="Q2358" i="1" s="1"/>
  <c r="K2357" i="1"/>
  <c r="Q2357" i="1" s="1"/>
  <c r="T2363" i="1"/>
  <c r="S2363" i="1"/>
  <c r="R2363" i="1"/>
  <c r="Q2363" i="1"/>
  <c r="T2362" i="1"/>
  <c r="S2362" i="1"/>
  <c r="R2362" i="1"/>
  <c r="Q2362" i="1"/>
  <c r="T2361" i="1"/>
  <c r="S2361" i="1"/>
  <c r="T2359" i="1"/>
  <c r="S2359" i="1"/>
  <c r="R2359" i="1"/>
  <c r="T2358" i="1"/>
  <c r="S2358" i="1"/>
  <c r="R2358" i="1"/>
  <c r="T2357" i="1"/>
  <c r="S2357" i="1"/>
  <c r="R2357" i="1"/>
  <c r="K1949" i="4"/>
  <c r="L1948" i="4"/>
  <c r="L1945" i="4"/>
  <c r="L1944" i="4"/>
  <c r="Q2350" i="1"/>
  <c r="Q2353" i="1"/>
  <c r="K2349" i="1"/>
  <c r="Q2349" i="1" s="1"/>
  <c r="J1942" i="4"/>
  <c r="K1942" i="4"/>
  <c r="I1942" i="4"/>
  <c r="L1941" i="4"/>
  <c r="L1940" i="4"/>
  <c r="L1939" i="4"/>
  <c r="L1938" i="4"/>
  <c r="L1937" i="4"/>
  <c r="L1936" i="4"/>
  <c r="T2355" i="1"/>
  <c r="S2355" i="1"/>
  <c r="R2355" i="1"/>
  <c r="Q2355" i="1"/>
  <c r="T2354" i="1"/>
  <c r="S2354" i="1"/>
  <c r="R2354" i="1"/>
  <c r="Q2354" i="1"/>
  <c r="T2353" i="1"/>
  <c r="S2353" i="1"/>
  <c r="R2353" i="1"/>
  <c r="T2351" i="1"/>
  <c r="S2351" i="1"/>
  <c r="R2351" i="1"/>
  <c r="Q2351" i="1"/>
  <c r="T2350" i="1"/>
  <c r="S2350" i="1"/>
  <c r="R2350" i="1"/>
  <c r="T2349" i="1"/>
  <c r="S2349" i="1"/>
  <c r="R2349" i="1"/>
  <c r="L2343" i="1"/>
  <c r="L2348" i="1" s="1"/>
  <c r="K2343" i="1"/>
  <c r="K2348" i="1" s="1"/>
  <c r="J2344" i="1"/>
  <c r="Q2344" i="1" s="1"/>
  <c r="K1935" i="4"/>
  <c r="J1935" i="4"/>
  <c r="I1935" i="4"/>
  <c r="L1934" i="4"/>
  <c r="L1933" i="4"/>
  <c r="L1932" i="4"/>
  <c r="L1931" i="4"/>
  <c r="L1930" i="4"/>
  <c r="P2348" i="1"/>
  <c r="P2352" i="1" s="1"/>
  <c r="P2356" i="1" s="1"/>
  <c r="O2348" i="1"/>
  <c r="N2348" i="1"/>
  <c r="N2352" i="1" s="1"/>
  <c r="T2347" i="1"/>
  <c r="S2347" i="1"/>
  <c r="R2347" i="1"/>
  <c r="Q2347" i="1"/>
  <c r="T2346" i="1"/>
  <c r="S2346" i="1"/>
  <c r="R2346" i="1"/>
  <c r="Q2346" i="1"/>
  <c r="M2348" i="1"/>
  <c r="M2352" i="1" s="1"/>
  <c r="M2356" i="1" s="1"/>
  <c r="M2360" i="1" s="1"/>
  <c r="M2364" i="1" s="1"/>
  <c r="M2368" i="1" s="1"/>
  <c r="M2372" i="1" s="1"/>
  <c r="J2345" i="1"/>
  <c r="L1925" i="4"/>
  <c r="L1928" i="4"/>
  <c r="Q2340" i="1"/>
  <c r="K2339" i="1"/>
  <c r="Q2339" i="1" s="1"/>
  <c r="K1929" i="4"/>
  <c r="J1929" i="4"/>
  <c r="I1929" i="4"/>
  <c r="L1927" i="4"/>
  <c r="L1929" i="4" s="1"/>
  <c r="K1926" i="4"/>
  <c r="L1923" i="4"/>
  <c r="P2342" i="1"/>
  <c r="O2342" i="1"/>
  <c r="N2342" i="1"/>
  <c r="M2342" i="1"/>
  <c r="L2342" i="1"/>
  <c r="J2342" i="1"/>
  <c r="T2341" i="1"/>
  <c r="S2341" i="1"/>
  <c r="R2341" i="1"/>
  <c r="Q2341" i="1"/>
  <c r="T2340" i="1"/>
  <c r="S2340" i="1"/>
  <c r="R2340" i="1"/>
  <c r="T2339" i="1"/>
  <c r="S2339" i="1"/>
  <c r="R2339" i="1"/>
  <c r="T2338" i="1"/>
  <c r="S2338" i="1"/>
  <c r="R2338" i="1"/>
  <c r="K2338" i="1"/>
  <c r="T2337" i="1"/>
  <c r="S2337" i="1"/>
  <c r="R2337" i="1"/>
  <c r="K2337" i="1"/>
  <c r="Q2337" i="1" s="1"/>
  <c r="T2336" i="1"/>
  <c r="S2336" i="1"/>
  <c r="R2336" i="1"/>
  <c r="Q2336" i="1"/>
  <c r="J1917" i="4"/>
  <c r="I1917" i="4"/>
  <c r="J1916" i="4"/>
  <c r="I1916" i="4"/>
  <c r="L1915" i="4"/>
  <c r="L1918" i="4"/>
  <c r="L1919" i="4"/>
  <c r="K1920" i="4"/>
  <c r="L1921" i="4"/>
  <c r="L1922" i="4" s="1"/>
  <c r="I1922" i="4"/>
  <c r="J1922" i="4"/>
  <c r="K1922" i="4"/>
  <c r="L1909" i="4"/>
  <c r="K2330" i="1"/>
  <c r="Q2330" i="1" s="1"/>
  <c r="K2331" i="1"/>
  <c r="P2335" i="1"/>
  <c r="O2335" i="1"/>
  <c r="N2335" i="1"/>
  <c r="M2335" i="1"/>
  <c r="L2335" i="1"/>
  <c r="J2335" i="1"/>
  <c r="T2334" i="1"/>
  <c r="S2334" i="1"/>
  <c r="R2334" i="1"/>
  <c r="Q2334" i="1"/>
  <c r="T2333" i="1"/>
  <c r="S2333" i="1"/>
  <c r="R2333" i="1"/>
  <c r="Q2333" i="1"/>
  <c r="T2332" i="1"/>
  <c r="S2332" i="1"/>
  <c r="R2332" i="1"/>
  <c r="Q2332" i="1"/>
  <c r="T2331" i="1"/>
  <c r="S2331" i="1"/>
  <c r="R2331" i="1"/>
  <c r="T2330" i="1"/>
  <c r="S2330" i="1"/>
  <c r="R2330" i="1"/>
  <c r="T2329" i="1"/>
  <c r="S2329" i="1"/>
  <c r="R2329" i="1"/>
  <c r="Q2329" i="1"/>
  <c r="J1914" i="4"/>
  <c r="K1914" i="4"/>
  <c r="I1914" i="4"/>
  <c r="Q2323" i="1"/>
  <c r="Q2324" i="1"/>
  <c r="Q2325" i="1"/>
  <c r="Q2326" i="1"/>
  <c r="Q2327" i="1"/>
  <c r="Q2322" i="1"/>
  <c r="K2328" i="1"/>
  <c r="L2328" i="1"/>
  <c r="M2328" i="1"/>
  <c r="N2328" i="1"/>
  <c r="O2328" i="1"/>
  <c r="P2328" i="1"/>
  <c r="J2328" i="1"/>
  <c r="T2327" i="1"/>
  <c r="S2327" i="1"/>
  <c r="R2327" i="1"/>
  <c r="T2326" i="1"/>
  <c r="S2326" i="1"/>
  <c r="R2326" i="1"/>
  <c r="T2325" i="1"/>
  <c r="S2325" i="1"/>
  <c r="R2325" i="1"/>
  <c r="L1913" i="4"/>
  <c r="L1912" i="4"/>
  <c r="L1911" i="4"/>
  <c r="L1910" i="4"/>
  <c r="T2324" i="1"/>
  <c r="S2324" i="1"/>
  <c r="R2324" i="1"/>
  <c r="T2323" i="1"/>
  <c r="S2323" i="1"/>
  <c r="R2323" i="1"/>
  <c r="S2322" i="1"/>
  <c r="T2322" i="1"/>
  <c r="L1906" i="4"/>
  <c r="M2319" i="1"/>
  <c r="M2321" i="1" s="1"/>
  <c r="J2318" i="1"/>
  <c r="K1908" i="4"/>
  <c r="J1908" i="4"/>
  <c r="I1908" i="4"/>
  <c r="L1907" i="4"/>
  <c r="L1905" i="4"/>
  <c r="L1904" i="4"/>
  <c r="L1903" i="4"/>
  <c r="P2321" i="1"/>
  <c r="O2321" i="1"/>
  <c r="N2321" i="1"/>
  <c r="L2321" i="1"/>
  <c r="K2321" i="1"/>
  <c r="T2320" i="1"/>
  <c r="S2320" i="1"/>
  <c r="R2320" i="1"/>
  <c r="Q2320" i="1"/>
  <c r="T2319" i="1"/>
  <c r="J2317" i="1"/>
  <c r="J2316" i="1"/>
  <c r="Q2316" i="1" s="1"/>
  <c r="L2315" i="1"/>
  <c r="M2315" i="1"/>
  <c r="N2315" i="1"/>
  <c r="O2315" i="1"/>
  <c r="P2315" i="1"/>
  <c r="M2311" i="1"/>
  <c r="N2311" i="1"/>
  <c r="O2311" i="1"/>
  <c r="P2311" i="1"/>
  <c r="L2311" i="1"/>
  <c r="J2311" i="1"/>
  <c r="J2315" i="1"/>
  <c r="K2315" i="1"/>
  <c r="Q2312" i="1"/>
  <c r="K2310" i="1"/>
  <c r="Q2310" i="1" s="1"/>
  <c r="I1901" i="4"/>
  <c r="I1902" i="4" s="1"/>
  <c r="T2314" i="1"/>
  <c r="S2314" i="1"/>
  <c r="R2314" i="1"/>
  <c r="Q2314" i="1"/>
  <c r="T2313" i="1"/>
  <c r="S2313" i="1"/>
  <c r="R2313" i="1"/>
  <c r="Q2313" i="1"/>
  <c r="T2312" i="1"/>
  <c r="S2312" i="1"/>
  <c r="R2312" i="1"/>
  <c r="T2310" i="1"/>
  <c r="S2310" i="1"/>
  <c r="R2310" i="1"/>
  <c r="T2309" i="1"/>
  <c r="S2309" i="1"/>
  <c r="R2309" i="1"/>
  <c r="Q2309" i="1"/>
  <c r="T2308" i="1"/>
  <c r="S2308" i="1"/>
  <c r="R2308" i="1"/>
  <c r="Q2308" i="1"/>
  <c r="K1902" i="4"/>
  <c r="J1902" i="4"/>
  <c r="K1900" i="4"/>
  <c r="J1900" i="4"/>
  <c r="I1900" i="4"/>
  <c r="L1899" i="4"/>
  <c r="L1898" i="4"/>
  <c r="L1897" i="4"/>
  <c r="J1891" i="4"/>
  <c r="K1896" i="4"/>
  <c r="J1896" i="4"/>
  <c r="I1896" i="4"/>
  <c r="L1895" i="4"/>
  <c r="L1896" i="4" s="1"/>
  <c r="K2304" i="1"/>
  <c r="Q2304" i="1" s="1"/>
  <c r="K1894" i="4"/>
  <c r="I1894" i="4"/>
  <c r="L1893" i="4"/>
  <c r="L1892" i="4"/>
  <c r="L1890" i="4"/>
  <c r="L1889" i="4"/>
  <c r="L1888" i="4"/>
  <c r="T2306" i="1"/>
  <c r="S2306" i="1"/>
  <c r="R2306" i="1"/>
  <c r="Q2306" i="1"/>
  <c r="T2305" i="1"/>
  <c r="S2305" i="1"/>
  <c r="R2305" i="1"/>
  <c r="Q2305" i="1"/>
  <c r="T2304" i="1"/>
  <c r="S2304" i="1"/>
  <c r="R2304" i="1"/>
  <c r="T2302" i="1"/>
  <c r="S2302" i="1"/>
  <c r="R2302" i="1"/>
  <c r="Q2302" i="1"/>
  <c r="T2301" i="1"/>
  <c r="S2301" i="1"/>
  <c r="R2301" i="1"/>
  <c r="Q2301" i="1"/>
  <c r="T2300" i="1"/>
  <c r="S2300" i="1"/>
  <c r="R2300" i="1"/>
  <c r="Q2300" i="1"/>
  <c r="J1887" i="4"/>
  <c r="K1887" i="4"/>
  <c r="I1887" i="4"/>
  <c r="L1882" i="4"/>
  <c r="L1883" i="4"/>
  <c r="L1884" i="4"/>
  <c r="L1885" i="4"/>
  <c r="L1886" i="4"/>
  <c r="L1881" i="4"/>
  <c r="T2298" i="1"/>
  <c r="S2298" i="1"/>
  <c r="R2298" i="1"/>
  <c r="Q2298" i="1"/>
  <c r="T2297" i="1"/>
  <c r="S2297" i="1"/>
  <c r="R2297" i="1"/>
  <c r="Q2297" i="1"/>
  <c r="T2296" i="1"/>
  <c r="S2296" i="1"/>
  <c r="R2296" i="1"/>
  <c r="Q2293" i="1"/>
  <c r="Q2292" i="1"/>
  <c r="T2294" i="1"/>
  <c r="S2294" i="1"/>
  <c r="R2294" i="1"/>
  <c r="Q2294" i="1"/>
  <c r="T2293" i="1"/>
  <c r="S2293" i="1"/>
  <c r="R2293" i="1"/>
  <c r="T2292" i="1"/>
  <c r="S2292" i="1"/>
  <c r="R2292" i="1"/>
  <c r="M2289" i="1"/>
  <c r="M2288" i="1"/>
  <c r="J2289" i="1"/>
  <c r="T2289" i="1" s="1"/>
  <c r="J2288" i="1"/>
  <c r="S2288" i="1" s="1"/>
  <c r="K1880" i="4"/>
  <c r="J1880" i="4"/>
  <c r="I1880" i="4"/>
  <c r="L1879" i="4"/>
  <c r="L1878" i="4"/>
  <c r="L1877" i="4"/>
  <c r="L1876" i="4"/>
  <c r="L1875" i="4"/>
  <c r="P2291" i="1"/>
  <c r="P2295" i="1" s="1"/>
  <c r="P2299" i="1" s="1"/>
  <c r="P2303" i="1" s="1"/>
  <c r="O2291" i="1"/>
  <c r="O2295" i="1" s="1"/>
  <c r="L2291" i="1"/>
  <c r="L2295" i="1" s="1"/>
  <c r="L2299" i="1" s="1"/>
  <c r="L2303" i="1" s="1"/>
  <c r="L2307" i="1" s="1"/>
  <c r="K2291" i="1"/>
  <c r="K2295" i="1" s="1"/>
  <c r="K2299" i="1" s="1"/>
  <c r="T2290" i="1"/>
  <c r="S2290" i="1"/>
  <c r="Q2290" i="1"/>
  <c r="N2291" i="1"/>
  <c r="N2295" i="1" s="1"/>
  <c r="J2287" i="1"/>
  <c r="J2286" i="1"/>
  <c r="R2286" i="1" s="1"/>
  <c r="M2282" i="1"/>
  <c r="I1868" i="4"/>
  <c r="L1868" i="4" s="1"/>
  <c r="K2280" i="1"/>
  <c r="Q2280" i="1" s="1"/>
  <c r="K1874" i="4"/>
  <c r="J1874" i="4"/>
  <c r="L1873" i="4"/>
  <c r="L1874" i="4" s="1"/>
  <c r="T2284" i="1"/>
  <c r="S2284" i="1"/>
  <c r="R2284" i="1"/>
  <c r="Q2284" i="1"/>
  <c r="T2283" i="1"/>
  <c r="S2283" i="1"/>
  <c r="R2283" i="1"/>
  <c r="Q2283" i="1"/>
  <c r="T2282" i="1"/>
  <c r="S2282" i="1"/>
  <c r="R2282" i="1"/>
  <c r="Q2282" i="1"/>
  <c r="T2280" i="1"/>
  <c r="S2280" i="1"/>
  <c r="R2280" i="1"/>
  <c r="T2279" i="1"/>
  <c r="S2279" i="1"/>
  <c r="R2279" i="1"/>
  <c r="K2279" i="1"/>
  <c r="Q2279" i="1" s="1"/>
  <c r="K2278" i="1"/>
  <c r="J2278" i="1"/>
  <c r="S2278" i="1" s="1"/>
  <c r="T2277" i="1"/>
  <c r="S2277" i="1"/>
  <c r="R2277" i="1"/>
  <c r="Q2277" i="1"/>
  <c r="J1926" i="4"/>
  <c r="I1926" i="4"/>
  <c r="L1924" i="4"/>
  <c r="R2322" i="1"/>
  <c r="Q2319" i="1"/>
  <c r="R2319" i="1"/>
  <c r="S2319" i="1"/>
  <c r="Q2296" i="1"/>
  <c r="R2290" i="1"/>
  <c r="I1874" i="4"/>
  <c r="L1870" i="4"/>
  <c r="K1872" i="4"/>
  <c r="J1872" i="4"/>
  <c r="L1871" i="4"/>
  <c r="K2271" i="1"/>
  <c r="Q2271" i="1" s="1"/>
  <c r="K2270" i="1"/>
  <c r="Q2270" i="1" s="1"/>
  <c r="K2269" i="1"/>
  <c r="T2275" i="1"/>
  <c r="S2275" i="1"/>
  <c r="R2275" i="1"/>
  <c r="Q2275" i="1"/>
  <c r="T2274" i="1"/>
  <c r="S2274" i="1"/>
  <c r="R2274" i="1"/>
  <c r="Q2274" i="1"/>
  <c r="T2273" i="1"/>
  <c r="S2273" i="1"/>
  <c r="R2273" i="1"/>
  <c r="Q2273" i="1"/>
  <c r="T2271" i="1"/>
  <c r="S2271" i="1"/>
  <c r="R2271" i="1"/>
  <c r="T2270" i="1"/>
  <c r="S2270" i="1"/>
  <c r="R2270" i="1"/>
  <c r="J2269" i="1"/>
  <c r="T2268" i="1"/>
  <c r="S2268" i="1"/>
  <c r="R2268" i="1"/>
  <c r="Q2268" i="1"/>
  <c r="L1865" i="4"/>
  <c r="L1866" i="4"/>
  <c r="L1869" i="4"/>
  <c r="Q2261" i="1"/>
  <c r="K2260" i="1"/>
  <c r="Q2259" i="1"/>
  <c r="I1867" i="4"/>
  <c r="L1864" i="4"/>
  <c r="K1867" i="4"/>
  <c r="J1867" i="4"/>
  <c r="L1863" i="4"/>
  <c r="T2266" i="1"/>
  <c r="S2266" i="1"/>
  <c r="R2266" i="1"/>
  <c r="Q2266" i="1"/>
  <c r="T2265" i="1"/>
  <c r="T2264" i="1"/>
  <c r="S2264" i="1"/>
  <c r="R2264" i="1"/>
  <c r="Q2264" i="1"/>
  <c r="T2262" i="1"/>
  <c r="S2262" i="1"/>
  <c r="R2262" i="1"/>
  <c r="Q2262" i="1"/>
  <c r="T2261" i="1"/>
  <c r="S2261" i="1"/>
  <c r="J2260" i="1"/>
  <c r="T2259" i="1"/>
  <c r="S2259" i="1"/>
  <c r="R2259" i="1"/>
  <c r="L2258" i="1"/>
  <c r="L2263" i="1" s="1"/>
  <c r="L2267" i="1" s="1"/>
  <c r="L2272" i="1" s="1"/>
  <c r="L2276" i="1" s="1"/>
  <c r="L2281" i="1" s="1"/>
  <c r="L2285" i="1" s="1"/>
  <c r="N2256" i="1"/>
  <c r="R2256" i="1" s="1"/>
  <c r="Q2265" i="1"/>
  <c r="S2265" i="1"/>
  <c r="R2265" i="1"/>
  <c r="R2261" i="1"/>
  <c r="L1860" i="4"/>
  <c r="K1862" i="4"/>
  <c r="J1862" i="4"/>
  <c r="I1862" i="4"/>
  <c r="L1861" i="4"/>
  <c r="L1859" i="4"/>
  <c r="L1858" i="4"/>
  <c r="L1857" i="4"/>
  <c r="J2255" i="1"/>
  <c r="T2256" i="1"/>
  <c r="S2256" i="1"/>
  <c r="Q2256" i="1"/>
  <c r="J2253" i="1"/>
  <c r="J2252" i="1"/>
  <c r="Q2252" i="1" s="1"/>
  <c r="Q2257" i="1"/>
  <c r="R2257" i="1"/>
  <c r="S2257" i="1"/>
  <c r="T2257" i="1"/>
  <c r="P2258" i="1"/>
  <c r="P2263" i="1" s="1"/>
  <c r="O2258" i="1"/>
  <c r="O2263" i="1" s="1"/>
  <c r="M2258" i="1"/>
  <c r="M2263" i="1" s="1"/>
  <c r="M2267" i="1" s="1"/>
  <c r="M2272" i="1" s="1"/>
  <c r="M2276" i="1" s="1"/>
  <c r="M2281" i="1" s="1"/>
  <c r="K2258" i="1"/>
  <c r="T2254" i="1"/>
  <c r="S2254" i="1"/>
  <c r="R2254" i="1"/>
  <c r="Q2254" i="1"/>
  <c r="K2248" i="1"/>
  <c r="Q2248" i="1" s="1"/>
  <c r="K2247" i="1"/>
  <c r="Q2247" i="1" s="1"/>
  <c r="K1856" i="4"/>
  <c r="J1856" i="4"/>
  <c r="I1856" i="4"/>
  <c r="L1855" i="4"/>
  <c r="L1854" i="4"/>
  <c r="L1853" i="4"/>
  <c r="L1852" i="4"/>
  <c r="K1851" i="4"/>
  <c r="J1851" i="4"/>
  <c r="I1851" i="4"/>
  <c r="L1850" i="4"/>
  <c r="L1849" i="4"/>
  <c r="L1848" i="4"/>
  <c r="L1847" i="4"/>
  <c r="L1846" i="4"/>
  <c r="P2251" i="1"/>
  <c r="O2251" i="1"/>
  <c r="N2251" i="1"/>
  <c r="M2251" i="1"/>
  <c r="L2251" i="1"/>
  <c r="J2251" i="1"/>
  <c r="T2250" i="1"/>
  <c r="S2250" i="1"/>
  <c r="R2250" i="1"/>
  <c r="Q2250" i="1"/>
  <c r="T2249" i="1"/>
  <c r="S2249" i="1"/>
  <c r="R2249" i="1"/>
  <c r="Q2249" i="1"/>
  <c r="T2248" i="1"/>
  <c r="S2248" i="1"/>
  <c r="R2248" i="1"/>
  <c r="T2247" i="1"/>
  <c r="S2247" i="1"/>
  <c r="R2247" i="1"/>
  <c r="P2246" i="1"/>
  <c r="O2246" i="1"/>
  <c r="N2246" i="1"/>
  <c r="M2246" i="1"/>
  <c r="L2246" i="1"/>
  <c r="K2246" i="1"/>
  <c r="J2246" i="1"/>
  <c r="T2245" i="1"/>
  <c r="S2245" i="1"/>
  <c r="R2245" i="1"/>
  <c r="Q2245" i="1"/>
  <c r="T2244" i="1"/>
  <c r="S2244" i="1"/>
  <c r="R2244" i="1"/>
  <c r="Q2244" i="1"/>
  <c r="T2243" i="1"/>
  <c r="S2243" i="1"/>
  <c r="R2243" i="1"/>
  <c r="Q2243" i="1"/>
  <c r="T2242" i="1"/>
  <c r="S2242" i="1"/>
  <c r="R2242" i="1"/>
  <c r="Q2242" i="1"/>
  <c r="L2241" i="1"/>
  <c r="M2241" i="1"/>
  <c r="N2241" i="1"/>
  <c r="O2241" i="1"/>
  <c r="P2241" i="1"/>
  <c r="L1843" i="4"/>
  <c r="K2241" i="1"/>
  <c r="K1845" i="4"/>
  <c r="J1845" i="4"/>
  <c r="I1845" i="4"/>
  <c r="L1844" i="4"/>
  <c r="L1842" i="4"/>
  <c r="L1841" i="4"/>
  <c r="L1840" i="4"/>
  <c r="J2241" i="1"/>
  <c r="T2240" i="1"/>
  <c r="S2240" i="1"/>
  <c r="R2240" i="1"/>
  <c r="Q2240" i="1"/>
  <c r="T2239" i="1"/>
  <c r="S2239" i="1"/>
  <c r="R2239" i="1"/>
  <c r="Q2239" i="1"/>
  <c r="T2238" i="1"/>
  <c r="S2238" i="1"/>
  <c r="R2238" i="1"/>
  <c r="T2237" i="1"/>
  <c r="S2237" i="1"/>
  <c r="R2237" i="1"/>
  <c r="Q2237" i="1"/>
  <c r="K2236" i="1"/>
  <c r="L2236" i="1"/>
  <c r="M2236" i="1"/>
  <c r="N2236" i="1"/>
  <c r="O2236" i="1"/>
  <c r="P2236" i="1"/>
  <c r="J2236" i="1"/>
  <c r="T2235" i="1"/>
  <c r="S2235" i="1"/>
  <c r="R2235" i="1"/>
  <c r="Q2235" i="1"/>
  <c r="T2234" i="1"/>
  <c r="S2233" i="1"/>
  <c r="T2233" i="1"/>
  <c r="J1839" i="4"/>
  <c r="K1839" i="4"/>
  <c r="I1839" i="4"/>
  <c r="L1838" i="4"/>
  <c r="L1837" i="4"/>
  <c r="L1836" i="4"/>
  <c r="L1835" i="4"/>
  <c r="L1832" i="4"/>
  <c r="J2227" i="1"/>
  <c r="Q2227" i="1" s="1"/>
  <c r="K1834" i="4"/>
  <c r="J1834" i="4"/>
  <c r="I1834" i="4"/>
  <c r="L1833" i="4"/>
  <c r="L1831" i="4"/>
  <c r="L1830" i="4"/>
  <c r="L1829" i="4"/>
  <c r="P2231" i="1"/>
  <c r="O2231" i="1"/>
  <c r="N2231" i="1"/>
  <c r="M2231" i="1"/>
  <c r="L2231" i="1"/>
  <c r="K2231" i="1"/>
  <c r="T2230" i="1"/>
  <c r="S2230" i="1"/>
  <c r="R2230" i="1"/>
  <c r="Q2230" i="1"/>
  <c r="T2229" i="1"/>
  <c r="S2229" i="1"/>
  <c r="R2229" i="1"/>
  <c r="Q2229" i="1"/>
  <c r="J2228" i="1"/>
  <c r="R2228" i="1" s="1"/>
  <c r="J2226" i="1"/>
  <c r="S2226" i="1" s="1"/>
  <c r="J2223" i="1"/>
  <c r="Q2223" i="1" s="1"/>
  <c r="K1828" i="4"/>
  <c r="J1828" i="4"/>
  <c r="I1828" i="4"/>
  <c r="L1827" i="4"/>
  <c r="L1826" i="4"/>
  <c r="L1825" i="4"/>
  <c r="L1824" i="4"/>
  <c r="P2225" i="1"/>
  <c r="O2225" i="1"/>
  <c r="N2225" i="1"/>
  <c r="M2225" i="1"/>
  <c r="L2225" i="1"/>
  <c r="K2225" i="1"/>
  <c r="T2224" i="1"/>
  <c r="S2224" i="1"/>
  <c r="R2224" i="1"/>
  <c r="Q2224" i="1"/>
  <c r="J2222" i="1"/>
  <c r="J2221" i="1"/>
  <c r="S2221" i="1" s="1"/>
  <c r="J2220" i="1"/>
  <c r="Q2220" i="1" s="1"/>
  <c r="K1823" i="4"/>
  <c r="J1823" i="4"/>
  <c r="I1823" i="4"/>
  <c r="L1822" i="4"/>
  <c r="L1821" i="4"/>
  <c r="L1820" i="4"/>
  <c r="K2219" i="1"/>
  <c r="L2219" i="1"/>
  <c r="M2219" i="1"/>
  <c r="N2219" i="1"/>
  <c r="O2219" i="1"/>
  <c r="P2219" i="1"/>
  <c r="J2219" i="1"/>
  <c r="J2214" i="1"/>
  <c r="K2213" i="1"/>
  <c r="Q2213" i="1" s="1"/>
  <c r="K2212" i="1"/>
  <c r="Q2212" i="1" s="1"/>
  <c r="K2210" i="1"/>
  <c r="K2209" i="1"/>
  <c r="Q2209" i="1" s="1"/>
  <c r="T2218" i="1"/>
  <c r="S2218" i="1"/>
  <c r="R2218" i="1"/>
  <c r="Q2218" i="1"/>
  <c r="T2217" i="1"/>
  <c r="S2217" i="1"/>
  <c r="R2217" i="1"/>
  <c r="Q2217" i="1"/>
  <c r="T2216" i="1"/>
  <c r="S2216" i="1"/>
  <c r="R2216" i="1"/>
  <c r="Q2216" i="1"/>
  <c r="T2215" i="1"/>
  <c r="S2215" i="1"/>
  <c r="R2215" i="1"/>
  <c r="Q2215" i="1"/>
  <c r="P2214" i="1"/>
  <c r="O2214" i="1"/>
  <c r="N2214" i="1"/>
  <c r="M2214" i="1"/>
  <c r="L2214" i="1"/>
  <c r="T2213" i="1"/>
  <c r="S2213" i="1"/>
  <c r="R2213" i="1"/>
  <c r="T2212" i="1"/>
  <c r="S2212" i="1"/>
  <c r="R2212" i="1"/>
  <c r="T2211" i="1"/>
  <c r="S2211" i="1"/>
  <c r="R2211" i="1"/>
  <c r="Q2211" i="1"/>
  <c r="T2210" i="1"/>
  <c r="S2210" i="1"/>
  <c r="R2210" i="1"/>
  <c r="T2209" i="1"/>
  <c r="S2209" i="1"/>
  <c r="R2209" i="1"/>
  <c r="Q2207" i="1"/>
  <c r="J2205" i="1"/>
  <c r="S2205" i="1" s="1"/>
  <c r="K2204" i="1"/>
  <c r="Q2204" i="1" s="1"/>
  <c r="I1819" i="4"/>
  <c r="K1819" i="4"/>
  <c r="J1819" i="4"/>
  <c r="L1818" i="4"/>
  <c r="L1817" i="4"/>
  <c r="L1816" i="4"/>
  <c r="L1815" i="4"/>
  <c r="P2208" i="1"/>
  <c r="O2208" i="1"/>
  <c r="N2208" i="1"/>
  <c r="M2208" i="1"/>
  <c r="L2208" i="1"/>
  <c r="T2207" i="1"/>
  <c r="S2207" i="1"/>
  <c r="R2207" i="1"/>
  <c r="R2206" i="1"/>
  <c r="R2204" i="1"/>
  <c r="L1811" i="4"/>
  <c r="L1812" i="4"/>
  <c r="L1813" i="4"/>
  <c r="J2199" i="1"/>
  <c r="S2199" i="1" s="1"/>
  <c r="J2200" i="1"/>
  <c r="Q2200" i="1" s="1"/>
  <c r="J2201" i="1"/>
  <c r="T2201" i="1" s="1"/>
  <c r="Q2202" i="1"/>
  <c r="J2198" i="1"/>
  <c r="K1814" i="4"/>
  <c r="J1814" i="4"/>
  <c r="I1814" i="4"/>
  <c r="L1810" i="4"/>
  <c r="R2202" i="1"/>
  <c r="S2202" i="1"/>
  <c r="P2203" i="1"/>
  <c r="O2203" i="1"/>
  <c r="N2203" i="1"/>
  <c r="M2203" i="1"/>
  <c r="L2203" i="1"/>
  <c r="L2191" i="1"/>
  <c r="M2191" i="1"/>
  <c r="N2191" i="1"/>
  <c r="O2191" i="1"/>
  <c r="P2191" i="1"/>
  <c r="J2191" i="1"/>
  <c r="L2197" i="1"/>
  <c r="M2197" i="1"/>
  <c r="N2197" i="1"/>
  <c r="O2197" i="1"/>
  <c r="P2197" i="1"/>
  <c r="J2197" i="1"/>
  <c r="Q2196" i="1"/>
  <c r="R2196" i="1"/>
  <c r="S2196" i="1"/>
  <c r="T2196" i="1"/>
  <c r="Q2194" i="1"/>
  <c r="R2194" i="1"/>
  <c r="S2194" i="1"/>
  <c r="T2194" i="1"/>
  <c r="K2192" i="1"/>
  <c r="K2197" i="1" s="1"/>
  <c r="K2190" i="1"/>
  <c r="Q2190" i="1" s="1"/>
  <c r="K2189" i="1"/>
  <c r="Q2189" i="1" s="1"/>
  <c r="K2188" i="1"/>
  <c r="T2195" i="1"/>
  <c r="S2195" i="1"/>
  <c r="R2195" i="1"/>
  <c r="Q2195" i="1"/>
  <c r="T2193" i="1"/>
  <c r="S2193" i="1"/>
  <c r="R2193" i="1"/>
  <c r="Q2193" i="1"/>
  <c r="T2192" i="1"/>
  <c r="S2192" i="1"/>
  <c r="R2192" i="1"/>
  <c r="T2190" i="1"/>
  <c r="S2190" i="1"/>
  <c r="R2190" i="1"/>
  <c r="T2189" i="1"/>
  <c r="S2189" i="1"/>
  <c r="R2189" i="1"/>
  <c r="T2188" i="1"/>
  <c r="S2188" i="1"/>
  <c r="R2188" i="1"/>
  <c r="K1809" i="4"/>
  <c r="J1809" i="4"/>
  <c r="I1809" i="4"/>
  <c r="L1808" i="4"/>
  <c r="L1807" i="4"/>
  <c r="L1806" i="4"/>
  <c r="L1805" i="4"/>
  <c r="Q2186" i="1"/>
  <c r="K1804" i="4"/>
  <c r="J1804" i="4"/>
  <c r="I1804" i="4"/>
  <c r="L1803" i="4"/>
  <c r="L1802" i="4"/>
  <c r="L1801" i="4"/>
  <c r="L1800" i="4"/>
  <c r="P2187" i="1"/>
  <c r="O2187" i="1"/>
  <c r="N2187" i="1"/>
  <c r="M2187" i="1"/>
  <c r="L2187" i="1"/>
  <c r="J2187" i="1"/>
  <c r="T2186" i="1"/>
  <c r="S2186" i="1"/>
  <c r="R2186" i="1"/>
  <c r="T2185" i="1"/>
  <c r="S2185" i="1"/>
  <c r="R2185" i="1"/>
  <c r="Q2185" i="1"/>
  <c r="T2184" i="1"/>
  <c r="S2184" i="1"/>
  <c r="R2184" i="1"/>
  <c r="Q2184" i="1"/>
  <c r="J1799" i="4"/>
  <c r="K1799" i="4"/>
  <c r="I1799" i="4"/>
  <c r="L1797" i="4"/>
  <c r="K2181" i="1"/>
  <c r="Q2181" i="1" s="1"/>
  <c r="K2180" i="1"/>
  <c r="Q2180" i="1" s="1"/>
  <c r="Q2238" i="1"/>
  <c r="Q2234" i="1"/>
  <c r="R2234" i="1"/>
  <c r="Q2233" i="1"/>
  <c r="S2234" i="1"/>
  <c r="R2233" i="1"/>
  <c r="Q2232" i="1"/>
  <c r="R2232" i="1"/>
  <c r="S2232" i="1"/>
  <c r="T2232" i="1"/>
  <c r="S2206" i="1"/>
  <c r="T2206" i="1"/>
  <c r="S2204" i="1"/>
  <c r="T2204" i="1"/>
  <c r="Q2206" i="1"/>
  <c r="T2202" i="1"/>
  <c r="K2203" i="1"/>
  <c r="K2187" i="1"/>
  <c r="L1798" i="4"/>
  <c r="L1796" i="4"/>
  <c r="L1795" i="4"/>
  <c r="T2182" i="1"/>
  <c r="S2182" i="1"/>
  <c r="R2182" i="1"/>
  <c r="Q2182" i="1"/>
  <c r="T2181" i="1"/>
  <c r="S2181" i="1"/>
  <c r="R2181" i="1"/>
  <c r="T2180" i="1"/>
  <c r="S2180" i="1"/>
  <c r="R2180" i="1"/>
  <c r="P2183" i="1"/>
  <c r="O2183" i="1"/>
  <c r="N2183" i="1"/>
  <c r="M2183" i="1"/>
  <c r="L2183" i="1"/>
  <c r="J2183" i="1"/>
  <c r="K2179" i="1"/>
  <c r="L2179" i="1"/>
  <c r="M2179" i="1"/>
  <c r="N2179" i="1"/>
  <c r="O2179" i="1"/>
  <c r="P2179" i="1"/>
  <c r="J2179" i="1"/>
  <c r="R2178" i="1"/>
  <c r="R2177" i="1"/>
  <c r="R2176" i="1"/>
  <c r="L1791" i="4"/>
  <c r="L1792" i="4"/>
  <c r="L1793" i="4"/>
  <c r="L1790" i="4"/>
  <c r="J2173" i="1"/>
  <c r="R2173" i="1" s="1"/>
  <c r="J2174" i="1"/>
  <c r="Q2174" i="1" s="1"/>
  <c r="J2172" i="1"/>
  <c r="R2172" i="1" s="1"/>
  <c r="L1788" i="4"/>
  <c r="L1787" i="4"/>
  <c r="L1786" i="4"/>
  <c r="L2171" i="1"/>
  <c r="L2175" i="1" s="1"/>
  <c r="M2171" i="1"/>
  <c r="M2175" i="1" s="1"/>
  <c r="N2171" i="1"/>
  <c r="N2175" i="1" s="1"/>
  <c r="O2171" i="1"/>
  <c r="P2171" i="1"/>
  <c r="P2175" i="1" s="1"/>
  <c r="J2171" i="1"/>
  <c r="K2170" i="1"/>
  <c r="K2171" i="1" s="1"/>
  <c r="R2170" i="1"/>
  <c r="R2169" i="1"/>
  <c r="J1785" i="4"/>
  <c r="J1789" i="4" s="1"/>
  <c r="J1794" i="4" s="1"/>
  <c r="K1785" i="4"/>
  <c r="K1789" i="4" s="1"/>
  <c r="K1794" i="4" s="1"/>
  <c r="I1785" i="4"/>
  <c r="I1789" i="4" s="1"/>
  <c r="I1794" i="4" s="1"/>
  <c r="L1784" i="4"/>
  <c r="L1783" i="4"/>
  <c r="L1782" i="4"/>
  <c r="L1779" i="4"/>
  <c r="J2166" i="1"/>
  <c r="Q2166" i="1" s="1"/>
  <c r="J2167" i="1"/>
  <c r="Q2167" i="1" s="1"/>
  <c r="J2165" i="1"/>
  <c r="T2165" i="1" s="1"/>
  <c r="I1781" i="4"/>
  <c r="J1781" i="4"/>
  <c r="K1781" i="4"/>
  <c r="L1780" i="4"/>
  <c r="L1778" i="4"/>
  <c r="K2164" i="1"/>
  <c r="K2168" i="1" s="1"/>
  <c r="L2164" i="1"/>
  <c r="L2168" i="1" s="1"/>
  <c r="M2164" i="1"/>
  <c r="M2168" i="1" s="1"/>
  <c r="N2164" i="1"/>
  <c r="N2168" i="1" s="1"/>
  <c r="O2164" i="1"/>
  <c r="O2168" i="1" s="1"/>
  <c r="P2164" i="1"/>
  <c r="P2168" i="1" s="1"/>
  <c r="J2164" i="1"/>
  <c r="T2163" i="1"/>
  <c r="S2163" i="1"/>
  <c r="R2163" i="1"/>
  <c r="Q2163" i="1"/>
  <c r="T2162" i="1"/>
  <c r="S2162" i="1"/>
  <c r="R2162" i="1"/>
  <c r="Q2162" i="1"/>
  <c r="J1777" i="4"/>
  <c r="K1777" i="4"/>
  <c r="I1777" i="4"/>
  <c r="L1774" i="4"/>
  <c r="L1775" i="4"/>
  <c r="L1776" i="4"/>
  <c r="L1773" i="4"/>
  <c r="L1772" i="4"/>
  <c r="K2160" i="1"/>
  <c r="Q2160" i="1" s="1"/>
  <c r="K2157" i="1"/>
  <c r="Q2157" i="1" s="1"/>
  <c r="K2156" i="1"/>
  <c r="Q2156" i="1" s="1"/>
  <c r="L1770" i="4"/>
  <c r="L1769" i="4"/>
  <c r="L1768" i="4"/>
  <c r="T2160" i="1"/>
  <c r="S2160" i="1"/>
  <c r="R2160" i="1"/>
  <c r="T2159" i="1"/>
  <c r="S2159" i="1"/>
  <c r="R2159" i="1"/>
  <c r="Q2159" i="1"/>
  <c r="T2158" i="1"/>
  <c r="S2158" i="1"/>
  <c r="R2158" i="1"/>
  <c r="Q2158" i="1"/>
  <c r="T2157" i="1"/>
  <c r="S2157" i="1"/>
  <c r="R2157" i="1"/>
  <c r="T2156" i="1"/>
  <c r="S2156" i="1"/>
  <c r="R2156" i="1"/>
  <c r="K2151" i="1"/>
  <c r="K2154" i="1"/>
  <c r="Q2154" i="1" s="1"/>
  <c r="K2150" i="1"/>
  <c r="Q2150" i="1" s="1"/>
  <c r="Q2153" i="1"/>
  <c r="R2153" i="1"/>
  <c r="S2153" i="1"/>
  <c r="T2153" i="1"/>
  <c r="R2154" i="1"/>
  <c r="S2154" i="1"/>
  <c r="T2154" i="1"/>
  <c r="I1761" i="4"/>
  <c r="I1767" i="4" s="1"/>
  <c r="I1771" i="4" s="1"/>
  <c r="L1763" i="4"/>
  <c r="L1764" i="4"/>
  <c r="L1765" i="4"/>
  <c r="L1766" i="4"/>
  <c r="S2177" i="1"/>
  <c r="T2177" i="1"/>
  <c r="S2176" i="1"/>
  <c r="S2178" i="1"/>
  <c r="T2176" i="1"/>
  <c r="T2178" i="1"/>
  <c r="Q2176" i="1"/>
  <c r="Q2177" i="1"/>
  <c r="Q2178" i="1"/>
  <c r="T2169" i="1"/>
  <c r="S2170" i="1"/>
  <c r="T2170" i="1"/>
  <c r="S2169" i="1"/>
  <c r="Q2169" i="1"/>
  <c r="Q2152" i="1"/>
  <c r="R2152" i="1"/>
  <c r="S2152" i="1"/>
  <c r="T2152" i="1"/>
  <c r="K1767" i="4"/>
  <c r="K1771" i="4" s="1"/>
  <c r="J1767" i="4"/>
  <c r="J1771" i="4" s="1"/>
  <c r="L1762" i="4"/>
  <c r="P2155" i="1"/>
  <c r="O2155" i="1"/>
  <c r="N2155" i="1"/>
  <c r="M2155" i="1"/>
  <c r="M2161" i="1" s="1"/>
  <c r="L2155" i="1"/>
  <c r="L2161" i="1" s="1"/>
  <c r="J2155" i="1"/>
  <c r="J2161" i="1" s="1"/>
  <c r="T2151" i="1"/>
  <c r="S2151" i="1"/>
  <c r="R2151" i="1"/>
  <c r="T2150" i="1"/>
  <c r="S2150" i="1"/>
  <c r="R2150" i="1"/>
  <c r="J1759" i="4"/>
  <c r="K1759" i="4"/>
  <c r="I1759" i="4"/>
  <c r="L1755" i="4"/>
  <c r="L1758" i="4"/>
  <c r="L1756" i="4"/>
  <c r="K2149" i="1"/>
  <c r="L2149" i="1"/>
  <c r="M2149" i="1"/>
  <c r="N2149" i="1"/>
  <c r="O2149" i="1"/>
  <c r="P2149" i="1"/>
  <c r="Q2146" i="1"/>
  <c r="R2146" i="1"/>
  <c r="S2146" i="1"/>
  <c r="T2146" i="1"/>
  <c r="T2148" i="1"/>
  <c r="J2149" i="1"/>
  <c r="T2145" i="1"/>
  <c r="K1753" i="4"/>
  <c r="J1753" i="4"/>
  <c r="I1753" i="4"/>
  <c r="L1752" i="4"/>
  <c r="L1751" i="4"/>
  <c r="L1750" i="4"/>
  <c r="L1749" i="4"/>
  <c r="L1748" i="4"/>
  <c r="P2144" i="1"/>
  <c r="O2144" i="1"/>
  <c r="N2144" i="1"/>
  <c r="L2144" i="1"/>
  <c r="K2144" i="1"/>
  <c r="M2144" i="1"/>
  <c r="J2143" i="1"/>
  <c r="S2143" i="1" s="1"/>
  <c r="J2142" i="1"/>
  <c r="Q2142" i="1" s="1"/>
  <c r="J2141" i="1"/>
  <c r="J2140" i="1"/>
  <c r="Q2140" i="1" s="1"/>
  <c r="J2139" i="1"/>
  <c r="T2139" i="1" s="1"/>
  <c r="J2138" i="1"/>
  <c r="T2138" i="1" s="1"/>
  <c r="K2135" i="1"/>
  <c r="Q2135" i="1" s="1"/>
  <c r="K2134" i="1"/>
  <c r="K2133" i="1"/>
  <c r="Q2133" i="1" s="1"/>
  <c r="K2132" i="1"/>
  <c r="Q2132" i="1" s="1"/>
  <c r="R2133" i="1"/>
  <c r="S2133" i="1"/>
  <c r="T2133" i="1"/>
  <c r="P2137" i="1"/>
  <c r="O2137" i="1"/>
  <c r="N2137" i="1"/>
  <c r="M2137" i="1"/>
  <c r="L2137" i="1"/>
  <c r="T2136" i="1"/>
  <c r="S2136" i="1"/>
  <c r="R2136" i="1"/>
  <c r="Q2136" i="1"/>
  <c r="T2135" i="1"/>
  <c r="S2135" i="1"/>
  <c r="R2135" i="1"/>
  <c r="S2134" i="1"/>
  <c r="S2132" i="1"/>
  <c r="K1747" i="4"/>
  <c r="J1747" i="4"/>
  <c r="I1747" i="4"/>
  <c r="L1746" i="4"/>
  <c r="L1745" i="4"/>
  <c r="J1744" i="4"/>
  <c r="K1744" i="4"/>
  <c r="I1744" i="4"/>
  <c r="K2131" i="1"/>
  <c r="L2131" i="1"/>
  <c r="M2131" i="1"/>
  <c r="N2131" i="1"/>
  <c r="O2131" i="1"/>
  <c r="P2131" i="1"/>
  <c r="J2128" i="1"/>
  <c r="S2130" i="1"/>
  <c r="T2129" i="1"/>
  <c r="S2129" i="1"/>
  <c r="J2127" i="1"/>
  <c r="R2127" i="1" s="1"/>
  <c r="L1743" i="4"/>
  <c r="L1742" i="4"/>
  <c r="L1741" i="4"/>
  <c r="M2125" i="1"/>
  <c r="J2125" i="1" s="1"/>
  <c r="L1737" i="4"/>
  <c r="L1738" i="4"/>
  <c r="L1739" i="4"/>
  <c r="J2123" i="1"/>
  <c r="R2123" i="1" s="1"/>
  <c r="J2124" i="1"/>
  <c r="S2124" i="1" s="1"/>
  <c r="J2120" i="1"/>
  <c r="R2120" i="1" s="1"/>
  <c r="J2121" i="1"/>
  <c r="T2121" i="1" s="1"/>
  <c r="J2122" i="1"/>
  <c r="J2119" i="1"/>
  <c r="T2119" i="1" s="1"/>
  <c r="L1736" i="4"/>
  <c r="L1735" i="4"/>
  <c r="K1740" i="4"/>
  <c r="J1740" i="4"/>
  <c r="I1740" i="4"/>
  <c r="L1734" i="4"/>
  <c r="L1733" i="4"/>
  <c r="P2126" i="1"/>
  <c r="O2126" i="1"/>
  <c r="N2126" i="1"/>
  <c r="L2126" i="1"/>
  <c r="Q2116" i="1"/>
  <c r="R2116" i="1"/>
  <c r="S2116" i="1"/>
  <c r="T2116" i="1"/>
  <c r="Q2115" i="1"/>
  <c r="R2115" i="1"/>
  <c r="S2115" i="1"/>
  <c r="T2115" i="1"/>
  <c r="K2114" i="1"/>
  <c r="Q2114" i="1" s="1"/>
  <c r="K2113" i="1"/>
  <c r="Q2113" i="1" s="1"/>
  <c r="P2118" i="1"/>
  <c r="O2118" i="1"/>
  <c r="N2118" i="1"/>
  <c r="M2118" i="1"/>
  <c r="L2118" i="1"/>
  <c r="J2118" i="1"/>
  <c r="T2117" i="1"/>
  <c r="S2117" i="1"/>
  <c r="R2117" i="1"/>
  <c r="Q2117" i="1"/>
  <c r="T2114" i="1"/>
  <c r="S2114" i="1"/>
  <c r="R2114" i="1"/>
  <c r="T2113" i="1"/>
  <c r="S2113" i="1"/>
  <c r="R2113" i="1"/>
  <c r="K1732" i="4"/>
  <c r="J1732" i="4"/>
  <c r="I1732" i="4"/>
  <c r="L1731" i="4"/>
  <c r="L1730" i="4"/>
  <c r="L1725" i="4"/>
  <c r="J1729" i="4"/>
  <c r="K1729" i="4"/>
  <c r="I1729" i="4"/>
  <c r="L1728" i="4"/>
  <c r="L1727" i="4"/>
  <c r="L1726" i="4"/>
  <c r="K2112" i="1"/>
  <c r="L2112" i="1"/>
  <c r="M2112" i="1"/>
  <c r="N2112" i="1"/>
  <c r="O2112" i="1"/>
  <c r="P2112" i="1"/>
  <c r="J2112" i="1"/>
  <c r="J2108" i="1"/>
  <c r="Q2111" i="1"/>
  <c r="R2111" i="1"/>
  <c r="S2111" i="1"/>
  <c r="T2111" i="1"/>
  <c r="S2148" i="1"/>
  <c r="R2148" i="1"/>
  <c r="Q2148" i="1"/>
  <c r="Q2147" i="1"/>
  <c r="S2147" i="1"/>
  <c r="T2147" i="1"/>
  <c r="R2147" i="1"/>
  <c r="Q2145" i="1"/>
  <c r="R2145" i="1"/>
  <c r="S2145" i="1"/>
  <c r="T2132" i="1"/>
  <c r="T2134" i="1"/>
  <c r="J2137" i="1"/>
  <c r="R2132" i="1"/>
  <c r="R2134" i="1"/>
  <c r="T2130" i="1"/>
  <c r="R2129" i="1"/>
  <c r="R2130" i="1"/>
  <c r="Q2129" i="1"/>
  <c r="Q2130" i="1"/>
  <c r="K2126" i="1"/>
  <c r="T2110" i="1"/>
  <c r="S2110" i="1"/>
  <c r="R2110" i="1"/>
  <c r="Q2110" i="1"/>
  <c r="T2109" i="1"/>
  <c r="S2109" i="1"/>
  <c r="R2109" i="1"/>
  <c r="Q2109" i="1"/>
  <c r="M2107" i="1"/>
  <c r="M2108" i="1" s="1"/>
  <c r="K2106" i="1"/>
  <c r="Q2106" i="1" s="1"/>
  <c r="L2108" i="1"/>
  <c r="N2108" i="1"/>
  <c r="O2108" i="1"/>
  <c r="P2108" i="1"/>
  <c r="T2107" i="1"/>
  <c r="S2107" i="1"/>
  <c r="R2107" i="1"/>
  <c r="Q2107" i="1"/>
  <c r="T2106" i="1"/>
  <c r="S2106" i="1"/>
  <c r="R2106" i="1"/>
  <c r="K1724" i="4"/>
  <c r="J1724" i="4"/>
  <c r="I1724" i="4"/>
  <c r="L1723" i="4"/>
  <c r="L1722" i="4"/>
  <c r="Q2103" i="1"/>
  <c r="T2104" i="1"/>
  <c r="S2104" i="1"/>
  <c r="R2104" i="1"/>
  <c r="Q2104" i="1"/>
  <c r="T2103" i="1"/>
  <c r="S2103" i="1"/>
  <c r="R2103" i="1"/>
  <c r="J1721" i="4"/>
  <c r="K1721" i="4"/>
  <c r="I1721" i="4"/>
  <c r="L1720" i="4"/>
  <c r="L1719" i="4"/>
  <c r="L1717" i="4"/>
  <c r="K2098" i="1"/>
  <c r="K1718" i="4"/>
  <c r="J1718" i="4"/>
  <c r="I1718" i="4"/>
  <c r="L1716" i="4"/>
  <c r="L1715" i="4"/>
  <c r="P2102" i="1"/>
  <c r="P2105" i="1" s="1"/>
  <c r="O2102" i="1"/>
  <c r="O2105" i="1" s="1"/>
  <c r="N2102" i="1"/>
  <c r="N2105" i="1" s="1"/>
  <c r="M2102" i="1"/>
  <c r="M2105" i="1" s="1"/>
  <c r="L2102" i="1"/>
  <c r="L2105" i="1" s="1"/>
  <c r="J2102" i="1"/>
  <c r="J2105" i="1" s="1"/>
  <c r="T2101" i="1"/>
  <c r="S2101" i="1"/>
  <c r="R2101" i="1"/>
  <c r="Q2101" i="1"/>
  <c r="T2100" i="1"/>
  <c r="S2100" i="1"/>
  <c r="R2100" i="1"/>
  <c r="Q2100" i="1"/>
  <c r="T2099" i="1"/>
  <c r="S2099" i="1"/>
  <c r="R2099" i="1"/>
  <c r="K2099" i="1"/>
  <c r="Q2099" i="1" s="1"/>
  <c r="T2098" i="1"/>
  <c r="S2098" i="1"/>
  <c r="R2098" i="1"/>
  <c r="K2095" i="1"/>
  <c r="Q2095" i="1" s="1"/>
  <c r="L2097" i="1"/>
  <c r="M2097" i="1"/>
  <c r="N2097" i="1"/>
  <c r="O2097" i="1"/>
  <c r="P2097" i="1"/>
  <c r="J2097" i="1"/>
  <c r="K2093" i="1"/>
  <c r="Q2093" i="1" s="1"/>
  <c r="I1714" i="4"/>
  <c r="J1714" i="4"/>
  <c r="K2094" i="1"/>
  <c r="Q2094" i="1" s="1"/>
  <c r="T2094" i="1"/>
  <c r="S2094" i="1"/>
  <c r="R2094" i="1"/>
  <c r="T2093" i="1"/>
  <c r="S2093" i="1"/>
  <c r="R2093" i="1"/>
  <c r="L1713" i="4"/>
  <c r="L1712" i="4"/>
  <c r="K1714" i="4"/>
  <c r="T2096" i="1"/>
  <c r="S2096" i="1"/>
  <c r="R2096" i="1"/>
  <c r="Q2096" i="1"/>
  <c r="T2095" i="1"/>
  <c r="S2095" i="1"/>
  <c r="R2095" i="1"/>
  <c r="L1711" i="4"/>
  <c r="K2090" i="1"/>
  <c r="J2092" i="1"/>
  <c r="P2092" i="1"/>
  <c r="O2092" i="1"/>
  <c r="N2092" i="1"/>
  <c r="M2092" i="1"/>
  <c r="L2092" i="1"/>
  <c r="T2091" i="1"/>
  <c r="S2091" i="1"/>
  <c r="R2091" i="1"/>
  <c r="Q2091" i="1"/>
  <c r="T2090" i="1"/>
  <c r="S2090" i="1"/>
  <c r="R2090" i="1"/>
  <c r="K1710" i="4"/>
  <c r="J1710" i="4"/>
  <c r="I1710" i="4"/>
  <c r="L1709" i="4"/>
  <c r="L1708" i="4"/>
  <c r="L1703" i="4"/>
  <c r="Q2085" i="1"/>
  <c r="R2085" i="1"/>
  <c r="S2085" i="1"/>
  <c r="T2085" i="1"/>
  <c r="J1707" i="4"/>
  <c r="K1707" i="4"/>
  <c r="I1707" i="4"/>
  <c r="L1706" i="4"/>
  <c r="L1705" i="4"/>
  <c r="L1704" i="4"/>
  <c r="L1702" i="4"/>
  <c r="L1701" i="4"/>
  <c r="L1700" i="4"/>
  <c r="L1699" i="4"/>
  <c r="K2089" i="1"/>
  <c r="L2089" i="1"/>
  <c r="M2089" i="1"/>
  <c r="N2089" i="1"/>
  <c r="O2089" i="1"/>
  <c r="P2089" i="1"/>
  <c r="T2088" i="1"/>
  <c r="S2088" i="1"/>
  <c r="R2088" i="1"/>
  <c r="Q2088" i="1"/>
  <c r="T2087" i="1"/>
  <c r="S2087" i="1"/>
  <c r="R2087" i="1"/>
  <c r="Q2087" i="1"/>
  <c r="R2086" i="1"/>
  <c r="R2084" i="1"/>
  <c r="R2083" i="1"/>
  <c r="T2082" i="1"/>
  <c r="S2082" i="1"/>
  <c r="R2082" i="1"/>
  <c r="S2081" i="1"/>
  <c r="R2081" i="1"/>
  <c r="T2080" i="1"/>
  <c r="S2080" i="1"/>
  <c r="R2080" i="1"/>
  <c r="J2074" i="1"/>
  <c r="Q2074" i="1" s="1"/>
  <c r="J2075" i="1"/>
  <c r="J2076" i="1"/>
  <c r="J2077" i="1"/>
  <c r="J2078" i="1"/>
  <c r="R2078" i="1" s="1"/>
  <c r="K1698" i="4"/>
  <c r="J1698" i="4"/>
  <c r="I1698" i="4"/>
  <c r="L1697" i="4"/>
  <c r="L1696" i="4"/>
  <c r="L1695" i="4"/>
  <c r="L1694" i="4"/>
  <c r="L1693" i="4"/>
  <c r="L1692" i="4"/>
  <c r="P2079" i="1"/>
  <c r="O2079" i="1"/>
  <c r="N2079" i="1"/>
  <c r="M2079" i="1"/>
  <c r="L2079" i="1"/>
  <c r="K2079" i="1"/>
  <c r="J2073" i="1"/>
  <c r="T2073" i="1" s="1"/>
  <c r="K2071" i="1"/>
  <c r="Q2071" i="1" s="1"/>
  <c r="K2068" i="1"/>
  <c r="P2072" i="1"/>
  <c r="O2072" i="1"/>
  <c r="N2072" i="1"/>
  <c r="M2072" i="1"/>
  <c r="L2072" i="1"/>
  <c r="S2071" i="1"/>
  <c r="T2070" i="1"/>
  <c r="S2070" i="1"/>
  <c r="R2070" i="1"/>
  <c r="Q2070" i="1"/>
  <c r="S2069" i="1"/>
  <c r="T2068" i="1"/>
  <c r="S2068" i="1"/>
  <c r="R2068" i="1"/>
  <c r="J1691" i="4"/>
  <c r="K1691" i="4"/>
  <c r="I1691" i="4"/>
  <c r="L1690" i="4"/>
  <c r="L1689" i="4"/>
  <c r="L1688" i="4"/>
  <c r="L1687" i="4"/>
  <c r="J1686" i="4"/>
  <c r="K1686" i="4"/>
  <c r="I1686" i="4"/>
  <c r="L1679" i="4"/>
  <c r="L1680" i="4"/>
  <c r="L1681" i="4"/>
  <c r="L1682" i="4"/>
  <c r="L1683" i="4"/>
  <c r="L1684" i="4"/>
  <c r="L1685" i="4"/>
  <c r="K2063" i="1"/>
  <c r="K2067" i="1" s="1"/>
  <c r="Q2065" i="1"/>
  <c r="R2065" i="1"/>
  <c r="S2065" i="1"/>
  <c r="T2065" i="1"/>
  <c r="L1678" i="4"/>
  <c r="P2067" i="1"/>
  <c r="O2067" i="1"/>
  <c r="N2067" i="1"/>
  <c r="M2067" i="1"/>
  <c r="L2067" i="1"/>
  <c r="Q2066" i="1"/>
  <c r="J2064" i="1"/>
  <c r="J2062" i="1"/>
  <c r="R2062" i="1" s="1"/>
  <c r="T2061" i="1"/>
  <c r="S2061" i="1"/>
  <c r="R2061" i="1"/>
  <c r="Q2061" i="1"/>
  <c r="T2060" i="1"/>
  <c r="L1676" i="4"/>
  <c r="S2086" i="1"/>
  <c r="S2084" i="1"/>
  <c r="T2084" i="1"/>
  <c r="J2089" i="1"/>
  <c r="S2083" i="1"/>
  <c r="T2081" i="1"/>
  <c r="T2083" i="1"/>
  <c r="T2086" i="1"/>
  <c r="Q2080" i="1"/>
  <c r="Q2081" i="1"/>
  <c r="Q2082" i="1"/>
  <c r="Q2083" i="1"/>
  <c r="Q2084" i="1"/>
  <c r="Q2086" i="1"/>
  <c r="T2069" i="1"/>
  <c r="T2071" i="1"/>
  <c r="J2072" i="1"/>
  <c r="Q2069" i="1"/>
  <c r="R2069" i="1"/>
  <c r="R2071" i="1"/>
  <c r="T2066" i="1"/>
  <c r="Q2060" i="1"/>
  <c r="R2060" i="1"/>
  <c r="R2063" i="1"/>
  <c r="S2060" i="1"/>
  <c r="S2063" i="1"/>
  <c r="T2063" i="1"/>
  <c r="R2066" i="1"/>
  <c r="S2066" i="1"/>
  <c r="K1677" i="4"/>
  <c r="J1677" i="4"/>
  <c r="I1677" i="4"/>
  <c r="L1675" i="4"/>
  <c r="L1674" i="4"/>
  <c r="L1673" i="4"/>
  <c r="L1672" i="4"/>
  <c r="L1671" i="4"/>
  <c r="P2059" i="1"/>
  <c r="O2059" i="1"/>
  <c r="N2059" i="1"/>
  <c r="M2059" i="1"/>
  <c r="L2059" i="1"/>
  <c r="K2059" i="1"/>
  <c r="J2058" i="1"/>
  <c r="J2057" i="1"/>
  <c r="Q2057" i="1" s="1"/>
  <c r="J2056" i="1"/>
  <c r="T2056" i="1" s="1"/>
  <c r="J2055" i="1"/>
  <c r="T2054" i="1"/>
  <c r="J2053" i="1"/>
  <c r="T2053" i="1" s="1"/>
  <c r="K2048" i="1"/>
  <c r="Q2048" i="1" s="1"/>
  <c r="K2047" i="1"/>
  <c r="Q2051" i="1"/>
  <c r="R2051" i="1"/>
  <c r="S2051" i="1"/>
  <c r="T2051" i="1"/>
  <c r="R2048" i="1"/>
  <c r="S2048" i="1"/>
  <c r="T2048" i="1"/>
  <c r="L2052" i="1"/>
  <c r="M2052" i="1"/>
  <c r="N2052" i="1"/>
  <c r="O2052" i="1"/>
  <c r="P2052" i="1"/>
  <c r="J2052" i="1"/>
  <c r="J1670" i="4"/>
  <c r="K1670" i="4"/>
  <c r="L1666" i="4"/>
  <c r="L1667" i="4"/>
  <c r="L1668" i="4"/>
  <c r="L1669" i="4"/>
  <c r="T2050" i="1"/>
  <c r="S2050" i="1"/>
  <c r="R2050" i="1"/>
  <c r="Q2050" i="1"/>
  <c r="T2049" i="1"/>
  <c r="S2049" i="1"/>
  <c r="R2049" i="1"/>
  <c r="Q2049" i="1"/>
  <c r="T2047" i="1"/>
  <c r="S2047" i="1"/>
  <c r="R2047" i="1"/>
  <c r="I1670" i="4"/>
  <c r="L1665" i="4"/>
  <c r="L1660" i="4"/>
  <c r="L1661" i="4"/>
  <c r="J1664" i="4"/>
  <c r="K1664" i="4"/>
  <c r="I1664" i="4"/>
  <c r="L1663" i="4"/>
  <c r="L1662" i="4"/>
  <c r="R2044" i="1"/>
  <c r="T2044" i="1"/>
  <c r="S2044" i="1"/>
  <c r="Q2044" i="1"/>
  <c r="Q2054" i="1"/>
  <c r="R2054" i="1"/>
  <c r="S2054" i="1"/>
  <c r="K2046" i="1"/>
  <c r="L2046" i="1"/>
  <c r="M2046" i="1"/>
  <c r="N2046" i="1"/>
  <c r="O2046" i="1"/>
  <c r="P2046" i="1"/>
  <c r="R2045" i="1"/>
  <c r="L1659" i="4"/>
  <c r="L1658" i="4"/>
  <c r="T2043" i="1"/>
  <c r="T2042" i="1"/>
  <c r="T2041" i="1"/>
  <c r="T2040" i="1"/>
  <c r="T2039" i="1"/>
  <c r="T2038" i="1"/>
  <c r="T2037" i="1"/>
  <c r="J2033" i="1"/>
  <c r="R2033" i="1" s="1"/>
  <c r="J2034" i="1"/>
  <c r="S2034" i="1" s="1"/>
  <c r="J2031" i="1"/>
  <c r="K1657" i="4"/>
  <c r="J1657" i="4"/>
  <c r="I1657" i="4"/>
  <c r="L1656" i="4"/>
  <c r="L1654" i="4"/>
  <c r="L1653" i="4"/>
  <c r="L1652" i="4"/>
  <c r="L1651" i="4"/>
  <c r="L1650" i="4"/>
  <c r="P2036" i="1"/>
  <c r="O2036" i="1"/>
  <c r="N2036" i="1"/>
  <c r="L2036" i="1"/>
  <c r="K2036" i="1"/>
  <c r="M2036" i="1"/>
  <c r="J2035" i="1"/>
  <c r="R2035" i="1" s="1"/>
  <c r="J2032" i="1"/>
  <c r="J2030" i="1"/>
  <c r="J2029" i="1"/>
  <c r="R2029" i="1" s="1"/>
  <c r="Q2025" i="1"/>
  <c r="R2025" i="1"/>
  <c r="S2025" i="1"/>
  <c r="T2025" i="1"/>
  <c r="Q2026" i="1"/>
  <c r="R2026" i="1"/>
  <c r="S2026" i="1"/>
  <c r="T2026" i="1"/>
  <c r="K2028" i="1"/>
  <c r="L2028" i="1"/>
  <c r="M2028" i="1"/>
  <c r="N2028" i="1"/>
  <c r="O2028" i="1"/>
  <c r="P2028" i="1"/>
  <c r="J2028" i="1"/>
  <c r="T2027" i="1"/>
  <c r="S2027" i="1"/>
  <c r="R2027" i="1"/>
  <c r="Q2027" i="1"/>
  <c r="T2024" i="1"/>
  <c r="S2024" i="1"/>
  <c r="R2024" i="1"/>
  <c r="Q2024" i="1"/>
  <c r="T2023" i="1"/>
  <c r="S2023" i="1"/>
  <c r="R2023" i="1"/>
  <c r="Q2023" i="1"/>
  <c r="J1649" i="4"/>
  <c r="K1649" i="4"/>
  <c r="I1649" i="4"/>
  <c r="L1647" i="4"/>
  <c r="L1646" i="4"/>
  <c r="L1648" i="4"/>
  <c r="L1645" i="4"/>
  <c r="L1644" i="4"/>
  <c r="L1643" i="4"/>
  <c r="L1642" i="4"/>
  <c r="J1641" i="4"/>
  <c r="K1641" i="4"/>
  <c r="I1641" i="4"/>
  <c r="J2046" i="1"/>
  <c r="T2045" i="1"/>
  <c r="S2045" i="1"/>
  <c r="Q2045" i="1"/>
  <c r="Q2037" i="1"/>
  <c r="Q2039" i="1"/>
  <c r="Q2043" i="1"/>
  <c r="R2038" i="1"/>
  <c r="R2039" i="1"/>
  <c r="R2040" i="1"/>
  <c r="R2041" i="1"/>
  <c r="R2043" i="1"/>
  <c r="Q2038" i="1"/>
  <c r="Q2040" i="1"/>
  <c r="Q2041" i="1"/>
  <c r="Q2042" i="1"/>
  <c r="R2037" i="1"/>
  <c r="R2042" i="1"/>
  <c r="S2037" i="1"/>
  <c r="S2038" i="1"/>
  <c r="S2039" i="1"/>
  <c r="S2040" i="1"/>
  <c r="S2041" i="1"/>
  <c r="S2042" i="1"/>
  <c r="S2043" i="1"/>
  <c r="L1638" i="4"/>
  <c r="Q2015" i="1"/>
  <c r="Q2016" i="1"/>
  <c r="K2012" i="1"/>
  <c r="K2022" i="1" s="1"/>
  <c r="L2022" i="1"/>
  <c r="M2022" i="1"/>
  <c r="N2022" i="1"/>
  <c r="O2022" i="1"/>
  <c r="P2022" i="1"/>
  <c r="T2021" i="1"/>
  <c r="T2020" i="1"/>
  <c r="T2019" i="1"/>
  <c r="L1640" i="4"/>
  <c r="L1639" i="4"/>
  <c r="L1637" i="4"/>
  <c r="L1636" i="4"/>
  <c r="L1635" i="4"/>
  <c r="L1634" i="4"/>
  <c r="L1633" i="4"/>
  <c r="L1632" i="4"/>
  <c r="T2017" i="1"/>
  <c r="T2016" i="1"/>
  <c r="T2015" i="1"/>
  <c r="T2014" i="1"/>
  <c r="T2013" i="1"/>
  <c r="T2012" i="1"/>
  <c r="M2010" i="1"/>
  <c r="M2011" i="1" s="1"/>
  <c r="J2005" i="1"/>
  <c r="S2005" i="1" s="1"/>
  <c r="J2006" i="1"/>
  <c r="J2007" i="1"/>
  <c r="T2007" i="1" s="1"/>
  <c r="J2008" i="1"/>
  <c r="T2008" i="1" s="1"/>
  <c r="J2009" i="1"/>
  <c r="S2009" i="1" s="1"/>
  <c r="J2004" i="1"/>
  <c r="J2022" i="1"/>
  <c r="R2012" i="1"/>
  <c r="R2015" i="1"/>
  <c r="R2013" i="1"/>
  <c r="S2013" i="1"/>
  <c r="S2016" i="1"/>
  <c r="S2012" i="1"/>
  <c r="Q2014" i="1"/>
  <c r="S2015" i="1"/>
  <c r="Q2017" i="1"/>
  <c r="R2014" i="1"/>
  <c r="R2017" i="1"/>
  <c r="Q2013" i="1"/>
  <c r="S2014" i="1"/>
  <c r="S2017" i="1"/>
  <c r="R2016" i="1"/>
  <c r="Q2019" i="1"/>
  <c r="Q2020" i="1"/>
  <c r="Q2021" i="1"/>
  <c r="R2019" i="1"/>
  <c r="R2020" i="1"/>
  <c r="R2021" i="1"/>
  <c r="S2019" i="1"/>
  <c r="S2020" i="1"/>
  <c r="S2021" i="1"/>
  <c r="T2018" i="1"/>
  <c r="S2018" i="1"/>
  <c r="R2018" i="1"/>
  <c r="Q2018" i="1"/>
  <c r="L1629" i="4"/>
  <c r="L1628" i="4"/>
  <c r="L1630" i="4"/>
  <c r="K1631" i="4"/>
  <c r="J1631" i="4"/>
  <c r="I1631" i="4"/>
  <c r="L1627" i="4"/>
  <c r="L1626" i="4"/>
  <c r="L1625" i="4"/>
  <c r="L1624" i="4"/>
  <c r="P2011" i="1"/>
  <c r="O2011" i="1"/>
  <c r="N2011" i="1"/>
  <c r="L2011" i="1"/>
  <c r="K2011" i="1"/>
  <c r="K2002" i="1"/>
  <c r="Q2002" i="1" s="1"/>
  <c r="K2000" i="1"/>
  <c r="Q2000" i="1" s="1"/>
  <c r="K1998" i="1"/>
  <c r="Q1998" i="1" s="1"/>
  <c r="K1997" i="1"/>
  <c r="Q1997" i="1" s="1"/>
  <c r="P2003" i="1"/>
  <c r="O2003" i="1"/>
  <c r="N2003" i="1"/>
  <c r="M2003" i="1"/>
  <c r="L2003" i="1"/>
  <c r="T2002" i="1"/>
  <c r="S2002" i="1"/>
  <c r="R2002" i="1"/>
  <c r="S2001" i="1"/>
  <c r="T2000" i="1"/>
  <c r="S2000" i="1"/>
  <c r="R2000" i="1"/>
  <c r="T1999" i="1"/>
  <c r="S1999" i="1"/>
  <c r="R1999" i="1"/>
  <c r="Q1999" i="1"/>
  <c r="T1998" i="1"/>
  <c r="S1998" i="1"/>
  <c r="R1998" i="1"/>
  <c r="T1997" i="1"/>
  <c r="S1997" i="1"/>
  <c r="R1997" i="1"/>
  <c r="L1621" i="4"/>
  <c r="L1619" i="4"/>
  <c r="L1620" i="4"/>
  <c r="L1622" i="4"/>
  <c r="L1618" i="4"/>
  <c r="J1623" i="4"/>
  <c r="K1623" i="4"/>
  <c r="I1623" i="4"/>
  <c r="J1617" i="4"/>
  <c r="K1617" i="4"/>
  <c r="I1617" i="4"/>
  <c r="L1613" i="4"/>
  <c r="L1614" i="4"/>
  <c r="L1612" i="4"/>
  <c r="L1615" i="4"/>
  <c r="L1616" i="4"/>
  <c r="L1611" i="4"/>
  <c r="K1996" i="1"/>
  <c r="L1996" i="1"/>
  <c r="M1996" i="1"/>
  <c r="N1996" i="1"/>
  <c r="O1996" i="1"/>
  <c r="P1996" i="1"/>
  <c r="S1992" i="1"/>
  <c r="R1992" i="1"/>
  <c r="T1992" i="1"/>
  <c r="Q1992" i="1"/>
  <c r="Q1993" i="1"/>
  <c r="R1993" i="1"/>
  <c r="S1993" i="1"/>
  <c r="T1993" i="1"/>
  <c r="Q1991" i="1"/>
  <c r="R1991" i="1"/>
  <c r="S1991" i="1"/>
  <c r="T1991" i="1"/>
  <c r="T1995" i="1"/>
  <c r="S1995" i="1"/>
  <c r="R1995" i="1"/>
  <c r="Q1995" i="1"/>
  <c r="J1994" i="1"/>
  <c r="Q1994" i="1" s="1"/>
  <c r="T1990" i="1"/>
  <c r="J1987" i="1"/>
  <c r="K1610" i="4"/>
  <c r="J1610" i="4"/>
  <c r="I1610" i="4"/>
  <c r="L1609" i="4"/>
  <c r="L1608" i="4"/>
  <c r="L1607" i="4"/>
  <c r="P1989" i="1"/>
  <c r="O1989" i="1"/>
  <c r="N1989" i="1"/>
  <c r="M1989" i="1"/>
  <c r="L1989" i="1"/>
  <c r="K1989" i="1"/>
  <c r="T1988" i="1"/>
  <c r="S1988" i="1"/>
  <c r="R1988" i="1"/>
  <c r="Q1988" i="1"/>
  <c r="J1986" i="1"/>
  <c r="Q1986" i="1" s="1"/>
  <c r="L1985" i="1"/>
  <c r="M1985" i="1"/>
  <c r="N1985" i="1"/>
  <c r="O1985" i="1"/>
  <c r="P1985" i="1"/>
  <c r="J1985" i="1"/>
  <c r="S1983" i="1"/>
  <c r="T1983" i="1"/>
  <c r="R1983" i="1"/>
  <c r="Q1983" i="1"/>
  <c r="K1980" i="1"/>
  <c r="Q1980" i="1" s="1"/>
  <c r="K1979" i="1"/>
  <c r="Q1979" i="1" s="1"/>
  <c r="T1984" i="1"/>
  <c r="S1984" i="1"/>
  <c r="R1984" i="1"/>
  <c r="Q1984" i="1"/>
  <c r="T1982" i="1"/>
  <c r="S1982" i="1"/>
  <c r="R1982" i="1"/>
  <c r="Q1982" i="1"/>
  <c r="T1981" i="1"/>
  <c r="S1981" i="1"/>
  <c r="R1981" i="1"/>
  <c r="Q1981" i="1"/>
  <c r="T1980" i="1"/>
  <c r="S1980" i="1"/>
  <c r="R1980" i="1"/>
  <c r="T1979" i="1"/>
  <c r="S1979" i="1"/>
  <c r="R1979" i="1"/>
  <c r="J1606" i="4"/>
  <c r="K1606" i="4"/>
  <c r="L1604" i="4"/>
  <c r="L1603" i="4"/>
  <c r="I1606" i="4"/>
  <c r="L1605" i="4"/>
  <c r="L1602" i="4"/>
  <c r="L1601" i="4"/>
  <c r="L1600" i="4"/>
  <c r="J1599" i="4"/>
  <c r="K1599" i="4"/>
  <c r="I1599" i="4"/>
  <c r="L1597" i="4"/>
  <c r="L1978" i="1"/>
  <c r="M1978" i="1"/>
  <c r="N1978" i="1"/>
  <c r="O1978" i="1"/>
  <c r="P1978" i="1"/>
  <c r="J1978" i="1"/>
  <c r="K1974" i="1"/>
  <c r="Q1974" i="1" s="1"/>
  <c r="K1973" i="1"/>
  <c r="Q1973" i="1" s="1"/>
  <c r="T1977" i="1"/>
  <c r="S1977" i="1"/>
  <c r="R1977" i="1"/>
  <c r="Q1977" i="1"/>
  <c r="L1598" i="4"/>
  <c r="L1596" i="4"/>
  <c r="L1595" i="4"/>
  <c r="T1976" i="1"/>
  <c r="S1976" i="1"/>
  <c r="R1976" i="1"/>
  <c r="Q1976" i="1"/>
  <c r="T1975" i="1"/>
  <c r="S1975" i="1"/>
  <c r="R1975" i="1"/>
  <c r="Q1975" i="1"/>
  <c r="T1974" i="1"/>
  <c r="S1974" i="1"/>
  <c r="R1974" i="1"/>
  <c r="T1973" i="1"/>
  <c r="S1973" i="1"/>
  <c r="R1973" i="1"/>
  <c r="K1967" i="1"/>
  <c r="Q1970" i="1"/>
  <c r="R1970" i="1"/>
  <c r="S1970" i="1"/>
  <c r="T1970" i="1"/>
  <c r="K1594" i="4"/>
  <c r="J1594" i="4"/>
  <c r="I1594" i="4"/>
  <c r="L1593" i="4"/>
  <c r="L1592" i="4"/>
  <c r="L1591" i="4"/>
  <c r="L1590" i="4"/>
  <c r="P1972" i="1"/>
  <c r="O1972" i="1"/>
  <c r="N1972" i="1"/>
  <c r="M1972" i="1"/>
  <c r="L1972" i="1"/>
  <c r="T1971" i="1"/>
  <c r="S1971" i="1"/>
  <c r="R1971" i="1"/>
  <c r="Q1971" i="1"/>
  <c r="T1969" i="1"/>
  <c r="S1969" i="1"/>
  <c r="R1969" i="1"/>
  <c r="Q1969" i="1"/>
  <c r="T1968" i="1"/>
  <c r="S1968" i="1"/>
  <c r="R1968" i="1"/>
  <c r="Q1968" i="1"/>
  <c r="J1589" i="4"/>
  <c r="K1589" i="4"/>
  <c r="L1966" i="1"/>
  <c r="M1966" i="1"/>
  <c r="N1966" i="1"/>
  <c r="O1966" i="1"/>
  <c r="P1966" i="1"/>
  <c r="J1966" i="1"/>
  <c r="Q1964" i="1"/>
  <c r="R1964" i="1"/>
  <c r="S1964" i="1"/>
  <c r="T1964" i="1"/>
  <c r="K1963" i="1"/>
  <c r="Q1963" i="1" s="1"/>
  <c r="R1961" i="1"/>
  <c r="S1961" i="1"/>
  <c r="T1961" i="1"/>
  <c r="Q1962" i="1"/>
  <c r="R1962" i="1"/>
  <c r="S1962" i="1"/>
  <c r="T1962" i="1"/>
  <c r="K1961" i="1"/>
  <c r="Q1961" i="1" s="1"/>
  <c r="K1959" i="1"/>
  <c r="K1958" i="1"/>
  <c r="Q1958" i="1" s="1"/>
  <c r="T1965" i="1"/>
  <c r="S1965" i="1"/>
  <c r="R1965" i="1"/>
  <c r="Q1965" i="1"/>
  <c r="T1963" i="1"/>
  <c r="S1963" i="1"/>
  <c r="R1963" i="1"/>
  <c r="T1960" i="1"/>
  <c r="S1960" i="1"/>
  <c r="R1960" i="1"/>
  <c r="Q1960" i="1"/>
  <c r="T1959" i="1"/>
  <c r="S1959" i="1"/>
  <c r="R1959" i="1"/>
  <c r="T1958" i="1"/>
  <c r="S1958" i="1"/>
  <c r="R1958" i="1"/>
  <c r="L1587" i="4"/>
  <c r="I1589" i="4"/>
  <c r="L1588" i="4"/>
  <c r="L1586" i="4"/>
  <c r="L1585" i="4"/>
  <c r="L1584" i="4"/>
  <c r="I1583" i="4"/>
  <c r="L1578" i="4"/>
  <c r="L1576" i="4"/>
  <c r="J1583" i="4"/>
  <c r="K1583" i="4"/>
  <c r="L1577" i="4"/>
  <c r="L1579" i="4"/>
  <c r="L1580" i="4"/>
  <c r="L1581" i="4"/>
  <c r="L1582" i="4"/>
  <c r="T1956" i="1"/>
  <c r="S1956" i="1"/>
  <c r="R1956" i="1"/>
  <c r="Q1956" i="1"/>
  <c r="T1955" i="1"/>
  <c r="S1955" i="1"/>
  <c r="R1955" i="1"/>
  <c r="Q1955" i="1"/>
  <c r="T1954" i="1"/>
  <c r="S1954" i="1"/>
  <c r="R1954" i="1"/>
  <c r="Q1954" i="1"/>
  <c r="T1953" i="1"/>
  <c r="S1953" i="1"/>
  <c r="R1953" i="1"/>
  <c r="Q1953" i="1"/>
  <c r="T1952" i="1"/>
  <c r="S1952" i="1"/>
  <c r="R1952" i="1"/>
  <c r="L1946" i="1"/>
  <c r="L1951" i="1" s="1"/>
  <c r="L1957" i="1" s="1"/>
  <c r="L1571" i="4"/>
  <c r="L1572" i="4"/>
  <c r="L1573" i="4"/>
  <c r="Q1948" i="1"/>
  <c r="R1948" i="1"/>
  <c r="S1948" i="1"/>
  <c r="T1948" i="1"/>
  <c r="Q1949" i="1"/>
  <c r="R1949" i="1"/>
  <c r="S1949" i="1"/>
  <c r="T1949" i="1"/>
  <c r="Q1950" i="1"/>
  <c r="R1950" i="1"/>
  <c r="S1950" i="1"/>
  <c r="T1950" i="1"/>
  <c r="K1575" i="4"/>
  <c r="J1575" i="4"/>
  <c r="I1575" i="4"/>
  <c r="L1574" i="4"/>
  <c r="L1570" i="4"/>
  <c r="P1951" i="1"/>
  <c r="O1951" i="1"/>
  <c r="O1957" i="1" s="1"/>
  <c r="N1951" i="1"/>
  <c r="M1951" i="1"/>
  <c r="M1957" i="1" s="1"/>
  <c r="T1947" i="1"/>
  <c r="S1947" i="1"/>
  <c r="R1947" i="1"/>
  <c r="Q1947" i="1"/>
  <c r="T1946" i="1"/>
  <c r="S1946" i="1"/>
  <c r="R1946" i="1"/>
  <c r="J1945" i="1"/>
  <c r="T1945" i="1" s="1"/>
  <c r="K1940" i="1"/>
  <c r="K1937" i="1"/>
  <c r="Q1937" i="1" s="1"/>
  <c r="K1936" i="1"/>
  <c r="Q1936" i="1" s="1"/>
  <c r="L1944" i="1"/>
  <c r="M1944" i="1"/>
  <c r="N1944" i="1"/>
  <c r="O1944" i="1"/>
  <c r="P1944" i="1"/>
  <c r="T1941" i="1"/>
  <c r="S1941" i="1"/>
  <c r="R1941" i="1"/>
  <c r="Q1941" i="1"/>
  <c r="L1939" i="1"/>
  <c r="M1939" i="1"/>
  <c r="N1939" i="1"/>
  <c r="O1939" i="1"/>
  <c r="P1939" i="1"/>
  <c r="J1939" i="1"/>
  <c r="J1944" i="1" s="1"/>
  <c r="K1569" i="4"/>
  <c r="J1569" i="4"/>
  <c r="I1569" i="4"/>
  <c r="L1568" i="4"/>
  <c r="L1567" i="4"/>
  <c r="L1566" i="4"/>
  <c r="T1943" i="1"/>
  <c r="S1943" i="1"/>
  <c r="R1943" i="1"/>
  <c r="Q1943" i="1"/>
  <c r="T1942" i="1"/>
  <c r="S1942" i="1"/>
  <c r="R1942" i="1"/>
  <c r="Q1942" i="1"/>
  <c r="T1940" i="1"/>
  <c r="S1940" i="1"/>
  <c r="R1940" i="1"/>
  <c r="T1938" i="1"/>
  <c r="S1938" i="1"/>
  <c r="R1938" i="1"/>
  <c r="Q1938" i="1"/>
  <c r="T1937" i="1"/>
  <c r="S1937" i="1"/>
  <c r="R1937" i="1"/>
  <c r="T1936" i="1"/>
  <c r="S1936" i="1"/>
  <c r="R1936" i="1"/>
  <c r="K1930" i="1"/>
  <c r="K1928" i="1"/>
  <c r="R2001" i="1"/>
  <c r="T2001" i="1"/>
  <c r="J2003" i="1"/>
  <c r="Q2001" i="1"/>
  <c r="Q1990" i="1"/>
  <c r="R1990" i="1"/>
  <c r="S1990" i="1"/>
  <c r="Q1952" i="1"/>
  <c r="K1951" i="1"/>
  <c r="K1957" i="1" s="1"/>
  <c r="J1565" i="4"/>
  <c r="K1565" i="4"/>
  <c r="I1565" i="4"/>
  <c r="L1562" i="4"/>
  <c r="L1563" i="4"/>
  <c r="L1564" i="4"/>
  <c r="L1561" i="4"/>
  <c r="Q1929" i="1"/>
  <c r="R1929" i="1"/>
  <c r="S1929" i="1"/>
  <c r="T1929" i="1"/>
  <c r="Q1931" i="1"/>
  <c r="R1931" i="1"/>
  <c r="S1931" i="1"/>
  <c r="T1931" i="1"/>
  <c r="Q1932" i="1"/>
  <c r="R1932" i="1"/>
  <c r="S1932" i="1"/>
  <c r="T1932" i="1"/>
  <c r="Q1933" i="1"/>
  <c r="R1933" i="1"/>
  <c r="S1933" i="1"/>
  <c r="T1933" i="1"/>
  <c r="Q1934" i="1"/>
  <c r="R1934" i="1"/>
  <c r="S1934" i="1"/>
  <c r="T1934" i="1"/>
  <c r="L1935" i="1"/>
  <c r="M1935" i="1"/>
  <c r="N1935" i="1"/>
  <c r="O1935" i="1"/>
  <c r="P1935" i="1"/>
  <c r="J1935" i="1"/>
  <c r="K1925" i="1"/>
  <c r="K1927" i="1" s="1"/>
  <c r="K1560" i="4"/>
  <c r="J1560" i="4"/>
  <c r="I1560" i="4"/>
  <c r="L1559" i="4"/>
  <c r="L1558" i="4"/>
  <c r="L1557" i="4"/>
  <c r="P1927" i="1"/>
  <c r="O1927" i="1"/>
  <c r="N1927" i="1"/>
  <c r="M1927" i="1"/>
  <c r="L1927" i="1"/>
  <c r="T1926" i="1"/>
  <c r="S1926" i="1"/>
  <c r="R1926" i="1"/>
  <c r="Q1926" i="1"/>
  <c r="T1925" i="1"/>
  <c r="S1925" i="1"/>
  <c r="R1925" i="1"/>
  <c r="T1924" i="1"/>
  <c r="S1924" i="1"/>
  <c r="R1924" i="1"/>
  <c r="Q1924" i="1"/>
  <c r="J1923" i="1"/>
  <c r="T1923" i="1" s="1"/>
  <c r="M1921" i="1"/>
  <c r="M1922" i="1" s="1"/>
  <c r="J1916" i="1"/>
  <c r="T1916" i="1" s="1"/>
  <c r="L1554" i="4"/>
  <c r="K1918" i="1"/>
  <c r="P1922" i="1"/>
  <c r="O1922" i="1"/>
  <c r="N1922" i="1"/>
  <c r="L1922" i="1"/>
  <c r="T1921" i="1"/>
  <c r="S1921" i="1"/>
  <c r="R1921" i="1"/>
  <c r="Q1921" i="1"/>
  <c r="T1920" i="1"/>
  <c r="S1920" i="1"/>
  <c r="R1920" i="1"/>
  <c r="Q1920" i="1"/>
  <c r="T1919" i="1"/>
  <c r="S1919" i="1"/>
  <c r="R1919" i="1"/>
  <c r="Q1919" i="1"/>
  <c r="T1918" i="1"/>
  <c r="S1918" i="1"/>
  <c r="R1918" i="1"/>
  <c r="T1917" i="1"/>
  <c r="S1917" i="1"/>
  <c r="R1917" i="1"/>
  <c r="Q1917" i="1"/>
  <c r="K1556" i="4"/>
  <c r="J1556" i="4"/>
  <c r="I1556" i="4"/>
  <c r="L1555" i="4"/>
  <c r="L1553" i="4"/>
  <c r="L1552" i="4"/>
  <c r="L1551" i="4"/>
  <c r="L1550" i="4"/>
  <c r="K1549" i="4"/>
  <c r="J1549" i="4"/>
  <c r="I1549" i="4"/>
  <c r="L1548" i="4"/>
  <c r="L1547" i="4"/>
  <c r="L1545" i="4"/>
  <c r="Q1911" i="1"/>
  <c r="Q1912" i="1"/>
  <c r="L1546" i="4"/>
  <c r="L1544" i="4"/>
  <c r="L1543" i="4"/>
  <c r="Q1910" i="1"/>
  <c r="R1910" i="1"/>
  <c r="S1910" i="1"/>
  <c r="T1910" i="1"/>
  <c r="P1915" i="1"/>
  <c r="O1915" i="1"/>
  <c r="N1915" i="1"/>
  <c r="M1915" i="1"/>
  <c r="L1915" i="1"/>
  <c r="K1915" i="1"/>
  <c r="T1914" i="1"/>
  <c r="S1914" i="1"/>
  <c r="R1914" i="1"/>
  <c r="Q1914" i="1"/>
  <c r="T1913" i="1"/>
  <c r="S1913" i="1"/>
  <c r="R1913" i="1"/>
  <c r="Q1913" i="1"/>
  <c r="T1912" i="1"/>
  <c r="S1912" i="1"/>
  <c r="R1912" i="1"/>
  <c r="T1911" i="1"/>
  <c r="S1911" i="1"/>
  <c r="R1911" i="1"/>
  <c r="T1909" i="1"/>
  <c r="Q1906" i="1"/>
  <c r="R1906" i="1"/>
  <c r="S1906" i="1"/>
  <c r="T1906" i="1"/>
  <c r="Q1907" i="1"/>
  <c r="R1907" i="1"/>
  <c r="S1907" i="1"/>
  <c r="T1907" i="1"/>
  <c r="P1908" i="1"/>
  <c r="O1908" i="1"/>
  <c r="N1908" i="1"/>
  <c r="M1908" i="1"/>
  <c r="K1908" i="1"/>
  <c r="T1905" i="1"/>
  <c r="S1905" i="1"/>
  <c r="R1905" i="1"/>
  <c r="Q1905" i="1"/>
  <c r="T1904" i="1"/>
  <c r="S1904" i="1"/>
  <c r="R1904" i="1"/>
  <c r="Q1904" i="1"/>
  <c r="L1908" i="1"/>
  <c r="K1542" i="4"/>
  <c r="J1542" i="4"/>
  <c r="I1542" i="4"/>
  <c r="L1541" i="4"/>
  <c r="L1540" i="4"/>
  <c r="L1539" i="4"/>
  <c r="L1898" i="1"/>
  <c r="J1898" i="1" s="1"/>
  <c r="S1898" i="1" s="1"/>
  <c r="K1538" i="4"/>
  <c r="J1538" i="4"/>
  <c r="I1538" i="4"/>
  <c r="L1537" i="4"/>
  <c r="L1536" i="4"/>
  <c r="L1535" i="4"/>
  <c r="L1534" i="4"/>
  <c r="P1902" i="1"/>
  <c r="O1902" i="1"/>
  <c r="N1902" i="1"/>
  <c r="M1902" i="1"/>
  <c r="K1902" i="1"/>
  <c r="T1901" i="1"/>
  <c r="S1901" i="1"/>
  <c r="R1901" i="1"/>
  <c r="Q1901" i="1"/>
  <c r="T1900" i="1"/>
  <c r="S1900" i="1"/>
  <c r="R1900" i="1"/>
  <c r="Q1900" i="1"/>
  <c r="T1899" i="1"/>
  <c r="S1899" i="1"/>
  <c r="R1899" i="1"/>
  <c r="K1896" i="1"/>
  <c r="Q1896" i="1" s="1"/>
  <c r="P1897" i="1"/>
  <c r="O1897" i="1"/>
  <c r="N1897" i="1"/>
  <c r="M1897" i="1"/>
  <c r="L1897" i="1"/>
  <c r="J1897" i="1"/>
  <c r="T1896" i="1"/>
  <c r="S1896" i="1"/>
  <c r="R1896" i="1"/>
  <c r="K1533" i="4"/>
  <c r="J1533" i="4"/>
  <c r="I1533" i="4"/>
  <c r="L1532" i="4"/>
  <c r="L1531" i="4"/>
  <c r="L1530" i="4"/>
  <c r="L1529" i="4"/>
  <c r="L1525" i="4"/>
  <c r="Q1909" i="1"/>
  <c r="R1909" i="1"/>
  <c r="J1915" i="1"/>
  <c r="S1909" i="1"/>
  <c r="J1903" i="1"/>
  <c r="J1908" i="1" s="1"/>
  <c r="Q1899" i="1"/>
  <c r="Q1891" i="1"/>
  <c r="S1891" i="1"/>
  <c r="T1891" i="1"/>
  <c r="R1891" i="1"/>
  <c r="K1895" i="1"/>
  <c r="M1895" i="1"/>
  <c r="N1895" i="1"/>
  <c r="O1895" i="1"/>
  <c r="P1895" i="1"/>
  <c r="J1895" i="1"/>
  <c r="K1528" i="4"/>
  <c r="J1528" i="4"/>
  <c r="I1528" i="4"/>
  <c r="L1524" i="4"/>
  <c r="L1527" i="4"/>
  <c r="L1526" i="4"/>
  <c r="L1523" i="4"/>
  <c r="T1894" i="1"/>
  <c r="S1894" i="1"/>
  <c r="R1894" i="1"/>
  <c r="Q1894" i="1"/>
  <c r="T1893" i="1"/>
  <c r="S1893" i="1"/>
  <c r="R1893" i="1"/>
  <c r="Q1893" i="1"/>
  <c r="T1892" i="1"/>
  <c r="S1892" i="1"/>
  <c r="R1892" i="1"/>
  <c r="Q1892" i="1"/>
  <c r="T1890" i="1"/>
  <c r="S1890" i="1"/>
  <c r="R1890" i="1"/>
  <c r="L1895" i="1"/>
  <c r="L1520" i="4"/>
  <c r="T1887" i="1"/>
  <c r="S1887" i="1"/>
  <c r="R1887" i="1"/>
  <c r="Q1887" i="1"/>
  <c r="K1885" i="1"/>
  <c r="K1889" i="1" s="1"/>
  <c r="R1885" i="1"/>
  <c r="S1885" i="1"/>
  <c r="T1885" i="1"/>
  <c r="Q1886" i="1"/>
  <c r="R1886" i="1"/>
  <c r="S1886" i="1"/>
  <c r="T1886" i="1"/>
  <c r="Q1888" i="1"/>
  <c r="R1888" i="1"/>
  <c r="S1888" i="1"/>
  <c r="T1888" i="1"/>
  <c r="L1885" i="1"/>
  <c r="L1889" i="1" s="1"/>
  <c r="K1522" i="4"/>
  <c r="J1522" i="4"/>
  <c r="L1521" i="4"/>
  <c r="L1519" i="4"/>
  <c r="I1522" i="4"/>
  <c r="P1889" i="1"/>
  <c r="O1889" i="1"/>
  <c r="N1889" i="1"/>
  <c r="M1889" i="1"/>
  <c r="J1884" i="1"/>
  <c r="L1883" i="1"/>
  <c r="M1883" i="1"/>
  <c r="N1883" i="1"/>
  <c r="O1883" i="1"/>
  <c r="P1883" i="1"/>
  <c r="J1883" i="1"/>
  <c r="K1880" i="1"/>
  <c r="K1883" i="1" s="1"/>
  <c r="T1881" i="1"/>
  <c r="S1881" i="1"/>
  <c r="R1881" i="1"/>
  <c r="Q1881" i="1"/>
  <c r="T1882" i="1"/>
  <c r="S1882" i="1"/>
  <c r="R1882" i="1"/>
  <c r="Q1882" i="1"/>
  <c r="T1880" i="1"/>
  <c r="S1880" i="1"/>
  <c r="R1880" i="1"/>
  <c r="K1517" i="4"/>
  <c r="J1517" i="4"/>
  <c r="I1517" i="4"/>
  <c r="L1516" i="4"/>
  <c r="L1515" i="4"/>
  <c r="L1514" i="4"/>
  <c r="I1510" i="4"/>
  <c r="L1510" i="4" s="1"/>
  <c r="L1511" i="4"/>
  <c r="L1512" i="4"/>
  <c r="T1878" i="1"/>
  <c r="S1878" i="1"/>
  <c r="R1878" i="1"/>
  <c r="Q1878" i="1"/>
  <c r="Q1890" i="1"/>
  <c r="L1518" i="4"/>
  <c r="J1513" i="4"/>
  <c r="K1513" i="4"/>
  <c r="K1877" i="1"/>
  <c r="L1877" i="1"/>
  <c r="L1879" i="1" s="1"/>
  <c r="M1877" i="1"/>
  <c r="M1879" i="1" s="1"/>
  <c r="N1877" i="1"/>
  <c r="N1879" i="1" s="1"/>
  <c r="O1877" i="1"/>
  <c r="O1879" i="1" s="1"/>
  <c r="P1877" i="1"/>
  <c r="J1877" i="1"/>
  <c r="Q1876" i="1"/>
  <c r="R1876" i="1"/>
  <c r="S1876" i="1"/>
  <c r="T1876" i="1"/>
  <c r="T1875" i="1"/>
  <c r="S1875" i="1"/>
  <c r="R1875" i="1"/>
  <c r="Q1875" i="1"/>
  <c r="K1509" i="4"/>
  <c r="J1509" i="4"/>
  <c r="I1509" i="4"/>
  <c r="L1508" i="4"/>
  <c r="L1507" i="4"/>
  <c r="P1874" i="1"/>
  <c r="O1874" i="1"/>
  <c r="N1874" i="1"/>
  <c r="L1874" i="1"/>
  <c r="K1874" i="1"/>
  <c r="T1873" i="1"/>
  <c r="S1873" i="1"/>
  <c r="R1873" i="1"/>
  <c r="Q1873" i="1"/>
  <c r="M1874" i="1"/>
  <c r="J1872" i="1"/>
  <c r="T1872" i="1" s="1"/>
  <c r="K1870" i="1"/>
  <c r="K1867" i="1"/>
  <c r="Q1867" i="1" s="1"/>
  <c r="L1504" i="4"/>
  <c r="P1871" i="1"/>
  <c r="O1871" i="1"/>
  <c r="N1871" i="1"/>
  <c r="M1871" i="1"/>
  <c r="L1871" i="1"/>
  <c r="J1871" i="1"/>
  <c r="T1870" i="1"/>
  <c r="S1870" i="1"/>
  <c r="R1870" i="1"/>
  <c r="T1869" i="1"/>
  <c r="S1869" i="1"/>
  <c r="R1869" i="1"/>
  <c r="Q1869" i="1"/>
  <c r="T1868" i="1"/>
  <c r="S1868" i="1"/>
  <c r="R1868" i="1"/>
  <c r="Q1868" i="1"/>
  <c r="T1867" i="1"/>
  <c r="S1867" i="1"/>
  <c r="R1867" i="1"/>
  <c r="K1506" i="4"/>
  <c r="J1506" i="4"/>
  <c r="I1506" i="4"/>
  <c r="L1505" i="4"/>
  <c r="L1503" i="4"/>
  <c r="L1502" i="4"/>
  <c r="L1501" i="4"/>
  <c r="K1500" i="4"/>
  <c r="J1500" i="4"/>
  <c r="I1500" i="4"/>
  <c r="K1862" i="1"/>
  <c r="L1498" i="4"/>
  <c r="L1866" i="1"/>
  <c r="M1866" i="1"/>
  <c r="N1866" i="1"/>
  <c r="O1866" i="1"/>
  <c r="P1866" i="1"/>
  <c r="J1866" i="1"/>
  <c r="L1499" i="4"/>
  <c r="L1497" i="4"/>
  <c r="L1496" i="4"/>
  <c r="T1865" i="1"/>
  <c r="S1865" i="1"/>
  <c r="R1865" i="1"/>
  <c r="Q1865" i="1"/>
  <c r="T1864" i="1"/>
  <c r="S1864" i="1"/>
  <c r="R1864" i="1"/>
  <c r="Q1864" i="1"/>
  <c r="T1863" i="1"/>
  <c r="S1863" i="1"/>
  <c r="R1863" i="1"/>
  <c r="Q1863" i="1"/>
  <c r="T1862" i="1"/>
  <c r="S1862" i="1"/>
  <c r="R1862" i="1"/>
  <c r="L1493" i="4"/>
  <c r="M1860" i="1"/>
  <c r="M1857" i="1"/>
  <c r="L1492" i="4"/>
  <c r="K1495" i="4"/>
  <c r="J1495" i="4"/>
  <c r="I1495" i="4"/>
  <c r="L1494" i="4"/>
  <c r="L1491" i="4"/>
  <c r="P1861" i="1"/>
  <c r="O1861" i="1"/>
  <c r="N1861" i="1"/>
  <c r="L1861" i="1"/>
  <c r="K1861" i="1"/>
  <c r="T1860" i="1"/>
  <c r="S1860" i="1"/>
  <c r="R1860" i="1"/>
  <c r="Q1860" i="1"/>
  <c r="T1859" i="1"/>
  <c r="S1859" i="1"/>
  <c r="R1859" i="1"/>
  <c r="Q1859" i="1"/>
  <c r="T1858" i="1"/>
  <c r="S1858" i="1"/>
  <c r="R1858" i="1"/>
  <c r="Q1858" i="1"/>
  <c r="T1857" i="1"/>
  <c r="S1857" i="1"/>
  <c r="R1857" i="1"/>
  <c r="Q1857" i="1"/>
  <c r="J1856" i="1"/>
  <c r="S1856" i="1" s="1"/>
  <c r="K1854" i="1"/>
  <c r="K1852" i="1"/>
  <c r="Q1852" i="1" s="1"/>
  <c r="K1851" i="1"/>
  <c r="Q1851" i="1" s="1"/>
  <c r="P1855" i="1"/>
  <c r="O1855" i="1"/>
  <c r="N1855" i="1"/>
  <c r="M1855" i="1"/>
  <c r="L1855" i="1"/>
  <c r="J1855" i="1"/>
  <c r="T1854" i="1"/>
  <c r="S1854" i="1"/>
  <c r="R1854" i="1"/>
  <c r="T1853" i="1"/>
  <c r="S1853" i="1"/>
  <c r="R1853" i="1"/>
  <c r="Q1853" i="1"/>
  <c r="T1852" i="1"/>
  <c r="S1852" i="1"/>
  <c r="R1852" i="1"/>
  <c r="T1851" i="1"/>
  <c r="S1851" i="1"/>
  <c r="R1851" i="1"/>
  <c r="K1490" i="4"/>
  <c r="J1490" i="4"/>
  <c r="I1490" i="4"/>
  <c r="L1489" i="4"/>
  <c r="L1488" i="4"/>
  <c r="L1487" i="4"/>
  <c r="K1846" i="1"/>
  <c r="Q1846" i="1" s="1"/>
  <c r="K1845" i="1"/>
  <c r="Q1845" i="1" s="1"/>
  <c r="J1847" i="1"/>
  <c r="T1847" i="1" s="1"/>
  <c r="L1483" i="4"/>
  <c r="L1484" i="4"/>
  <c r="L1485" i="4"/>
  <c r="K1486" i="4"/>
  <c r="J1486" i="4"/>
  <c r="I1486" i="4"/>
  <c r="L1482" i="4"/>
  <c r="P1850" i="1"/>
  <c r="O1850" i="1"/>
  <c r="N1850" i="1"/>
  <c r="M1850" i="1"/>
  <c r="L1850" i="1"/>
  <c r="T1849" i="1"/>
  <c r="S1849" i="1"/>
  <c r="R1849" i="1"/>
  <c r="Q1849" i="1"/>
  <c r="T1848" i="1"/>
  <c r="S1848" i="1"/>
  <c r="R1848" i="1"/>
  <c r="Q1848" i="1"/>
  <c r="T1846" i="1"/>
  <c r="S1846" i="1"/>
  <c r="R1846" i="1"/>
  <c r="T1845" i="1"/>
  <c r="S1845" i="1"/>
  <c r="R1845" i="1"/>
  <c r="M1839" i="1"/>
  <c r="M1844" i="1" s="1"/>
  <c r="Q1842" i="1"/>
  <c r="R1842" i="1"/>
  <c r="S1842" i="1"/>
  <c r="T1842" i="1"/>
  <c r="K1481" i="4"/>
  <c r="J1481" i="4"/>
  <c r="I1481" i="4"/>
  <c r="L1480" i="4"/>
  <c r="L1479" i="4"/>
  <c r="P1844" i="1"/>
  <c r="O1844" i="1"/>
  <c r="N1844" i="1"/>
  <c r="L1844" i="1"/>
  <c r="K1844" i="1"/>
  <c r="T1843" i="1"/>
  <c r="S1843" i="1"/>
  <c r="R1843" i="1"/>
  <c r="Q1843" i="1"/>
  <c r="T1841" i="1"/>
  <c r="S1841" i="1"/>
  <c r="R1841" i="1"/>
  <c r="Q1841" i="1"/>
  <c r="T1840" i="1"/>
  <c r="S1840" i="1"/>
  <c r="R1840" i="1"/>
  <c r="Q1840" i="1"/>
  <c r="T1839" i="1"/>
  <c r="S1839" i="1"/>
  <c r="R1839" i="1"/>
  <c r="Q1839" i="1"/>
  <c r="J1838" i="1"/>
  <c r="R1838" i="1" s="1"/>
  <c r="K1836" i="1"/>
  <c r="Q1836" i="1" s="1"/>
  <c r="K1478" i="4"/>
  <c r="J1478" i="4"/>
  <c r="I1478" i="4"/>
  <c r="L1477" i="4"/>
  <c r="L1476" i="4"/>
  <c r="L1475" i="4"/>
  <c r="T1836" i="1"/>
  <c r="S1836" i="1"/>
  <c r="R1836" i="1"/>
  <c r="T1835" i="1"/>
  <c r="S1835" i="1"/>
  <c r="R1835" i="1"/>
  <c r="K1835" i="1"/>
  <c r="Q1835" i="1" s="1"/>
  <c r="T1834" i="1"/>
  <c r="S1834" i="1"/>
  <c r="R1834" i="1"/>
  <c r="K1834" i="1"/>
  <c r="Q1834" i="1" s="1"/>
  <c r="K1474" i="4"/>
  <c r="J1474" i="4"/>
  <c r="I1474" i="4"/>
  <c r="L1472" i="4"/>
  <c r="L1471" i="4"/>
  <c r="K1830" i="1"/>
  <c r="Q1830" i="1" s="1"/>
  <c r="K1829" i="1"/>
  <c r="Q1829" i="1" s="1"/>
  <c r="L1473" i="4"/>
  <c r="L1470" i="4"/>
  <c r="T1832" i="1"/>
  <c r="S1832" i="1"/>
  <c r="R1832" i="1"/>
  <c r="Q1832" i="1"/>
  <c r="T1831" i="1"/>
  <c r="S1831" i="1"/>
  <c r="R1831" i="1"/>
  <c r="Q1831" i="1"/>
  <c r="T1830" i="1"/>
  <c r="S1830" i="1"/>
  <c r="R1830" i="1"/>
  <c r="T1829" i="1"/>
  <c r="S1829" i="1"/>
  <c r="R1829" i="1"/>
  <c r="K1469" i="4"/>
  <c r="J1469" i="4"/>
  <c r="I1469" i="4"/>
  <c r="L1468" i="4"/>
  <c r="L1467" i="4"/>
  <c r="L1466" i="4"/>
  <c r="P1828" i="1"/>
  <c r="O1828" i="1"/>
  <c r="N1828" i="1"/>
  <c r="N1833" i="1" s="1"/>
  <c r="N1837" i="1" s="1"/>
  <c r="M1828" i="1"/>
  <c r="M1833" i="1" s="1"/>
  <c r="M1837" i="1" s="1"/>
  <c r="L1828" i="1"/>
  <c r="L1833" i="1" s="1"/>
  <c r="L1837" i="1" s="1"/>
  <c r="K1828" i="1"/>
  <c r="T1827" i="1"/>
  <c r="S1827" i="1"/>
  <c r="R1827" i="1"/>
  <c r="Q1827" i="1"/>
  <c r="T1826" i="1"/>
  <c r="S1826" i="1"/>
  <c r="R1826" i="1"/>
  <c r="Q1826" i="1"/>
  <c r="T1825" i="1"/>
  <c r="S1825" i="1"/>
  <c r="R1825" i="1"/>
  <c r="Q1825" i="1"/>
  <c r="T1824" i="1"/>
  <c r="S1824" i="1"/>
  <c r="R1824" i="1"/>
  <c r="Q1824" i="1"/>
  <c r="J1823" i="1"/>
  <c r="S1823" i="1" s="1"/>
  <c r="K1821" i="1"/>
  <c r="Q1821" i="1" s="1"/>
  <c r="M1821" i="1"/>
  <c r="M1822" i="1" s="1"/>
  <c r="K1819" i="1"/>
  <c r="Q1819" i="1" s="1"/>
  <c r="K1820" i="1"/>
  <c r="Q1820" i="1" s="1"/>
  <c r="K1465" i="4"/>
  <c r="J1465" i="4"/>
  <c r="I1465" i="4"/>
  <c r="L1464" i="4"/>
  <c r="L1463" i="4"/>
  <c r="L1462" i="4"/>
  <c r="P1822" i="1"/>
  <c r="O1822" i="1"/>
  <c r="N1822" i="1"/>
  <c r="L1822" i="1"/>
  <c r="J1822" i="1"/>
  <c r="T1821" i="1"/>
  <c r="S1821" i="1"/>
  <c r="R1821" i="1"/>
  <c r="T1820" i="1"/>
  <c r="S1820" i="1"/>
  <c r="R1820" i="1"/>
  <c r="T1819" i="1"/>
  <c r="S1819" i="1"/>
  <c r="R1819" i="1"/>
  <c r="L1459" i="4"/>
  <c r="Q1816" i="1"/>
  <c r="Q1815" i="1"/>
  <c r="Q1812" i="1"/>
  <c r="J1818" i="1"/>
  <c r="M1818" i="1"/>
  <c r="O1818" i="1"/>
  <c r="P1818" i="1"/>
  <c r="L1818" i="1"/>
  <c r="N1818" i="1"/>
  <c r="J1461" i="4"/>
  <c r="K1461" i="4"/>
  <c r="I1461" i="4"/>
  <c r="L1460" i="4"/>
  <c r="L1458" i="4"/>
  <c r="L1457" i="4"/>
  <c r="L1456" i="4"/>
  <c r="L1455" i="4"/>
  <c r="T1817" i="1"/>
  <c r="S1817" i="1"/>
  <c r="R1817" i="1"/>
  <c r="Q1817" i="1"/>
  <c r="T1816" i="1"/>
  <c r="S1816" i="1"/>
  <c r="R1816" i="1"/>
  <c r="T1815" i="1"/>
  <c r="S1815" i="1"/>
  <c r="R1815" i="1"/>
  <c r="T1814" i="1"/>
  <c r="S1814" i="1"/>
  <c r="R1814" i="1"/>
  <c r="Q1814" i="1"/>
  <c r="T1813" i="1"/>
  <c r="S1813" i="1"/>
  <c r="R1813" i="1"/>
  <c r="T1812" i="1"/>
  <c r="S1812" i="1"/>
  <c r="R1812" i="1"/>
  <c r="I1454" i="4"/>
  <c r="J1454" i="4"/>
  <c r="L1452" i="4"/>
  <c r="L1453" i="4"/>
  <c r="K1454" i="4"/>
  <c r="L1451" i="4"/>
  <c r="L1450" i="4"/>
  <c r="L1449" i="4"/>
  <c r="L1448" i="4"/>
  <c r="Q1806" i="1"/>
  <c r="R1806" i="1"/>
  <c r="S1806" i="1"/>
  <c r="T1806" i="1"/>
  <c r="Q1807" i="1"/>
  <c r="R1807" i="1"/>
  <c r="S1807" i="1"/>
  <c r="T1807" i="1"/>
  <c r="Q1808" i="1"/>
  <c r="R1808" i="1"/>
  <c r="S1808" i="1"/>
  <c r="T1808" i="1"/>
  <c r="Q1809" i="1"/>
  <c r="R1809" i="1"/>
  <c r="S1809" i="1"/>
  <c r="T1809" i="1"/>
  <c r="P1811" i="1"/>
  <c r="O1811" i="1"/>
  <c r="L1811" i="1"/>
  <c r="K1811" i="1"/>
  <c r="T1810" i="1"/>
  <c r="S1810" i="1"/>
  <c r="Q1810" i="1"/>
  <c r="R1810" i="1"/>
  <c r="T1805" i="1"/>
  <c r="S1805" i="1"/>
  <c r="R1805" i="1"/>
  <c r="Q1805" i="1"/>
  <c r="J1804" i="1"/>
  <c r="Q1799" i="1"/>
  <c r="R1799" i="1"/>
  <c r="S1799" i="1"/>
  <c r="T1799" i="1"/>
  <c r="Q1800" i="1"/>
  <c r="R1800" i="1"/>
  <c r="S1800" i="1"/>
  <c r="T1800" i="1"/>
  <c r="Q1801" i="1"/>
  <c r="R1801" i="1"/>
  <c r="S1801" i="1"/>
  <c r="T1801" i="1"/>
  <c r="K1795" i="1"/>
  <c r="Q1795" i="1" s="1"/>
  <c r="K1794" i="1"/>
  <c r="Q1794" i="1" s="1"/>
  <c r="L1446" i="4"/>
  <c r="L1445" i="4"/>
  <c r="P1803" i="1"/>
  <c r="O1803" i="1"/>
  <c r="N1803" i="1"/>
  <c r="L1803" i="1"/>
  <c r="K1803" i="1"/>
  <c r="J1803" i="1"/>
  <c r="T1802" i="1"/>
  <c r="S1802" i="1"/>
  <c r="R1802" i="1"/>
  <c r="Q1802" i="1"/>
  <c r="T1798" i="1"/>
  <c r="S1798" i="1"/>
  <c r="R1798" i="1"/>
  <c r="Q1798" i="1"/>
  <c r="M1803" i="1"/>
  <c r="T1797" i="1"/>
  <c r="S1797" i="1"/>
  <c r="R1797" i="1"/>
  <c r="Q1797" i="1"/>
  <c r="P1796" i="1"/>
  <c r="O1796" i="1"/>
  <c r="N1796" i="1"/>
  <c r="L1796" i="1"/>
  <c r="J1796" i="1"/>
  <c r="T1795" i="1"/>
  <c r="S1795" i="1"/>
  <c r="R1795" i="1"/>
  <c r="M1796" i="1"/>
  <c r="T1794" i="1"/>
  <c r="S1794" i="1"/>
  <c r="R1794" i="1"/>
  <c r="K1447" i="4"/>
  <c r="J1447" i="4"/>
  <c r="I1447" i="4"/>
  <c r="M1791" i="1"/>
  <c r="M1793" i="1" s="1"/>
  <c r="K1793" i="1"/>
  <c r="L1793" i="1"/>
  <c r="N1793" i="1"/>
  <c r="O1793" i="1"/>
  <c r="P1793" i="1"/>
  <c r="J1793" i="1"/>
  <c r="I1444" i="4"/>
  <c r="J1444" i="4"/>
  <c r="K1444" i="4"/>
  <c r="K1818" i="1"/>
  <c r="Q1813" i="1"/>
  <c r="M1811" i="1"/>
  <c r="N1811" i="1"/>
  <c r="T1792" i="1"/>
  <c r="S1792" i="1"/>
  <c r="Q1792" i="1"/>
  <c r="T1791" i="1"/>
  <c r="S1791" i="1"/>
  <c r="R1791" i="1"/>
  <c r="Q1791" i="1"/>
  <c r="T1790" i="1"/>
  <c r="S1790" i="1"/>
  <c r="R1790" i="1"/>
  <c r="Q1790" i="1"/>
  <c r="L1443" i="4"/>
  <c r="L1442" i="4"/>
  <c r="L1441" i="4"/>
  <c r="M1787" i="1"/>
  <c r="N1788" i="1"/>
  <c r="R1788" i="1" s="1"/>
  <c r="M1786" i="1"/>
  <c r="R1792" i="1"/>
  <c r="K1440" i="4"/>
  <c r="J1440" i="4"/>
  <c r="I1440" i="4"/>
  <c r="L1439" i="4"/>
  <c r="L1438" i="4"/>
  <c r="L1437" i="4"/>
  <c r="L1436" i="4"/>
  <c r="P1789" i="1"/>
  <c r="O1789" i="1"/>
  <c r="L1789" i="1"/>
  <c r="K1789" i="1"/>
  <c r="T1788" i="1"/>
  <c r="S1788" i="1"/>
  <c r="Q1788" i="1"/>
  <c r="T1787" i="1"/>
  <c r="S1787" i="1"/>
  <c r="R1787" i="1"/>
  <c r="Q1787" i="1"/>
  <c r="T1786" i="1"/>
  <c r="S1786" i="1"/>
  <c r="R1786" i="1"/>
  <c r="Q1786" i="1"/>
  <c r="J1785" i="1"/>
  <c r="S1785" i="1" s="1"/>
  <c r="L1433" i="4"/>
  <c r="K1435" i="4"/>
  <c r="J1435" i="4"/>
  <c r="I1435" i="4"/>
  <c r="L1434" i="4"/>
  <c r="L1432" i="4"/>
  <c r="L1431" i="4"/>
  <c r="K1781" i="1"/>
  <c r="Q1781" i="1" s="1"/>
  <c r="R1781" i="1"/>
  <c r="S1781" i="1"/>
  <c r="T1781" i="1"/>
  <c r="K1782" i="1"/>
  <c r="Q1782" i="1" s="1"/>
  <c r="R1782" i="1"/>
  <c r="S1782" i="1"/>
  <c r="T1782" i="1"/>
  <c r="K1779" i="1"/>
  <c r="K1780" i="1"/>
  <c r="Q1780" i="1" s="1"/>
  <c r="K1783" i="1"/>
  <c r="Q1783" i="1" s="1"/>
  <c r="K1778" i="1"/>
  <c r="Q1778" i="1" s="1"/>
  <c r="K1776" i="1"/>
  <c r="K1775" i="1"/>
  <c r="Q1775" i="1" s="1"/>
  <c r="J1777" i="1"/>
  <c r="L1777" i="1"/>
  <c r="M1777" i="1"/>
  <c r="N1777" i="1"/>
  <c r="O1777" i="1"/>
  <c r="P1777" i="1"/>
  <c r="P1784" i="1"/>
  <c r="O1784" i="1"/>
  <c r="N1784" i="1"/>
  <c r="M1784" i="1"/>
  <c r="L1784" i="1"/>
  <c r="J1784" i="1"/>
  <c r="T1783" i="1"/>
  <c r="S1783" i="1"/>
  <c r="R1783" i="1"/>
  <c r="T1780" i="1"/>
  <c r="S1780" i="1"/>
  <c r="R1780" i="1"/>
  <c r="T1779" i="1"/>
  <c r="S1779" i="1"/>
  <c r="R1779" i="1"/>
  <c r="T1778" i="1"/>
  <c r="S1778" i="1"/>
  <c r="R1778" i="1"/>
  <c r="T1776" i="1"/>
  <c r="S1776" i="1"/>
  <c r="R1776" i="1"/>
  <c r="T1775" i="1"/>
  <c r="S1775" i="1"/>
  <c r="R1775" i="1"/>
  <c r="K1773" i="1"/>
  <c r="Q1773" i="1" s="1"/>
  <c r="K1772" i="1"/>
  <c r="Q1772" i="1" s="1"/>
  <c r="K1771" i="1"/>
  <c r="Q1771" i="1" s="1"/>
  <c r="K1770" i="1"/>
  <c r="Q1770" i="1" s="1"/>
  <c r="P1774" i="1"/>
  <c r="O1774" i="1"/>
  <c r="N1774" i="1"/>
  <c r="M1774" i="1"/>
  <c r="L1774" i="1"/>
  <c r="T1773" i="1"/>
  <c r="S1773" i="1"/>
  <c r="R1773" i="1"/>
  <c r="T1772" i="1"/>
  <c r="S1772" i="1"/>
  <c r="R1772" i="1"/>
  <c r="T1771" i="1"/>
  <c r="S1771" i="1"/>
  <c r="R1771" i="1"/>
  <c r="T1770" i="1"/>
  <c r="S1770" i="1"/>
  <c r="R1770" i="1"/>
  <c r="K1430" i="4"/>
  <c r="J1430" i="4"/>
  <c r="I1430" i="4"/>
  <c r="L1429" i="4"/>
  <c r="L1428" i="4"/>
  <c r="L1427" i="4"/>
  <c r="L1426" i="4"/>
  <c r="L1423" i="4"/>
  <c r="T1767" i="1"/>
  <c r="S1767" i="1"/>
  <c r="R1767" i="1"/>
  <c r="Q1767" i="1"/>
  <c r="J1774" i="1"/>
  <c r="L1422" i="4"/>
  <c r="T1766" i="1"/>
  <c r="S1766" i="1"/>
  <c r="R1766" i="1"/>
  <c r="Q1766" i="1"/>
  <c r="K1425" i="4"/>
  <c r="J1425" i="4"/>
  <c r="I1425" i="4"/>
  <c r="L1424" i="4"/>
  <c r="L1421" i="4"/>
  <c r="L1420" i="4"/>
  <c r="P1769" i="1"/>
  <c r="O1769" i="1"/>
  <c r="N1769" i="1"/>
  <c r="M1769" i="1"/>
  <c r="L1769" i="1"/>
  <c r="K1769" i="1"/>
  <c r="T1768" i="1"/>
  <c r="S1768" i="1"/>
  <c r="R1768" i="1"/>
  <c r="Q1768" i="1"/>
  <c r="T1765" i="1"/>
  <c r="S1765" i="1"/>
  <c r="R1765" i="1"/>
  <c r="Q1765" i="1"/>
  <c r="T1764" i="1"/>
  <c r="S1764" i="1"/>
  <c r="R1764" i="1"/>
  <c r="Q1764" i="1"/>
  <c r="J1763" i="1"/>
  <c r="J1769" i="1" s="1"/>
  <c r="K1419" i="4"/>
  <c r="J1419" i="4"/>
  <c r="I1419" i="4"/>
  <c r="L1418" i="4"/>
  <c r="L1417" i="4"/>
  <c r="L1416" i="4"/>
  <c r="L1415" i="4"/>
  <c r="K1759" i="1"/>
  <c r="Q1759" i="1" s="1"/>
  <c r="K1760" i="1"/>
  <c r="Q1760" i="1" s="1"/>
  <c r="K1761" i="1"/>
  <c r="Q1761" i="1" s="1"/>
  <c r="K1758" i="1"/>
  <c r="K1756" i="1"/>
  <c r="Q1756" i="1" s="1"/>
  <c r="P1762" i="1"/>
  <c r="O1762" i="1"/>
  <c r="N1762" i="1"/>
  <c r="M1762" i="1"/>
  <c r="L1762" i="1"/>
  <c r="J1762" i="1"/>
  <c r="T1761" i="1"/>
  <c r="S1761" i="1"/>
  <c r="R1761" i="1"/>
  <c r="T1760" i="1"/>
  <c r="S1760" i="1"/>
  <c r="R1760" i="1"/>
  <c r="T1759" i="1"/>
  <c r="S1759" i="1"/>
  <c r="R1759" i="1"/>
  <c r="T1758" i="1"/>
  <c r="S1758" i="1"/>
  <c r="R1758" i="1"/>
  <c r="P1757" i="1"/>
  <c r="O1757" i="1"/>
  <c r="N1757" i="1"/>
  <c r="M1757" i="1"/>
  <c r="L1757" i="1"/>
  <c r="J1757" i="1"/>
  <c r="T1756" i="1"/>
  <c r="S1756" i="1"/>
  <c r="R1756" i="1"/>
  <c r="Q1749" i="1"/>
  <c r="K1414" i="4"/>
  <c r="J1414" i="4"/>
  <c r="I1414" i="4"/>
  <c r="L1413" i="4"/>
  <c r="L1412" i="4"/>
  <c r="L1411" i="4"/>
  <c r="L1410" i="4"/>
  <c r="L1409" i="4"/>
  <c r="K1755" i="1"/>
  <c r="L1755" i="1"/>
  <c r="M1755" i="1"/>
  <c r="N1755" i="1"/>
  <c r="O1755" i="1"/>
  <c r="P1755" i="1"/>
  <c r="J1755" i="1"/>
  <c r="K1748" i="1"/>
  <c r="Q1748" i="1" s="1"/>
  <c r="K1747" i="1"/>
  <c r="J1750" i="1"/>
  <c r="T1754" i="1"/>
  <c r="S1754" i="1"/>
  <c r="R1754" i="1"/>
  <c r="Q1754" i="1"/>
  <c r="T1753" i="1"/>
  <c r="S1753" i="1"/>
  <c r="R1753" i="1"/>
  <c r="Q1753" i="1"/>
  <c r="T1752" i="1"/>
  <c r="S1752" i="1"/>
  <c r="R1752" i="1"/>
  <c r="Q1752" i="1"/>
  <c r="Q1751" i="1"/>
  <c r="P1750" i="1"/>
  <c r="O1750" i="1"/>
  <c r="N1750" i="1"/>
  <c r="M1750" i="1"/>
  <c r="L1750" i="1"/>
  <c r="T1749" i="1"/>
  <c r="S1749" i="1"/>
  <c r="R1749" i="1"/>
  <c r="T1748" i="1"/>
  <c r="S1748" i="1"/>
  <c r="R1748" i="1"/>
  <c r="R1747" i="1"/>
  <c r="K1408" i="4"/>
  <c r="J1408" i="4"/>
  <c r="I1408" i="4"/>
  <c r="L1407" i="4"/>
  <c r="L1406" i="4"/>
  <c r="L1405" i="4"/>
  <c r="L1404" i="4"/>
  <c r="P1746" i="1"/>
  <c r="O1746" i="1"/>
  <c r="N1746" i="1"/>
  <c r="M1746" i="1"/>
  <c r="L1746" i="1"/>
  <c r="K1746" i="1"/>
  <c r="T1745" i="1"/>
  <c r="S1745" i="1"/>
  <c r="R1745" i="1"/>
  <c r="Q1745" i="1"/>
  <c r="T1744" i="1"/>
  <c r="S1744" i="1"/>
  <c r="R1744" i="1"/>
  <c r="Q1744" i="1"/>
  <c r="T1743" i="1"/>
  <c r="S1743" i="1"/>
  <c r="R1743" i="1"/>
  <c r="Q1743" i="1"/>
  <c r="J1742" i="1"/>
  <c r="J1746" i="1" s="1"/>
  <c r="R1739" i="1"/>
  <c r="S1739" i="1"/>
  <c r="T1739" i="1"/>
  <c r="R1740" i="1"/>
  <c r="S1740" i="1"/>
  <c r="T1740" i="1"/>
  <c r="R1751" i="1"/>
  <c r="T1747" i="1"/>
  <c r="S1751" i="1"/>
  <c r="T1751" i="1"/>
  <c r="S1747" i="1"/>
  <c r="J1403" i="4"/>
  <c r="K1403" i="4"/>
  <c r="I1403" i="4"/>
  <c r="L1402" i="4"/>
  <c r="L1401" i="4"/>
  <c r="L1400" i="4"/>
  <c r="K1739" i="1"/>
  <c r="Q1739" i="1" s="1"/>
  <c r="K1740" i="1"/>
  <c r="Q1740" i="1" s="1"/>
  <c r="K1738" i="1"/>
  <c r="Q1738" i="1" s="1"/>
  <c r="P1741" i="1"/>
  <c r="O1741" i="1"/>
  <c r="N1741" i="1"/>
  <c r="M1741" i="1"/>
  <c r="L1741" i="1"/>
  <c r="J1741" i="1"/>
  <c r="T1738" i="1"/>
  <c r="S1738" i="1"/>
  <c r="R1738" i="1"/>
  <c r="L1396" i="4"/>
  <c r="L1737" i="1"/>
  <c r="L1398" i="4"/>
  <c r="K1399" i="4"/>
  <c r="J1399" i="4"/>
  <c r="I1399" i="4"/>
  <c r="K1735" i="1"/>
  <c r="Q1735" i="1" s="1"/>
  <c r="K1732" i="1"/>
  <c r="Q1732" i="1" s="1"/>
  <c r="K1731" i="1"/>
  <c r="Q1731" i="1" s="1"/>
  <c r="T1734" i="1"/>
  <c r="S1734" i="1"/>
  <c r="R1734" i="1"/>
  <c r="Q1734" i="1"/>
  <c r="P1737" i="1"/>
  <c r="S1736" i="1"/>
  <c r="O1737" i="1"/>
  <c r="T1736" i="1"/>
  <c r="N1737" i="1"/>
  <c r="R1736" i="1"/>
  <c r="M1737" i="1"/>
  <c r="Q1736" i="1"/>
  <c r="J1737" i="1"/>
  <c r="T1735" i="1"/>
  <c r="S1735" i="1"/>
  <c r="R1735" i="1"/>
  <c r="T1733" i="1"/>
  <c r="S1733" i="1"/>
  <c r="R1733" i="1"/>
  <c r="Q1733" i="1"/>
  <c r="T1732" i="1"/>
  <c r="S1732" i="1"/>
  <c r="R1732" i="1"/>
  <c r="T1731" i="1"/>
  <c r="S1731" i="1"/>
  <c r="R1731" i="1"/>
  <c r="L1397" i="4"/>
  <c r="L1395" i="4"/>
  <c r="L1394" i="4"/>
  <c r="L1393" i="4"/>
  <c r="K1392" i="4"/>
  <c r="J1392" i="4"/>
  <c r="I1392" i="4"/>
  <c r="L1391" i="4"/>
  <c r="L1390" i="4"/>
  <c r="L1389" i="4"/>
  <c r="L1388" i="4"/>
  <c r="L1387" i="4"/>
  <c r="P1730" i="1"/>
  <c r="O1730" i="1"/>
  <c r="N1730" i="1"/>
  <c r="M1730" i="1"/>
  <c r="L1730" i="1"/>
  <c r="K1730" i="1"/>
  <c r="T1729" i="1"/>
  <c r="S1729" i="1"/>
  <c r="R1729" i="1"/>
  <c r="Q1729" i="1"/>
  <c r="T1728" i="1"/>
  <c r="S1728" i="1"/>
  <c r="R1728" i="1"/>
  <c r="Q1728" i="1"/>
  <c r="T1727" i="1"/>
  <c r="S1727" i="1"/>
  <c r="R1727" i="1"/>
  <c r="Q1727" i="1"/>
  <c r="T1726" i="1"/>
  <c r="S1726" i="1"/>
  <c r="R1726" i="1"/>
  <c r="Q1726" i="1"/>
  <c r="J1725" i="1"/>
  <c r="Q1725" i="1" s="1"/>
  <c r="J1383" i="4"/>
  <c r="I1383" i="4"/>
  <c r="J1385" i="4"/>
  <c r="I1385" i="4"/>
  <c r="J1382" i="4"/>
  <c r="I1382" i="4"/>
  <c r="O1719" i="1"/>
  <c r="P1719" i="1"/>
  <c r="L1719" i="1"/>
  <c r="M1719" i="1"/>
  <c r="N1719" i="1"/>
  <c r="K1386" i="4"/>
  <c r="L1384" i="4"/>
  <c r="T1718" i="1"/>
  <c r="S1718" i="1"/>
  <c r="R1718" i="1"/>
  <c r="K1718" i="1"/>
  <c r="Q1718" i="1" s="1"/>
  <c r="T1717" i="1"/>
  <c r="S1717" i="1"/>
  <c r="R1717" i="1"/>
  <c r="K1717" i="1"/>
  <c r="Q1717" i="1" s="1"/>
  <c r="T1716" i="1"/>
  <c r="S1716" i="1"/>
  <c r="R1716" i="1"/>
  <c r="K1716" i="1"/>
  <c r="Q1716" i="1" s="1"/>
  <c r="T1715" i="1"/>
  <c r="S1715" i="1"/>
  <c r="R1715" i="1"/>
  <c r="K1715" i="1"/>
  <c r="Q1715" i="1" s="1"/>
  <c r="K1721" i="1"/>
  <c r="Q1721" i="1" s="1"/>
  <c r="K1722" i="1"/>
  <c r="Q1722" i="1" s="1"/>
  <c r="K1723" i="1"/>
  <c r="Q1723" i="1" s="1"/>
  <c r="K1720" i="1"/>
  <c r="Q1720" i="1" s="1"/>
  <c r="P1724" i="1"/>
  <c r="O1724" i="1"/>
  <c r="N1724" i="1"/>
  <c r="M1724" i="1"/>
  <c r="L1724" i="1"/>
  <c r="J1724" i="1"/>
  <c r="T1723" i="1"/>
  <c r="S1723" i="1"/>
  <c r="R1723" i="1"/>
  <c r="T1722" i="1"/>
  <c r="S1722" i="1"/>
  <c r="R1722" i="1"/>
  <c r="T1721" i="1"/>
  <c r="S1721" i="1"/>
  <c r="R1721" i="1"/>
  <c r="T1720" i="1"/>
  <c r="S1720" i="1"/>
  <c r="R1720" i="1"/>
  <c r="J1719" i="1"/>
  <c r="I1381" i="4"/>
  <c r="J1381" i="4"/>
  <c r="K1381" i="4"/>
  <c r="L1380" i="4"/>
  <c r="L1379" i="4"/>
  <c r="L1378" i="4"/>
  <c r="L1377" i="4"/>
  <c r="L1376" i="4"/>
  <c r="P1714" i="1"/>
  <c r="O1714" i="1"/>
  <c r="N1714" i="1"/>
  <c r="M1714" i="1"/>
  <c r="L1714" i="1"/>
  <c r="K1714" i="1"/>
  <c r="T1713" i="1"/>
  <c r="S1713" i="1"/>
  <c r="R1713" i="1"/>
  <c r="Q1713" i="1"/>
  <c r="T1712" i="1"/>
  <c r="S1712" i="1"/>
  <c r="R1712" i="1"/>
  <c r="Q1712" i="1"/>
  <c r="T1711" i="1"/>
  <c r="S1711" i="1"/>
  <c r="R1711" i="1"/>
  <c r="Q1711" i="1"/>
  <c r="T1710" i="1"/>
  <c r="S1710" i="1"/>
  <c r="R1710" i="1"/>
  <c r="Q1710" i="1"/>
  <c r="J1709" i="1"/>
  <c r="J1375" i="4"/>
  <c r="K1375" i="4"/>
  <c r="I1375" i="4"/>
  <c r="L1374" i="4"/>
  <c r="K1705" i="1"/>
  <c r="Q1705" i="1" s="1"/>
  <c r="K1706" i="1"/>
  <c r="Q1706" i="1" s="1"/>
  <c r="K1707" i="1"/>
  <c r="Q1707" i="1" s="1"/>
  <c r="K1704" i="1"/>
  <c r="Q1704" i="1" s="1"/>
  <c r="P1708" i="1"/>
  <c r="O1708" i="1"/>
  <c r="N1708" i="1"/>
  <c r="M1708" i="1"/>
  <c r="L1708" i="1"/>
  <c r="J1708" i="1"/>
  <c r="T1707" i="1"/>
  <c r="S1707" i="1"/>
  <c r="R1707" i="1"/>
  <c r="T1706" i="1"/>
  <c r="S1706" i="1"/>
  <c r="R1706" i="1"/>
  <c r="T1705" i="1"/>
  <c r="S1705" i="1"/>
  <c r="R1705" i="1"/>
  <c r="T1704" i="1"/>
  <c r="S1704" i="1"/>
  <c r="R1704" i="1"/>
  <c r="K1702" i="1"/>
  <c r="K1700" i="1"/>
  <c r="Q1700" i="1" s="1"/>
  <c r="K1699" i="1"/>
  <c r="Q1699" i="1" s="1"/>
  <c r="P1703" i="1"/>
  <c r="O1703" i="1"/>
  <c r="N1703" i="1"/>
  <c r="M1703" i="1"/>
  <c r="L1703" i="1"/>
  <c r="J1703" i="1"/>
  <c r="T1702" i="1"/>
  <c r="S1702" i="1"/>
  <c r="R1702" i="1"/>
  <c r="T1701" i="1"/>
  <c r="S1701" i="1"/>
  <c r="R1701" i="1"/>
  <c r="Q1701" i="1"/>
  <c r="T1700" i="1"/>
  <c r="S1700" i="1"/>
  <c r="R1700" i="1"/>
  <c r="T1699" i="1"/>
  <c r="S1699" i="1"/>
  <c r="R1699" i="1"/>
  <c r="L1373" i="4"/>
  <c r="L1372" i="4"/>
  <c r="J1693" i="1"/>
  <c r="T1693" i="1" s="1"/>
  <c r="K1371" i="4"/>
  <c r="L1370" i="4"/>
  <c r="L1369" i="4"/>
  <c r="L1368" i="4"/>
  <c r="L1367" i="4"/>
  <c r="J1371" i="4"/>
  <c r="I1371" i="4"/>
  <c r="Q1695" i="1"/>
  <c r="R1695" i="1"/>
  <c r="S1695" i="1"/>
  <c r="T1695" i="1"/>
  <c r="Q1696" i="1"/>
  <c r="R1696" i="1"/>
  <c r="S1696" i="1"/>
  <c r="T1696" i="1"/>
  <c r="P1698" i="1"/>
  <c r="O1698" i="1"/>
  <c r="N1698" i="1"/>
  <c r="L1698" i="1"/>
  <c r="K1698" i="1"/>
  <c r="T1697" i="1"/>
  <c r="S1697" i="1"/>
  <c r="R1697" i="1"/>
  <c r="Q1697" i="1"/>
  <c r="M1698" i="1"/>
  <c r="T1694" i="1"/>
  <c r="S1694" i="1"/>
  <c r="R1694" i="1"/>
  <c r="Q1694" i="1"/>
  <c r="L1363" i="4"/>
  <c r="L1358" i="4"/>
  <c r="L1366" i="4"/>
  <c r="K1365" i="4"/>
  <c r="J1365" i="4"/>
  <c r="I1365" i="4"/>
  <c r="L1364" i="4"/>
  <c r="L1362" i="4"/>
  <c r="L1361" i="4"/>
  <c r="K1360" i="4"/>
  <c r="J1360" i="4"/>
  <c r="I1360" i="4"/>
  <c r="L1359" i="4"/>
  <c r="L1357" i="4"/>
  <c r="L1356" i="4"/>
  <c r="K1689" i="1"/>
  <c r="Q1689" i="1" s="1"/>
  <c r="K1690" i="1"/>
  <c r="Q1690" i="1" s="1"/>
  <c r="K1691" i="1"/>
  <c r="Q1691" i="1" s="1"/>
  <c r="K1688" i="1"/>
  <c r="Q1688" i="1" s="1"/>
  <c r="P1692" i="1"/>
  <c r="O1692" i="1"/>
  <c r="N1692" i="1"/>
  <c r="M1692" i="1"/>
  <c r="L1692" i="1"/>
  <c r="J1692" i="1"/>
  <c r="T1691" i="1"/>
  <c r="S1691" i="1"/>
  <c r="R1691" i="1"/>
  <c r="T1690" i="1"/>
  <c r="S1690" i="1"/>
  <c r="R1690" i="1"/>
  <c r="T1689" i="1"/>
  <c r="S1689" i="1"/>
  <c r="R1689" i="1"/>
  <c r="T1688" i="1"/>
  <c r="S1688" i="1"/>
  <c r="R1688" i="1"/>
  <c r="Q1685" i="1"/>
  <c r="R1685" i="1"/>
  <c r="S1685" i="1"/>
  <c r="T1685" i="1"/>
  <c r="P1687" i="1"/>
  <c r="O1687" i="1"/>
  <c r="N1687" i="1"/>
  <c r="M1687" i="1"/>
  <c r="L1687" i="1"/>
  <c r="J1687" i="1"/>
  <c r="T1686" i="1"/>
  <c r="S1686" i="1"/>
  <c r="R1686" i="1"/>
  <c r="Q1686" i="1"/>
  <c r="T1684" i="1"/>
  <c r="S1684" i="1"/>
  <c r="R1684" i="1"/>
  <c r="K1684" i="1"/>
  <c r="K1687" i="1" s="1"/>
  <c r="T1683" i="1"/>
  <c r="S1683" i="1"/>
  <c r="R1683" i="1"/>
  <c r="P1682" i="1"/>
  <c r="O1682" i="1"/>
  <c r="N1682" i="1"/>
  <c r="M1682" i="1"/>
  <c r="L1682" i="1"/>
  <c r="J1682" i="1"/>
  <c r="T1681" i="1"/>
  <c r="S1681" i="1"/>
  <c r="R1681" i="1"/>
  <c r="K1681" i="1"/>
  <c r="Q1681" i="1" s="1"/>
  <c r="T1680" i="1"/>
  <c r="S1680" i="1"/>
  <c r="R1680" i="1"/>
  <c r="K1680" i="1"/>
  <c r="T1679" i="1"/>
  <c r="S1679" i="1"/>
  <c r="R1679" i="1"/>
  <c r="Q1679" i="1"/>
  <c r="Q1683" i="1"/>
  <c r="K1355" i="4"/>
  <c r="L1354" i="4"/>
  <c r="L1353" i="4"/>
  <c r="L1352" i="4"/>
  <c r="J1355" i="4"/>
  <c r="K1676" i="1"/>
  <c r="Q1676" i="1" s="1"/>
  <c r="K1677" i="1"/>
  <c r="Q1677" i="1" s="1"/>
  <c r="K1675" i="1"/>
  <c r="Q1675" i="1" s="1"/>
  <c r="P1678" i="1"/>
  <c r="O1678" i="1"/>
  <c r="N1678" i="1"/>
  <c r="L1678" i="1"/>
  <c r="J1678" i="1"/>
  <c r="T1677" i="1"/>
  <c r="S1677" i="1"/>
  <c r="R1677" i="1"/>
  <c r="M1678" i="1"/>
  <c r="T1676" i="1"/>
  <c r="S1676" i="1"/>
  <c r="R1676" i="1"/>
  <c r="T1675" i="1"/>
  <c r="S1675" i="1"/>
  <c r="R1675" i="1"/>
  <c r="M1673" i="1"/>
  <c r="M1674" i="1" s="1"/>
  <c r="P1674" i="1"/>
  <c r="O1674" i="1"/>
  <c r="N1674" i="1"/>
  <c r="L1674" i="1"/>
  <c r="J1674" i="1"/>
  <c r="T1673" i="1"/>
  <c r="S1673" i="1"/>
  <c r="R1673" i="1"/>
  <c r="Q1673" i="1"/>
  <c r="T1672" i="1"/>
  <c r="S1672" i="1"/>
  <c r="R1672" i="1"/>
  <c r="Q1672" i="1"/>
  <c r="T1671" i="1"/>
  <c r="S1671" i="1"/>
  <c r="R1671" i="1"/>
  <c r="Q1671" i="1"/>
  <c r="K1668" i="1"/>
  <c r="Q1668" i="1" s="1"/>
  <c r="K1667" i="1"/>
  <c r="Q1667" i="1" s="1"/>
  <c r="K1666" i="1"/>
  <c r="Q1666" i="1" s="1"/>
  <c r="P1670" i="1"/>
  <c r="O1670" i="1"/>
  <c r="N1670" i="1"/>
  <c r="M1670" i="1"/>
  <c r="L1670" i="1"/>
  <c r="S1669" i="1"/>
  <c r="T1668" i="1"/>
  <c r="T1667" i="1"/>
  <c r="T1666" i="1"/>
  <c r="L1348" i="4"/>
  <c r="K1351" i="4"/>
  <c r="I1350" i="4"/>
  <c r="L1350" i="4" s="1"/>
  <c r="I1349" i="4"/>
  <c r="L1349" i="4" s="1"/>
  <c r="I1347" i="4"/>
  <c r="L1347" i="4" s="1"/>
  <c r="J1346" i="4"/>
  <c r="J1351" i="4" s="1"/>
  <c r="I1346" i="4"/>
  <c r="I1355" i="4"/>
  <c r="K1674" i="1"/>
  <c r="J1670" i="1"/>
  <c r="Q1669" i="1"/>
  <c r="R1666" i="1"/>
  <c r="T1669" i="1"/>
  <c r="R1667" i="1"/>
  <c r="R1668" i="1"/>
  <c r="R1669" i="1"/>
  <c r="S1666" i="1"/>
  <c r="S1667" i="1"/>
  <c r="S1668" i="1"/>
  <c r="J1664" i="1"/>
  <c r="Q1664" i="1" s="1"/>
  <c r="J1662" i="1"/>
  <c r="S1662" i="1" s="1"/>
  <c r="J1663" i="1"/>
  <c r="S1663" i="1" s="1"/>
  <c r="J1661" i="1"/>
  <c r="T1661" i="1" s="1"/>
  <c r="K1345" i="4"/>
  <c r="J1345" i="4"/>
  <c r="I1345" i="4"/>
  <c r="L1344" i="4"/>
  <c r="L1343" i="4"/>
  <c r="L1342" i="4"/>
  <c r="L1341" i="4"/>
  <c r="P1665" i="1"/>
  <c r="O1665" i="1"/>
  <c r="N1665" i="1"/>
  <c r="M1665" i="1"/>
  <c r="L1665" i="1"/>
  <c r="K1665" i="1"/>
  <c r="L1660" i="1"/>
  <c r="M1660" i="1"/>
  <c r="N1660" i="1"/>
  <c r="O1660" i="1"/>
  <c r="P1660" i="1"/>
  <c r="K1657" i="1"/>
  <c r="Q1657" i="1" s="1"/>
  <c r="K1658" i="1"/>
  <c r="Q1658" i="1" s="1"/>
  <c r="K1659" i="1"/>
  <c r="Q1659" i="1" s="1"/>
  <c r="K1656" i="1"/>
  <c r="Q1656" i="1" s="1"/>
  <c r="J1660" i="1"/>
  <c r="T1659" i="1"/>
  <c r="S1659" i="1"/>
  <c r="R1659" i="1"/>
  <c r="T1658" i="1"/>
  <c r="S1658" i="1"/>
  <c r="R1658" i="1"/>
  <c r="T1657" i="1"/>
  <c r="S1657" i="1"/>
  <c r="R1657" i="1"/>
  <c r="T1656" i="1"/>
  <c r="S1656" i="1"/>
  <c r="R1656" i="1"/>
  <c r="K1340" i="4"/>
  <c r="L1339" i="4"/>
  <c r="L1338" i="4"/>
  <c r="L1337" i="4"/>
  <c r="J1340" i="4"/>
  <c r="I1340" i="4"/>
  <c r="L1335" i="4"/>
  <c r="K1648" i="1"/>
  <c r="K1647" i="1"/>
  <c r="Q1647" i="1" s="1"/>
  <c r="K1646" i="1"/>
  <c r="Q1646" i="1" s="1"/>
  <c r="J1650" i="1"/>
  <c r="P1655" i="1"/>
  <c r="O1655" i="1"/>
  <c r="N1655" i="1"/>
  <c r="M1655" i="1"/>
  <c r="L1655" i="1"/>
  <c r="K1655" i="1"/>
  <c r="T1654" i="1"/>
  <c r="T1653" i="1"/>
  <c r="T1652" i="1"/>
  <c r="T1651" i="1"/>
  <c r="P1650" i="1"/>
  <c r="O1650" i="1"/>
  <c r="N1650" i="1"/>
  <c r="M1650" i="1"/>
  <c r="L1650" i="1"/>
  <c r="T1649" i="1"/>
  <c r="T1648" i="1"/>
  <c r="T1647" i="1"/>
  <c r="T1646" i="1"/>
  <c r="L1332" i="4"/>
  <c r="I1331" i="4"/>
  <c r="L1331" i="4" s="1"/>
  <c r="J1330" i="4"/>
  <c r="I1330" i="4"/>
  <c r="J1329" i="4"/>
  <c r="I1329" i="4"/>
  <c r="K1334" i="4"/>
  <c r="L1333" i="4"/>
  <c r="J1642" i="1"/>
  <c r="S1642" i="1" s="1"/>
  <c r="J1644" i="1"/>
  <c r="J1643" i="1"/>
  <c r="R1643" i="1" s="1"/>
  <c r="J1641" i="1"/>
  <c r="S1641" i="1" s="1"/>
  <c r="J1640" i="1"/>
  <c r="T1640" i="1" s="1"/>
  <c r="L1325" i="4"/>
  <c r="L1326" i="4"/>
  <c r="K1328" i="4"/>
  <c r="J1328" i="4"/>
  <c r="I1328" i="4"/>
  <c r="L1327" i="4"/>
  <c r="L1324" i="4"/>
  <c r="L1323" i="4"/>
  <c r="P1645" i="1"/>
  <c r="O1645" i="1"/>
  <c r="N1645" i="1"/>
  <c r="M1645" i="1"/>
  <c r="L1645" i="1"/>
  <c r="J1322" i="4"/>
  <c r="K1322" i="4"/>
  <c r="L1639" i="1"/>
  <c r="M1639" i="1"/>
  <c r="N1639" i="1"/>
  <c r="O1639" i="1"/>
  <c r="P1639" i="1"/>
  <c r="L1321" i="4"/>
  <c r="L1320" i="4"/>
  <c r="I1322" i="4"/>
  <c r="K1636" i="1"/>
  <c r="Q1636" i="1" s="1"/>
  <c r="K1637" i="1"/>
  <c r="Q1637" i="1" s="1"/>
  <c r="K1638" i="1"/>
  <c r="Q1638" i="1" s="1"/>
  <c r="K1635" i="1"/>
  <c r="J1639" i="1"/>
  <c r="T1638" i="1"/>
  <c r="S1638" i="1"/>
  <c r="R1638" i="1"/>
  <c r="T1637" i="1"/>
  <c r="S1637" i="1"/>
  <c r="R1637" i="1"/>
  <c r="T1636" i="1"/>
  <c r="S1636" i="1"/>
  <c r="R1636" i="1"/>
  <c r="T1635" i="1"/>
  <c r="S1635" i="1"/>
  <c r="R1635" i="1"/>
  <c r="K1627" i="1"/>
  <c r="Q1627" i="1" s="1"/>
  <c r="K1626" i="1"/>
  <c r="Q1626" i="1" s="1"/>
  <c r="K1625" i="1"/>
  <c r="Q1625" i="1" s="1"/>
  <c r="P1634" i="1"/>
  <c r="O1634" i="1"/>
  <c r="M1634" i="1"/>
  <c r="L1634" i="1"/>
  <c r="K1634" i="1"/>
  <c r="N1634" i="1"/>
  <c r="T1633" i="1"/>
  <c r="T1632" i="1"/>
  <c r="S1632" i="1"/>
  <c r="R1632" i="1"/>
  <c r="Q1632" i="1"/>
  <c r="T1631" i="1"/>
  <c r="T1630" i="1"/>
  <c r="P1629" i="1"/>
  <c r="O1629" i="1"/>
  <c r="M1629" i="1"/>
  <c r="L1629" i="1"/>
  <c r="T1628" i="1"/>
  <c r="S1628" i="1"/>
  <c r="Q1628" i="1"/>
  <c r="N1629" i="1"/>
  <c r="T1627" i="1"/>
  <c r="S1627" i="1"/>
  <c r="R1627" i="1"/>
  <c r="T1626" i="1"/>
  <c r="T1625" i="1"/>
  <c r="L1316" i="4"/>
  <c r="L1317" i="4"/>
  <c r="I1315" i="4"/>
  <c r="I1314" i="4"/>
  <c r="L1314" i="4" s="1"/>
  <c r="L1336" i="4"/>
  <c r="R1653" i="1"/>
  <c r="R1654" i="1"/>
  <c r="R1651" i="1"/>
  <c r="R1652" i="1"/>
  <c r="J1655" i="1"/>
  <c r="Q1651" i="1"/>
  <c r="Q1652" i="1"/>
  <c r="Q1653" i="1"/>
  <c r="Q1654" i="1"/>
  <c r="S1651" i="1"/>
  <c r="S1652" i="1"/>
  <c r="S1653" i="1"/>
  <c r="S1654" i="1"/>
  <c r="Q1649" i="1"/>
  <c r="R1646" i="1"/>
  <c r="R1647" i="1"/>
  <c r="R1648" i="1"/>
  <c r="R1649" i="1"/>
  <c r="S1646" i="1"/>
  <c r="S1647" i="1"/>
  <c r="S1648" i="1"/>
  <c r="S1649" i="1"/>
  <c r="K1645" i="1"/>
  <c r="L1319" i="4"/>
  <c r="J1634" i="1"/>
  <c r="Q1630" i="1"/>
  <c r="Q1631" i="1"/>
  <c r="Q1633" i="1"/>
  <c r="R1630" i="1"/>
  <c r="R1631" i="1"/>
  <c r="R1633" i="1"/>
  <c r="S1630" i="1"/>
  <c r="S1631" i="1"/>
  <c r="S1633" i="1"/>
  <c r="J1629" i="1"/>
  <c r="R1625" i="1"/>
  <c r="R1626" i="1"/>
  <c r="R1628" i="1"/>
  <c r="S1625" i="1"/>
  <c r="S1626" i="1"/>
  <c r="K1318" i="4"/>
  <c r="J1318" i="4"/>
  <c r="N1623" i="1"/>
  <c r="N1624" i="1" s="1"/>
  <c r="J1623" i="1"/>
  <c r="S1623" i="1" s="1"/>
  <c r="J1621" i="1"/>
  <c r="T1621" i="1" s="1"/>
  <c r="J1620" i="1"/>
  <c r="S1620" i="1" s="1"/>
  <c r="K1313" i="4"/>
  <c r="J1313" i="4"/>
  <c r="I1313" i="4"/>
  <c r="L1312" i="4"/>
  <c r="L1310" i="4"/>
  <c r="L1309" i="4"/>
  <c r="P1624" i="1"/>
  <c r="O1624" i="1"/>
  <c r="M1624" i="1"/>
  <c r="L1624" i="1"/>
  <c r="T1622" i="1"/>
  <c r="S1622" i="1"/>
  <c r="R1622" i="1"/>
  <c r="Q1622" i="1"/>
  <c r="K1308" i="4"/>
  <c r="L1307" i="4"/>
  <c r="L1306" i="4"/>
  <c r="J1308" i="4"/>
  <c r="L1305" i="4"/>
  <c r="L1619" i="1"/>
  <c r="M1619" i="1"/>
  <c r="N1619" i="1"/>
  <c r="O1619" i="1"/>
  <c r="P1619" i="1"/>
  <c r="K1616" i="1"/>
  <c r="Q1616" i="1" s="1"/>
  <c r="K1617" i="1"/>
  <c r="Q1617" i="1" s="1"/>
  <c r="K1618" i="1"/>
  <c r="Q1618" i="1" s="1"/>
  <c r="K1615" i="1"/>
  <c r="Q1615" i="1" s="1"/>
  <c r="J1619" i="1"/>
  <c r="T1618" i="1"/>
  <c r="S1618" i="1"/>
  <c r="R1618" i="1"/>
  <c r="T1617" i="1"/>
  <c r="S1617" i="1"/>
  <c r="R1617" i="1"/>
  <c r="T1616" i="1"/>
  <c r="S1616" i="1"/>
  <c r="R1616" i="1"/>
  <c r="T1615" i="1"/>
  <c r="S1615" i="1"/>
  <c r="R1615" i="1"/>
  <c r="L1302" i="4"/>
  <c r="M1611" i="1"/>
  <c r="M1614" i="1" s="1"/>
  <c r="K1607" i="1"/>
  <c r="Q1607" i="1" s="1"/>
  <c r="K1605" i="1"/>
  <c r="P1614" i="1"/>
  <c r="O1614" i="1"/>
  <c r="N1614" i="1"/>
  <c r="L1614" i="1"/>
  <c r="K1614" i="1"/>
  <c r="T1613" i="1"/>
  <c r="S1613" i="1"/>
  <c r="R1613" i="1"/>
  <c r="Q1613" i="1"/>
  <c r="R1612" i="1"/>
  <c r="T1611" i="1"/>
  <c r="R1611" i="1"/>
  <c r="T1610" i="1"/>
  <c r="S1610" i="1"/>
  <c r="R1610" i="1"/>
  <c r="P1609" i="1"/>
  <c r="O1609" i="1"/>
  <c r="N1609" i="1"/>
  <c r="M1609" i="1"/>
  <c r="L1609" i="1"/>
  <c r="J1609" i="1"/>
  <c r="T1608" i="1"/>
  <c r="S1608" i="1"/>
  <c r="R1608" i="1"/>
  <c r="Q1608" i="1"/>
  <c r="T1607" i="1"/>
  <c r="S1606" i="1"/>
  <c r="T1606" i="1"/>
  <c r="S1605" i="1"/>
  <c r="T1605" i="1"/>
  <c r="L1301" i="4"/>
  <c r="L1303" i="4"/>
  <c r="J1299" i="4"/>
  <c r="J1304" i="4" s="1"/>
  <c r="I1299" i="4"/>
  <c r="K1624" i="1"/>
  <c r="I1308" i="4"/>
  <c r="S1612" i="1"/>
  <c r="T1612" i="1"/>
  <c r="J1614" i="1"/>
  <c r="S1611" i="1"/>
  <c r="Q1610" i="1"/>
  <c r="Q1611" i="1"/>
  <c r="Q1612" i="1"/>
  <c r="Q1606" i="1"/>
  <c r="R1605" i="1"/>
  <c r="R1606" i="1"/>
  <c r="R1607" i="1"/>
  <c r="S1607" i="1"/>
  <c r="K1304" i="4"/>
  <c r="L1300" i="4"/>
  <c r="J1601" i="1"/>
  <c r="J1602" i="1"/>
  <c r="R1602" i="1" s="1"/>
  <c r="K1298" i="4"/>
  <c r="J1298" i="4"/>
  <c r="I1298" i="4"/>
  <c r="L1297" i="4"/>
  <c r="L1296" i="4"/>
  <c r="L1295" i="4"/>
  <c r="L1294" i="4"/>
  <c r="P1604" i="1"/>
  <c r="O1604" i="1"/>
  <c r="N1604" i="1"/>
  <c r="M1604" i="1"/>
  <c r="L1604" i="1"/>
  <c r="K1604" i="1"/>
  <c r="T1603" i="1"/>
  <c r="S1603" i="1"/>
  <c r="R1603" i="1"/>
  <c r="Q1603" i="1"/>
  <c r="J1600" i="1"/>
  <c r="R1600" i="1" s="1"/>
  <c r="L1290" i="4"/>
  <c r="L1292" i="4"/>
  <c r="K1293" i="4"/>
  <c r="J1293" i="4"/>
  <c r="I1293" i="4"/>
  <c r="L1291" i="4"/>
  <c r="L1289" i="4"/>
  <c r="L1288" i="4"/>
  <c r="L1599" i="1"/>
  <c r="M1599" i="1"/>
  <c r="N1599" i="1"/>
  <c r="O1599" i="1"/>
  <c r="P1599" i="1"/>
  <c r="K1596" i="1"/>
  <c r="Q1596" i="1" s="1"/>
  <c r="K1597" i="1"/>
  <c r="Q1597" i="1" s="1"/>
  <c r="K1598" i="1"/>
  <c r="Q1598" i="1" s="1"/>
  <c r="K1595" i="1"/>
  <c r="J1599" i="1"/>
  <c r="T1598" i="1"/>
  <c r="S1598" i="1"/>
  <c r="R1598" i="1"/>
  <c r="T1597" i="1"/>
  <c r="S1597" i="1"/>
  <c r="R1597" i="1"/>
  <c r="T1596" i="1"/>
  <c r="S1596" i="1"/>
  <c r="R1596" i="1"/>
  <c r="T1595" i="1"/>
  <c r="S1595" i="1"/>
  <c r="R1595" i="1"/>
  <c r="K1594" i="1"/>
  <c r="L1594" i="1"/>
  <c r="M1594" i="1"/>
  <c r="N1594" i="1"/>
  <c r="O1594" i="1"/>
  <c r="P1594" i="1"/>
  <c r="J1594" i="1"/>
  <c r="S1591" i="1"/>
  <c r="T1591" i="1"/>
  <c r="R1591" i="1"/>
  <c r="Q1591" i="1"/>
  <c r="K1589" i="1"/>
  <c r="Q1589" i="1" s="1"/>
  <c r="K1588" i="1"/>
  <c r="Q1588" i="1" s="1"/>
  <c r="K1587" i="1"/>
  <c r="Q1587" i="1" s="1"/>
  <c r="T1593" i="1"/>
  <c r="S1593" i="1"/>
  <c r="R1593" i="1"/>
  <c r="Q1593" i="1"/>
  <c r="T1592" i="1"/>
  <c r="T1590" i="1"/>
  <c r="S1590" i="1"/>
  <c r="R1590" i="1"/>
  <c r="Q1590" i="1"/>
  <c r="S1589" i="1"/>
  <c r="S1588" i="1"/>
  <c r="S1587" i="1"/>
  <c r="K1287" i="4"/>
  <c r="J1287" i="4"/>
  <c r="I1287" i="4"/>
  <c r="L1286" i="4"/>
  <c r="L1285" i="4"/>
  <c r="L1284" i="4"/>
  <c r="L1283" i="4"/>
  <c r="T1587" i="1"/>
  <c r="T1588" i="1"/>
  <c r="T1589" i="1"/>
  <c r="R1592" i="1"/>
  <c r="Q1592" i="1"/>
  <c r="R1587" i="1"/>
  <c r="R1588" i="1"/>
  <c r="R1589" i="1"/>
  <c r="S1592" i="1"/>
  <c r="J1584" i="1"/>
  <c r="Q1584" i="1" s="1"/>
  <c r="Q1583" i="1"/>
  <c r="R1583" i="1"/>
  <c r="S1583" i="1"/>
  <c r="T1583" i="1"/>
  <c r="J1582" i="1"/>
  <c r="T1582" i="1" s="1"/>
  <c r="L1280" i="4"/>
  <c r="L1281" i="4"/>
  <c r="K1282" i="4"/>
  <c r="J1282" i="4"/>
  <c r="I1282" i="4"/>
  <c r="L1279" i="4"/>
  <c r="L1278" i="4"/>
  <c r="L1277" i="4"/>
  <c r="L1276" i="4"/>
  <c r="P1586" i="1"/>
  <c r="O1586" i="1"/>
  <c r="N1586" i="1"/>
  <c r="M1586" i="1"/>
  <c r="L1586" i="1"/>
  <c r="K1586" i="1"/>
  <c r="T1585" i="1"/>
  <c r="S1585" i="1"/>
  <c r="R1585" i="1"/>
  <c r="Q1585" i="1"/>
  <c r="J1581" i="1"/>
  <c r="J1580" i="1"/>
  <c r="T1580" i="1" s="1"/>
  <c r="J1275" i="4"/>
  <c r="I1275" i="4"/>
  <c r="K1275" i="4"/>
  <c r="L1273" i="4"/>
  <c r="L1272" i="4"/>
  <c r="L1579" i="1"/>
  <c r="M1579" i="1"/>
  <c r="N1579" i="1"/>
  <c r="O1579" i="1"/>
  <c r="P1579" i="1"/>
  <c r="K1577" i="1"/>
  <c r="Q1577" i="1" s="1"/>
  <c r="K1578" i="1"/>
  <c r="Q1578" i="1" s="1"/>
  <c r="K1576" i="1"/>
  <c r="J1579" i="1"/>
  <c r="T1578" i="1"/>
  <c r="S1578" i="1"/>
  <c r="R1578" i="1"/>
  <c r="T1577" i="1"/>
  <c r="S1577" i="1"/>
  <c r="R1577" i="1"/>
  <c r="T1576" i="1"/>
  <c r="S1576" i="1"/>
  <c r="R1576" i="1"/>
  <c r="K1569" i="1"/>
  <c r="Q1569" i="1" s="1"/>
  <c r="K1568" i="1"/>
  <c r="P1575" i="1"/>
  <c r="O1575" i="1"/>
  <c r="N1575" i="1"/>
  <c r="M1575" i="1"/>
  <c r="L1575" i="1"/>
  <c r="K1575" i="1"/>
  <c r="T1574" i="1"/>
  <c r="S1574" i="1"/>
  <c r="R1574" i="1"/>
  <c r="Q1574" i="1"/>
  <c r="Q1573" i="1"/>
  <c r="S1572" i="1"/>
  <c r="P1571" i="1"/>
  <c r="O1571" i="1"/>
  <c r="N1571" i="1"/>
  <c r="M1571" i="1"/>
  <c r="L1571" i="1"/>
  <c r="T1570" i="1"/>
  <c r="S1570" i="1"/>
  <c r="R1570" i="1"/>
  <c r="Q1570" i="1"/>
  <c r="S1568" i="1"/>
  <c r="K1270" i="4"/>
  <c r="K1271" i="4" s="1"/>
  <c r="J1271" i="4"/>
  <c r="I1271" i="4"/>
  <c r="L1269" i="4"/>
  <c r="L1268" i="4"/>
  <c r="L1274" i="4"/>
  <c r="R1573" i="1"/>
  <c r="R1569" i="1"/>
  <c r="T1572" i="1"/>
  <c r="Q1572" i="1"/>
  <c r="S1573" i="1"/>
  <c r="J1575" i="1"/>
  <c r="R1572" i="1"/>
  <c r="T1573" i="1"/>
  <c r="J1571" i="1"/>
  <c r="S1569" i="1"/>
  <c r="T1568" i="1"/>
  <c r="T1569" i="1"/>
  <c r="R1568" i="1"/>
  <c r="L1264" i="4"/>
  <c r="J1564" i="1"/>
  <c r="R1564" i="1" s="1"/>
  <c r="K1267" i="4"/>
  <c r="J1267" i="4"/>
  <c r="I1267" i="4"/>
  <c r="L1266" i="4"/>
  <c r="L1265" i="4"/>
  <c r="L1263" i="4"/>
  <c r="L1262" i="4"/>
  <c r="P1567" i="1"/>
  <c r="O1567" i="1"/>
  <c r="N1567" i="1"/>
  <c r="M1567" i="1"/>
  <c r="L1567" i="1"/>
  <c r="K1567" i="1"/>
  <c r="T1566" i="1"/>
  <c r="S1566" i="1"/>
  <c r="R1566" i="1"/>
  <c r="Q1566" i="1"/>
  <c r="T1565" i="1"/>
  <c r="S1565" i="1"/>
  <c r="R1565" i="1"/>
  <c r="Q1565" i="1"/>
  <c r="J1563" i="1"/>
  <c r="S1563" i="1" s="1"/>
  <c r="J1562" i="1"/>
  <c r="R1562" i="1" s="1"/>
  <c r="K1261" i="4"/>
  <c r="P1561" i="1"/>
  <c r="O1561" i="1"/>
  <c r="N1561" i="1"/>
  <c r="M1561" i="1"/>
  <c r="L1561" i="1"/>
  <c r="K1561" i="1"/>
  <c r="J1561" i="1"/>
  <c r="T1560" i="1"/>
  <c r="S1560" i="1"/>
  <c r="R1560" i="1"/>
  <c r="Q1560" i="1"/>
  <c r="J1261" i="4"/>
  <c r="I1261" i="4"/>
  <c r="P1559" i="1"/>
  <c r="O1559" i="1"/>
  <c r="N1559" i="1"/>
  <c r="M1559" i="1"/>
  <c r="L1559" i="1"/>
  <c r="K1559" i="1"/>
  <c r="J1559" i="1"/>
  <c r="T1558" i="1"/>
  <c r="S1558" i="1"/>
  <c r="R1558" i="1"/>
  <c r="Q1558" i="1"/>
  <c r="T1557" i="1"/>
  <c r="S1557" i="1"/>
  <c r="R1557" i="1"/>
  <c r="Q1557" i="1"/>
  <c r="T1556" i="1"/>
  <c r="S1556" i="1"/>
  <c r="R1556" i="1"/>
  <c r="Q1556" i="1"/>
  <c r="T1555" i="1"/>
  <c r="S1555" i="1"/>
  <c r="R1555" i="1"/>
  <c r="Q1555" i="1"/>
  <c r="P1554" i="1"/>
  <c r="O1554" i="1"/>
  <c r="N1554" i="1"/>
  <c r="M1554" i="1"/>
  <c r="L1554" i="1"/>
  <c r="J1554" i="1"/>
  <c r="T1553" i="1"/>
  <c r="S1553" i="1"/>
  <c r="R1553" i="1"/>
  <c r="Q1553" i="1"/>
  <c r="T1552" i="1"/>
  <c r="S1552" i="1"/>
  <c r="R1552" i="1"/>
  <c r="Q1552" i="1"/>
  <c r="T1551" i="1"/>
  <c r="S1551" i="1"/>
  <c r="R1551" i="1"/>
  <c r="Q1551" i="1"/>
  <c r="L1260" i="4"/>
  <c r="L1259" i="4"/>
  <c r="L1258" i="4"/>
  <c r="L1257" i="4"/>
  <c r="L1256" i="4"/>
  <c r="Q1548" i="1"/>
  <c r="R1548" i="1"/>
  <c r="S1548" i="1"/>
  <c r="T1548" i="1"/>
  <c r="K1544" i="1"/>
  <c r="Q1544" i="1" s="1"/>
  <c r="K1543" i="1"/>
  <c r="Q1543" i="1" s="1"/>
  <c r="K1542" i="1"/>
  <c r="Q1542" i="1" s="1"/>
  <c r="J1545" i="1"/>
  <c r="P1550" i="1"/>
  <c r="O1550" i="1"/>
  <c r="N1550" i="1"/>
  <c r="M1550" i="1"/>
  <c r="L1550" i="1"/>
  <c r="K1550" i="1"/>
  <c r="T1549" i="1"/>
  <c r="S1549" i="1"/>
  <c r="R1549" i="1"/>
  <c r="Q1549" i="1"/>
  <c r="S1547" i="1"/>
  <c r="Q1546" i="1"/>
  <c r="P1545" i="1"/>
  <c r="O1545" i="1"/>
  <c r="N1545" i="1"/>
  <c r="M1545" i="1"/>
  <c r="L1545" i="1"/>
  <c r="T1544" i="1"/>
  <c r="S1544" i="1"/>
  <c r="R1544" i="1"/>
  <c r="T1543" i="1"/>
  <c r="S1543" i="1"/>
  <c r="R1543" i="1"/>
  <c r="S1542" i="1"/>
  <c r="K1255" i="4"/>
  <c r="J1255" i="4"/>
  <c r="I1255" i="4"/>
  <c r="L1254" i="4"/>
  <c r="L1253" i="4"/>
  <c r="L1252" i="4"/>
  <c r="L1250" i="4"/>
  <c r="K1251" i="4"/>
  <c r="J1251" i="4"/>
  <c r="I1251" i="4"/>
  <c r="L1249" i="4"/>
  <c r="L1248" i="4"/>
  <c r="L1247" i="4"/>
  <c r="P1541" i="1"/>
  <c r="O1541" i="1"/>
  <c r="N1541" i="1"/>
  <c r="M1541" i="1"/>
  <c r="L1541" i="1"/>
  <c r="K1541" i="1"/>
  <c r="T1540" i="1"/>
  <c r="S1540" i="1"/>
  <c r="R1540" i="1"/>
  <c r="Q1540" i="1"/>
  <c r="T1539" i="1"/>
  <c r="S1539" i="1"/>
  <c r="R1539" i="1"/>
  <c r="Q1539" i="1"/>
  <c r="J1538" i="1"/>
  <c r="R1538" i="1" s="1"/>
  <c r="J1537" i="1"/>
  <c r="K1246" i="4"/>
  <c r="J1246" i="4"/>
  <c r="I1246" i="4"/>
  <c r="L1245" i="4"/>
  <c r="L1244" i="4"/>
  <c r="L1243" i="4"/>
  <c r="L1536" i="1"/>
  <c r="M1536" i="1"/>
  <c r="N1536" i="1"/>
  <c r="O1536" i="1"/>
  <c r="P1536" i="1"/>
  <c r="J1536" i="1"/>
  <c r="R1534" i="1"/>
  <c r="S1534" i="1"/>
  <c r="T1534" i="1"/>
  <c r="K1534" i="1"/>
  <c r="Q1534" i="1" s="1"/>
  <c r="K1535" i="1"/>
  <c r="Q1535" i="1" s="1"/>
  <c r="T1535" i="1"/>
  <c r="S1535" i="1"/>
  <c r="R1535" i="1"/>
  <c r="T1533" i="1"/>
  <c r="S1533" i="1"/>
  <c r="R1533" i="1"/>
  <c r="S1530" i="1"/>
  <c r="R1530" i="1"/>
  <c r="Q1530" i="1"/>
  <c r="M1530" i="1"/>
  <c r="K1554" i="1"/>
  <c r="R1546" i="1"/>
  <c r="S1546" i="1"/>
  <c r="T1547" i="1"/>
  <c r="Q1547" i="1"/>
  <c r="T1546" i="1"/>
  <c r="R1547" i="1"/>
  <c r="J1550" i="1"/>
  <c r="T1542" i="1"/>
  <c r="R1542" i="1"/>
  <c r="M1531" i="1"/>
  <c r="J1529" i="1"/>
  <c r="Q1529" i="1" s="1"/>
  <c r="J1527" i="1"/>
  <c r="R1527" i="1" s="1"/>
  <c r="L1532" i="1"/>
  <c r="N1532" i="1"/>
  <c r="O1532" i="1"/>
  <c r="P1532" i="1"/>
  <c r="K1532" i="1"/>
  <c r="Q1531" i="1"/>
  <c r="R1531" i="1"/>
  <c r="S1531" i="1"/>
  <c r="T1531" i="1"/>
  <c r="T1530" i="1"/>
  <c r="S1528" i="1"/>
  <c r="K1242" i="4"/>
  <c r="J1242" i="4"/>
  <c r="I1242" i="4"/>
  <c r="L1241" i="4"/>
  <c r="L1240" i="4"/>
  <c r="L1239" i="4"/>
  <c r="L1238" i="4"/>
  <c r="L1235" i="4"/>
  <c r="J1525" i="1"/>
  <c r="S1525" i="1" s="1"/>
  <c r="T1524" i="1"/>
  <c r="S1524" i="1"/>
  <c r="R1524" i="1"/>
  <c r="Q1524" i="1"/>
  <c r="L1234" i="4"/>
  <c r="Q1523" i="1"/>
  <c r="R1523" i="1"/>
  <c r="S1523" i="1"/>
  <c r="T1523" i="1"/>
  <c r="K1237" i="4"/>
  <c r="J1237" i="4"/>
  <c r="I1237" i="4"/>
  <c r="L1236" i="4"/>
  <c r="L1233" i="4"/>
  <c r="L1232" i="4"/>
  <c r="P1526" i="1"/>
  <c r="O1526" i="1"/>
  <c r="N1526" i="1"/>
  <c r="M1526" i="1"/>
  <c r="L1526" i="1"/>
  <c r="K1526" i="1"/>
  <c r="J1522" i="1"/>
  <c r="Q1522" i="1" s="1"/>
  <c r="J1521" i="1"/>
  <c r="L1229" i="4"/>
  <c r="K1231" i="4"/>
  <c r="J1231" i="4"/>
  <c r="I1231" i="4"/>
  <c r="L1230" i="4"/>
  <c r="L1228" i="4"/>
  <c r="L1227" i="4"/>
  <c r="L1226" i="4"/>
  <c r="K1513" i="1"/>
  <c r="Q1513" i="1" s="1"/>
  <c r="K1518" i="1"/>
  <c r="Q1518" i="1" s="1"/>
  <c r="K1519" i="1"/>
  <c r="Q1519" i="1" s="1"/>
  <c r="K1517" i="1"/>
  <c r="K1514" i="1"/>
  <c r="Q1514" i="1" s="1"/>
  <c r="L1223" i="4"/>
  <c r="L1224" i="4"/>
  <c r="L1222" i="4"/>
  <c r="L1221" i="4"/>
  <c r="K1225" i="4"/>
  <c r="J1225" i="4"/>
  <c r="I1225" i="4"/>
  <c r="L1220" i="4"/>
  <c r="P1520" i="1"/>
  <c r="O1520" i="1"/>
  <c r="N1520" i="1"/>
  <c r="M1520" i="1"/>
  <c r="L1520" i="1"/>
  <c r="S1519" i="1"/>
  <c r="R1519" i="1"/>
  <c r="S1518" i="1"/>
  <c r="S1517" i="1"/>
  <c r="R1517" i="1"/>
  <c r="P1516" i="1"/>
  <c r="O1516" i="1"/>
  <c r="N1516" i="1"/>
  <c r="M1516" i="1"/>
  <c r="L1516" i="1"/>
  <c r="R1515" i="1"/>
  <c r="Q1515" i="1"/>
  <c r="S1514" i="1"/>
  <c r="J1511" i="1"/>
  <c r="K1219" i="4"/>
  <c r="J1219" i="4"/>
  <c r="I1219" i="4"/>
  <c r="L1218" i="4"/>
  <c r="L1217" i="4"/>
  <c r="L1216" i="4"/>
  <c r="P1512" i="1"/>
  <c r="O1512" i="1"/>
  <c r="N1512" i="1"/>
  <c r="M1512" i="1"/>
  <c r="L1512" i="1"/>
  <c r="K1512" i="1"/>
  <c r="J1510" i="1"/>
  <c r="J1509" i="1"/>
  <c r="Q1509" i="1" s="1"/>
  <c r="L1212" i="4"/>
  <c r="L1213" i="4"/>
  <c r="L1214" i="4"/>
  <c r="K1506" i="1"/>
  <c r="Q1506" i="1" s="1"/>
  <c r="K1507" i="1"/>
  <c r="Q1507" i="1" s="1"/>
  <c r="K1215" i="4"/>
  <c r="J1215" i="4"/>
  <c r="I1215" i="4"/>
  <c r="L1211" i="4"/>
  <c r="K1505" i="1"/>
  <c r="P1508" i="1"/>
  <c r="O1508" i="1"/>
  <c r="N1508" i="1"/>
  <c r="M1508" i="1"/>
  <c r="L1508" i="1"/>
  <c r="J1508" i="1"/>
  <c r="T1507" i="1"/>
  <c r="S1507" i="1"/>
  <c r="R1507" i="1"/>
  <c r="T1506" i="1"/>
  <c r="S1506" i="1"/>
  <c r="R1506" i="1"/>
  <c r="T1505" i="1"/>
  <c r="S1505" i="1"/>
  <c r="R1505" i="1"/>
  <c r="L1208" i="4"/>
  <c r="K1502" i="1"/>
  <c r="K1504" i="1" s="1"/>
  <c r="K1499" i="1"/>
  <c r="Q1499" i="1" s="1"/>
  <c r="K1498" i="1"/>
  <c r="Q1498" i="1" s="1"/>
  <c r="K1497" i="1"/>
  <c r="Q1497" i="1" s="1"/>
  <c r="K1210" i="4"/>
  <c r="J1210" i="4"/>
  <c r="I1210" i="4"/>
  <c r="L1209" i="4"/>
  <c r="L1207" i="4"/>
  <c r="L1206" i="4"/>
  <c r="P1504" i="1"/>
  <c r="O1504" i="1"/>
  <c r="N1504" i="1"/>
  <c r="M1504" i="1"/>
  <c r="L1504" i="1"/>
  <c r="J1504" i="1"/>
  <c r="T1503" i="1"/>
  <c r="S1503" i="1"/>
  <c r="R1503" i="1"/>
  <c r="Q1503" i="1"/>
  <c r="T1502" i="1"/>
  <c r="S1502" i="1"/>
  <c r="R1502" i="1"/>
  <c r="T1501" i="1"/>
  <c r="S1501" i="1"/>
  <c r="R1501" i="1"/>
  <c r="Q1501" i="1"/>
  <c r="P1500" i="1"/>
  <c r="O1500" i="1"/>
  <c r="N1500" i="1"/>
  <c r="M1500" i="1"/>
  <c r="L1500" i="1"/>
  <c r="T1499" i="1"/>
  <c r="S1499" i="1"/>
  <c r="R1499" i="1"/>
  <c r="T1498" i="1"/>
  <c r="S1498" i="1"/>
  <c r="R1498" i="1"/>
  <c r="J1500" i="1"/>
  <c r="L1203" i="4"/>
  <c r="Q1494" i="1"/>
  <c r="R1494" i="1"/>
  <c r="S1494" i="1"/>
  <c r="T1494" i="1"/>
  <c r="J1493" i="1"/>
  <c r="T1493" i="1" s="1"/>
  <c r="J1492" i="1"/>
  <c r="R1492" i="1" s="1"/>
  <c r="K1205" i="4"/>
  <c r="J1205" i="4"/>
  <c r="I1205" i="4"/>
  <c r="L1204" i="4"/>
  <c r="L1202" i="4"/>
  <c r="L1201" i="4"/>
  <c r="P1496" i="1"/>
  <c r="O1496" i="1"/>
  <c r="N1496" i="1"/>
  <c r="M1496" i="1"/>
  <c r="L1496" i="1"/>
  <c r="T1495" i="1"/>
  <c r="S1495" i="1"/>
  <c r="R1495" i="1"/>
  <c r="Q1495" i="1"/>
  <c r="K1496" i="1"/>
  <c r="K1489" i="1"/>
  <c r="Q1489" i="1" s="1"/>
  <c r="K1490" i="1"/>
  <c r="Q1490" i="1" s="1"/>
  <c r="K1200" i="4"/>
  <c r="J1200" i="4"/>
  <c r="I1200" i="4"/>
  <c r="L1199" i="4"/>
  <c r="L1198" i="4"/>
  <c r="L1197" i="4"/>
  <c r="P1491" i="1"/>
  <c r="O1491" i="1"/>
  <c r="N1491" i="1"/>
  <c r="M1491" i="1"/>
  <c r="J1491" i="1"/>
  <c r="T1490" i="1"/>
  <c r="S1490" i="1"/>
  <c r="R1490" i="1"/>
  <c r="T1489" i="1"/>
  <c r="S1489" i="1"/>
  <c r="R1489" i="1"/>
  <c r="T1488" i="1"/>
  <c r="S1488" i="1"/>
  <c r="R1488" i="1"/>
  <c r="P1487" i="1"/>
  <c r="O1487" i="1"/>
  <c r="N1487" i="1"/>
  <c r="M1487" i="1"/>
  <c r="L1487" i="1"/>
  <c r="J1487" i="1"/>
  <c r="T1486" i="1"/>
  <c r="S1486" i="1"/>
  <c r="R1486" i="1"/>
  <c r="Q1486" i="1"/>
  <c r="T1485" i="1"/>
  <c r="S1485" i="1"/>
  <c r="R1485" i="1"/>
  <c r="K1487" i="1"/>
  <c r="T1484" i="1"/>
  <c r="S1484" i="1"/>
  <c r="R1484" i="1"/>
  <c r="Q1484" i="1"/>
  <c r="K1196" i="4"/>
  <c r="J1196" i="4"/>
  <c r="I1196" i="4"/>
  <c r="L1195" i="4"/>
  <c r="L1194" i="4"/>
  <c r="L1193" i="4"/>
  <c r="K1482" i="1"/>
  <c r="Q1482" i="1" s="1"/>
  <c r="K1481" i="1"/>
  <c r="Q1481" i="1" s="1"/>
  <c r="K1480" i="1"/>
  <c r="Q1480" i="1" s="1"/>
  <c r="P1483" i="1"/>
  <c r="O1483" i="1"/>
  <c r="N1483" i="1"/>
  <c r="M1483" i="1"/>
  <c r="L1483" i="1"/>
  <c r="T1482" i="1"/>
  <c r="S1482" i="1"/>
  <c r="R1482" i="1"/>
  <c r="R1481" i="1"/>
  <c r="T1480" i="1"/>
  <c r="M1478" i="1"/>
  <c r="M1477" i="1"/>
  <c r="T1528" i="1"/>
  <c r="Q1528" i="1"/>
  <c r="R1528" i="1"/>
  <c r="J1520" i="1"/>
  <c r="T1517" i="1"/>
  <c r="R1518" i="1"/>
  <c r="T1519" i="1"/>
  <c r="T1518" i="1"/>
  <c r="R1513" i="1"/>
  <c r="S1513" i="1"/>
  <c r="S1515" i="1"/>
  <c r="T1514" i="1"/>
  <c r="T1513" i="1"/>
  <c r="R1514" i="1"/>
  <c r="T1515" i="1"/>
  <c r="J1516" i="1"/>
  <c r="S1497" i="1"/>
  <c r="T1497" i="1"/>
  <c r="R1497" i="1"/>
  <c r="Q1485" i="1"/>
  <c r="S1481" i="1"/>
  <c r="R1480" i="1"/>
  <c r="J1483" i="1"/>
  <c r="S1480" i="1"/>
  <c r="T1481" i="1"/>
  <c r="P1479" i="1"/>
  <c r="O1479" i="1"/>
  <c r="N1479" i="1"/>
  <c r="T1478" i="1"/>
  <c r="S1478" i="1"/>
  <c r="R1478" i="1"/>
  <c r="Q1478" i="1"/>
  <c r="T1477" i="1"/>
  <c r="S1477" i="1"/>
  <c r="R1477" i="1"/>
  <c r="Q1477" i="1"/>
  <c r="T1476" i="1"/>
  <c r="S1476" i="1"/>
  <c r="R1476" i="1"/>
  <c r="Q1476" i="1"/>
  <c r="T1475" i="1"/>
  <c r="S1475" i="1"/>
  <c r="R1475" i="1"/>
  <c r="Q1475" i="1"/>
  <c r="L1479" i="1"/>
  <c r="J1474" i="1"/>
  <c r="Q1474" i="1" s="1"/>
  <c r="J1473" i="1"/>
  <c r="Q1473" i="1" s="1"/>
  <c r="K1192" i="4"/>
  <c r="J1192" i="4"/>
  <c r="I1192" i="4"/>
  <c r="L1191" i="4"/>
  <c r="L1190" i="4"/>
  <c r="L1189" i="4"/>
  <c r="K1188" i="4"/>
  <c r="J1188" i="4"/>
  <c r="I1188" i="4"/>
  <c r="L1187" i="4"/>
  <c r="L1186" i="4"/>
  <c r="L1185" i="4"/>
  <c r="L1184" i="4"/>
  <c r="L1472" i="1"/>
  <c r="N1472" i="1"/>
  <c r="O1472" i="1"/>
  <c r="P1472" i="1"/>
  <c r="J1472" i="1"/>
  <c r="M1469" i="1"/>
  <c r="M1472" i="1" s="1"/>
  <c r="K1479" i="1"/>
  <c r="K1470" i="1"/>
  <c r="Q1470" i="1" s="1"/>
  <c r="K1471" i="1"/>
  <c r="Q1471" i="1" s="1"/>
  <c r="T1471" i="1"/>
  <c r="S1471" i="1"/>
  <c r="R1471" i="1"/>
  <c r="T1470" i="1"/>
  <c r="S1470" i="1"/>
  <c r="R1470" i="1"/>
  <c r="T1469" i="1"/>
  <c r="S1469" i="1"/>
  <c r="R1469" i="1"/>
  <c r="L1181" i="4"/>
  <c r="K1463" i="1"/>
  <c r="Q1463" i="1" s="1"/>
  <c r="K1462" i="1"/>
  <c r="Q1462" i="1" s="1"/>
  <c r="K1461" i="1"/>
  <c r="K1468" i="1"/>
  <c r="L1468" i="1"/>
  <c r="M1468" i="1"/>
  <c r="N1468" i="1"/>
  <c r="O1468" i="1"/>
  <c r="P1468" i="1"/>
  <c r="J1468" i="1"/>
  <c r="L1464" i="1"/>
  <c r="M1464" i="1"/>
  <c r="N1464" i="1"/>
  <c r="O1464" i="1"/>
  <c r="P1464" i="1"/>
  <c r="T1467" i="1"/>
  <c r="S1467" i="1"/>
  <c r="R1467" i="1"/>
  <c r="Q1467" i="1"/>
  <c r="R1465" i="1"/>
  <c r="T1463" i="1"/>
  <c r="S1463" i="1"/>
  <c r="R1463" i="1"/>
  <c r="R1461" i="1"/>
  <c r="T1461" i="1"/>
  <c r="K1183" i="4"/>
  <c r="J1183" i="4"/>
  <c r="I1183" i="4"/>
  <c r="L1182" i="4"/>
  <c r="L1180" i="4"/>
  <c r="L1179" i="4"/>
  <c r="M1457" i="1"/>
  <c r="M1460" i="1" s="1"/>
  <c r="K1455" i="1"/>
  <c r="K1460" i="1" s="1"/>
  <c r="L1455" i="1"/>
  <c r="L1460" i="1" s="1"/>
  <c r="S1465" i="1"/>
  <c r="S1461" i="1"/>
  <c r="T1462" i="1"/>
  <c r="R1466" i="1"/>
  <c r="T1466" i="1"/>
  <c r="S1466" i="1"/>
  <c r="T1465" i="1"/>
  <c r="Q1465" i="1"/>
  <c r="Q1466" i="1"/>
  <c r="P1460" i="1"/>
  <c r="O1460" i="1"/>
  <c r="N1460" i="1"/>
  <c r="T1459" i="1"/>
  <c r="S1459" i="1"/>
  <c r="R1459" i="1"/>
  <c r="Q1459" i="1"/>
  <c r="T1458" i="1"/>
  <c r="S1458" i="1"/>
  <c r="R1458" i="1"/>
  <c r="Q1458" i="1"/>
  <c r="T1457" i="1"/>
  <c r="S1457" i="1"/>
  <c r="R1457" i="1"/>
  <c r="Q1457" i="1"/>
  <c r="T1456" i="1"/>
  <c r="S1456" i="1"/>
  <c r="R1456" i="1"/>
  <c r="Q1456" i="1"/>
  <c r="J1454" i="1"/>
  <c r="K1178" i="4"/>
  <c r="J1178" i="4"/>
  <c r="I1178" i="4"/>
  <c r="L1177" i="4"/>
  <c r="L1176" i="4"/>
  <c r="L1175" i="4"/>
  <c r="L1174" i="4"/>
  <c r="J1173" i="4"/>
  <c r="K1173" i="4"/>
  <c r="I1173" i="4"/>
  <c r="L1171" i="4"/>
  <c r="L1172" i="4"/>
  <c r="L1170" i="4"/>
  <c r="L1169" i="4"/>
  <c r="K1449" i="1"/>
  <c r="L1449" i="1"/>
  <c r="M1449" i="1"/>
  <c r="N1449" i="1"/>
  <c r="O1449" i="1"/>
  <c r="P1449" i="1"/>
  <c r="L1453" i="1"/>
  <c r="M1453" i="1"/>
  <c r="N1453" i="1"/>
  <c r="O1453" i="1"/>
  <c r="P1453" i="1"/>
  <c r="K1452" i="1"/>
  <c r="Q1452" i="1" s="1"/>
  <c r="K1451" i="1"/>
  <c r="Q1451" i="1" s="1"/>
  <c r="K1450" i="1"/>
  <c r="J1453" i="1"/>
  <c r="T1452" i="1"/>
  <c r="S1452" i="1"/>
  <c r="R1452" i="1"/>
  <c r="T1451" i="1"/>
  <c r="S1451" i="1"/>
  <c r="R1451" i="1"/>
  <c r="T1450" i="1"/>
  <c r="S1450" i="1"/>
  <c r="R1450" i="1"/>
  <c r="J1443" i="1"/>
  <c r="Q1443" i="1" s="1"/>
  <c r="L1165" i="4"/>
  <c r="L1166" i="4"/>
  <c r="L1167" i="4"/>
  <c r="T1444" i="1"/>
  <c r="Q1445" i="1"/>
  <c r="R1445" i="1"/>
  <c r="S1445" i="1"/>
  <c r="T1445" i="1"/>
  <c r="Q1446" i="1"/>
  <c r="R1446" i="1"/>
  <c r="S1446" i="1"/>
  <c r="T1446" i="1"/>
  <c r="Q1447" i="1"/>
  <c r="R1447" i="1"/>
  <c r="S1447" i="1"/>
  <c r="T1447" i="1"/>
  <c r="Q1448" i="1"/>
  <c r="R1448" i="1"/>
  <c r="S1448" i="1"/>
  <c r="T1448" i="1"/>
  <c r="K1168" i="4"/>
  <c r="J1168" i="4"/>
  <c r="I1168" i="4"/>
  <c r="L1164" i="4"/>
  <c r="L1163" i="4"/>
  <c r="L1162" i="4"/>
  <c r="L1161" i="4"/>
  <c r="J1442" i="1"/>
  <c r="R1442" i="1" s="1"/>
  <c r="J1441" i="1"/>
  <c r="K1435" i="1"/>
  <c r="K1440" i="1" s="1"/>
  <c r="J1438" i="1"/>
  <c r="S1438" i="1" s="1"/>
  <c r="J1464" i="1"/>
  <c r="S1462" i="1"/>
  <c r="R1462" i="1"/>
  <c r="Q1444" i="1"/>
  <c r="R1444" i="1"/>
  <c r="S1444" i="1"/>
  <c r="K1160" i="4"/>
  <c r="J1160" i="4"/>
  <c r="I1160" i="4"/>
  <c r="L1159" i="4"/>
  <c r="L1158" i="4"/>
  <c r="L1157" i="4"/>
  <c r="L1156" i="4"/>
  <c r="L1155" i="4"/>
  <c r="P1440" i="1"/>
  <c r="O1440" i="1"/>
  <c r="N1440" i="1"/>
  <c r="M1440" i="1"/>
  <c r="T1439" i="1"/>
  <c r="S1439" i="1"/>
  <c r="R1439" i="1"/>
  <c r="Q1439" i="1"/>
  <c r="T1437" i="1"/>
  <c r="S1437" i="1"/>
  <c r="R1437" i="1"/>
  <c r="Q1437" i="1"/>
  <c r="J1436" i="1"/>
  <c r="L1440" i="1"/>
  <c r="K1154" i="4"/>
  <c r="L1148" i="4"/>
  <c r="J1428" i="1"/>
  <c r="T1428" i="1" s="1"/>
  <c r="T1429" i="1"/>
  <c r="Q1429" i="1"/>
  <c r="R1429" i="1"/>
  <c r="S1429" i="1"/>
  <c r="K1430" i="1"/>
  <c r="Q1430" i="1" s="1"/>
  <c r="K1427" i="1"/>
  <c r="K1426" i="1"/>
  <c r="Q1426" i="1" s="1"/>
  <c r="J1154" i="4"/>
  <c r="I1154" i="4"/>
  <c r="L1153" i="4"/>
  <c r="L1152" i="4"/>
  <c r="L1151" i="4"/>
  <c r="L1150" i="4"/>
  <c r="L1149" i="4"/>
  <c r="L1147" i="4"/>
  <c r="P1434" i="1"/>
  <c r="O1434" i="1"/>
  <c r="N1434" i="1"/>
  <c r="M1434" i="1"/>
  <c r="L1434" i="1"/>
  <c r="T1433" i="1"/>
  <c r="S1433" i="1"/>
  <c r="R1433" i="1"/>
  <c r="Q1433" i="1"/>
  <c r="T1432" i="1"/>
  <c r="S1432" i="1"/>
  <c r="R1432" i="1"/>
  <c r="Q1432" i="1"/>
  <c r="T1431" i="1"/>
  <c r="S1431" i="1"/>
  <c r="R1431" i="1"/>
  <c r="Q1431" i="1"/>
  <c r="T1430" i="1"/>
  <c r="S1430" i="1"/>
  <c r="R1430" i="1"/>
  <c r="T1427" i="1"/>
  <c r="S1427" i="1"/>
  <c r="R1427" i="1"/>
  <c r="T1426" i="1"/>
  <c r="S1426" i="1"/>
  <c r="R1426" i="1"/>
  <c r="L1144" i="4"/>
  <c r="P1425" i="1"/>
  <c r="L1419" i="1"/>
  <c r="L1425" i="1" s="1"/>
  <c r="K1419" i="1"/>
  <c r="L1145" i="4"/>
  <c r="O1425" i="1"/>
  <c r="N1425" i="1"/>
  <c r="M1425" i="1"/>
  <c r="T1424" i="1"/>
  <c r="S1424" i="1"/>
  <c r="R1424" i="1"/>
  <c r="Q1424" i="1"/>
  <c r="T1423" i="1"/>
  <c r="S1423" i="1"/>
  <c r="R1423" i="1"/>
  <c r="Q1423" i="1"/>
  <c r="T1422" i="1"/>
  <c r="S1422" i="1"/>
  <c r="R1422" i="1"/>
  <c r="Q1422" i="1"/>
  <c r="J1421" i="1"/>
  <c r="J1420" i="1"/>
  <c r="S1420" i="1" s="1"/>
  <c r="K1146" i="4"/>
  <c r="J1146" i="4"/>
  <c r="I1146" i="4"/>
  <c r="L1143" i="4"/>
  <c r="L1142" i="4"/>
  <c r="L1141" i="4"/>
  <c r="L1140" i="4"/>
  <c r="K1139" i="4"/>
  <c r="J1139" i="4"/>
  <c r="I1139" i="4"/>
  <c r="L1133" i="4"/>
  <c r="L1134" i="4"/>
  <c r="L1135" i="4"/>
  <c r="L1136" i="4"/>
  <c r="L1137" i="4"/>
  <c r="L1138" i="4"/>
  <c r="L1132" i="4"/>
  <c r="J1418" i="1"/>
  <c r="P1418" i="1"/>
  <c r="O1418" i="1"/>
  <c r="N1418" i="1"/>
  <c r="M1418" i="1"/>
  <c r="L1418" i="1"/>
  <c r="T1417" i="1"/>
  <c r="S1417" i="1"/>
  <c r="R1417" i="1"/>
  <c r="K1417" i="1"/>
  <c r="Q1417" i="1" s="1"/>
  <c r="T1416" i="1"/>
  <c r="S1416" i="1"/>
  <c r="R1416" i="1"/>
  <c r="K1416" i="1"/>
  <c r="T1415" i="1"/>
  <c r="S1415" i="1"/>
  <c r="R1415" i="1"/>
  <c r="K1415" i="1"/>
  <c r="Q1415" i="1" s="1"/>
  <c r="K1409" i="1"/>
  <c r="Q1409" i="1" s="1"/>
  <c r="K1410" i="1"/>
  <c r="Q1410" i="1" s="1"/>
  <c r="K1411" i="1"/>
  <c r="Q1411" i="1" s="1"/>
  <c r="K1412" i="1"/>
  <c r="Q1412" i="1" s="1"/>
  <c r="K1413" i="1"/>
  <c r="Q1413" i="1" s="1"/>
  <c r="R1410" i="1"/>
  <c r="S1410" i="1"/>
  <c r="T1410" i="1"/>
  <c r="R1411" i="1"/>
  <c r="S1411" i="1"/>
  <c r="T1411" i="1"/>
  <c r="L1414" i="1"/>
  <c r="M1414" i="1"/>
  <c r="N1414" i="1"/>
  <c r="O1414" i="1"/>
  <c r="P1414" i="1"/>
  <c r="K1408" i="1"/>
  <c r="J1414" i="1"/>
  <c r="T1413" i="1"/>
  <c r="S1413" i="1"/>
  <c r="R1413" i="1"/>
  <c r="T1412" i="1"/>
  <c r="S1412" i="1"/>
  <c r="R1412" i="1"/>
  <c r="T1409" i="1"/>
  <c r="S1409" i="1"/>
  <c r="R1409" i="1"/>
  <c r="T1408" i="1"/>
  <c r="S1408" i="1"/>
  <c r="R1408" i="1"/>
  <c r="L1399" i="1"/>
  <c r="L1406" i="1"/>
  <c r="Q1406" i="1" s="1"/>
  <c r="K1399" i="1"/>
  <c r="K1407" i="1" s="1"/>
  <c r="L1127" i="4"/>
  <c r="J1401" i="1"/>
  <c r="K1131" i="4"/>
  <c r="J1131" i="4"/>
  <c r="I1131" i="4"/>
  <c r="L1130" i="4"/>
  <c r="L1129" i="4"/>
  <c r="L1128" i="4"/>
  <c r="L1126" i="4"/>
  <c r="L1125" i="4"/>
  <c r="P1407" i="1"/>
  <c r="O1407" i="1"/>
  <c r="N1407" i="1"/>
  <c r="T1406" i="1"/>
  <c r="S1406" i="1"/>
  <c r="R1406" i="1"/>
  <c r="T1405" i="1"/>
  <c r="S1405" i="1"/>
  <c r="R1405" i="1"/>
  <c r="Q1405" i="1"/>
  <c r="T1404" i="1"/>
  <c r="S1404" i="1"/>
  <c r="R1404" i="1"/>
  <c r="Q1404" i="1"/>
  <c r="M1407" i="1"/>
  <c r="T1403" i="1"/>
  <c r="S1403" i="1"/>
  <c r="R1403" i="1"/>
  <c r="Q1403" i="1"/>
  <c r="J1402" i="1"/>
  <c r="T1402" i="1" s="1"/>
  <c r="J1400" i="1"/>
  <c r="L1118" i="4"/>
  <c r="L1119" i="4"/>
  <c r="L1120" i="4"/>
  <c r="L1121" i="4"/>
  <c r="L1122" i="4"/>
  <c r="L1123" i="4"/>
  <c r="K1124" i="4"/>
  <c r="J1124" i="4"/>
  <c r="I1124" i="4"/>
  <c r="L1117" i="4"/>
  <c r="L1398" i="1"/>
  <c r="M1398" i="1"/>
  <c r="N1398" i="1"/>
  <c r="O1398" i="1"/>
  <c r="P1398" i="1"/>
  <c r="J1398" i="1"/>
  <c r="R1395" i="1"/>
  <c r="S1395" i="1"/>
  <c r="T1395" i="1"/>
  <c r="R1394" i="1"/>
  <c r="S1394" i="1"/>
  <c r="T1394" i="1"/>
  <c r="K1393" i="1"/>
  <c r="K1394" i="1"/>
  <c r="Q1394" i="1" s="1"/>
  <c r="K1395" i="1"/>
  <c r="Q1395" i="1" s="1"/>
  <c r="K1396" i="1"/>
  <c r="Q1396" i="1" s="1"/>
  <c r="K1397" i="1"/>
  <c r="Q1397" i="1" s="1"/>
  <c r="K1392" i="1"/>
  <c r="Q1392" i="1" s="1"/>
  <c r="T1397" i="1"/>
  <c r="S1397" i="1"/>
  <c r="R1397" i="1"/>
  <c r="T1396" i="1"/>
  <c r="S1396" i="1"/>
  <c r="R1396" i="1"/>
  <c r="T1393" i="1"/>
  <c r="S1393" i="1"/>
  <c r="R1393" i="1"/>
  <c r="T1392" i="1"/>
  <c r="S1392" i="1"/>
  <c r="R1392" i="1"/>
  <c r="M1388" i="1"/>
  <c r="M1391" i="1" s="1"/>
  <c r="L1384" i="1"/>
  <c r="L1391" i="1" s="1"/>
  <c r="K1384" i="1"/>
  <c r="K1391" i="1" s="1"/>
  <c r="J1386" i="1"/>
  <c r="T1386" i="1" s="1"/>
  <c r="P1391" i="1"/>
  <c r="O1391" i="1"/>
  <c r="N1391" i="1"/>
  <c r="T1390" i="1"/>
  <c r="S1390" i="1"/>
  <c r="R1390" i="1"/>
  <c r="Q1390" i="1"/>
  <c r="T1389" i="1"/>
  <c r="S1389" i="1"/>
  <c r="R1389" i="1"/>
  <c r="Q1389" i="1"/>
  <c r="T1388" i="1"/>
  <c r="S1388" i="1"/>
  <c r="R1388" i="1"/>
  <c r="Q1388" i="1"/>
  <c r="T1387" i="1"/>
  <c r="S1387" i="1"/>
  <c r="R1387" i="1"/>
  <c r="Q1387" i="1"/>
  <c r="J1385" i="1"/>
  <c r="S1385" i="1" s="1"/>
  <c r="K1116" i="4"/>
  <c r="J1116" i="4"/>
  <c r="I1116" i="4"/>
  <c r="L1115" i="4"/>
  <c r="L1114" i="4"/>
  <c r="L1113" i="4"/>
  <c r="L1112" i="4"/>
  <c r="L1111" i="4"/>
  <c r="J1110" i="4"/>
  <c r="K1110" i="4"/>
  <c r="L1106" i="4"/>
  <c r="L1107" i="4"/>
  <c r="L1108" i="4"/>
  <c r="L1109" i="4"/>
  <c r="I1110" i="4"/>
  <c r="L1105" i="4"/>
  <c r="L1383" i="1"/>
  <c r="M1383" i="1"/>
  <c r="N1383" i="1"/>
  <c r="O1383" i="1"/>
  <c r="P1383" i="1"/>
  <c r="J1383" i="1"/>
  <c r="K1380" i="1"/>
  <c r="Q1380" i="1" s="1"/>
  <c r="R1380" i="1"/>
  <c r="S1380" i="1"/>
  <c r="T1380" i="1"/>
  <c r="K1379" i="1"/>
  <c r="Q1379" i="1" s="1"/>
  <c r="K1381" i="1"/>
  <c r="Q1381" i="1" s="1"/>
  <c r="K1382" i="1"/>
  <c r="K1378" i="1"/>
  <c r="Q1378" i="1" s="1"/>
  <c r="T1382" i="1"/>
  <c r="S1382" i="1"/>
  <c r="R1382" i="1"/>
  <c r="T1381" i="1"/>
  <c r="S1381" i="1"/>
  <c r="R1381" i="1"/>
  <c r="T1379" i="1"/>
  <c r="S1379" i="1"/>
  <c r="R1379" i="1"/>
  <c r="T1378" i="1"/>
  <c r="S1378" i="1"/>
  <c r="R1378" i="1"/>
  <c r="M1374" i="1"/>
  <c r="M1377" i="1" s="1"/>
  <c r="L1370" i="1"/>
  <c r="K1372" i="1"/>
  <c r="Q1372" i="1" s="1"/>
  <c r="K1370" i="1"/>
  <c r="K1104" i="4"/>
  <c r="J1104" i="4"/>
  <c r="I1104" i="4"/>
  <c r="L1103" i="4"/>
  <c r="L1102" i="4"/>
  <c r="L1101" i="4"/>
  <c r="L1100" i="4"/>
  <c r="L1099" i="4"/>
  <c r="P1377" i="1"/>
  <c r="O1377" i="1"/>
  <c r="N1377" i="1"/>
  <c r="T1376" i="1"/>
  <c r="S1376" i="1"/>
  <c r="R1376" i="1"/>
  <c r="Q1376" i="1"/>
  <c r="T1375" i="1"/>
  <c r="S1375" i="1"/>
  <c r="R1375" i="1"/>
  <c r="Q1375" i="1"/>
  <c r="T1374" i="1"/>
  <c r="S1374" i="1"/>
  <c r="R1374" i="1"/>
  <c r="Q1374" i="1"/>
  <c r="T1373" i="1"/>
  <c r="S1373" i="1"/>
  <c r="R1373" i="1"/>
  <c r="Q1373" i="1"/>
  <c r="R1372" i="1"/>
  <c r="J1371" i="1"/>
  <c r="R1371" i="1" s="1"/>
  <c r="L1369" i="1"/>
  <c r="M1369" i="1"/>
  <c r="N1369" i="1"/>
  <c r="O1369" i="1"/>
  <c r="P1369" i="1"/>
  <c r="L1363" i="1"/>
  <c r="M1363" i="1"/>
  <c r="N1363" i="1"/>
  <c r="O1363" i="1"/>
  <c r="P1363" i="1"/>
  <c r="J1363" i="1"/>
  <c r="J1369" i="1"/>
  <c r="L1096" i="4"/>
  <c r="L1095" i="4"/>
  <c r="K1098" i="4"/>
  <c r="J1098" i="4"/>
  <c r="I1098" i="4"/>
  <c r="L1097" i="4"/>
  <c r="L1094" i="4"/>
  <c r="L1093" i="4"/>
  <c r="R1365" i="1"/>
  <c r="S1365" i="1"/>
  <c r="T1365" i="1"/>
  <c r="R1366" i="1"/>
  <c r="S1366" i="1"/>
  <c r="T1366" i="1"/>
  <c r="K1365" i="1"/>
  <c r="Q1365" i="1" s="1"/>
  <c r="K1359" i="1"/>
  <c r="Q1359" i="1" s="1"/>
  <c r="T1372" i="1"/>
  <c r="S1372" i="1"/>
  <c r="K1360" i="1"/>
  <c r="Q1360" i="1" s="1"/>
  <c r="K1361" i="1"/>
  <c r="Q1361" i="1" s="1"/>
  <c r="K1362" i="1"/>
  <c r="Q1362" i="1" s="1"/>
  <c r="K1358" i="1"/>
  <c r="R1361" i="1"/>
  <c r="S1361" i="1"/>
  <c r="T1361" i="1"/>
  <c r="K1366" i="1"/>
  <c r="Q1366" i="1" s="1"/>
  <c r="K1367" i="1"/>
  <c r="Q1367" i="1" s="1"/>
  <c r="K1368" i="1"/>
  <c r="Q1368" i="1" s="1"/>
  <c r="K1364" i="1"/>
  <c r="Q1364" i="1" s="1"/>
  <c r="T1368" i="1"/>
  <c r="S1368" i="1"/>
  <c r="R1368" i="1"/>
  <c r="T1367" i="1"/>
  <c r="S1367" i="1"/>
  <c r="R1367" i="1"/>
  <c r="T1364" i="1"/>
  <c r="S1364" i="1"/>
  <c r="R1364" i="1"/>
  <c r="T1362" i="1"/>
  <c r="S1362" i="1"/>
  <c r="R1362" i="1"/>
  <c r="T1360" i="1"/>
  <c r="S1360" i="1"/>
  <c r="R1360" i="1"/>
  <c r="T1359" i="1"/>
  <c r="S1359" i="1"/>
  <c r="R1359" i="1"/>
  <c r="T1358" i="1"/>
  <c r="S1358" i="1"/>
  <c r="R1358" i="1"/>
  <c r="K1353" i="1"/>
  <c r="Q1353" i="1" s="1"/>
  <c r="M1356" i="1"/>
  <c r="K1092" i="4"/>
  <c r="J1092" i="4"/>
  <c r="I1092" i="4"/>
  <c r="L1091" i="4"/>
  <c r="L1090" i="4"/>
  <c r="L1089" i="4"/>
  <c r="T1356" i="1"/>
  <c r="S1356" i="1"/>
  <c r="R1356" i="1"/>
  <c r="Q1356" i="1"/>
  <c r="T1355" i="1"/>
  <c r="S1355" i="1"/>
  <c r="R1355" i="1"/>
  <c r="Q1355" i="1"/>
  <c r="T1354" i="1"/>
  <c r="S1354" i="1"/>
  <c r="R1354" i="1"/>
  <c r="Q1354" i="1"/>
  <c r="T1353" i="1"/>
  <c r="S1353" i="1"/>
  <c r="R1353" i="1"/>
  <c r="Q1350" i="1"/>
  <c r="R1350" i="1"/>
  <c r="S1350" i="1"/>
  <c r="T1350" i="1"/>
  <c r="L1085" i="4"/>
  <c r="J1346" i="1"/>
  <c r="Q1346" i="1" s="1"/>
  <c r="K1088" i="4"/>
  <c r="J1088" i="4"/>
  <c r="I1088" i="4"/>
  <c r="L1087" i="4"/>
  <c r="L1086" i="4"/>
  <c r="L1084" i="4"/>
  <c r="L1083" i="4"/>
  <c r="P1352" i="1"/>
  <c r="O1352" i="1"/>
  <c r="O1357" i="1" s="1"/>
  <c r="N1352" i="1"/>
  <c r="N1357" i="1" s="1"/>
  <c r="M1352" i="1"/>
  <c r="L1352" i="1"/>
  <c r="L1357" i="1" s="1"/>
  <c r="K1352" i="1"/>
  <c r="T1351" i="1"/>
  <c r="S1351" i="1"/>
  <c r="R1351" i="1"/>
  <c r="Q1351" i="1"/>
  <c r="T1349" i="1"/>
  <c r="S1349" i="1"/>
  <c r="R1349" i="1"/>
  <c r="Q1349" i="1"/>
  <c r="T1348" i="1"/>
  <c r="S1348" i="1"/>
  <c r="R1348" i="1"/>
  <c r="Q1348" i="1"/>
  <c r="J1347" i="1"/>
  <c r="R1347" i="1" s="1"/>
  <c r="J1345" i="1"/>
  <c r="J1344" i="1"/>
  <c r="K1082" i="4"/>
  <c r="J1082" i="4"/>
  <c r="I1082" i="4"/>
  <c r="L1081" i="4"/>
  <c r="L1080" i="4"/>
  <c r="L1079" i="4"/>
  <c r="L1078" i="4"/>
  <c r="L1077" i="4"/>
  <c r="R1341" i="1"/>
  <c r="S1341" i="1"/>
  <c r="T1341" i="1"/>
  <c r="K1341" i="1"/>
  <c r="Q1341" i="1" s="1"/>
  <c r="L1343" i="1"/>
  <c r="M1343" i="1"/>
  <c r="N1343" i="1"/>
  <c r="O1343" i="1"/>
  <c r="P1343" i="1"/>
  <c r="J1343" i="1"/>
  <c r="T1342" i="1"/>
  <c r="S1342" i="1"/>
  <c r="R1342" i="1"/>
  <c r="K1342" i="1"/>
  <c r="Q1342" i="1" s="1"/>
  <c r="T1340" i="1"/>
  <c r="S1340" i="1"/>
  <c r="R1340" i="1"/>
  <c r="Q1340" i="1"/>
  <c r="T1339" i="1"/>
  <c r="S1339" i="1"/>
  <c r="R1339" i="1"/>
  <c r="K1339" i="1"/>
  <c r="Q1339" i="1" s="1"/>
  <c r="K1336" i="1"/>
  <c r="Q1336" i="1" s="1"/>
  <c r="K1337" i="1"/>
  <c r="Q1337" i="1" s="1"/>
  <c r="K1335" i="1"/>
  <c r="Q1335" i="1" s="1"/>
  <c r="T1337" i="1"/>
  <c r="S1337" i="1"/>
  <c r="R1337" i="1"/>
  <c r="T1336" i="1"/>
  <c r="S1336" i="1"/>
  <c r="R1336" i="1"/>
  <c r="T1335" i="1"/>
  <c r="S1335" i="1"/>
  <c r="R1335" i="1"/>
  <c r="M1333" i="1"/>
  <c r="M1334" i="1" s="1"/>
  <c r="M1338" i="1" s="1"/>
  <c r="K1076" i="4"/>
  <c r="J1076" i="4"/>
  <c r="I1076" i="4"/>
  <c r="L1075" i="4"/>
  <c r="L1074" i="4"/>
  <c r="L1073" i="4"/>
  <c r="L1072" i="4"/>
  <c r="L1071" i="4"/>
  <c r="P1334" i="1"/>
  <c r="P1338" i="1" s="1"/>
  <c r="O1334" i="1"/>
  <c r="O1338" i="1" s="1"/>
  <c r="N1334" i="1"/>
  <c r="N1338" i="1" s="1"/>
  <c r="T1333" i="1"/>
  <c r="S1333" i="1"/>
  <c r="R1333" i="1"/>
  <c r="Q1333" i="1"/>
  <c r="T1332" i="1"/>
  <c r="S1332" i="1"/>
  <c r="R1332" i="1"/>
  <c r="Q1332" i="1"/>
  <c r="T1331" i="1"/>
  <c r="S1331" i="1"/>
  <c r="R1331" i="1"/>
  <c r="Q1331" i="1"/>
  <c r="J1330" i="1"/>
  <c r="J1329" i="1"/>
  <c r="L1334" i="1"/>
  <c r="L1338" i="1" s="1"/>
  <c r="J1328" i="1"/>
  <c r="Q1328" i="1" s="1"/>
  <c r="L1068" i="4"/>
  <c r="K1325" i="1"/>
  <c r="Q1325" i="1" s="1"/>
  <c r="K1326" i="1"/>
  <c r="Q1326" i="1" s="1"/>
  <c r="K1324" i="1"/>
  <c r="Q1324" i="1" s="1"/>
  <c r="L1066" i="4"/>
  <c r="L1067" i="4"/>
  <c r="L1069" i="4"/>
  <c r="K1070" i="4"/>
  <c r="J1070" i="4"/>
  <c r="I1070" i="4"/>
  <c r="L1065" i="4"/>
  <c r="K1319" i="1"/>
  <c r="Q1319" i="1" s="1"/>
  <c r="K1320" i="1"/>
  <c r="Q1320" i="1" s="1"/>
  <c r="K1321" i="1"/>
  <c r="Q1321" i="1" s="1"/>
  <c r="K1322" i="1"/>
  <c r="Q1322" i="1" s="1"/>
  <c r="K1318" i="1"/>
  <c r="Q1318" i="1" s="1"/>
  <c r="T1326" i="1"/>
  <c r="S1326" i="1"/>
  <c r="R1326" i="1"/>
  <c r="T1325" i="1"/>
  <c r="S1325" i="1"/>
  <c r="R1325" i="1"/>
  <c r="T1324" i="1"/>
  <c r="S1324" i="1"/>
  <c r="R1324" i="1"/>
  <c r="T1322" i="1"/>
  <c r="S1322" i="1"/>
  <c r="R1322" i="1"/>
  <c r="T1321" i="1"/>
  <c r="S1321" i="1"/>
  <c r="R1321" i="1"/>
  <c r="T1320" i="1"/>
  <c r="S1320" i="1"/>
  <c r="R1320" i="1"/>
  <c r="T1319" i="1"/>
  <c r="S1319" i="1"/>
  <c r="R1319" i="1"/>
  <c r="T1318" i="1"/>
  <c r="S1318" i="1"/>
  <c r="R1318" i="1"/>
  <c r="L1060" i="4"/>
  <c r="J1310" i="1"/>
  <c r="S1310" i="1" s="1"/>
  <c r="L1309" i="1"/>
  <c r="L1317" i="1" s="1"/>
  <c r="L1323" i="1" s="1"/>
  <c r="L1327" i="1" s="1"/>
  <c r="K1309" i="1"/>
  <c r="K1317" i="1" s="1"/>
  <c r="M1313" i="1"/>
  <c r="M1316" i="1"/>
  <c r="M1314" i="1"/>
  <c r="K1334" i="1"/>
  <c r="K1064" i="4"/>
  <c r="J1064" i="4"/>
  <c r="I1064" i="4"/>
  <c r="L1063" i="4"/>
  <c r="L1062" i="4"/>
  <c r="L1061" i="4"/>
  <c r="L1059" i="4"/>
  <c r="P1317" i="1"/>
  <c r="P1323" i="1" s="1"/>
  <c r="P1327" i="1" s="1"/>
  <c r="O1317" i="1"/>
  <c r="O1323" i="1" s="1"/>
  <c r="O1327" i="1" s="1"/>
  <c r="N1317" i="1"/>
  <c r="T1316" i="1"/>
  <c r="S1316" i="1"/>
  <c r="R1316" i="1"/>
  <c r="Q1316" i="1"/>
  <c r="T1315" i="1"/>
  <c r="S1315" i="1"/>
  <c r="R1315" i="1"/>
  <c r="Q1315" i="1"/>
  <c r="T1314" i="1"/>
  <c r="S1314" i="1"/>
  <c r="R1314" i="1"/>
  <c r="Q1314" i="1"/>
  <c r="T1313" i="1"/>
  <c r="S1313" i="1"/>
  <c r="R1313" i="1"/>
  <c r="Q1313" i="1"/>
  <c r="T1312" i="1"/>
  <c r="S1312" i="1"/>
  <c r="R1312" i="1"/>
  <c r="Q1312" i="1"/>
  <c r="J1311" i="1"/>
  <c r="P1308" i="1"/>
  <c r="O1308" i="1"/>
  <c r="N1308" i="1"/>
  <c r="M1308" i="1"/>
  <c r="T1307" i="1"/>
  <c r="S1307" i="1"/>
  <c r="R1307" i="1"/>
  <c r="Q1307" i="1"/>
  <c r="T1306" i="1"/>
  <c r="S1306" i="1"/>
  <c r="R1306" i="1"/>
  <c r="Q1306" i="1"/>
  <c r="T1305" i="1"/>
  <c r="S1305" i="1"/>
  <c r="R1305" i="1"/>
  <c r="Q1305" i="1"/>
  <c r="T1304" i="1"/>
  <c r="S1304" i="1"/>
  <c r="R1304" i="1"/>
  <c r="Q1304" i="1"/>
  <c r="T1303" i="1"/>
  <c r="S1303" i="1"/>
  <c r="R1303" i="1"/>
  <c r="Q1303" i="1"/>
  <c r="L1308" i="1"/>
  <c r="K1308" i="1"/>
  <c r="K1058" i="4"/>
  <c r="J1058" i="4"/>
  <c r="I1058" i="4"/>
  <c r="L1057" i="4"/>
  <c r="L1056" i="4"/>
  <c r="L1055" i="4"/>
  <c r="L1054" i="4"/>
  <c r="L1053" i="4"/>
  <c r="K992" i="4"/>
  <c r="J992" i="4"/>
  <c r="I992" i="4"/>
  <c r="L989" i="4"/>
  <c r="L990" i="4"/>
  <c r="L991" i="4"/>
  <c r="L988" i="4"/>
  <c r="L987" i="4"/>
  <c r="L986" i="4"/>
  <c r="L985" i="4"/>
  <c r="L984" i="4"/>
  <c r="Q1166" i="1"/>
  <c r="R1166" i="1"/>
  <c r="S1166" i="1"/>
  <c r="T1166" i="1"/>
  <c r="Q1167" i="1"/>
  <c r="R1167" i="1"/>
  <c r="S1167" i="1"/>
  <c r="T1167" i="1"/>
  <c r="K857" i="4"/>
  <c r="J857" i="4"/>
  <c r="I857" i="4"/>
  <c r="L1294" i="1"/>
  <c r="K1294" i="1"/>
  <c r="K1301" i="1" s="1"/>
  <c r="K1302" i="1" s="1"/>
  <c r="L1050" i="4"/>
  <c r="Q1298" i="1"/>
  <c r="R1298" i="1"/>
  <c r="S1298" i="1"/>
  <c r="T1298" i="1"/>
  <c r="L1049" i="4"/>
  <c r="K1052" i="4"/>
  <c r="J1052" i="4"/>
  <c r="I1052" i="4"/>
  <c r="L1051" i="4"/>
  <c r="L1048" i="4"/>
  <c r="L1047" i="4"/>
  <c r="L1046" i="4"/>
  <c r="L1045" i="4"/>
  <c r="P1301" i="1"/>
  <c r="P1302" i="1" s="1"/>
  <c r="O1301" i="1"/>
  <c r="O1302" i="1" s="1"/>
  <c r="N1301" i="1"/>
  <c r="N1302" i="1" s="1"/>
  <c r="M1301" i="1"/>
  <c r="M1302" i="1" s="1"/>
  <c r="T1300" i="1"/>
  <c r="S1300" i="1"/>
  <c r="R1300" i="1"/>
  <c r="Q1300" i="1"/>
  <c r="T1299" i="1"/>
  <c r="S1299" i="1"/>
  <c r="R1299" i="1"/>
  <c r="Q1299" i="1"/>
  <c r="T1297" i="1"/>
  <c r="S1297" i="1"/>
  <c r="R1297" i="1"/>
  <c r="Q1297" i="1"/>
  <c r="T1296" i="1"/>
  <c r="S1296" i="1"/>
  <c r="R1296" i="1"/>
  <c r="Q1296" i="1"/>
  <c r="J1295" i="1"/>
  <c r="T1295" i="1" s="1"/>
  <c r="K1291" i="1"/>
  <c r="P1293" i="1"/>
  <c r="O1293" i="1"/>
  <c r="N1293" i="1"/>
  <c r="M1293" i="1"/>
  <c r="T1292" i="1"/>
  <c r="S1292" i="1"/>
  <c r="R1292" i="1"/>
  <c r="Q1292" i="1"/>
  <c r="S1290" i="1"/>
  <c r="L1293" i="1"/>
  <c r="T1289" i="1"/>
  <c r="L1042" i="4"/>
  <c r="L1043" i="4"/>
  <c r="K1044" i="4"/>
  <c r="J1044" i="4"/>
  <c r="I1044" i="4"/>
  <c r="L1041" i="4"/>
  <c r="L1040" i="4"/>
  <c r="L1039" i="4"/>
  <c r="L1038" i="4"/>
  <c r="L1281" i="1"/>
  <c r="L1288" i="1" s="1"/>
  <c r="K1281" i="1"/>
  <c r="K1288" i="1" s="1"/>
  <c r="Q1286" i="1"/>
  <c r="R1286" i="1"/>
  <c r="S1286" i="1"/>
  <c r="T1286" i="1"/>
  <c r="L1032" i="4"/>
  <c r="K1037" i="4"/>
  <c r="J1037" i="4"/>
  <c r="I1037" i="4"/>
  <c r="L1036" i="4"/>
  <c r="L1034" i="4"/>
  <c r="L1033" i="4"/>
  <c r="L1031" i="4"/>
  <c r="J1283" i="1"/>
  <c r="J1282" i="1"/>
  <c r="Q1282" i="1" s="1"/>
  <c r="Q1289" i="1"/>
  <c r="R1291" i="1"/>
  <c r="S1291" i="1"/>
  <c r="R1289" i="1"/>
  <c r="T1290" i="1"/>
  <c r="J1293" i="1"/>
  <c r="S1289" i="1"/>
  <c r="Q1290" i="1"/>
  <c r="R1290" i="1"/>
  <c r="T1291" i="1"/>
  <c r="J1308" i="1"/>
  <c r="P1288" i="1"/>
  <c r="O1288" i="1"/>
  <c r="N1288" i="1"/>
  <c r="M1288" i="1"/>
  <c r="T1287" i="1"/>
  <c r="S1287" i="1"/>
  <c r="R1287" i="1"/>
  <c r="Q1287" i="1"/>
  <c r="T1285" i="1"/>
  <c r="S1285" i="1"/>
  <c r="R1285" i="1"/>
  <c r="Q1285" i="1"/>
  <c r="T1284" i="1"/>
  <c r="S1284" i="1"/>
  <c r="R1284" i="1"/>
  <c r="Q1284" i="1"/>
  <c r="K1277" i="1"/>
  <c r="K1273" i="1"/>
  <c r="K1271" i="1"/>
  <c r="Q1271" i="1" s="1"/>
  <c r="P1280" i="1"/>
  <c r="O1280" i="1"/>
  <c r="N1280" i="1"/>
  <c r="L1280" i="1"/>
  <c r="J1280" i="1"/>
  <c r="T1279" i="1"/>
  <c r="S1279" i="1"/>
  <c r="R1279" i="1"/>
  <c r="Q1279" i="1"/>
  <c r="T1278" i="1"/>
  <c r="S1278" i="1"/>
  <c r="R1278" i="1"/>
  <c r="Q1278" i="1"/>
  <c r="M1280" i="1"/>
  <c r="T1277" i="1"/>
  <c r="S1277" i="1"/>
  <c r="R1277" i="1"/>
  <c r="T1276" i="1"/>
  <c r="S1276" i="1"/>
  <c r="R1276" i="1"/>
  <c r="Q1276" i="1"/>
  <c r="R1271" i="1"/>
  <c r="S1271" i="1"/>
  <c r="T1271" i="1"/>
  <c r="O1275" i="1"/>
  <c r="J1275" i="1"/>
  <c r="P1275" i="1"/>
  <c r="T1274" i="1"/>
  <c r="S1274" i="1"/>
  <c r="R1274" i="1"/>
  <c r="Q1274" i="1"/>
  <c r="T1273" i="1"/>
  <c r="S1273" i="1"/>
  <c r="R1273" i="1"/>
  <c r="T1272" i="1"/>
  <c r="S1272" i="1"/>
  <c r="R1272" i="1"/>
  <c r="Q1272" i="1"/>
  <c r="L1027" i="4"/>
  <c r="L1026" i="4"/>
  <c r="K1030" i="4"/>
  <c r="J1030" i="4"/>
  <c r="I1030" i="4"/>
  <c r="L1029" i="4"/>
  <c r="L1028" i="4"/>
  <c r="L1025" i="4"/>
  <c r="M1269" i="1"/>
  <c r="M1268" i="1"/>
  <c r="L1264" i="1"/>
  <c r="L1270" i="1" s="1"/>
  <c r="K1024" i="4"/>
  <c r="J1024" i="4"/>
  <c r="I1024" i="4"/>
  <c r="L1023" i="4"/>
  <c r="L1022" i="4"/>
  <c r="L1021" i="4"/>
  <c r="L1020" i="4"/>
  <c r="P1270" i="1"/>
  <c r="O1270" i="1"/>
  <c r="N1270" i="1"/>
  <c r="K1270" i="1"/>
  <c r="T1269" i="1"/>
  <c r="S1269" i="1"/>
  <c r="R1269" i="1"/>
  <c r="Q1269" i="1"/>
  <c r="T1268" i="1"/>
  <c r="S1268" i="1"/>
  <c r="R1268" i="1"/>
  <c r="Q1268" i="1"/>
  <c r="T1267" i="1"/>
  <c r="S1267" i="1"/>
  <c r="R1267" i="1"/>
  <c r="Q1267" i="1"/>
  <c r="T1266" i="1"/>
  <c r="S1266" i="1"/>
  <c r="R1266" i="1"/>
  <c r="Q1266" i="1"/>
  <c r="J1265" i="1"/>
  <c r="K1019" i="4"/>
  <c r="J1019" i="4"/>
  <c r="I1019" i="4"/>
  <c r="L1018" i="4"/>
  <c r="L1017" i="4"/>
  <c r="L1016" i="4"/>
  <c r="L1015" i="4"/>
  <c r="L1014" i="4"/>
  <c r="L1013" i="4"/>
  <c r="L1012" i="4"/>
  <c r="L1011" i="4"/>
  <c r="J1257" i="1"/>
  <c r="J1258" i="1"/>
  <c r="T1258" i="1" s="1"/>
  <c r="P1263" i="1"/>
  <c r="O1263" i="1"/>
  <c r="N1263" i="1"/>
  <c r="L1263" i="1"/>
  <c r="K1263" i="1"/>
  <c r="T1262" i="1"/>
  <c r="S1262" i="1"/>
  <c r="R1262" i="1"/>
  <c r="Q1262" i="1"/>
  <c r="T1261" i="1"/>
  <c r="S1261" i="1"/>
  <c r="R1261" i="1"/>
  <c r="Q1261" i="1"/>
  <c r="T1260" i="1"/>
  <c r="S1260" i="1"/>
  <c r="R1260" i="1"/>
  <c r="Q1260" i="1"/>
  <c r="T1259" i="1"/>
  <c r="S1259" i="1"/>
  <c r="R1259" i="1"/>
  <c r="Q1259" i="1"/>
  <c r="M1263" i="1"/>
  <c r="J1256" i="1"/>
  <c r="T1256" i="1" s="1"/>
  <c r="J1255" i="1"/>
  <c r="T1255" i="1" s="1"/>
  <c r="L1008" i="4"/>
  <c r="K1010" i="4"/>
  <c r="J1010" i="4"/>
  <c r="I1010" i="4"/>
  <c r="L1009" i="4"/>
  <c r="L1007" i="4"/>
  <c r="L1006" i="4"/>
  <c r="L1005" i="4"/>
  <c r="L1004" i="4"/>
  <c r="L1254" i="1"/>
  <c r="M1254" i="1"/>
  <c r="N1254" i="1"/>
  <c r="O1254" i="1"/>
  <c r="P1254" i="1"/>
  <c r="L1249" i="1"/>
  <c r="M1249" i="1"/>
  <c r="N1249" i="1"/>
  <c r="O1249" i="1"/>
  <c r="P1249" i="1"/>
  <c r="J1254" i="1"/>
  <c r="T1253" i="1"/>
  <c r="S1253" i="1"/>
  <c r="R1253" i="1"/>
  <c r="K1253" i="1"/>
  <c r="T1252" i="1"/>
  <c r="S1252" i="1"/>
  <c r="R1252" i="1"/>
  <c r="K1252" i="1"/>
  <c r="Q1252" i="1" s="1"/>
  <c r="T1251" i="1"/>
  <c r="S1251" i="1"/>
  <c r="R1251" i="1"/>
  <c r="K1251" i="1"/>
  <c r="Q1251" i="1" s="1"/>
  <c r="T1250" i="1"/>
  <c r="S1250" i="1"/>
  <c r="R1250" i="1"/>
  <c r="K1250" i="1"/>
  <c r="Q1250" i="1" s="1"/>
  <c r="J1249" i="1"/>
  <c r="T1248" i="1"/>
  <c r="S1248" i="1"/>
  <c r="R1248" i="1"/>
  <c r="K1248" i="1"/>
  <c r="Q1248" i="1" s="1"/>
  <c r="T1247" i="1"/>
  <c r="S1247" i="1"/>
  <c r="R1247" i="1"/>
  <c r="K1247" i="1"/>
  <c r="Q1247" i="1" s="1"/>
  <c r="T1246" i="1"/>
  <c r="S1246" i="1"/>
  <c r="R1246" i="1"/>
  <c r="K1246" i="1"/>
  <c r="Q1246" i="1" s="1"/>
  <c r="T1245" i="1"/>
  <c r="S1245" i="1"/>
  <c r="R1245" i="1"/>
  <c r="K1245" i="1"/>
  <c r="Q1245" i="1" s="1"/>
  <c r="T1244" i="1"/>
  <c r="S1244" i="1"/>
  <c r="R1244" i="1"/>
  <c r="K1244" i="1"/>
  <c r="Q1244" i="1" s="1"/>
  <c r="M1239" i="1"/>
  <c r="M1242" i="1"/>
  <c r="K1003" i="4"/>
  <c r="J1003" i="4"/>
  <c r="I1003" i="4"/>
  <c r="L1002" i="4"/>
  <c r="L1001" i="4"/>
  <c r="L1000" i="4"/>
  <c r="L999" i="4"/>
  <c r="P1243" i="1"/>
  <c r="O1243" i="1"/>
  <c r="N1243" i="1"/>
  <c r="L1243" i="1"/>
  <c r="K1243" i="1"/>
  <c r="T1242" i="1"/>
  <c r="S1242" i="1"/>
  <c r="R1242" i="1"/>
  <c r="Q1242" i="1"/>
  <c r="T1241" i="1"/>
  <c r="S1241" i="1"/>
  <c r="R1241" i="1"/>
  <c r="Q1241" i="1"/>
  <c r="T1240" i="1"/>
  <c r="S1240" i="1"/>
  <c r="R1240" i="1"/>
  <c r="Q1240" i="1"/>
  <c r="T1239" i="1"/>
  <c r="S1238" i="1"/>
  <c r="Q1237" i="1"/>
  <c r="J1236" i="1"/>
  <c r="J1235" i="1"/>
  <c r="J998" i="4"/>
  <c r="K998" i="4"/>
  <c r="I998" i="4"/>
  <c r="L995" i="4"/>
  <c r="L996" i="4"/>
  <c r="L997" i="4"/>
  <c r="L994" i="4"/>
  <c r="L993" i="4"/>
  <c r="K1229" i="1"/>
  <c r="Q1229" i="1" s="1"/>
  <c r="R1229" i="1"/>
  <c r="S1229" i="1"/>
  <c r="T1229" i="1"/>
  <c r="P1234" i="1"/>
  <c r="O1234" i="1"/>
  <c r="N1234" i="1"/>
  <c r="M1234" i="1"/>
  <c r="L1234" i="1"/>
  <c r="J1234" i="1"/>
  <c r="T1233" i="1"/>
  <c r="S1233" i="1"/>
  <c r="R1233" i="1"/>
  <c r="K1233" i="1"/>
  <c r="Q1233" i="1" s="1"/>
  <c r="T1232" i="1"/>
  <c r="S1232" i="1"/>
  <c r="R1232" i="1"/>
  <c r="K1232" i="1"/>
  <c r="Q1232" i="1" s="1"/>
  <c r="T1231" i="1"/>
  <c r="S1231" i="1"/>
  <c r="R1231" i="1"/>
  <c r="K1231" i="1"/>
  <c r="Q1231" i="1" s="1"/>
  <c r="T1230" i="1"/>
  <c r="S1230" i="1"/>
  <c r="R1230" i="1"/>
  <c r="K1230" i="1"/>
  <c r="Q1230" i="1" s="1"/>
  <c r="T1228" i="1"/>
  <c r="S1228" i="1"/>
  <c r="R1228" i="1"/>
  <c r="K1228" i="1"/>
  <c r="Q1228" i="1" s="1"/>
  <c r="P1227" i="1"/>
  <c r="O1227" i="1"/>
  <c r="N1227" i="1"/>
  <c r="M1227" i="1"/>
  <c r="L1227" i="1"/>
  <c r="J1227" i="1"/>
  <c r="T1226" i="1"/>
  <c r="S1226" i="1"/>
  <c r="R1226" i="1"/>
  <c r="K1226" i="1"/>
  <c r="Q1226" i="1" s="1"/>
  <c r="P1225" i="1"/>
  <c r="O1225" i="1"/>
  <c r="N1225" i="1"/>
  <c r="M1225" i="1"/>
  <c r="L1225" i="1"/>
  <c r="J1225" i="1"/>
  <c r="T1224" i="1"/>
  <c r="S1224" i="1"/>
  <c r="R1224" i="1"/>
  <c r="K1224" i="1"/>
  <c r="T1223" i="1"/>
  <c r="S1223" i="1"/>
  <c r="R1223" i="1"/>
  <c r="K1223" i="1"/>
  <c r="Q1223" i="1" s="1"/>
  <c r="T1222" i="1"/>
  <c r="S1222" i="1"/>
  <c r="R1222" i="1"/>
  <c r="K1222" i="1"/>
  <c r="Q1222" i="1" s="1"/>
  <c r="K983" i="4"/>
  <c r="J983" i="4"/>
  <c r="I983" i="4"/>
  <c r="L982" i="4"/>
  <c r="L981" i="4"/>
  <c r="L980" i="4"/>
  <c r="L979" i="4"/>
  <c r="L978" i="4"/>
  <c r="P1221" i="1"/>
  <c r="L1221" i="1"/>
  <c r="M1221" i="1"/>
  <c r="N1221" i="1"/>
  <c r="O1221" i="1"/>
  <c r="J1221" i="1"/>
  <c r="T1220" i="1"/>
  <c r="S1220" i="1"/>
  <c r="R1220" i="1"/>
  <c r="K1220" i="1"/>
  <c r="K1212" i="1"/>
  <c r="K1211" i="1"/>
  <c r="Q1211" i="1" s="1"/>
  <c r="R1216" i="1"/>
  <c r="S1216" i="1"/>
  <c r="T1216" i="1"/>
  <c r="K1215" i="1"/>
  <c r="Q1215" i="1" s="1"/>
  <c r="K1216" i="1"/>
  <c r="Q1216" i="1" s="1"/>
  <c r="K1217" i="1"/>
  <c r="Q1217" i="1" s="1"/>
  <c r="K1218" i="1"/>
  <c r="Q1218" i="1" s="1"/>
  <c r="K1214" i="1"/>
  <c r="R1215" i="1"/>
  <c r="S1215" i="1"/>
  <c r="T1215" i="1"/>
  <c r="L1219" i="1"/>
  <c r="M1219" i="1"/>
  <c r="N1219" i="1"/>
  <c r="O1219" i="1"/>
  <c r="P1219" i="1"/>
  <c r="J1219" i="1"/>
  <c r="L1213" i="1"/>
  <c r="M1213" i="1"/>
  <c r="N1213" i="1"/>
  <c r="O1213" i="1"/>
  <c r="P1213" i="1"/>
  <c r="T1218" i="1"/>
  <c r="S1218" i="1"/>
  <c r="R1218" i="1"/>
  <c r="T1217" i="1"/>
  <c r="S1217" i="1"/>
  <c r="R1217" i="1"/>
  <c r="T1214" i="1"/>
  <c r="S1214" i="1"/>
  <c r="R1214" i="1"/>
  <c r="T1212" i="1"/>
  <c r="S1212" i="1"/>
  <c r="R1212" i="1"/>
  <c r="T1211" i="1"/>
  <c r="L976" i="4"/>
  <c r="K977" i="4"/>
  <c r="J977" i="4"/>
  <c r="I977" i="4"/>
  <c r="K1210" i="1"/>
  <c r="L1210" i="1"/>
  <c r="N1210" i="1"/>
  <c r="O1210" i="1"/>
  <c r="P1210" i="1"/>
  <c r="Q1209" i="1"/>
  <c r="R1209" i="1"/>
  <c r="S1209" i="1"/>
  <c r="T1209" i="1"/>
  <c r="L972" i="4"/>
  <c r="J1205" i="1"/>
  <c r="M1208" i="1"/>
  <c r="M1210" i="1" s="1"/>
  <c r="Q1208" i="1"/>
  <c r="R1208" i="1"/>
  <c r="S1208" i="1"/>
  <c r="T1208" i="1"/>
  <c r="L975" i="4"/>
  <c r="L974" i="4"/>
  <c r="L973" i="4"/>
  <c r="L971" i="4"/>
  <c r="L970" i="4"/>
  <c r="L969" i="4"/>
  <c r="L968" i="4"/>
  <c r="T1207" i="1"/>
  <c r="S1207" i="1"/>
  <c r="R1207" i="1"/>
  <c r="Q1207" i="1"/>
  <c r="T1206" i="1"/>
  <c r="S1206" i="1"/>
  <c r="R1206" i="1"/>
  <c r="Q1206" i="1"/>
  <c r="J1204" i="1"/>
  <c r="T1204" i="1" s="1"/>
  <c r="J1203" i="1"/>
  <c r="S1203" i="1" s="1"/>
  <c r="J1202" i="1"/>
  <c r="J1201" i="1"/>
  <c r="T1201" i="1" s="1"/>
  <c r="L961" i="4"/>
  <c r="L962" i="4"/>
  <c r="L963" i="4"/>
  <c r="L964" i="4"/>
  <c r="L965" i="4"/>
  <c r="L966" i="4"/>
  <c r="K967" i="4"/>
  <c r="J967" i="4"/>
  <c r="I967" i="4"/>
  <c r="L960" i="4"/>
  <c r="L1200" i="1"/>
  <c r="M1200" i="1"/>
  <c r="N1200" i="1"/>
  <c r="O1200" i="1"/>
  <c r="P1200" i="1"/>
  <c r="K1198" i="1"/>
  <c r="Q1198" i="1" s="1"/>
  <c r="R1198" i="1"/>
  <c r="S1198" i="1"/>
  <c r="T1198" i="1"/>
  <c r="R1196" i="1"/>
  <c r="S1196" i="1"/>
  <c r="T1196" i="1"/>
  <c r="R1197" i="1"/>
  <c r="S1197" i="1"/>
  <c r="T1197" i="1"/>
  <c r="R1199" i="1"/>
  <c r="S1199" i="1"/>
  <c r="T1199" i="1"/>
  <c r="K1196" i="1"/>
  <c r="Q1196" i="1" s="1"/>
  <c r="K1197" i="1"/>
  <c r="Q1197" i="1" s="1"/>
  <c r="K1199" i="1"/>
  <c r="Q1199" i="1" s="1"/>
  <c r="K1195" i="1"/>
  <c r="K1193" i="1"/>
  <c r="Q1193" i="1" s="1"/>
  <c r="K1192" i="1"/>
  <c r="J1200" i="1"/>
  <c r="T1195" i="1"/>
  <c r="S1195" i="1"/>
  <c r="R1195" i="1"/>
  <c r="P1194" i="1"/>
  <c r="O1194" i="1"/>
  <c r="N1194" i="1"/>
  <c r="M1194" i="1"/>
  <c r="L1194" i="1"/>
  <c r="T1193" i="1"/>
  <c r="S1193" i="1"/>
  <c r="R1193" i="1"/>
  <c r="T1192" i="1"/>
  <c r="S1192" i="1"/>
  <c r="R1192" i="1"/>
  <c r="K959" i="4"/>
  <c r="J959" i="4"/>
  <c r="I959" i="4"/>
  <c r="L958" i="4"/>
  <c r="L957" i="4"/>
  <c r="L956" i="4"/>
  <c r="L955" i="4"/>
  <c r="L954" i="4"/>
  <c r="L953" i="4"/>
  <c r="L952" i="4"/>
  <c r="L951" i="4"/>
  <c r="P1191" i="1"/>
  <c r="O1191" i="1"/>
  <c r="N1191" i="1"/>
  <c r="M1191" i="1"/>
  <c r="L1191" i="1"/>
  <c r="K1191" i="1"/>
  <c r="T1190" i="1"/>
  <c r="S1190" i="1"/>
  <c r="R1190" i="1"/>
  <c r="Q1190" i="1"/>
  <c r="T1189" i="1"/>
  <c r="S1189" i="1"/>
  <c r="R1189" i="1"/>
  <c r="Q1189" i="1"/>
  <c r="T1188" i="1"/>
  <c r="S1188" i="1"/>
  <c r="R1188" i="1"/>
  <c r="Q1188" i="1"/>
  <c r="T1187" i="1"/>
  <c r="S1187" i="1"/>
  <c r="R1187" i="1"/>
  <c r="Q1187" i="1"/>
  <c r="J1186" i="1"/>
  <c r="T1186" i="1" s="1"/>
  <c r="J1185" i="1"/>
  <c r="S1185" i="1" s="1"/>
  <c r="J1184" i="1"/>
  <c r="R1184" i="1" s="1"/>
  <c r="J1183" i="1"/>
  <c r="Q1183" i="1" s="1"/>
  <c r="L945" i="4"/>
  <c r="L948" i="4"/>
  <c r="K1178" i="1"/>
  <c r="Q1178" i="1" s="1"/>
  <c r="J1173" i="1"/>
  <c r="J1174" i="1" s="1"/>
  <c r="L1275" i="1"/>
  <c r="N1275" i="1"/>
  <c r="M1275" i="1"/>
  <c r="R1237" i="1"/>
  <c r="T1237" i="1"/>
  <c r="S1237" i="1"/>
  <c r="T1238" i="1"/>
  <c r="R1239" i="1"/>
  <c r="Q1238" i="1"/>
  <c r="S1239" i="1"/>
  <c r="Q1239" i="1"/>
  <c r="R1238" i="1"/>
  <c r="J1213" i="1"/>
  <c r="R1211" i="1"/>
  <c r="S1211" i="1"/>
  <c r="J1194" i="1"/>
  <c r="L1182" i="1"/>
  <c r="M1182" i="1"/>
  <c r="N1182" i="1"/>
  <c r="O1182" i="1"/>
  <c r="P1182" i="1"/>
  <c r="J1182" i="1"/>
  <c r="T1181" i="1"/>
  <c r="S1181" i="1"/>
  <c r="R1181" i="1"/>
  <c r="K1181" i="1"/>
  <c r="K950" i="4"/>
  <c r="J950" i="4"/>
  <c r="I950" i="4"/>
  <c r="L949" i="4"/>
  <c r="L947" i="4"/>
  <c r="L946" i="4"/>
  <c r="L944" i="4"/>
  <c r="L943" i="4"/>
  <c r="L942" i="4"/>
  <c r="K1176" i="1"/>
  <c r="Q1176" i="1" s="1"/>
  <c r="K1177" i="1"/>
  <c r="Q1177" i="1" s="1"/>
  <c r="R1177" i="1"/>
  <c r="S1177" i="1"/>
  <c r="T1177" i="1"/>
  <c r="R1178" i="1"/>
  <c r="S1178" i="1"/>
  <c r="T1178" i="1"/>
  <c r="J1179" i="1"/>
  <c r="S1179" i="1" s="1"/>
  <c r="L1180" i="1"/>
  <c r="M1180" i="1"/>
  <c r="N1180" i="1"/>
  <c r="O1180" i="1"/>
  <c r="P1180" i="1"/>
  <c r="K1175" i="1"/>
  <c r="Q1175" i="1" s="1"/>
  <c r="K1172" i="1"/>
  <c r="K1171" i="1"/>
  <c r="Q1171" i="1" s="1"/>
  <c r="T1176" i="1"/>
  <c r="S1176" i="1"/>
  <c r="R1176" i="1"/>
  <c r="T1175" i="1"/>
  <c r="S1175" i="1"/>
  <c r="R1175" i="1"/>
  <c r="P1174" i="1"/>
  <c r="O1174" i="1"/>
  <c r="N1174" i="1"/>
  <c r="M1174" i="1"/>
  <c r="L1174" i="1"/>
  <c r="T1172" i="1"/>
  <c r="S1172" i="1"/>
  <c r="R1172" i="1"/>
  <c r="T1171" i="1"/>
  <c r="S1171" i="1"/>
  <c r="R1171" i="1"/>
  <c r="L939" i="4"/>
  <c r="Q1168" i="1"/>
  <c r="R1168" i="1"/>
  <c r="S1168" i="1"/>
  <c r="T1168" i="1"/>
  <c r="L938" i="4"/>
  <c r="K941" i="4"/>
  <c r="J941" i="4"/>
  <c r="I941" i="4"/>
  <c r="L940" i="4"/>
  <c r="L937" i="4"/>
  <c r="L936" i="4"/>
  <c r="L935" i="4"/>
  <c r="L934" i="4"/>
  <c r="L933" i="4"/>
  <c r="P1170" i="1"/>
  <c r="O1170" i="1"/>
  <c r="N1170" i="1"/>
  <c r="L1170" i="1"/>
  <c r="K1170" i="1"/>
  <c r="T1169" i="1"/>
  <c r="S1169" i="1"/>
  <c r="R1169" i="1"/>
  <c r="Q1169" i="1"/>
  <c r="M1170" i="1"/>
  <c r="J1165" i="1"/>
  <c r="R1165" i="1" s="1"/>
  <c r="J1164" i="1"/>
  <c r="T1164" i="1" s="1"/>
  <c r="J1163" i="1"/>
  <c r="Q1163" i="1" s="1"/>
  <c r="J1162" i="1"/>
  <c r="L926" i="4"/>
  <c r="L927" i="4"/>
  <c r="L929" i="4"/>
  <c r="L930" i="4"/>
  <c r="L931" i="4"/>
  <c r="K932" i="4"/>
  <c r="J932" i="4"/>
  <c r="I932" i="4"/>
  <c r="L928" i="4"/>
  <c r="L925" i="4"/>
  <c r="K1158" i="1"/>
  <c r="K1159" i="1"/>
  <c r="Q1159" i="1" s="1"/>
  <c r="K1160" i="1"/>
  <c r="Q1160" i="1" s="1"/>
  <c r="K1157" i="1"/>
  <c r="Q1157" i="1" s="1"/>
  <c r="P1161" i="1"/>
  <c r="O1161" i="1"/>
  <c r="N1161" i="1"/>
  <c r="L1161" i="1"/>
  <c r="M1161" i="1"/>
  <c r="T1159" i="1"/>
  <c r="T1158" i="1"/>
  <c r="R1157" i="1"/>
  <c r="P1156" i="1"/>
  <c r="O1156" i="1"/>
  <c r="N1156" i="1"/>
  <c r="L1156" i="1"/>
  <c r="M1156" i="1"/>
  <c r="M1151" i="1"/>
  <c r="M1153" i="1" s="1"/>
  <c r="L921" i="4"/>
  <c r="J1150" i="1"/>
  <c r="Q1150" i="1" s="1"/>
  <c r="L922" i="4"/>
  <c r="J1148" i="1"/>
  <c r="S1148" i="1" s="1"/>
  <c r="J1149" i="1"/>
  <c r="T1149" i="1" s="1"/>
  <c r="T1152" i="1"/>
  <c r="J1147" i="1"/>
  <c r="K924" i="4"/>
  <c r="J924" i="4"/>
  <c r="I924" i="4"/>
  <c r="L923" i="4"/>
  <c r="L920" i="4"/>
  <c r="L919" i="4"/>
  <c r="L918" i="4"/>
  <c r="P1153" i="1"/>
  <c r="O1153" i="1"/>
  <c r="N1153" i="1"/>
  <c r="L1153" i="1"/>
  <c r="K1153" i="1"/>
  <c r="R1152" i="1"/>
  <c r="Q1152" i="1"/>
  <c r="L915" i="4"/>
  <c r="L911" i="4"/>
  <c r="L912" i="4"/>
  <c r="L913" i="4"/>
  <c r="P1146" i="1"/>
  <c r="O1146" i="1"/>
  <c r="N1146" i="1"/>
  <c r="M1146" i="1"/>
  <c r="L1146" i="1"/>
  <c r="J1146" i="1"/>
  <c r="T1145" i="1"/>
  <c r="S1145" i="1"/>
  <c r="R1145" i="1"/>
  <c r="K1145" i="1"/>
  <c r="T1144" i="1"/>
  <c r="S1144" i="1"/>
  <c r="R1144" i="1"/>
  <c r="K1144" i="1"/>
  <c r="Q1144" i="1" s="1"/>
  <c r="T1143" i="1"/>
  <c r="S1143" i="1"/>
  <c r="R1143" i="1"/>
  <c r="K1143" i="1"/>
  <c r="Q1143" i="1" s="1"/>
  <c r="T1142" i="1"/>
  <c r="S1142" i="1"/>
  <c r="R1142" i="1"/>
  <c r="K1142" i="1"/>
  <c r="Q1142" i="1" s="1"/>
  <c r="S1157" i="1"/>
  <c r="T1157" i="1"/>
  <c r="R1159" i="1"/>
  <c r="S1159" i="1"/>
  <c r="J1161" i="1"/>
  <c r="R1158" i="1"/>
  <c r="S1158" i="1"/>
  <c r="S1152" i="1"/>
  <c r="T1160" i="1"/>
  <c r="S1160" i="1"/>
  <c r="R1160" i="1"/>
  <c r="K917" i="4"/>
  <c r="J917" i="4"/>
  <c r="I917" i="4"/>
  <c r="L916" i="4"/>
  <c r="L914" i="4"/>
  <c r="L910" i="4"/>
  <c r="L909" i="4"/>
  <c r="K1140" i="1"/>
  <c r="Q1140" i="1" s="1"/>
  <c r="P1141" i="1"/>
  <c r="O1141" i="1"/>
  <c r="N1141" i="1"/>
  <c r="L1141" i="1"/>
  <c r="T1140" i="1"/>
  <c r="S1140" i="1"/>
  <c r="R1140" i="1"/>
  <c r="M1141" i="1"/>
  <c r="M1136" i="1"/>
  <c r="M1138" i="1" s="1"/>
  <c r="J1132" i="1"/>
  <c r="S1132" i="1" s="1"/>
  <c r="J1133" i="1"/>
  <c r="T1133" i="1" s="1"/>
  <c r="J1134" i="1"/>
  <c r="Q1136" i="1"/>
  <c r="R1136" i="1"/>
  <c r="S1136" i="1"/>
  <c r="T1136" i="1"/>
  <c r="L906" i="4"/>
  <c r="P1138" i="1"/>
  <c r="O1138" i="1"/>
  <c r="N1138" i="1"/>
  <c r="L1138" i="1"/>
  <c r="K1138" i="1"/>
  <c r="T1137" i="1"/>
  <c r="S1137" i="1"/>
  <c r="R1137" i="1"/>
  <c r="Q1137" i="1"/>
  <c r="T1135" i="1"/>
  <c r="S1135" i="1"/>
  <c r="R1135" i="1"/>
  <c r="Q1135" i="1"/>
  <c r="L905" i="4"/>
  <c r="K908" i="4"/>
  <c r="J908" i="4"/>
  <c r="I908" i="4"/>
  <c r="L907" i="4"/>
  <c r="L904" i="4"/>
  <c r="L903" i="4"/>
  <c r="L902" i="4"/>
  <c r="K901" i="4"/>
  <c r="J901" i="4"/>
  <c r="I901" i="4"/>
  <c r="L900" i="4"/>
  <c r="L899" i="4"/>
  <c r="L898" i="4"/>
  <c r="L897" i="4"/>
  <c r="M1130" i="1"/>
  <c r="M1131" i="1" s="1"/>
  <c r="J1127" i="1"/>
  <c r="S1127" i="1" s="1"/>
  <c r="J1128" i="1"/>
  <c r="S1128" i="1" s="1"/>
  <c r="J1126" i="1"/>
  <c r="Q1129" i="1"/>
  <c r="R1129" i="1"/>
  <c r="S1129" i="1"/>
  <c r="T1129" i="1"/>
  <c r="P1131" i="1"/>
  <c r="O1131" i="1"/>
  <c r="N1131" i="1"/>
  <c r="L1131" i="1"/>
  <c r="K1131" i="1"/>
  <c r="T1130" i="1"/>
  <c r="K896" i="4"/>
  <c r="J896" i="4"/>
  <c r="I896" i="4"/>
  <c r="L895" i="4"/>
  <c r="L894" i="4"/>
  <c r="L893" i="4"/>
  <c r="K1123" i="1"/>
  <c r="K1121" i="1"/>
  <c r="Q1121" i="1" s="1"/>
  <c r="P1125" i="1"/>
  <c r="O1125" i="1"/>
  <c r="N1125" i="1"/>
  <c r="M1125" i="1"/>
  <c r="L1125" i="1"/>
  <c r="T1124" i="1"/>
  <c r="S1124" i="1"/>
  <c r="R1124" i="1"/>
  <c r="Q1124" i="1"/>
  <c r="S1123" i="1"/>
  <c r="S1122" i="1"/>
  <c r="Q1122" i="1"/>
  <c r="S1121" i="1"/>
  <c r="S1120" i="1"/>
  <c r="R1120" i="1"/>
  <c r="Q1120" i="1"/>
  <c r="J1116" i="1"/>
  <c r="K892" i="4"/>
  <c r="J892" i="4"/>
  <c r="I892" i="4"/>
  <c r="L891" i="4"/>
  <c r="L890" i="4"/>
  <c r="L889" i="4"/>
  <c r="L888" i="4"/>
  <c r="L887" i="4"/>
  <c r="L886" i="4"/>
  <c r="P1119" i="1"/>
  <c r="O1119" i="1"/>
  <c r="N1119" i="1"/>
  <c r="M1119" i="1"/>
  <c r="L1119" i="1"/>
  <c r="K1119" i="1"/>
  <c r="T1118" i="1"/>
  <c r="S1118" i="1"/>
  <c r="R1118" i="1"/>
  <c r="Q1118" i="1"/>
  <c r="R1117" i="1"/>
  <c r="J1115" i="1"/>
  <c r="S1115" i="1" s="1"/>
  <c r="J1114" i="1"/>
  <c r="Q1114" i="1" s="1"/>
  <c r="J1113" i="1"/>
  <c r="K885" i="4"/>
  <c r="J885" i="4"/>
  <c r="I885" i="4"/>
  <c r="L884" i="4"/>
  <c r="L883" i="4"/>
  <c r="L882" i="4"/>
  <c r="L881" i="4"/>
  <c r="L880" i="4"/>
  <c r="L879" i="4"/>
  <c r="K1110" i="1"/>
  <c r="Q1110" i="1" s="1"/>
  <c r="K1109" i="1"/>
  <c r="Q1109" i="1" s="1"/>
  <c r="K1107" i="1"/>
  <c r="Q1130" i="1"/>
  <c r="R1130" i="1"/>
  <c r="S1130" i="1"/>
  <c r="R1122" i="1"/>
  <c r="T1121" i="1"/>
  <c r="T1123" i="1"/>
  <c r="T1120" i="1"/>
  <c r="R1121" i="1"/>
  <c r="T1122" i="1"/>
  <c r="R1123" i="1"/>
  <c r="J1125" i="1"/>
  <c r="S1117" i="1"/>
  <c r="T1117" i="1"/>
  <c r="Q1117" i="1"/>
  <c r="P1112" i="1"/>
  <c r="O1112" i="1"/>
  <c r="N1112" i="1"/>
  <c r="M1112" i="1"/>
  <c r="L1112" i="1"/>
  <c r="J1112" i="1"/>
  <c r="T1111" i="1"/>
  <c r="S1111" i="1"/>
  <c r="R1111" i="1"/>
  <c r="Q1111" i="1"/>
  <c r="T1110" i="1"/>
  <c r="S1110" i="1"/>
  <c r="R1110" i="1"/>
  <c r="T1109" i="1"/>
  <c r="S1109" i="1"/>
  <c r="R1109" i="1"/>
  <c r="T1108" i="1"/>
  <c r="S1108" i="1"/>
  <c r="R1108" i="1"/>
  <c r="Q1108" i="1"/>
  <c r="T1107" i="1"/>
  <c r="S1107" i="1"/>
  <c r="R1107" i="1"/>
  <c r="J1099" i="1"/>
  <c r="J1100" i="1"/>
  <c r="S1100" i="1" s="1"/>
  <c r="L875" i="4"/>
  <c r="L876" i="4"/>
  <c r="L877" i="4"/>
  <c r="K878" i="4"/>
  <c r="J878" i="4"/>
  <c r="I878" i="4"/>
  <c r="L874" i="4"/>
  <c r="L873" i="4"/>
  <c r="L872" i="4"/>
  <c r="L871" i="4"/>
  <c r="Q1102" i="1"/>
  <c r="R1102" i="1"/>
  <c r="S1102" i="1"/>
  <c r="T1102" i="1"/>
  <c r="Q1103" i="1"/>
  <c r="R1103" i="1"/>
  <c r="S1103" i="1"/>
  <c r="T1103" i="1"/>
  <c r="Q1104" i="1"/>
  <c r="R1104" i="1"/>
  <c r="S1104" i="1"/>
  <c r="T1104" i="1"/>
  <c r="Q1105" i="1"/>
  <c r="R1105" i="1"/>
  <c r="S1105" i="1"/>
  <c r="T1105" i="1"/>
  <c r="P1106" i="1"/>
  <c r="O1106" i="1"/>
  <c r="N1106" i="1"/>
  <c r="M1106" i="1"/>
  <c r="L1106" i="1"/>
  <c r="T1101" i="1"/>
  <c r="S1101" i="1"/>
  <c r="R1101" i="1"/>
  <c r="Q1101" i="1"/>
  <c r="J1098" i="1"/>
  <c r="R1098" i="1" s="1"/>
  <c r="K1106" i="1"/>
  <c r="J1097" i="1"/>
  <c r="L868" i="4"/>
  <c r="L869" i="4"/>
  <c r="K870" i="4"/>
  <c r="J870" i="4"/>
  <c r="I870" i="4"/>
  <c r="L867" i="4"/>
  <c r="L866" i="4"/>
  <c r="L865" i="4"/>
  <c r="K1094" i="1"/>
  <c r="Q1094" i="1" s="1"/>
  <c r="K1093" i="1"/>
  <c r="Q1093" i="1" s="1"/>
  <c r="L1096" i="1"/>
  <c r="M1096" i="1"/>
  <c r="N1096" i="1"/>
  <c r="O1096" i="1"/>
  <c r="P1096" i="1"/>
  <c r="J1096" i="1"/>
  <c r="T1095" i="1"/>
  <c r="S1095" i="1"/>
  <c r="R1095" i="1"/>
  <c r="Q1095" i="1"/>
  <c r="Q1088" i="1"/>
  <c r="R1088" i="1"/>
  <c r="S1088" i="1"/>
  <c r="T1088" i="1"/>
  <c r="L860" i="4"/>
  <c r="K1086" i="1"/>
  <c r="K1092" i="1" s="1"/>
  <c r="Q1089" i="1"/>
  <c r="R1089" i="1"/>
  <c r="S1089" i="1"/>
  <c r="T1089" i="1"/>
  <c r="P1092" i="1"/>
  <c r="O1092" i="1"/>
  <c r="N1092" i="1"/>
  <c r="L1092" i="1"/>
  <c r="T1091" i="1"/>
  <c r="S1091" i="1"/>
  <c r="R1091" i="1"/>
  <c r="Q1091" i="1"/>
  <c r="M1092" i="1"/>
  <c r="T1090" i="1"/>
  <c r="S1090" i="1"/>
  <c r="R1090" i="1"/>
  <c r="Q1090" i="1"/>
  <c r="J1087" i="1"/>
  <c r="T1087" i="1" s="1"/>
  <c r="K864" i="4"/>
  <c r="J864" i="4"/>
  <c r="I864" i="4"/>
  <c r="L863" i="4"/>
  <c r="L862" i="4"/>
  <c r="L861" i="4"/>
  <c r="L859" i="4"/>
  <c r="L858" i="4"/>
  <c r="R1094" i="1"/>
  <c r="S1093" i="1"/>
  <c r="T1093" i="1"/>
  <c r="R1093" i="1"/>
  <c r="S1094" i="1"/>
  <c r="T1094" i="1"/>
  <c r="L1081" i="1"/>
  <c r="M1081" i="1"/>
  <c r="N1081" i="1"/>
  <c r="O1081" i="1"/>
  <c r="P1081" i="1"/>
  <c r="L1085" i="1"/>
  <c r="M1085" i="1"/>
  <c r="N1085" i="1"/>
  <c r="O1085" i="1"/>
  <c r="P1085" i="1"/>
  <c r="L852" i="4"/>
  <c r="L853" i="4"/>
  <c r="L854" i="4"/>
  <c r="L856" i="4"/>
  <c r="L855" i="4"/>
  <c r="L851" i="4"/>
  <c r="K1083" i="1"/>
  <c r="Q1083" i="1" s="1"/>
  <c r="K1084" i="1"/>
  <c r="Q1084" i="1" s="1"/>
  <c r="K1082" i="1"/>
  <c r="Q1082" i="1" s="1"/>
  <c r="R1083" i="1"/>
  <c r="S1083" i="1"/>
  <c r="T1083" i="1"/>
  <c r="K1079" i="1"/>
  <c r="Q1079" i="1" s="1"/>
  <c r="K1080" i="1"/>
  <c r="Q1080" i="1" s="1"/>
  <c r="R1079" i="1"/>
  <c r="S1079" i="1"/>
  <c r="T1079" i="1"/>
  <c r="K1078" i="1"/>
  <c r="Q1078" i="1" s="1"/>
  <c r="K1077" i="1"/>
  <c r="Q1077" i="1" s="1"/>
  <c r="J1085" i="1"/>
  <c r="T1084" i="1"/>
  <c r="S1084" i="1"/>
  <c r="R1084" i="1"/>
  <c r="T1082" i="1"/>
  <c r="S1082" i="1"/>
  <c r="R1082" i="1"/>
  <c r="T1080" i="1"/>
  <c r="S1080" i="1"/>
  <c r="R1080" i="1"/>
  <c r="T1078" i="1"/>
  <c r="S1078" i="1"/>
  <c r="R1078" i="1"/>
  <c r="T1077" i="1"/>
  <c r="S1077" i="1"/>
  <c r="R1077" i="1"/>
  <c r="M1073" i="1"/>
  <c r="M1076" i="1" s="1"/>
  <c r="K1070" i="1"/>
  <c r="J850" i="4"/>
  <c r="K850" i="4"/>
  <c r="I850" i="4"/>
  <c r="L846" i="4"/>
  <c r="L847" i="4"/>
  <c r="L848" i="4"/>
  <c r="L849" i="4"/>
  <c r="L844" i="4"/>
  <c r="L845" i="4"/>
  <c r="P1076" i="1"/>
  <c r="O1076" i="1"/>
  <c r="N1076" i="1"/>
  <c r="L1076" i="1"/>
  <c r="T1075" i="1"/>
  <c r="S1075" i="1"/>
  <c r="R1075" i="1"/>
  <c r="Q1075" i="1"/>
  <c r="T1074" i="1"/>
  <c r="S1074" i="1"/>
  <c r="R1074" i="1"/>
  <c r="Q1074" i="1"/>
  <c r="T1073" i="1"/>
  <c r="S1073" i="1"/>
  <c r="R1073" i="1"/>
  <c r="Q1073" i="1"/>
  <c r="T1072" i="1"/>
  <c r="S1072" i="1"/>
  <c r="R1072" i="1"/>
  <c r="Q1072" i="1"/>
  <c r="J1071" i="1"/>
  <c r="K1068" i="1"/>
  <c r="Q1068" i="1" s="1"/>
  <c r="K1067" i="1"/>
  <c r="Q1067" i="1" s="1"/>
  <c r="K1063" i="1"/>
  <c r="Q1063" i="1" s="1"/>
  <c r="K1062" i="1"/>
  <c r="Q1062" i="1" s="1"/>
  <c r="J1069" i="1"/>
  <c r="T1068" i="1"/>
  <c r="S1068" i="1"/>
  <c r="R1068" i="1"/>
  <c r="L840" i="4"/>
  <c r="L841" i="4"/>
  <c r="L842" i="4"/>
  <c r="L839" i="4"/>
  <c r="L838" i="4"/>
  <c r="L837" i="4"/>
  <c r="L836" i="4"/>
  <c r="Q1066" i="1"/>
  <c r="T1067" i="1"/>
  <c r="S1067" i="1"/>
  <c r="R1067" i="1"/>
  <c r="T1066" i="1"/>
  <c r="S1066" i="1"/>
  <c r="R1066" i="1"/>
  <c r="T1065" i="1"/>
  <c r="S1065" i="1"/>
  <c r="R1065" i="1"/>
  <c r="Q1065" i="1"/>
  <c r="T1064" i="1"/>
  <c r="S1064" i="1"/>
  <c r="R1064" i="1"/>
  <c r="T1063" i="1"/>
  <c r="S1063" i="1"/>
  <c r="R1063" i="1"/>
  <c r="T1062" i="1"/>
  <c r="S1062" i="1"/>
  <c r="R1062" i="1"/>
  <c r="K1052" i="1"/>
  <c r="L832" i="4"/>
  <c r="L833" i="4"/>
  <c r="L834" i="4"/>
  <c r="Q1057" i="1"/>
  <c r="R1057" i="1"/>
  <c r="S1057" i="1"/>
  <c r="T1057" i="1"/>
  <c r="Q1058" i="1"/>
  <c r="R1058" i="1"/>
  <c r="S1058" i="1"/>
  <c r="T1058" i="1"/>
  <c r="P1061" i="1"/>
  <c r="P1069" i="1" s="1"/>
  <c r="O1061" i="1"/>
  <c r="O1069" i="1" s="1"/>
  <c r="N1061" i="1"/>
  <c r="N1069" i="1" s="1"/>
  <c r="L1061" i="1"/>
  <c r="L1069" i="1" s="1"/>
  <c r="T1060" i="1"/>
  <c r="S1060" i="1"/>
  <c r="R1060" i="1"/>
  <c r="Q1060" i="1"/>
  <c r="T1059" i="1"/>
  <c r="S1059" i="1"/>
  <c r="Q1059" i="1"/>
  <c r="R1059" i="1"/>
  <c r="T1056" i="1"/>
  <c r="S1056" i="1"/>
  <c r="R1056" i="1"/>
  <c r="Q1056" i="1"/>
  <c r="T1055" i="1"/>
  <c r="S1055" i="1"/>
  <c r="R1055" i="1"/>
  <c r="Q1055" i="1"/>
  <c r="M1061" i="1"/>
  <c r="M1069" i="1" s="1"/>
  <c r="T1054" i="1"/>
  <c r="S1054" i="1"/>
  <c r="R1054" i="1"/>
  <c r="Q1054" i="1"/>
  <c r="J1053" i="1"/>
  <c r="R1053" i="1" s="1"/>
  <c r="K835" i="4"/>
  <c r="J835" i="4"/>
  <c r="I835" i="4"/>
  <c r="L831" i="4"/>
  <c r="L830" i="4"/>
  <c r="L829" i="4"/>
  <c r="L828" i="4"/>
  <c r="L827" i="4"/>
  <c r="L824" i="4"/>
  <c r="J826" i="4"/>
  <c r="K826" i="4"/>
  <c r="I826" i="4"/>
  <c r="L823" i="4"/>
  <c r="L825" i="4"/>
  <c r="L822" i="4"/>
  <c r="L821" i="4"/>
  <c r="L820" i="4"/>
  <c r="K1047" i="1"/>
  <c r="Q1047" i="1" s="1"/>
  <c r="K1048" i="1"/>
  <c r="Q1048" i="1" s="1"/>
  <c r="K1049" i="1"/>
  <c r="Q1049" i="1" s="1"/>
  <c r="K1050" i="1"/>
  <c r="Q1050" i="1" s="1"/>
  <c r="K1046" i="1"/>
  <c r="Q1046" i="1" s="1"/>
  <c r="L1051" i="1"/>
  <c r="M1051" i="1"/>
  <c r="N1051" i="1"/>
  <c r="O1051" i="1"/>
  <c r="P1051" i="1"/>
  <c r="J1051" i="1"/>
  <c r="T1050" i="1"/>
  <c r="S1050" i="1"/>
  <c r="R1050" i="1"/>
  <c r="T1049" i="1"/>
  <c r="S1049" i="1"/>
  <c r="R1049" i="1"/>
  <c r="T1048" i="1"/>
  <c r="S1048" i="1"/>
  <c r="R1048" i="1"/>
  <c r="T1047" i="1"/>
  <c r="S1047" i="1"/>
  <c r="R1047" i="1"/>
  <c r="T1046" i="1"/>
  <c r="S1046" i="1"/>
  <c r="R1046" i="1"/>
  <c r="M1041" i="1"/>
  <c r="M1045" i="1" s="1"/>
  <c r="N1043" i="1"/>
  <c r="L817" i="4"/>
  <c r="L818" i="4"/>
  <c r="Q1043" i="1"/>
  <c r="S1043" i="1"/>
  <c r="T1043" i="1"/>
  <c r="K819" i="4"/>
  <c r="J819" i="4"/>
  <c r="I819" i="4"/>
  <c r="L816" i="4"/>
  <c r="L815" i="4"/>
  <c r="L814" i="4"/>
  <c r="L813" i="4"/>
  <c r="P1045" i="1"/>
  <c r="O1045" i="1"/>
  <c r="L1045" i="1"/>
  <c r="K1045" i="1"/>
  <c r="T1044" i="1"/>
  <c r="S1044" i="1"/>
  <c r="R1044" i="1"/>
  <c r="Q1044" i="1"/>
  <c r="T1042" i="1"/>
  <c r="S1042" i="1"/>
  <c r="R1042" i="1"/>
  <c r="Q1042" i="1"/>
  <c r="T1041" i="1"/>
  <c r="S1041" i="1"/>
  <c r="R1041" i="1"/>
  <c r="Q1041" i="1"/>
  <c r="Q1040" i="1"/>
  <c r="J1039" i="1"/>
  <c r="R1039" i="1" s="1"/>
  <c r="J1038" i="1"/>
  <c r="Q1030" i="1"/>
  <c r="K1029" i="1"/>
  <c r="Q1029" i="1" s="1"/>
  <c r="K1028" i="1"/>
  <c r="K1031" i="1"/>
  <c r="Q1031" i="1" s="1"/>
  <c r="L809" i="4"/>
  <c r="L810" i="4"/>
  <c r="L811" i="4"/>
  <c r="Q1035" i="1"/>
  <c r="R1035" i="1"/>
  <c r="S1035" i="1"/>
  <c r="T1035" i="1"/>
  <c r="R1030" i="1"/>
  <c r="S1030" i="1"/>
  <c r="T1030" i="1"/>
  <c r="P1037" i="1"/>
  <c r="O1037" i="1"/>
  <c r="N1037" i="1"/>
  <c r="L1037" i="1"/>
  <c r="T1036" i="1"/>
  <c r="S1036" i="1"/>
  <c r="R1036" i="1"/>
  <c r="Q1036" i="1"/>
  <c r="T1034" i="1"/>
  <c r="S1034" i="1"/>
  <c r="R1034" i="1"/>
  <c r="Q1034" i="1"/>
  <c r="T1033" i="1"/>
  <c r="S1033" i="1"/>
  <c r="R1033" i="1"/>
  <c r="Q1033" i="1"/>
  <c r="M1037" i="1"/>
  <c r="Q1032" i="1"/>
  <c r="S1029" i="1"/>
  <c r="R1028" i="1"/>
  <c r="K812" i="4"/>
  <c r="J812" i="4"/>
  <c r="I812" i="4"/>
  <c r="L808" i="4"/>
  <c r="L807" i="4"/>
  <c r="M1024" i="1"/>
  <c r="M1027" i="1" s="1"/>
  <c r="Q1064" i="1"/>
  <c r="R1040" i="1"/>
  <c r="S1040" i="1"/>
  <c r="T1040" i="1"/>
  <c r="R1032" i="1"/>
  <c r="R1031" i="1"/>
  <c r="S1028" i="1"/>
  <c r="S1032" i="1"/>
  <c r="S1031" i="1"/>
  <c r="T1031" i="1"/>
  <c r="T1029" i="1"/>
  <c r="J1037" i="1"/>
  <c r="T1028" i="1"/>
  <c r="R1029" i="1"/>
  <c r="T1032" i="1"/>
  <c r="K806" i="4"/>
  <c r="J806" i="4"/>
  <c r="I806" i="4"/>
  <c r="L805" i="4"/>
  <c r="L804" i="4"/>
  <c r="L803" i="4"/>
  <c r="L802" i="4"/>
  <c r="L801" i="4"/>
  <c r="P1027" i="1"/>
  <c r="O1027" i="1"/>
  <c r="N1027" i="1"/>
  <c r="L1027" i="1"/>
  <c r="K1027" i="1"/>
  <c r="T1026" i="1"/>
  <c r="S1026" i="1"/>
  <c r="R1026" i="1"/>
  <c r="Q1026" i="1"/>
  <c r="T1025" i="1"/>
  <c r="S1025" i="1"/>
  <c r="R1025" i="1"/>
  <c r="Q1025" i="1"/>
  <c r="T1024" i="1"/>
  <c r="S1024" i="1"/>
  <c r="R1024" i="1"/>
  <c r="Q1024" i="1"/>
  <c r="J1023" i="1"/>
  <c r="J1022" i="1"/>
  <c r="R1022" i="1" s="1"/>
  <c r="J1021" i="1"/>
  <c r="L795" i="4"/>
  <c r="K1014" i="1"/>
  <c r="Q1014" i="1" s="1"/>
  <c r="J1081" i="1"/>
  <c r="K1012" i="1"/>
  <c r="Q1012" i="1" s="1"/>
  <c r="M1015" i="1"/>
  <c r="K1011" i="1"/>
  <c r="T1014" i="1"/>
  <c r="S1014" i="1"/>
  <c r="R1014" i="1"/>
  <c r="T1013" i="1"/>
  <c r="S1013" i="1"/>
  <c r="R1013" i="1"/>
  <c r="Q1013" i="1"/>
  <c r="T1012" i="1"/>
  <c r="S1012" i="1"/>
  <c r="R1012" i="1"/>
  <c r="T1011" i="1"/>
  <c r="S1011" i="1"/>
  <c r="R1011" i="1"/>
  <c r="K800" i="4"/>
  <c r="J800" i="4"/>
  <c r="I800" i="4"/>
  <c r="L799" i="4"/>
  <c r="L798" i="4"/>
  <c r="L797" i="4"/>
  <c r="L796" i="4"/>
  <c r="L794" i="4"/>
  <c r="K1017" i="1"/>
  <c r="K1018" i="1"/>
  <c r="Q1018" i="1" s="1"/>
  <c r="K1019" i="1"/>
  <c r="Q1019" i="1" s="1"/>
  <c r="Q1016" i="1"/>
  <c r="P1020" i="1"/>
  <c r="O1020" i="1"/>
  <c r="N1020" i="1"/>
  <c r="M1020" i="1"/>
  <c r="L1020" i="1"/>
  <c r="J1020" i="1"/>
  <c r="T1019" i="1"/>
  <c r="S1019" i="1"/>
  <c r="R1019" i="1"/>
  <c r="T1018" i="1"/>
  <c r="S1018" i="1"/>
  <c r="R1018" i="1"/>
  <c r="T1017" i="1"/>
  <c r="S1017" i="1"/>
  <c r="R1017" i="1"/>
  <c r="T1016" i="1"/>
  <c r="S1016" i="1"/>
  <c r="R1016" i="1"/>
  <c r="P1015" i="1"/>
  <c r="O1015" i="1"/>
  <c r="N1015" i="1"/>
  <c r="L1015" i="1"/>
  <c r="J1015" i="1"/>
  <c r="K1007" i="1"/>
  <c r="P1010" i="1"/>
  <c r="O1010" i="1"/>
  <c r="N1010" i="1"/>
  <c r="M1010" i="1"/>
  <c r="L1010" i="1"/>
  <c r="T1009" i="1"/>
  <c r="S1009" i="1"/>
  <c r="R1009" i="1"/>
  <c r="Q1009" i="1"/>
  <c r="T1008" i="1"/>
  <c r="S1008" i="1"/>
  <c r="R1008" i="1"/>
  <c r="Q1008" i="1"/>
  <c r="T1007" i="1"/>
  <c r="S1007" i="1"/>
  <c r="R1007" i="1"/>
  <c r="T1006" i="1"/>
  <c r="I793" i="4"/>
  <c r="L791" i="4"/>
  <c r="L790" i="4"/>
  <c r="L789" i="4"/>
  <c r="L792" i="4"/>
  <c r="K793" i="4"/>
  <c r="J793" i="4"/>
  <c r="L788" i="4"/>
  <c r="L787" i="4"/>
  <c r="K786" i="4"/>
  <c r="J786" i="4"/>
  <c r="I786" i="4"/>
  <c r="L785" i="4"/>
  <c r="L784" i="4"/>
  <c r="L783" i="4"/>
  <c r="L782" i="4"/>
  <c r="L781" i="4"/>
  <c r="P1005" i="1"/>
  <c r="O1005" i="1"/>
  <c r="N1005" i="1"/>
  <c r="L1005" i="1"/>
  <c r="K1005" i="1"/>
  <c r="T1004" i="1"/>
  <c r="S1004" i="1"/>
  <c r="R1004" i="1"/>
  <c r="Q1004" i="1"/>
  <c r="T1003" i="1"/>
  <c r="S1003" i="1"/>
  <c r="R1003" i="1"/>
  <c r="Q1003" i="1"/>
  <c r="T1002" i="1"/>
  <c r="S1002" i="1"/>
  <c r="R1002" i="1"/>
  <c r="Q1002" i="1"/>
  <c r="M1005" i="1"/>
  <c r="J1001" i="1"/>
  <c r="J1000" i="1"/>
  <c r="R1000" i="1" s="1"/>
  <c r="J999" i="1"/>
  <c r="Q999" i="1" s="1"/>
  <c r="L775" i="4"/>
  <c r="L776" i="4"/>
  <c r="L777" i="4"/>
  <c r="Q991" i="1"/>
  <c r="K992" i="1"/>
  <c r="Q992" i="1" s="1"/>
  <c r="K988" i="1"/>
  <c r="Q988" i="1" s="1"/>
  <c r="Q1006" i="1"/>
  <c r="J1010" i="1"/>
  <c r="R1006" i="1"/>
  <c r="S1006" i="1"/>
  <c r="K780" i="4"/>
  <c r="J780" i="4"/>
  <c r="I780" i="4"/>
  <c r="L779" i="4"/>
  <c r="L778" i="4"/>
  <c r="L774" i="4"/>
  <c r="L773" i="4"/>
  <c r="L772" i="4"/>
  <c r="K995" i="1"/>
  <c r="Q995" i="1" s="1"/>
  <c r="K996" i="1"/>
  <c r="Q996" i="1" s="1"/>
  <c r="K997" i="1"/>
  <c r="Q997" i="1" s="1"/>
  <c r="K994" i="1"/>
  <c r="Q994" i="1" s="1"/>
  <c r="K989" i="1"/>
  <c r="Q989" i="1" s="1"/>
  <c r="K990" i="1"/>
  <c r="P998" i="1"/>
  <c r="O998" i="1"/>
  <c r="N998" i="1"/>
  <c r="M998" i="1"/>
  <c r="L998" i="1"/>
  <c r="J998" i="1"/>
  <c r="T997" i="1"/>
  <c r="S997" i="1"/>
  <c r="R997" i="1"/>
  <c r="T996" i="1"/>
  <c r="S996" i="1"/>
  <c r="R996" i="1"/>
  <c r="T995" i="1"/>
  <c r="S995" i="1"/>
  <c r="R995" i="1"/>
  <c r="T994" i="1"/>
  <c r="S994" i="1"/>
  <c r="R994" i="1"/>
  <c r="P993" i="1"/>
  <c r="O993" i="1"/>
  <c r="N993" i="1"/>
  <c r="L993" i="1"/>
  <c r="J993" i="1"/>
  <c r="T992" i="1"/>
  <c r="S992" i="1"/>
  <c r="R992" i="1"/>
  <c r="M993" i="1"/>
  <c r="T991" i="1"/>
  <c r="S991" i="1"/>
  <c r="R991" i="1"/>
  <c r="T990" i="1"/>
  <c r="S990" i="1"/>
  <c r="R990" i="1"/>
  <c r="T989" i="1"/>
  <c r="S989" i="1"/>
  <c r="R989" i="1"/>
  <c r="T988" i="1"/>
  <c r="S988" i="1"/>
  <c r="R988" i="1"/>
  <c r="M986" i="1"/>
  <c r="M987" i="1" s="1"/>
  <c r="K983" i="1"/>
  <c r="Q983" i="1" s="1"/>
  <c r="K981" i="1"/>
  <c r="Q981" i="1" s="1"/>
  <c r="P987" i="1"/>
  <c r="O987" i="1"/>
  <c r="N987" i="1"/>
  <c r="T986" i="1"/>
  <c r="S986" i="1"/>
  <c r="R986" i="1"/>
  <c r="Q986" i="1"/>
  <c r="T985" i="1"/>
  <c r="S985" i="1"/>
  <c r="R985" i="1"/>
  <c r="Q985" i="1"/>
  <c r="T984" i="1"/>
  <c r="S984" i="1"/>
  <c r="R984" i="1"/>
  <c r="Q984" i="1"/>
  <c r="T983" i="1"/>
  <c r="S983" i="1"/>
  <c r="R983" i="1"/>
  <c r="T982" i="1"/>
  <c r="S982" i="1"/>
  <c r="R982" i="1"/>
  <c r="Q982" i="1"/>
  <c r="S981" i="1"/>
  <c r="L987" i="1"/>
  <c r="L769" i="4"/>
  <c r="L765" i="4"/>
  <c r="L766" i="4"/>
  <c r="L767" i="4"/>
  <c r="L768" i="4"/>
  <c r="L770" i="4"/>
  <c r="K771" i="4"/>
  <c r="J771" i="4"/>
  <c r="I771" i="4"/>
  <c r="L764" i="4"/>
  <c r="L761" i="4"/>
  <c r="M976" i="1"/>
  <c r="M980" i="1" s="1"/>
  <c r="L972" i="1"/>
  <c r="L980" i="1" s="1"/>
  <c r="K972" i="1"/>
  <c r="K980" i="1" s="1"/>
  <c r="T981" i="1"/>
  <c r="R981" i="1"/>
  <c r="J974" i="1"/>
  <c r="T974" i="1" s="1"/>
  <c r="J987" i="1"/>
  <c r="K763" i="4"/>
  <c r="J763" i="4"/>
  <c r="I763" i="4"/>
  <c r="L762" i="4"/>
  <c r="L760" i="4"/>
  <c r="L759" i="4"/>
  <c r="L758" i="4"/>
  <c r="L757" i="4"/>
  <c r="L756" i="4"/>
  <c r="P980" i="1"/>
  <c r="O980" i="1"/>
  <c r="N980" i="1"/>
  <c r="T979" i="1"/>
  <c r="S979" i="1"/>
  <c r="R979" i="1"/>
  <c r="Q979" i="1"/>
  <c r="T978" i="1"/>
  <c r="S978" i="1"/>
  <c r="R978" i="1"/>
  <c r="Q978" i="1"/>
  <c r="T977" i="1"/>
  <c r="S977" i="1"/>
  <c r="R977" i="1"/>
  <c r="Q977" i="1"/>
  <c r="T976" i="1"/>
  <c r="S976" i="1"/>
  <c r="R976" i="1"/>
  <c r="Q976" i="1"/>
  <c r="T975" i="1"/>
  <c r="S975" i="1"/>
  <c r="R975" i="1"/>
  <c r="Q975" i="1"/>
  <c r="J973" i="1"/>
  <c r="K963" i="1"/>
  <c r="Q963" i="1" s="1"/>
  <c r="K755" i="4"/>
  <c r="J755" i="4"/>
  <c r="I755" i="4"/>
  <c r="L754" i="4"/>
  <c r="L753" i="4"/>
  <c r="L752" i="4"/>
  <c r="L751" i="4"/>
  <c r="L750" i="4"/>
  <c r="K967" i="1"/>
  <c r="Q967" i="1" s="1"/>
  <c r="K968" i="1"/>
  <c r="Q968" i="1" s="1"/>
  <c r="K969" i="1"/>
  <c r="Q969" i="1" s="1"/>
  <c r="K970" i="1"/>
  <c r="Q970" i="1" s="1"/>
  <c r="K966" i="1"/>
  <c r="Q966" i="1" s="1"/>
  <c r="K964" i="1"/>
  <c r="Q964" i="1" s="1"/>
  <c r="P971" i="1"/>
  <c r="O971" i="1"/>
  <c r="N971" i="1"/>
  <c r="M971" i="1"/>
  <c r="L971" i="1"/>
  <c r="J971" i="1"/>
  <c r="T970" i="1"/>
  <c r="S970" i="1"/>
  <c r="R970" i="1"/>
  <c r="T969" i="1"/>
  <c r="S969" i="1"/>
  <c r="R969" i="1"/>
  <c r="T968" i="1"/>
  <c r="S968" i="1"/>
  <c r="R968" i="1"/>
  <c r="T967" i="1"/>
  <c r="S967" i="1"/>
  <c r="R967" i="1"/>
  <c r="T966" i="1"/>
  <c r="S966" i="1"/>
  <c r="R966" i="1"/>
  <c r="P965" i="1"/>
  <c r="O965" i="1"/>
  <c r="N965" i="1"/>
  <c r="M965" i="1"/>
  <c r="L965" i="1"/>
  <c r="J965" i="1"/>
  <c r="T964" i="1"/>
  <c r="S964" i="1"/>
  <c r="R964" i="1"/>
  <c r="T963" i="1"/>
  <c r="S963" i="1"/>
  <c r="R963" i="1"/>
  <c r="K959" i="1"/>
  <c r="Q959" i="1" s="1"/>
  <c r="K957" i="1"/>
  <c r="P962" i="1"/>
  <c r="O962" i="1"/>
  <c r="N962" i="1"/>
  <c r="M962" i="1"/>
  <c r="L962" i="1"/>
  <c r="T961" i="1"/>
  <c r="S961" i="1"/>
  <c r="R961" i="1"/>
  <c r="Q961" i="1"/>
  <c r="T960" i="1"/>
  <c r="S960" i="1"/>
  <c r="R960" i="1"/>
  <c r="Q960" i="1"/>
  <c r="T959" i="1"/>
  <c r="S959" i="1"/>
  <c r="R959" i="1"/>
  <c r="T958" i="1"/>
  <c r="S958" i="1"/>
  <c r="R958" i="1"/>
  <c r="Q958" i="1"/>
  <c r="T957" i="1"/>
  <c r="S957" i="1"/>
  <c r="R957" i="1"/>
  <c r="L746" i="4"/>
  <c r="L745" i="4"/>
  <c r="L747" i="4"/>
  <c r="L748" i="4"/>
  <c r="K749" i="4"/>
  <c r="J749" i="4"/>
  <c r="I749" i="4"/>
  <c r="L744" i="4"/>
  <c r="L743" i="4"/>
  <c r="L740" i="4"/>
  <c r="J948" i="1"/>
  <c r="S948" i="1" s="1"/>
  <c r="Q954" i="1"/>
  <c r="R954" i="1"/>
  <c r="S954" i="1"/>
  <c r="T954" i="1"/>
  <c r="J949" i="1"/>
  <c r="J947" i="1"/>
  <c r="Q947" i="1" s="1"/>
  <c r="K742" i="4"/>
  <c r="J742" i="4"/>
  <c r="I742" i="4"/>
  <c r="L741" i="4"/>
  <c r="L739" i="4"/>
  <c r="L738" i="4"/>
  <c r="L737" i="4"/>
  <c r="L736" i="4"/>
  <c r="L735" i="4"/>
  <c r="P956" i="1"/>
  <c r="O956" i="1"/>
  <c r="M956" i="1"/>
  <c r="L956" i="1"/>
  <c r="K956" i="1"/>
  <c r="T955" i="1"/>
  <c r="S955" i="1"/>
  <c r="R955" i="1"/>
  <c r="Q955" i="1"/>
  <c r="T953" i="1"/>
  <c r="S953" i="1"/>
  <c r="R953" i="1"/>
  <c r="Q953" i="1"/>
  <c r="T952" i="1"/>
  <c r="S952" i="1"/>
  <c r="R952" i="1"/>
  <c r="Q952" i="1"/>
  <c r="T951" i="1"/>
  <c r="S951" i="1"/>
  <c r="Q951" i="1"/>
  <c r="R951" i="1"/>
  <c r="T950" i="1"/>
  <c r="S950" i="1"/>
  <c r="R950" i="1"/>
  <c r="Q950" i="1"/>
  <c r="K734" i="4"/>
  <c r="J734" i="4"/>
  <c r="I734" i="4"/>
  <c r="L733" i="4"/>
  <c r="L732" i="4"/>
  <c r="L731" i="4"/>
  <c r="L730" i="4"/>
  <c r="L729" i="4"/>
  <c r="J935" i="1"/>
  <c r="R935" i="1" s="1"/>
  <c r="J962" i="1"/>
  <c r="N956" i="1"/>
  <c r="K941" i="1"/>
  <c r="Q941" i="1" s="1"/>
  <c r="K942" i="1"/>
  <c r="Q942" i="1" s="1"/>
  <c r="K943" i="1"/>
  <c r="Q943" i="1" s="1"/>
  <c r="K944" i="1"/>
  <c r="Q944" i="1" s="1"/>
  <c r="K945" i="1"/>
  <c r="Q945" i="1" s="1"/>
  <c r="R943" i="1"/>
  <c r="S943" i="1"/>
  <c r="T943" i="1"/>
  <c r="R944" i="1"/>
  <c r="S944" i="1"/>
  <c r="T944" i="1"/>
  <c r="K940" i="1"/>
  <c r="Q940" i="1" s="1"/>
  <c r="K936" i="1"/>
  <c r="Q936" i="1" s="1"/>
  <c r="K937" i="1"/>
  <c r="Q937" i="1" s="1"/>
  <c r="K938" i="1"/>
  <c r="Q938" i="1" s="1"/>
  <c r="P946" i="1"/>
  <c r="O946" i="1"/>
  <c r="N946" i="1"/>
  <c r="M946" i="1"/>
  <c r="L946" i="1"/>
  <c r="J946" i="1"/>
  <c r="T945" i="1"/>
  <c r="S945" i="1"/>
  <c r="R945" i="1"/>
  <c r="T942" i="1"/>
  <c r="S942" i="1"/>
  <c r="R942" i="1"/>
  <c r="T941" i="1"/>
  <c r="S941" i="1"/>
  <c r="R941" i="1"/>
  <c r="T940" i="1"/>
  <c r="S940" i="1"/>
  <c r="R940" i="1"/>
  <c r="P939" i="1"/>
  <c r="O939" i="1"/>
  <c r="N939" i="1"/>
  <c r="M939" i="1"/>
  <c r="T938" i="1"/>
  <c r="S938" i="1"/>
  <c r="R938" i="1"/>
  <c r="T937" i="1"/>
  <c r="S937" i="1"/>
  <c r="R937" i="1"/>
  <c r="T936" i="1"/>
  <c r="S936" i="1"/>
  <c r="R936" i="1"/>
  <c r="L939" i="1"/>
  <c r="K933" i="1"/>
  <c r="Q933" i="1" s="1"/>
  <c r="K931" i="1"/>
  <c r="Q931" i="1" s="1"/>
  <c r="K929" i="1"/>
  <c r="L929" i="1"/>
  <c r="L934" i="1" s="1"/>
  <c r="P934" i="1"/>
  <c r="O934" i="1"/>
  <c r="N934" i="1"/>
  <c r="M934" i="1"/>
  <c r="J934" i="1"/>
  <c r="T933" i="1"/>
  <c r="S933" i="1"/>
  <c r="R933" i="1"/>
  <c r="T932" i="1"/>
  <c r="S932" i="1"/>
  <c r="R932" i="1"/>
  <c r="Q932" i="1"/>
  <c r="T931" i="1"/>
  <c r="S931" i="1"/>
  <c r="R931" i="1"/>
  <c r="T930" i="1"/>
  <c r="S930" i="1"/>
  <c r="R930" i="1"/>
  <c r="Q930" i="1"/>
  <c r="T929" i="1"/>
  <c r="S929" i="1"/>
  <c r="R929" i="1"/>
  <c r="K728" i="4"/>
  <c r="J728" i="4"/>
  <c r="I728" i="4"/>
  <c r="L727" i="4"/>
  <c r="L726" i="4"/>
  <c r="L725" i="4"/>
  <c r="L724" i="4"/>
  <c r="L723" i="4"/>
  <c r="K722" i="4"/>
  <c r="L721" i="4"/>
  <c r="J722" i="4"/>
  <c r="I722" i="4"/>
  <c r="L720" i="4"/>
  <c r="L719" i="4"/>
  <c r="L718" i="4"/>
  <c r="L717" i="4"/>
  <c r="L716" i="4"/>
  <c r="L715" i="4"/>
  <c r="K921" i="1"/>
  <c r="Q921" i="1" s="1"/>
  <c r="K920" i="1"/>
  <c r="Q920" i="1" s="1"/>
  <c r="K919" i="1"/>
  <c r="Q919" i="1" s="1"/>
  <c r="O928" i="1"/>
  <c r="P928" i="1"/>
  <c r="N928" i="1"/>
  <c r="M928" i="1"/>
  <c r="L928" i="1"/>
  <c r="J928" i="1"/>
  <c r="T927" i="1"/>
  <c r="S927" i="1"/>
  <c r="R927" i="1"/>
  <c r="Q927" i="1"/>
  <c r="T926" i="1"/>
  <c r="S926" i="1"/>
  <c r="R926" i="1"/>
  <c r="Q926" i="1"/>
  <c r="T925" i="1"/>
  <c r="S925" i="1"/>
  <c r="R925" i="1"/>
  <c r="Q925" i="1"/>
  <c r="T924" i="1"/>
  <c r="S924" i="1"/>
  <c r="R924" i="1"/>
  <c r="Q924" i="1"/>
  <c r="T923" i="1"/>
  <c r="S923" i="1"/>
  <c r="R923" i="1"/>
  <c r="K928" i="1"/>
  <c r="J922" i="1"/>
  <c r="S922" i="1" s="1"/>
  <c r="T921" i="1"/>
  <c r="S921" i="1"/>
  <c r="R921" i="1"/>
  <c r="T920" i="1"/>
  <c r="S920" i="1"/>
  <c r="R920" i="1"/>
  <c r="T919" i="1"/>
  <c r="S919" i="1"/>
  <c r="R919" i="1"/>
  <c r="L710" i="4"/>
  <c r="L711" i="4"/>
  <c r="L712" i="4"/>
  <c r="L713" i="4"/>
  <c r="K714" i="4"/>
  <c r="J714" i="4"/>
  <c r="I714" i="4"/>
  <c r="L709" i="4"/>
  <c r="Q923" i="1"/>
  <c r="K914" i="1"/>
  <c r="Q914" i="1" s="1"/>
  <c r="K915" i="1"/>
  <c r="Q915" i="1" s="1"/>
  <c r="K916" i="1"/>
  <c r="K917" i="1"/>
  <c r="Q917" i="1" s="1"/>
  <c r="K913" i="1"/>
  <c r="Q913" i="1" s="1"/>
  <c r="K910" i="1"/>
  <c r="K911" i="1"/>
  <c r="Q911" i="1" s="1"/>
  <c r="K909" i="1"/>
  <c r="Q909" i="1" s="1"/>
  <c r="P918" i="1"/>
  <c r="O918" i="1"/>
  <c r="N918" i="1"/>
  <c r="M918" i="1"/>
  <c r="L918" i="1"/>
  <c r="J918" i="1"/>
  <c r="T917" i="1"/>
  <c r="S917" i="1"/>
  <c r="R917" i="1"/>
  <c r="T916" i="1"/>
  <c r="S916" i="1"/>
  <c r="R916" i="1"/>
  <c r="T915" i="1"/>
  <c r="S915" i="1"/>
  <c r="R915" i="1"/>
  <c r="T914" i="1"/>
  <c r="S914" i="1"/>
  <c r="R914" i="1"/>
  <c r="T913" i="1"/>
  <c r="S913" i="1"/>
  <c r="R913" i="1"/>
  <c r="P912" i="1"/>
  <c r="O912" i="1"/>
  <c r="N912" i="1"/>
  <c r="M912" i="1"/>
  <c r="L912" i="1"/>
  <c r="J912" i="1"/>
  <c r="T911" i="1"/>
  <c r="S911" i="1"/>
  <c r="R911" i="1"/>
  <c r="T910" i="1"/>
  <c r="S910" i="1"/>
  <c r="R910" i="1"/>
  <c r="T909" i="1"/>
  <c r="S909" i="1"/>
  <c r="R909" i="1"/>
  <c r="L908" i="1"/>
  <c r="M908" i="1"/>
  <c r="N908" i="1"/>
  <c r="O908" i="1"/>
  <c r="P908" i="1"/>
  <c r="J908" i="1"/>
  <c r="K905" i="1"/>
  <c r="K904" i="1"/>
  <c r="Q904" i="1" s="1"/>
  <c r="K903" i="1"/>
  <c r="Q903" i="1" s="1"/>
  <c r="T907" i="1"/>
  <c r="S907" i="1"/>
  <c r="R907" i="1"/>
  <c r="Q907" i="1"/>
  <c r="T906" i="1"/>
  <c r="S906" i="1"/>
  <c r="R906" i="1"/>
  <c r="Q906" i="1"/>
  <c r="T905" i="1"/>
  <c r="S905" i="1"/>
  <c r="R905" i="1"/>
  <c r="T904" i="1"/>
  <c r="S904" i="1"/>
  <c r="R904" i="1"/>
  <c r="T903" i="1"/>
  <c r="S903" i="1"/>
  <c r="R903" i="1"/>
  <c r="J708" i="4"/>
  <c r="I708" i="4"/>
  <c r="L705" i="4"/>
  <c r="L706" i="4"/>
  <c r="L702" i="4"/>
  <c r="L703" i="4"/>
  <c r="L704" i="4"/>
  <c r="L707" i="4"/>
  <c r="K708" i="4"/>
  <c r="L701" i="4"/>
  <c r="N898" i="1"/>
  <c r="N902" i="1" s="1"/>
  <c r="K700" i="4"/>
  <c r="J700" i="4"/>
  <c r="I700" i="4"/>
  <c r="L699" i="4"/>
  <c r="L698" i="4"/>
  <c r="L697" i="4"/>
  <c r="L696" i="4"/>
  <c r="L695" i="4"/>
  <c r="L694" i="4"/>
  <c r="T897" i="1"/>
  <c r="J902" i="1"/>
  <c r="P902" i="1"/>
  <c r="O902" i="1"/>
  <c r="M902" i="1"/>
  <c r="L902" i="1"/>
  <c r="T901" i="1"/>
  <c r="S901" i="1"/>
  <c r="R901" i="1"/>
  <c r="Q901" i="1"/>
  <c r="T900" i="1"/>
  <c r="S900" i="1"/>
  <c r="R900" i="1"/>
  <c r="Q900" i="1"/>
  <c r="S899" i="1"/>
  <c r="R899" i="1"/>
  <c r="Q899" i="1"/>
  <c r="T898" i="1"/>
  <c r="S898" i="1"/>
  <c r="K902" i="1"/>
  <c r="R897" i="1"/>
  <c r="Q897" i="1"/>
  <c r="T896" i="1"/>
  <c r="S896" i="1"/>
  <c r="R896" i="1"/>
  <c r="Q896" i="1"/>
  <c r="T895" i="1"/>
  <c r="S895" i="1"/>
  <c r="R895" i="1"/>
  <c r="Q895" i="1"/>
  <c r="L688" i="4"/>
  <c r="L689" i="4"/>
  <c r="L690" i="4"/>
  <c r="L691" i="4"/>
  <c r="L692" i="4"/>
  <c r="K886" i="1"/>
  <c r="Q886" i="1" s="1"/>
  <c r="S897" i="1"/>
  <c r="T899" i="1"/>
  <c r="Q898" i="1"/>
  <c r="K693" i="4"/>
  <c r="J693" i="4"/>
  <c r="I693" i="4"/>
  <c r="L687" i="4"/>
  <c r="R890" i="1"/>
  <c r="S890" i="1"/>
  <c r="T890" i="1"/>
  <c r="R891" i="1"/>
  <c r="S891" i="1"/>
  <c r="T891" i="1"/>
  <c r="R892" i="1"/>
  <c r="S892" i="1"/>
  <c r="T892" i="1"/>
  <c r="K891" i="1"/>
  <c r="Q891" i="1" s="1"/>
  <c r="K892" i="1"/>
  <c r="Q892" i="1" s="1"/>
  <c r="K890" i="1"/>
  <c r="Q890" i="1" s="1"/>
  <c r="K893" i="1"/>
  <c r="Q893" i="1" s="1"/>
  <c r="K887" i="1"/>
  <c r="Q887" i="1" s="1"/>
  <c r="P894" i="1"/>
  <c r="O894" i="1"/>
  <c r="N894" i="1"/>
  <c r="M894" i="1"/>
  <c r="L894" i="1"/>
  <c r="J894" i="1"/>
  <c r="T893" i="1"/>
  <c r="S893" i="1"/>
  <c r="R893" i="1"/>
  <c r="T889" i="1"/>
  <c r="S889" i="1"/>
  <c r="R889" i="1"/>
  <c r="K889" i="1"/>
  <c r="Q889" i="1" s="1"/>
  <c r="L184" i="4"/>
  <c r="L185" i="4"/>
  <c r="L183" i="4"/>
  <c r="P888" i="1"/>
  <c r="O888" i="1"/>
  <c r="N888" i="1"/>
  <c r="L888" i="1"/>
  <c r="J888" i="1"/>
  <c r="T887" i="1"/>
  <c r="S887" i="1"/>
  <c r="R887" i="1"/>
  <c r="M888" i="1"/>
  <c r="T886" i="1"/>
  <c r="S886" i="1"/>
  <c r="R886" i="1"/>
  <c r="T885" i="1"/>
  <c r="S885" i="1"/>
  <c r="R885" i="1"/>
  <c r="K885" i="1"/>
  <c r="J884" i="1"/>
  <c r="K883" i="1"/>
  <c r="Q883" i="1" s="1"/>
  <c r="M883" i="1"/>
  <c r="M884" i="1" s="1"/>
  <c r="K882" i="1"/>
  <c r="Q882" i="1" s="1"/>
  <c r="K881" i="1"/>
  <c r="Q881" i="1" s="1"/>
  <c r="I686" i="4"/>
  <c r="J686" i="4"/>
  <c r="L682" i="4"/>
  <c r="K686" i="4"/>
  <c r="L685" i="4"/>
  <c r="L684" i="4"/>
  <c r="L683" i="4"/>
  <c r="P884" i="1"/>
  <c r="O884" i="1"/>
  <c r="N884" i="1"/>
  <c r="L884" i="1"/>
  <c r="T883" i="1"/>
  <c r="S883" i="1"/>
  <c r="R883" i="1"/>
  <c r="T882" i="1"/>
  <c r="S882" i="1"/>
  <c r="R882" i="1"/>
  <c r="T881" i="1"/>
  <c r="S881" i="1"/>
  <c r="R881" i="1"/>
  <c r="T880" i="1"/>
  <c r="S880" i="1"/>
  <c r="R880" i="1"/>
  <c r="K880" i="1"/>
  <c r="Q880" i="1" s="1"/>
  <c r="K877" i="1"/>
  <c r="L679" i="4"/>
  <c r="L680" i="4"/>
  <c r="K681" i="4"/>
  <c r="J681" i="4"/>
  <c r="I681" i="4"/>
  <c r="L678" i="4"/>
  <c r="P879" i="1"/>
  <c r="O879" i="1"/>
  <c r="N879" i="1"/>
  <c r="M879" i="1"/>
  <c r="L879" i="1"/>
  <c r="J879" i="1"/>
  <c r="T878" i="1"/>
  <c r="S878" i="1"/>
  <c r="R878" i="1"/>
  <c r="Q878" i="1"/>
  <c r="T877" i="1"/>
  <c r="S877" i="1"/>
  <c r="R877" i="1"/>
  <c r="T876" i="1"/>
  <c r="S876" i="1"/>
  <c r="R876" i="1"/>
  <c r="Q876" i="1"/>
  <c r="T875" i="1"/>
  <c r="S875" i="1"/>
  <c r="R875" i="1"/>
  <c r="K875" i="1"/>
  <c r="Q875" i="1" s="1"/>
  <c r="L670" i="4"/>
  <c r="L671" i="4"/>
  <c r="L672" i="4"/>
  <c r="L673" i="4"/>
  <c r="L674" i="4"/>
  <c r="L675" i="4"/>
  <c r="L676" i="4"/>
  <c r="I677" i="4"/>
  <c r="K677" i="4"/>
  <c r="J677" i="4"/>
  <c r="L669" i="4"/>
  <c r="P874" i="1"/>
  <c r="O874" i="1"/>
  <c r="N874" i="1"/>
  <c r="M874" i="1"/>
  <c r="J874" i="1"/>
  <c r="T873" i="1"/>
  <c r="S873" i="1"/>
  <c r="R873" i="1"/>
  <c r="Q873" i="1"/>
  <c r="T872" i="1"/>
  <c r="S872" i="1"/>
  <c r="R872" i="1"/>
  <c r="Q872" i="1"/>
  <c r="T871" i="1"/>
  <c r="S871" i="1"/>
  <c r="R871" i="1"/>
  <c r="L874" i="1"/>
  <c r="K874" i="1"/>
  <c r="T870" i="1"/>
  <c r="S870" i="1"/>
  <c r="R870" i="1"/>
  <c r="Q870" i="1"/>
  <c r="T869" i="1"/>
  <c r="S869" i="1"/>
  <c r="R869" i="1"/>
  <c r="Q869" i="1"/>
  <c r="T868" i="1"/>
  <c r="S868" i="1"/>
  <c r="R868" i="1"/>
  <c r="Q868" i="1"/>
  <c r="K668" i="4"/>
  <c r="I668" i="4"/>
  <c r="J668" i="4"/>
  <c r="L666" i="4"/>
  <c r="L665" i="4"/>
  <c r="L862" i="1"/>
  <c r="M862" i="1"/>
  <c r="N862" i="1"/>
  <c r="O862" i="1"/>
  <c r="P862" i="1"/>
  <c r="J862" i="1"/>
  <c r="K860" i="1"/>
  <c r="Q860" i="1" s="1"/>
  <c r="T860" i="1"/>
  <c r="S860" i="1"/>
  <c r="R860" i="1"/>
  <c r="R865" i="1"/>
  <c r="S865" i="1"/>
  <c r="T865" i="1"/>
  <c r="K865" i="1"/>
  <c r="Q865" i="1" s="1"/>
  <c r="K866" i="1"/>
  <c r="K864" i="1"/>
  <c r="Q864" i="1" s="1"/>
  <c r="K863" i="1"/>
  <c r="Q863" i="1" s="1"/>
  <c r="K861" i="1"/>
  <c r="P867" i="1"/>
  <c r="O867" i="1"/>
  <c r="N867" i="1"/>
  <c r="M867" i="1"/>
  <c r="J867" i="1"/>
  <c r="T866" i="1"/>
  <c r="S866" i="1"/>
  <c r="R866" i="1"/>
  <c r="T864" i="1"/>
  <c r="S864" i="1"/>
  <c r="R864" i="1"/>
  <c r="T863" i="1"/>
  <c r="S863" i="1"/>
  <c r="R863" i="1"/>
  <c r="L867" i="1"/>
  <c r="T861" i="1"/>
  <c r="S861" i="1"/>
  <c r="R861" i="1"/>
  <c r="K858" i="1"/>
  <c r="P859" i="1"/>
  <c r="O859" i="1"/>
  <c r="N859" i="1"/>
  <c r="M859" i="1"/>
  <c r="J859" i="1"/>
  <c r="T858" i="1"/>
  <c r="S858" i="1"/>
  <c r="R858" i="1"/>
  <c r="L859" i="1"/>
  <c r="K856" i="1"/>
  <c r="Q856" i="1" s="1"/>
  <c r="K853" i="1"/>
  <c r="L853" i="1"/>
  <c r="P857" i="1"/>
  <c r="O857" i="1"/>
  <c r="N857" i="1"/>
  <c r="M857" i="1"/>
  <c r="J857" i="1"/>
  <c r="T856" i="1"/>
  <c r="S856" i="1"/>
  <c r="R856" i="1"/>
  <c r="T855" i="1"/>
  <c r="S855" i="1"/>
  <c r="R855" i="1"/>
  <c r="Q855" i="1"/>
  <c r="T854" i="1"/>
  <c r="S854" i="1"/>
  <c r="R854" i="1"/>
  <c r="Q854" i="1"/>
  <c r="T853" i="1"/>
  <c r="S853" i="1"/>
  <c r="R853" i="1"/>
  <c r="K664" i="4"/>
  <c r="J664" i="4"/>
  <c r="I664" i="4"/>
  <c r="L663" i="4"/>
  <c r="L662" i="4"/>
  <c r="L661" i="4"/>
  <c r="L660" i="4"/>
  <c r="L659" i="4"/>
  <c r="L848" i="1"/>
  <c r="L852" i="1" s="1"/>
  <c r="K848" i="1"/>
  <c r="P852" i="1"/>
  <c r="O852" i="1"/>
  <c r="N852" i="1"/>
  <c r="M852" i="1"/>
  <c r="J852" i="1"/>
  <c r="T851" i="1"/>
  <c r="S851" i="1"/>
  <c r="R851" i="1"/>
  <c r="Q851" i="1"/>
  <c r="T850" i="1"/>
  <c r="S850" i="1"/>
  <c r="R850" i="1"/>
  <c r="Q850" i="1"/>
  <c r="T849" i="1"/>
  <c r="S849" i="1"/>
  <c r="R849" i="1"/>
  <c r="Q849" i="1"/>
  <c r="T848" i="1"/>
  <c r="S848" i="1"/>
  <c r="R848" i="1"/>
  <c r="T847" i="1"/>
  <c r="S847" i="1"/>
  <c r="R847" i="1"/>
  <c r="Q847" i="1"/>
  <c r="T846" i="1"/>
  <c r="S846" i="1"/>
  <c r="R846" i="1"/>
  <c r="Q846" i="1"/>
  <c r="T845" i="1"/>
  <c r="S845" i="1"/>
  <c r="R845" i="1"/>
  <c r="Q845" i="1"/>
  <c r="K658" i="4"/>
  <c r="J658" i="4"/>
  <c r="I658" i="4"/>
  <c r="L657" i="4"/>
  <c r="L656" i="4"/>
  <c r="L655" i="4"/>
  <c r="L654" i="4"/>
  <c r="L653" i="4"/>
  <c r="L652" i="4"/>
  <c r="L645" i="4"/>
  <c r="L646" i="4"/>
  <c r="L647" i="4"/>
  <c r="L648" i="4"/>
  <c r="L649" i="4"/>
  <c r="L650" i="4"/>
  <c r="I651" i="4"/>
  <c r="J651" i="4"/>
  <c r="K651" i="4"/>
  <c r="L644" i="4"/>
  <c r="R842" i="1"/>
  <c r="S842" i="1"/>
  <c r="T842" i="1"/>
  <c r="K842" i="1"/>
  <c r="Q842" i="1" s="1"/>
  <c r="K843" i="1"/>
  <c r="Q843" i="1" s="1"/>
  <c r="K841" i="1"/>
  <c r="Q841" i="1" s="1"/>
  <c r="P844" i="1"/>
  <c r="O844" i="1"/>
  <c r="N844" i="1"/>
  <c r="M844" i="1"/>
  <c r="L844" i="1"/>
  <c r="J844" i="1"/>
  <c r="P840" i="1"/>
  <c r="O840" i="1"/>
  <c r="N840" i="1"/>
  <c r="M840" i="1"/>
  <c r="L840" i="1"/>
  <c r="J840" i="1"/>
  <c r="K839" i="1"/>
  <c r="Q839" i="1" s="1"/>
  <c r="K837" i="1"/>
  <c r="Q837" i="1" s="1"/>
  <c r="K838" i="1"/>
  <c r="Q838" i="1" s="1"/>
  <c r="K836" i="1"/>
  <c r="Q836" i="1" s="1"/>
  <c r="T843" i="1"/>
  <c r="S843" i="1"/>
  <c r="R843" i="1"/>
  <c r="T841" i="1"/>
  <c r="S841" i="1"/>
  <c r="R841" i="1"/>
  <c r="T839" i="1"/>
  <c r="S839" i="1"/>
  <c r="R839" i="1"/>
  <c r="T838" i="1"/>
  <c r="S838" i="1"/>
  <c r="R838" i="1"/>
  <c r="T837" i="1"/>
  <c r="S837" i="1"/>
  <c r="R837" i="1"/>
  <c r="T836" i="1"/>
  <c r="S836" i="1"/>
  <c r="R836" i="1"/>
  <c r="K643" i="4"/>
  <c r="I643" i="4"/>
  <c r="J643" i="4"/>
  <c r="L637" i="4"/>
  <c r="L638" i="4"/>
  <c r="L636" i="4"/>
  <c r="L635" i="4"/>
  <c r="P835" i="1"/>
  <c r="N835" i="1"/>
  <c r="M835" i="1"/>
  <c r="L835" i="1"/>
  <c r="O835" i="1"/>
  <c r="J835" i="1"/>
  <c r="K828" i="1"/>
  <c r="Q828" i="1" s="1"/>
  <c r="K827" i="1"/>
  <c r="L641" i="4"/>
  <c r="L642" i="4"/>
  <c r="Q831" i="1"/>
  <c r="R831" i="1"/>
  <c r="S831" i="1"/>
  <c r="T831" i="1"/>
  <c r="Q832" i="1"/>
  <c r="R832" i="1"/>
  <c r="S832" i="1"/>
  <c r="T832" i="1"/>
  <c r="T834" i="1"/>
  <c r="S834" i="1"/>
  <c r="R834" i="1"/>
  <c r="Q834" i="1"/>
  <c r="T833" i="1"/>
  <c r="S833" i="1"/>
  <c r="R833" i="1"/>
  <c r="Q833" i="1"/>
  <c r="T830" i="1"/>
  <c r="S830" i="1"/>
  <c r="R830" i="1"/>
  <c r="Q830" i="1"/>
  <c r="T829" i="1"/>
  <c r="S829" i="1"/>
  <c r="R829" i="1"/>
  <c r="Q829" i="1"/>
  <c r="T828" i="1"/>
  <c r="S828" i="1"/>
  <c r="R828" i="1"/>
  <c r="T827" i="1"/>
  <c r="S827" i="1"/>
  <c r="R827" i="1"/>
  <c r="T826" i="1"/>
  <c r="S826" i="1"/>
  <c r="R826" i="1"/>
  <c r="Q826" i="1"/>
  <c r="L640" i="4"/>
  <c r="L639" i="4"/>
  <c r="R818" i="1"/>
  <c r="S818" i="1"/>
  <c r="T818" i="1"/>
  <c r="K818" i="1"/>
  <c r="Q818" i="1" s="1"/>
  <c r="J634" i="4"/>
  <c r="K634" i="4"/>
  <c r="I634" i="4"/>
  <c r="L633" i="4"/>
  <c r="L632" i="4"/>
  <c r="L631" i="4"/>
  <c r="L630" i="4"/>
  <c r="K822" i="1"/>
  <c r="Q822" i="1" s="1"/>
  <c r="K823" i="1"/>
  <c r="Q823" i="1" s="1"/>
  <c r="K824" i="1"/>
  <c r="Q824" i="1" s="1"/>
  <c r="K821" i="1"/>
  <c r="Q821" i="1" s="1"/>
  <c r="P825" i="1"/>
  <c r="O825" i="1"/>
  <c r="N825" i="1"/>
  <c r="M825" i="1"/>
  <c r="L825" i="1"/>
  <c r="J825" i="1"/>
  <c r="T824" i="1"/>
  <c r="S824" i="1"/>
  <c r="R824" i="1"/>
  <c r="T823" i="1"/>
  <c r="S823" i="1"/>
  <c r="R823" i="1"/>
  <c r="T822" i="1"/>
  <c r="S822" i="1"/>
  <c r="R822" i="1"/>
  <c r="T821" i="1"/>
  <c r="S821" i="1"/>
  <c r="R821" i="1"/>
  <c r="K819" i="1"/>
  <c r="Q819" i="1" s="1"/>
  <c r="K817" i="1"/>
  <c r="Q817" i="1" s="1"/>
  <c r="R817" i="1"/>
  <c r="S817" i="1"/>
  <c r="T817" i="1"/>
  <c r="P820" i="1"/>
  <c r="O820" i="1"/>
  <c r="N820" i="1"/>
  <c r="M820" i="1"/>
  <c r="L820" i="1"/>
  <c r="J820" i="1"/>
  <c r="T819" i="1"/>
  <c r="S819" i="1"/>
  <c r="R819" i="1"/>
  <c r="K815" i="1"/>
  <c r="Q815" i="1" s="1"/>
  <c r="K814" i="1"/>
  <c r="Q814" i="1" s="1"/>
  <c r="K813" i="1"/>
  <c r="Q813" i="1" s="1"/>
  <c r="Q812" i="1"/>
  <c r="L627" i="4"/>
  <c r="K629" i="4"/>
  <c r="L628" i="4"/>
  <c r="J629" i="4"/>
  <c r="I629" i="4"/>
  <c r="L626" i="4"/>
  <c r="L625" i="4"/>
  <c r="L624" i="4"/>
  <c r="L623" i="4"/>
  <c r="L622" i="4"/>
  <c r="P816" i="1"/>
  <c r="O816" i="1"/>
  <c r="N816" i="1"/>
  <c r="L816" i="1"/>
  <c r="J816" i="1"/>
  <c r="T815" i="1"/>
  <c r="S815" i="1"/>
  <c r="R815" i="1"/>
  <c r="M816" i="1"/>
  <c r="T814" i="1"/>
  <c r="S814" i="1"/>
  <c r="R814" i="1"/>
  <c r="T813" i="1"/>
  <c r="S813" i="1"/>
  <c r="R813" i="1"/>
  <c r="T812" i="1"/>
  <c r="S812" i="1"/>
  <c r="R812" i="1"/>
  <c r="M810" i="1"/>
  <c r="M811" i="1" s="1"/>
  <c r="K809" i="1"/>
  <c r="Q809" i="1" s="1"/>
  <c r="K806" i="1"/>
  <c r="Q806" i="1" s="1"/>
  <c r="K805" i="1"/>
  <c r="Q805" i="1" s="1"/>
  <c r="K803" i="1"/>
  <c r="Q803" i="1" s="1"/>
  <c r="R805" i="1"/>
  <c r="S805" i="1"/>
  <c r="T805" i="1"/>
  <c r="T810" i="1"/>
  <c r="S810" i="1"/>
  <c r="R810" i="1"/>
  <c r="Q810" i="1"/>
  <c r="T809" i="1"/>
  <c r="S809" i="1"/>
  <c r="R809" i="1"/>
  <c r="T808" i="1"/>
  <c r="S808" i="1"/>
  <c r="R808" i="1"/>
  <c r="Q808" i="1"/>
  <c r="T807" i="1"/>
  <c r="S807" i="1"/>
  <c r="R807" i="1"/>
  <c r="Q807" i="1"/>
  <c r="P811" i="1"/>
  <c r="O811" i="1"/>
  <c r="N811" i="1"/>
  <c r="L811" i="1"/>
  <c r="J811" i="1"/>
  <c r="T806" i="1"/>
  <c r="S806" i="1"/>
  <c r="R806" i="1"/>
  <c r="T804" i="1"/>
  <c r="S804" i="1"/>
  <c r="R804" i="1"/>
  <c r="Q804" i="1"/>
  <c r="T803" i="1"/>
  <c r="S803" i="1"/>
  <c r="R803" i="1"/>
  <c r="I621" i="4"/>
  <c r="K621" i="4"/>
  <c r="J621" i="4"/>
  <c r="L620" i="4"/>
  <c r="L619" i="4"/>
  <c r="L618" i="4"/>
  <c r="L617" i="4"/>
  <c r="L616" i="4"/>
  <c r="K615" i="4"/>
  <c r="J615" i="4"/>
  <c r="I615" i="4"/>
  <c r="L614" i="4"/>
  <c r="L613" i="4"/>
  <c r="L612" i="4"/>
  <c r="L611" i="4"/>
  <c r="L610" i="4"/>
  <c r="L609" i="4"/>
  <c r="L608" i="4"/>
  <c r="Q800" i="1"/>
  <c r="R800" i="1"/>
  <c r="S800" i="1"/>
  <c r="T800" i="1"/>
  <c r="Q801" i="1"/>
  <c r="R801" i="1"/>
  <c r="S801" i="1"/>
  <c r="T801" i="1"/>
  <c r="P802" i="1"/>
  <c r="O802" i="1"/>
  <c r="N802" i="1"/>
  <c r="M802" i="1"/>
  <c r="L802" i="1"/>
  <c r="K802" i="1"/>
  <c r="J802" i="1"/>
  <c r="T799" i="1"/>
  <c r="S799" i="1"/>
  <c r="R799" i="1"/>
  <c r="Q799" i="1"/>
  <c r="T798" i="1"/>
  <c r="S798" i="1"/>
  <c r="R798" i="1"/>
  <c r="Q798" i="1"/>
  <c r="T797" i="1"/>
  <c r="S797" i="1"/>
  <c r="R797" i="1"/>
  <c r="Q797" i="1"/>
  <c r="T796" i="1"/>
  <c r="S796" i="1"/>
  <c r="R796" i="1"/>
  <c r="Q796" i="1"/>
  <c r="T795" i="1"/>
  <c r="S795" i="1"/>
  <c r="R795" i="1"/>
  <c r="Q795" i="1"/>
  <c r="K788" i="1"/>
  <c r="Q788" i="1" s="1"/>
  <c r="I607" i="4"/>
  <c r="J607" i="4"/>
  <c r="L606" i="4"/>
  <c r="K791" i="1"/>
  <c r="Q791" i="1" s="1"/>
  <c r="K792" i="1"/>
  <c r="Q792" i="1" s="1"/>
  <c r="K793" i="1"/>
  <c r="Q793" i="1" s="1"/>
  <c r="K789" i="1"/>
  <c r="Q789" i="1" s="1"/>
  <c r="L605" i="4"/>
  <c r="L603" i="4"/>
  <c r="K607" i="4"/>
  <c r="L604" i="4"/>
  <c r="L602" i="4"/>
  <c r="P790" i="1"/>
  <c r="P794" i="1" s="1"/>
  <c r="O790" i="1"/>
  <c r="O794" i="1" s="1"/>
  <c r="N790" i="1"/>
  <c r="N794" i="1" s="1"/>
  <c r="M790" i="1"/>
  <c r="M794" i="1" s="1"/>
  <c r="L790" i="1"/>
  <c r="L794" i="1" s="1"/>
  <c r="J790" i="1"/>
  <c r="J794" i="1" s="1"/>
  <c r="T793" i="1"/>
  <c r="S793" i="1"/>
  <c r="R793" i="1"/>
  <c r="T792" i="1"/>
  <c r="S792" i="1"/>
  <c r="R792" i="1"/>
  <c r="T791" i="1"/>
  <c r="S791" i="1"/>
  <c r="R791" i="1"/>
  <c r="T789" i="1"/>
  <c r="S789" i="1"/>
  <c r="R789" i="1"/>
  <c r="T788" i="1"/>
  <c r="S788" i="1"/>
  <c r="R788" i="1"/>
  <c r="K783" i="1"/>
  <c r="Q783" i="1" s="1"/>
  <c r="K782" i="1"/>
  <c r="Q782" i="1" s="1"/>
  <c r="K781" i="1"/>
  <c r="L781" i="1"/>
  <c r="L787" i="1" s="1"/>
  <c r="T786" i="1"/>
  <c r="S786" i="1"/>
  <c r="R786" i="1"/>
  <c r="Q786" i="1"/>
  <c r="T785" i="1"/>
  <c r="S785" i="1"/>
  <c r="R785" i="1"/>
  <c r="Q785" i="1"/>
  <c r="T784" i="1"/>
  <c r="S784" i="1"/>
  <c r="R784" i="1"/>
  <c r="Q784" i="1"/>
  <c r="P787" i="1"/>
  <c r="O787" i="1"/>
  <c r="N787" i="1"/>
  <c r="M787" i="1"/>
  <c r="J787" i="1"/>
  <c r="T783" i="1"/>
  <c r="S783" i="1"/>
  <c r="R783" i="1"/>
  <c r="T782" i="1"/>
  <c r="S782" i="1"/>
  <c r="R782" i="1"/>
  <c r="T781" i="1"/>
  <c r="S781" i="1"/>
  <c r="R781" i="1"/>
  <c r="K601" i="4"/>
  <c r="J601" i="4"/>
  <c r="I601" i="4"/>
  <c r="L600" i="4"/>
  <c r="L599" i="4"/>
  <c r="L598" i="4"/>
  <c r="L597" i="4"/>
  <c r="K596" i="4"/>
  <c r="J596" i="4"/>
  <c r="I596" i="4"/>
  <c r="L595" i="4"/>
  <c r="L594" i="4"/>
  <c r="L593" i="4"/>
  <c r="L592" i="4"/>
  <c r="L591" i="4"/>
  <c r="L590" i="4"/>
  <c r="L589" i="4"/>
  <c r="P780" i="1"/>
  <c r="O780" i="1"/>
  <c r="N780" i="1"/>
  <c r="M780" i="1"/>
  <c r="L780" i="1"/>
  <c r="K780" i="1"/>
  <c r="J780" i="1"/>
  <c r="T779" i="1"/>
  <c r="S779" i="1"/>
  <c r="R779" i="1"/>
  <c r="Q779" i="1"/>
  <c r="T778" i="1"/>
  <c r="S778" i="1"/>
  <c r="R778" i="1"/>
  <c r="Q778" i="1"/>
  <c r="T777" i="1"/>
  <c r="S777" i="1"/>
  <c r="R777" i="1"/>
  <c r="Q777" i="1"/>
  <c r="T776" i="1"/>
  <c r="S776" i="1"/>
  <c r="R776" i="1"/>
  <c r="Q776" i="1"/>
  <c r="T775" i="1"/>
  <c r="S775" i="1"/>
  <c r="R775" i="1"/>
  <c r="Q775" i="1"/>
  <c r="T774" i="1"/>
  <c r="S774" i="1"/>
  <c r="R774" i="1"/>
  <c r="Q774" i="1"/>
  <c r="T773" i="1"/>
  <c r="S773" i="1"/>
  <c r="R773" i="1"/>
  <c r="Q773" i="1"/>
  <c r="K769" i="1"/>
  <c r="Q769" i="1" s="1"/>
  <c r="K770" i="1"/>
  <c r="Q770" i="1" s="1"/>
  <c r="K771" i="1"/>
  <c r="Q771" i="1" s="1"/>
  <c r="L586" i="4"/>
  <c r="K588" i="4"/>
  <c r="J588" i="4"/>
  <c r="I588" i="4"/>
  <c r="L587" i="4"/>
  <c r="L585" i="4"/>
  <c r="L584" i="4"/>
  <c r="L583" i="4"/>
  <c r="K766" i="1"/>
  <c r="Q766" i="1" s="1"/>
  <c r="K768" i="1"/>
  <c r="Q768" i="1" s="1"/>
  <c r="K765" i="1"/>
  <c r="L772" i="1"/>
  <c r="M772" i="1"/>
  <c r="N772" i="1"/>
  <c r="O772" i="1"/>
  <c r="P772" i="1"/>
  <c r="J772" i="1"/>
  <c r="L767" i="1"/>
  <c r="M767" i="1"/>
  <c r="N767" i="1"/>
  <c r="O767" i="1"/>
  <c r="P767" i="1"/>
  <c r="J767" i="1"/>
  <c r="T771" i="1"/>
  <c r="S771" i="1"/>
  <c r="R771" i="1"/>
  <c r="T770" i="1"/>
  <c r="S770" i="1"/>
  <c r="R770" i="1"/>
  <c r="T769" i="1"/>
  <c r="S769" i="1"/>
  <c r="R769" i="1"/>
  <c r="T768" i="1"/>
  <c r="S768" i="1"/>
  <c r="R768" i="1"/>
  <c r="T766" i="1"/>
  <c r="S766" i="1"/>
  <c r="R766" i="1"/>
  <c r="T765" i="1"/>
  <c r="S765" i="1"/>
  <c r="R765" i="1"/>
  <c r="T763" i="1"/>
  <c r="S763" i="1"/>
  <c r="R763" i="1"/>
  <c r="Q763" i="1"/>
  <c r="T762" i="1"/>
  <c r="S762" i="1"/>
  <c r="R762" i="1"/>
  <c r="Q762" i="1"/>
  <c r="T761" i="1"/>
  <c r="S761" i="1"/>
  <c r="R761" i="1"/>
  <c r="Q761" i="1"/>
  <c r="T760" i="1"/>
  <c r="S760" i="1"/>
  <c r="R760" i="1"/>
  <c r="Q760" i="1"/>
  <c r="K759" i="1"/>
  <c r="Q759" i="1" s="1"/>
  <c r="K758" i="1"/>
  <c r="Q758" i="1" s="1"/>
  <c r="K757" i="1"/>
  <c r="K756" i="1"/>
  <c r="Q756" i="1" s="1"/>
  <c r="J764" i="1"/>
  <c r="P764" i="1"/>
  <c r="O764" i="1"/>
  <c r="N764" i="1"/>
  <c r="M764" i="1"/>
  <c r="L764" i="1"/>
  <c r="T759" i="1"/>
  <c r="S759" i="1"/>
  <c r="R759" i="1"/>
  <c r="T758" i="1"/>
  <c r="S758" i="1"/>
  <c r="R758" i="1"/>
  <c r="T757" i="1"/>
  <c r="S757" i="1"/>
  <c r="R757" i="1"/>
  <c r="T756" i="1"/>
  <c r="S756" i="1"/>
  <c r="R756" i="1"/>
  <c r="K581" i="4"/>
  <c r="L581" i="4" s="1"/>
  <c r="L577" i="4"/>
  <c r="J582" i="4"/>
  <c r="I582" i="4"/>
  <c r="L580" i="4"/>
  <c r="L579" i="4"/>
  <c r="L578" i="4"/>
  <c r="L576" i="4"/>
  <c r="L573" i="4"/>
  <c r="K575" i="4"/>
  <c r="J575" i="4"/>
  <c r="I575" i="4"/>
  <c r="L574" i="4"/>
  <c r="L572" i="4"/>
  <c r="L571" i="4"/>
  <c r="L570" i="4"/>
  <c r="L569" i="4"/>
  <c r="L568" i="4"/>
  <c r="L567" i="4"/>
  <c r="P755" i="1"/>
  <c r="O755" i="1"/>
  <c r="N755" i="1"/>
  <c r="M755" i="1"/>
  <c r="L755" i="1"/>
  <c r="K755" i="1"/>
  <c r="J755" i="1"/>
  <c r="T754" i="1"/>
  <c r="S754" i="1"/>
  <c r="R754" i="1"/>
  <c r="Q754" i="1"/>
  <c r="T753" i="1"/>
  <c r="S753" i="1"/>
  <c r="R753" i="1"/>
  <c r="Q753" i="1"/>
  <c r="T752" i="1"/>
  <c r="S752" i="1"/>
  <c r="R752" i="1"/>
  <c r="Q752" i="1"/>
  <c r="T751" i="1"/>
  <c r="S751" i="1"/>
  <c r="R751" i="1"/>
  <c r="Q751" i="1"/>
  <c r="T750" i="1"/>
  <c r="S750" i="1"/>
  <c r="R750" i="1"/>
  <c r="Q750" i="1"/>
  <c r="T749" i="1"/>
  <c r="S749" i="1"/>
  <c r="R749" i="1"/>
  <c r="Q749" i="1"/>
  <c r="T748" i="1"/>
  <c r="S748" i="1"/>
  <c r="R748" i="1"/>
  <c r="Q748" i="1"/>
  <c r="T747" i="1"/>
  <c r="S747" i="1"/>
  <c r="R747" i="1"/>
  <c r="Q747" i="1"/>
  <c r="L564" i="4"/>
  <c r="K566" i="4"/>
  <c r="J566" i="4"/>
  <c r="I566" i="4"/>
  <c r="L565" i="4"/>
  <c r="L563" i="4"/>
  <c r="L562" i="4"/>
  <c r="K743" i="1"/>
  <c r="Q743" i="1" s="1"/>
  <c r="K744" i="1"/>
  <c r="Q744" i="1" s="1"/>
  <c r="K745" i="1"/>
  <c r="Q745" i="1" s="1"/>
  <c r="K742" i="1"/>
  <c r="Q742" i="1" s="1"/>
  <c r="K741" i="1"/>
  <c r="Q741" i="1" s="1"/>
  <c r="K740" i="1"/>
  <c r="Q740" i="1" s="1"/>
  <c r="P746" i="1"/>
  <c r="O746" i="1"/>
  <c r="N746" i="1"/>
  <c r="M746" i="1"/>
  <c r="L746" i="1"/>
  <c r="J746" i="1"/>
  <c r="T745" i="1"/>
  <c r="S745" i="1"/>
  <c r="R745" i="1"/>
  <c r="T744" i="1"/>
  <c r="S744" i="1"/>
  <c r="R744" i="1"/>
  <c r="T743" i="1"/>
  <c r="S743" i="1"/>
  <c r="R743" i="1"/>
  <c r="T742" i="1"/>
  <c r="S742" i="1"/>
  <c r="R742" i="1"/>
  <c r="T741" i="1"/>
  <c r="S741" i="1"/>
  <c r="R741" i="1"/>
  <c r="T740" i="1"/>
  <c r="S740" i="1"/>
  <c r="R740" i="1"/>
  <c r="J739" i="1"/>
  <c r="K736" i="1"/>
  <c r="Q736" i="1" s="1"/>
  <c r="K734" i="1"/>
  <c r="Q734" i="1" s="1"/>
  <c r="K733" i="1"/>
  <c r="T738" i="1"/>
  <c r="S738" i="1"/>
  <c r="R738" i="1"/>
  <c r="Q738" i="1"/>
  <c r="T737" i="1"/>
  <c r="S737" i="1"/>
  <c r="R737" i="1"/>
  <c r="Q737" i="1"/>
  <c r="T736" i="1"/>
  <c r="S736" i="1"/>
  <c r="R736" i="1"/>
  <c r="T735" i="1"/>
  <c r="S735" i="1"/>
  <c r="R735" i="1"/>
  <c r="Q735" i="1"/>
  <c r="P739" i="1"/>
  <c r="O739" i="1"/>
  <c r="N739" i="1"/>
  <c r="M739" i="1"/>
  <c r="L739" i="1"/>
  <c r="T734" i="1"/>
  <c r="S734" i="1"/>
  <c r="R734" i="1"/>
  <c r="T733" i="1"/>
  <c r="S733" i="1"/>
  <c r="R733" i="1"/>
  <c r="K561" i="4"/>
  <c r="J561" i="4"/>
  <c r="I561" i="4"/>
  <c r="L560" i="4"/>
  <c r="L559" i="4"/>
  <c r="L558" i="4"/>
  <c r="L554" i="4"/>
  <c r="L555" i="4"/>
  <c r="K730" i="1"/>
  <c r="R730" i="1"/>
  <c r="S730" i="1"/>
  <c r="T730" i="1"/>
  <c r="Q728" i="1"/>
  <c r="R728" i="1"/>
  <c r="S728" i="1"/>
  <c r="T728" i="1"/>
  <c r="Q729" i="1"/>
  <c r="R729" i="1"/>
  <c r="S729" i="1"/>
  <c r="T729" i="1"/>
  <c r="Q727" i="1"/>
  <c r="P732" i="1"/>
  <c r="O732" i="1"/>
  <c r="N732" i="1"/>
  <c r="M732" i="1"/>
  <c r="L732" i="1"/>
  <c r="J732" i="1"/>
  <c r="T731" i="1"/>
  <c r="S731" i="1"/>
  <c r="R731" i="1"/>
  <c r="Q731" i="1"/>
  <c r="T727" i="1"/>
  <c r="S727" i="1"/>
  <c r="R727" i="1"/>
  <c r="T726" i="1"/>
  <c r="S726" i="1"/>
  <c r="R726" i="1"/>
  <c r="Q726" i="1"/>
  <c r="T725" i="1"/>
  <c r="S725" i="1"/>
  <c r="R725" i="1"/>
  <c r="Q725" i="1"/>
  <c r="T724" i="1"/>
  <c r="S724" i="1"/>
  <c r="R724" i="1"/>
  <c r="Q724" i="1"/>
  <c r="K557" i="4"/>
  <c r="J557" i="4"/>
  <c r="I557" i="4"/>
  <c r="L556" i="4"/>
  <c r="L553" i="4"/>
  <c r="L552" i="4"/>
  <c r="L551" i="4"/>
  <c r="L550" i="4"/>
  <c r="K719" i="1"/>
  <c r="Q719" i="1" s="1"/>
  <c r="K718" i="1"/>
  <c r="Q718" i="1" s="1"/>
  <c r="K721" i="1"/>
  <c r="Q721" i="1" s="1"/>
  <c r="K722" i="1"/>
  <c r="K720" i="1"/>
  <c r="Q720" i="1" s="1"/>
  <c r="P723" i="1"/>
  <c r="O723" i="1"/>
  <c r="N723" i="1"/>
  <c r="M723" i="1"/>
  <c r="L723" i="1"/>
  <c r="J723" i="1"/>
  <c r="T722" i="1"/>
  <c r="S722" i="1"/>
  <c r="R722" i="1"/>
  <c r="T721" i="1"/>
  <c r="S721" i="1"/>
  <c r="R721" i="1"/>
  <c r="T720" i="1"/>
  <c r="S720" i="1"/>
  <c r="R720" i="1"/>
  <c r="T719" i="1"/>
  <c r="S719" i="1"/>
  <c r="R719" i="1"/>
  <c r="T718" i="1"/>
  <c r="S718" i="1"/>
  <c r="R718" i="1"/>
  <c r="J549" i="4"/>
  <c r="I549" i="4"/>
  <c r="L548" i="4"/>
  <c r="K549" i="4"/>
  <c r="L546" i="4"/>
  <c r="K713" i="1"/>
  <c r="Q713" i="1" s="1"/>
  <c r="K712" i="1"/>
  <c r="K711" i="1"/>
  <c r="Q711" i="1" s="1"/>
  <c r="K710" i="1"/>
  <c r="Q710" i="1" s="1"/>
  <c r="J717" i="1"/>
  <c r="T716" i="1"/>
  <c r="S716" i="1"/>
  <c r="R716" i="1"/>
  <c r="Q716" i="1"/>
  <c r="T715" i="1"/>
  <c r="S715" i="1"/>
  <c r="R715" i="1"/>
  <c r="Q715" i="1"/>
  <c r="T714" i="1"/>
  <c r="S714" i="1"/>
  <c r="R714" i="1"/>
  <c r="Q714" i="1"/>
  <c r="P717" i="1"/>
  <c r="O717" i="1"/>
  <c r="N717" i="1"/>
  <c r="M717" i="1"/>
  <c r="L717" i="1"/>
  <c r="T713" i="1"/>
  <c r="S713" i="1"/>
  <c r="R713" i="1"/>
  <c r="T712" i="1"/>
  <c r="S712" i="1"/>
  <c r="R712" i="1"/>
  <c r="T711" i="1"/>
  <c r="S711" i="1"/>
  <c r="R711" i="1"/>
  <c r="T710" i="1"/>
  <c r="S710" i="1"/>
  <c r="R710" i="1"/>
  <c r="K543" i="4"/>
  <c r="K545" i="4" s="1"/>
  <c r="J545" i="4"/>
  <c r="I545" i="4"/>
  <c r="L544" i="4"/>
  <c r="L542" i="4"/>
  <c r="L541" i="4"/>
  <c r="P709" i="1"/>
  <c r="O709" i="1"/>
  <c r="N709" i="1"/>
  <c r="M709" i="1"/>
  <c r="L709" i="1"/>
  <c r="K709" i="1"/>
  <c r="J709" i="1"/>
  <c r="T708" i="1"/>
  <c r="S708" i="1"/>
  <c r="R708" i="1"/>
  <c r="Q708" i="1"/>
  <c r="T707" i="1"/>
  <c r="S707" i="1"/>
  <c r="R707" i="1"/>
  <c r="Q707" i="1"/>
  <c r="T706" i="1"/>
  <c r="S706" i="1"/>
  <c r="R706" i="1"/>
  <c r="Q706" i="1"/>
  <c r="T705" i="1"/>
  <c r="S705" i="1"/>
  <c r="R705" i="1"/>
  <c r="Q705" i="1"/>
  <c r="T704" i="1"/>
  <c r="S704" i="1"/>
  <c r="R704" i="1"/>
  <c r="Q704" i="1"/>
  <c r="K540" i="4"/>
  <c r="J540" i="4"/>
  <c r="I540" i="4"/>
  <c r="L539" i="4"/>
  <c r="L538" i="4"/>
  <c r="L537" i="4"/>
  <c r="L536" i="4"/>
  <c r="L535" i="4"/>
  <c r="J530" i="4"/>
  <c r="K530" i="4"/>
  <c r="I530" i="4"/>
  <c r="L529" i="4"/>
  <c r="L528" i="4"/>
  <c r="L527" i="4"/>
  <c r="L526" i="4"/>
  <c r="K702" i="1"/>
  <c r="K701" i="1"/>
  <c r="Q701" i="1" s="1"/>
  <c r="K700" i="1"/>
  <c r="Q700" i="1" s="1"/>
  <c r="P703" i="1"/>
  <c r="O703" i="1"/>
  <c r="N703" i="1"/>
  <c r="M703" i="1"/>
  <c r="L703" i="1"/>
  <c r="J703" i="1"/>
  <c r="T702" i="1"/>
  <c r="S702" i="1"/>
  <c r="R702" i="1"/>
  <c r="T701" i="1"/>
  <c r="S701" i="1"/>
  <c r="R701" i="1"/>
  <c r="T700" i="1"/>
  <c r="S700" i="1"/>
  <c r="R700" i="1"/>
  <c r="L699" i="1"/>
  <c r="M699" i="1"/>
  <c r="N699" i="1"/>
  <c r="O699" i="1"/>
  <c r="P699" i="1"/>
  <c r="J699" i="1"/>
  <c r="T698" i="1"/>
  <c r="S698" i="1"/>
  <c r="R698" i="1"/>
  <c r="Q698" i="1"/>
  <c r="T697" i="1"/>
  <c r="S697" i="1"/>
  <c r="R697" i="1"/>
  <c r="Q697" i="1"/>
  <c r="T696" i="1"/>
  <c r="S696" i="1"/>
  <c r="R696" i="1"/>
  <c r="Q696" i="1"/>
  <c r="K695" i="1"/>
  <c r="Q695" i="1" s="1"/>
  <c r="K692" i="1"/>
  <c r="Q692" i="1" s="1"/>
  <c r="K691" i="1"/>
  <c r="T695" i="1"/>
  <c r="S695" i="1"/>
  <c r="R695" i="1"/>
  <c r="T694" i="1"/>
  <c r="S694" i="1"/>
  <c r="R694" i="1"/>
  <c r="Q694" i="1"/>
  <c r="T693" i="1"/>
  <c r="S693" i="1"/>
  <c r="R693" i="1"/>
  <c r="Q693" i="1"/>
  <c r="T692" i="1"/>
  <c r="S692" i="1"/>
  <c r="R692" i="1"/>
  <c r="T691" i="1"/>
  <c r="S691" i="1"/>
  <c r="R691" i="1"/>
  <c r="I534" i="4"/>
  <c r="K534" i="4"/>
  <c r="J534" i="4"/>
  <c r="L533" i="4"/>
  <c r="L532" i="4"/>
  <c r="L531" i="4"/>
  <c r="L523" i="4"/>
  <c r="L524" i="4"/>
  <c r="Q688" i="1"/>
  <c r="R688" i="1"/>
  <c r="S688" i="1"/>
  <c r="T688" i="1"/>
  <c r="P690" i="1"/>
  <c r="O690" i="1"/>
  <c r="N690" i="1"/>
  <c r="M690" i="1"/>
  <c r="L690" i="1"/>
  <c r="K690" i="1"/>
  <c r="J690" i="1"/>
  <c r="T689" i="1"/>
  <c r="S689" i="1"/>
  <c r="R689" i="1"/>
  <c r="Q689" i="1"/>
  <c r="T687" i="1"/>
  <c r="S687" i="1"/>
  <c r="R687" i="1"/>
  <c r="Q687" i="1"/>
  <c r="T686" i="1"/>
  <c r="S686" i="1"/>
  <c r="R686" i="1"/>
  <c r="Q686" i="1"/>
  <c r="T685" i="1"/>
  <c r="S685" i="1"/>
  <c r="R685" i="1"/>
  <c r="Q685" i="1"/>
  <c r="T684" i="1"/>
  <c r="S684" i="1"/>
  <c r="R684" i="1"/>
  <c r="Q684" i="1"/>
  <c r="K525" i="4"/>
  <c r="J525" i="4"/>
  <c r="I525" i="4"/>
  <c r="L522" i="4"/>
  <c r="L521" i="4"/>
  <c r="L520" i="4"/>
  <c r="L519" i="4"/>
  <c r="L515" i="4"/>
  <c r="L516" i="4"/>
  <c r="L517" i="4"/>
  <c r="L514" i="4"/>
  <c r="P683" i="1"/>
  <c r="O683" i="1"/>
  <c r="N683" i="1"/>
  <c r="M683" i="1"/>
  <c r="L683" i="1"/>
  <c r="K683" i="1"/>
  <c r="J683" i="1"/>
  <c r="T682" i="1"/>
  <c r="S682" i="1"/>
  <c r="R682" i="1"/>
  <c r="Q682" i="1"/>
  <c r="T681" i="1"/>
  <c r="S681" i="1"/>
  <c r="R681" i="1"/>
  <c r="Q681" i="1"/>
  <c r="T680" i="1"/>
  <c r="S680" i="1"/>
  <c r="R680" i="1"/>
  <c r="Q680" i="1"/>
  <c r="T679" i="1"/>
  <c r="S679" i="1"/>
  <c r="R679" i="1"/>
  <c r="Q679" i="1"/>
  <c r="T678" i="1"/>
  <c r="S678" i="1"/>
  <c r="R678" i="1"/>
  <c r="Q678" i="1"/>
  <c r="K518" i="4"/>
  <c r="J518" i="4"/>
  <c r="I518" i="4"/>
  <c r="L513" i="4"/>
  <c r="L512" i="4"/>
  <c r="K511" i="4"/>
  <c r="J511" i="4"/>
  <c r="I511" i="4"/>
  <c r="L510" i="4"/>
  <c r="L509" i="4"/>
  <c r="L508" i="4"/>
  <c r="P677" i="1"/>
  <c r="O677" i="1"/>
  <c r="N677" i="1"/>
  <c r="M677" i="1"/>
  <c r="L677" i="1"/>
  <c r="K677" i="1"/>
  <c r="J677" i="1"/>
  <c r="T676" i="1"/>
  <c r="S676" i="1"/>
  <c r="R676" i="1"/>
  <c r="Q676" i="1"/>
  <c r="T675" i="1"/>
  <c r="S675" i="1"/>
  <c r="R675" i="1"/>
  <c r="Q675" i="1"/>
  <c r="T674" i="1"/>
  <c r="S674" i="1"/>
  <c r="R674" i="1"/>
  <c r="Q674" i="1"/>
  <c r="T673" i="1"/>
  <c r="S673" i="1"/>
  <c r="R673" i="1"/>
  <c r="Q673" i="1"/>
  <c r="T672" i="1"/>
  <c r="S672" i="1"/>
  <c r="R672" i="1"/>
  <c r="Q672" i="1"/>
  <c r="L504" i="4"/>
  <c r="L505" i="4"/>
  <c r="L506" i="4"/>
  <c r="K507" i="4"/>
  <c r="J507" i="4"/>
  <c r="I507" i="4"/>
  <c r="L503" i="4"/>
  <c r="L502" i="4"/>
  <c r="Q668" i="1"/>
  <c r="R668" i="1"/>
  <c r="S668" i="1"/>
  <c r="T668" i="1"/>
  <c r="Q669" i="1"/>
  <c r="R669" i="1"/>
  <c r="S669" i="1"/>
  <c r="T669" i="1"/>
  <c r="P671" i="1"/>
  <c r="O671" i="1"/>
  <c r="N671" i="1"/>
  <c r="M671" i="1"/>
  <c r="L671" i="1"/>
  <c r="K671" i="1"/>
  <c r="T670" i="1"/>
  <c r="T667" i="1"/>
  <c r="R666" i="1"/>
  <c r="T665" i="1"/>
  <c r="J662" i="1"/>
  <c r="J663" i="1" s="1"/>
  <c r="J671" i="1"/>
  <c r="T666" i="1"/>
  <c r="Q665" i="1"/>
  <c r="R665" i="1"/>
  <c r="S665" i="1"/>
  <c r="S666" i="1"/>
  <c r="S670" i="1"/>
  <c r="Q664" i="1"/>
  <c r="Q670" i="1"/>
  <c r="R664" i="1"/>
  <c r="R670" i="1"/>
  <c r="S664" i="1"/>
  <c r="Q667" i="1"/>
  <c r="T664" i="1"/>
  <c r="R667" i="1"/>
  <c r="Q666" i="1"/>
  <c r="S667" i="1"/>
  <c r="K661" i="1"/>
  <c r="Q661" i="1" s="1"/>
  <c r="P663" i="1"/>
  <c r="O663" i="1"/>
  <c r="N663" i="1"/>
  <c r="M663" i="1"/>
  <c r="L663" i="1"/>
  <c r="T661" i="1"/>
  <c r="S661" i="1"/>
  <c r="R661" i="1"/>
  <c r="K501" i="4"/>
  <c r="J501" i="4"/>
  <c r="I501" i="4"/>
  <c r="L500" i="4"/>
  <c r="L499" i="4"/>
  <c r="L498" i="4"/>
  <c r="L497" i="4"/>
  <c r="L493" i="4"/>
  <c r="L494" i="4"/>
  <c r="L495" i="4"/>
  <c r="J496" i="4"/>
  <c r="K496" i="4"/>
  <c r="I496" i="4"/>
  <c r="L492" i="4"/>
  <c r="P660" i="1"/>
  <c r="O660" i="1"/>
  <c r="N660" i="1"/>
  <c r="M660" i="1"/>
  <c r="L660" i="1"/>
  <c r="K660" i="1"/>
  <c r="Q659" i="1"/>
  <c r="Q658" i="1"/>
  <c r="J653" i="1"/>
  <c r="S653" i="1" s="1"/>
  <c r="J654" i="1"/>
  <c r="Q654" i="1" s="1"/>
  <c r="J655" i="1"/>
  <c r="Q655" i="1" s="1"/>
  <c r="J656" i="1"/>
  <c r="S656" i="1" s="1"/>
  <c r="J652" i="1"/>
  <c r="T652" i="1" s="1"/>
  <c r="L490" i="4"/>
  <c r="P657" i="1"/>
  <c r="O657" i="1"/>
  <c r="N657" i="1"/>
  <c r="M657" i="1"/>
  <c r="L657" i="1"/>
  <c r="K657" i="1"/>
  <c r="K491" i="4"/>
  <c r="J491" i="4"/>
  <c r="I491" i="4"/>
  <c r="L489" i="4"/>
  <c r="L488" i="4"/>
  <c r="L487" i="4"/>
  <c r="L486" i="4"/>
  <c r="L482" i="4"/>
  <c r="L483" i="4"/>
  <c r="K646" i="1"/>
  <c r="Q646" i="1" s="1"/>
  <c r="K645" i="1"/>
  <c r="Q645" i="1" s="1"/>
  <c r="K485" i="4"/>
  <c r="J485" i="4"/>
  <c r="I485" i="4"/>
  <c r="L484" i="4"/>
  <c r="L481" i="4"/>
  <c r="L480" i="4"/>
  <c r="K649" i="1"/>
  <c r="Q649" i="1" s="1"/>
  <c r="K650" i="1"/>
  <c r="K648" i="1"/>
  <c r="Q648" i="1" s="1"/>
  <c r="P651" i="1"/>
  <c r="O651" i="1"/>
  <c r="N651" i="1"/>
  <c r="M651" i="1"/>
  <c r="L651" i="1"/>
  <c r="J651" i="1"/>
  <c r="T650" i="1"/>
  <c r="S650" i="1"/>
  <c r="R650" i="1"/>
  <c r="T649" i="1"/>
  <c r="S649" i="1"/>
  <c r="R649" i="1"/>
  <c r="T648" i="1"/>
  <c r="S648" i="1"/>
  <c r="R648" i="1"/>
  <c r="P647" i="1"/>
  <c r="O647" i="1"/>
  <c r="N647" i="1"/>
  <c r="M647" i="1"/>
  <c r="L647" i="1"/>
  <c r="J647" i="1"/>
  <c r="T646" i="1"/>
  <c r="S646" i="1"/>
  <c r="R646" i="1"/>
  <c r="T645" i="1"/>
  <c r="S645" i="1"/>
  <c r="R645" i="1"/>
  <c r="K469" i="4"/>
  <c r="J469" i="4"/>
  <c r="I469" i="4"/>
  <c r="L477" i="4"/>
  <c r="L478" i="4"/>
  <c r="P644" i="1"/>
  <c r="O644" i="1"/>
  <c r="N644" i="1"/>
  <c r="M644" i="1"/>
  <c r="L644" i="1"/>
  <c r="K644" i="1"/>
  <c r="J644" i="1"/>
  <c r="T643" i="1"/>
  <c r="S643" i="1"/>
  <c r="R643" i="1"/>
  <c r="Q643" i="1"/>
  <c r="T642" i="1"/>
  <c r="S642" i="1"/>
  <c r="R642" i="1"/>
  <c r="Q642" i="1"/>
  <c r="T641" i="1"/>
  <c r="S641" i="1"/>
  <c r="R641" i="1"/>
  <c r="Q641" i="1"/>
  <c r="K479" i="4"/>
  <c r="J479" i="4"/>
  <c r="I479" i="4"/>
  <c r="L476" i="4"/>
  <c r="L470" i="4"/>
  <c r="L471" i="4"/>
  <c r="L472" i="4"/>
  <c r="L473" i="4"/>
  <c r="L474" i="4"/>
  <c r="K475" i="4"/>
  <c r="J475" i="4"/>
  <c r="I475" i="4"/>
  <c r="P640" i="1"/>
  <c r="O640" i="1"/>
  <c r="N640" i="1"/>
  <c r="M640" i="1"/>
  <c r="L640" i="1"/>
  <c r="K640" i="1"/>
  <c r="J640" i="1"/>
  <c r="T639" i="1"/>
  <c r="S639" i="1"/>
  <c r="R639" i="1"/>
  <c r="Q639" i="1"/>
  <c r="T638" i="1"/>
  <c r="S638" i="1"/>
  <c r="R638" i="1"/>
  <c r="Q638" i="1"/>
  <c r="T637" i="1"/>
  <c r="S637" i="1"/>
  <c r="R637" i="1"/>
  <c r="Q637" i="1"/>
  <c r="T636" i="1"/>
  <c r="S636" i="1"/>
  <c r="R636" i="1"/>
  <c r="Q636" i="1"/>
  <c r="T635" i="1"/>
  <c r="S635" i="1"/>
  <c r="R635" i="1"/>
  <c r="Q635" i="1"/>
  <c r="T239" i="1"/>
  <c r="S239" i="1"/>
  <c r="R239" i="1"/>
  <c r="Q239" i="1"/>
  <c r="P243" i="1"/>
  <c r="O243" i="1"/>
  <c r="N243" i="1"/>
  <c r="K243" i="1"/>
  <c r="L243" i="1"/>
  <c r="J243" i="1"/>
  <c r="M243" i="1"/>
  <c r="K247" i="1"/>
  <c r="L247" i="1"/>
  <c r="J247" i="1"/>
  <c r="J231" i="4"/>
  <c r="K231" i="4"/>
  <c r="L231" i="4"/>
  <c r="I231" i="4"/>
  <c r="J289" i="4"/>
  <c r="K289" i="4"/>
  <c r="L289" i="4"/>
  <c r="I289" i="4"/>
  <c r="L305" i="4"/>
  <c r="J305" i="4"/>
  <c r="K305" i="4"/>
  <c r="I305" i="4"/>
  <c r="R659" i="1"/>
  <c r="R658" i="1"/>
  <c r="S658" i="1"/>
  <c r="S659" i="1"/>
  <c r="T658" i="1"/>
  <c r="T659" i="1"/>
  <c r="J660" i="1"/>
  <c r="L627" i="1"/>
  <c r="M627" i="1"/>
  <c r="N627" i="1"/>
  <c r="O627" i="1"/>
  <c r="P627" i="1"/>
  <c r="K627" i="1"/>
  <c r="J627" i="1"/>
  <c r="T626" i="1"/>
  <c r="T625" i="1"/>
  <c r="T624" i="1"/>
  <c r="S626" i="1"/>
  <c r="S625" i="1"/>
  <c r="S624" i="1"/>
  <c r="R626" i="1"/>
  <c r="R625" i="1"/>
  <c r="R624" i="1"/>
  <c r="Q626" i="1"/>
  <c r="Q625" i="1"/>
  <c r="Q624" i="1"/>
  <c r="J458" i="4"/>
  <c r="K458" i="4"/>
  <c r="L458" i="4"/>
  <c r="O458" i="4" s="1"/>
  <c r="I458" i="4"/>
  <c r="J463" i="4"/>
  <c r="K463" i="4"/>
  <c r="I463" i="4"/>
  <c r="L465" i="4"/>
  <c r="Q628" i="1"/>
  <c r="L468" i="4"/>
  <c r="L466" i="4"/>
  <c r="N634" i="1"/>
  <c r="Q629" i="1"/>
  <c r="P634" i="1"/>
  <c r="O634" i="1"/>
  <c r="J634" i="1"/>
  <c r="T633" i="1"/>
  <c r="S633" i="1"/>
  <c r="R633" i="1"/>
  <c r="Q633" i="1"/>
  <c r="T632" i="1"/>
  <c r="S632" i="1"/>
  <c r="R632" i="1"/>
  <c r="T631" i="1"/>
  <c r="S631" i="1"/>
  <c r="R631" i="1"/>
  <c r="L460" i="4"/>
  <c r="L461" i="4"/>
  <c r="L462" i="4"/>
  <c r="P630" i="1"/>
  <c r="O630" i="1"/>
  <c r="N630" i="1"/>
  <c r="M630" i="1"/>
  <c r="L630" i="1"/>
  <c r="J630" i="1"/>
  <c r="T629" i="1"/>
  <c r="S629" i="1"/>
  <c r="R629" i="1"/>
  <c r="T628" i="1"/>
  <c r="S628" i="1"/>
  <c r="R628" i="1"/>
  <c r="L459" i="4"/>
  <c r="Q621" i="1"/>
  <c r="R621" i="1"/>
  <c r="S621" i="1"/>
  <c r="T621" i="1"/>
  <c r="P623" i="1"/>
  <c r="O623" i="1"/>
  <c r="N623" i="1"/>
  <c r="M623" i="1"/>
  <c r="L623" i="1"/>
  <c r="K623" i="1"/>
  <c r="J623" i="1"/>
  <c r="T622" i="1"/>
  <c r="S622" i="1"/>
  <c r="R622" i="1"/>
  <c r="Q622" i="1"/>
  <c r="T620" i="1"/>
  <c r="S620" i="1"/>
  <c r="R620" i="1"/>
  <c r="Q620" i="1"/>
  <c r="T619" i="1"/>
  <c r="S619" i="1"/>
  <c r="R619" i="1"/>
  <c r="Q619" i="1"/>
  <c r="T618" i="1"/>
  <c r="S618" i="1"/>
  <c r="R618" i="1"/>
  <c r="Q618" i="1"/>
  <c r="L450" i="4"/>
  <c r="K452" i="4"/>
  <c r="J452" i="4"/>
  <c r="I452" i="4"/>
  <c r="L451" i="4"/>
  <c r="L449" i="4"/>
  <c r="L448" i="4"/>
  <c r="L447" i="4"/>
  <c r="L446" i="4"/>
  <c r="K614" i="1"/>
  <c r="Q614" i="1" s="1"/>
  <c r="K615" i="1"/>
  <c r="Q615" i="1" s="1"/>
  <c r="K616" i="1"/>
  <c r="Q616" i="1" s="1"/>
  <c r="K613" i="1"/>
  <c r="Q613" i="1" s="1"/>
  <c r="P617" i="1"/>
  <c r="O617" i="1"/>
  <c r="N617" i="1"/>
  <c r="M617" i="1"/>
  <c r="L617" i="1"/>
  <c r="J617" i="1"/>
  <c r="T616" i="1"/>
  <c r="S616" i="1"/>
  <c r="R616" i="1"/>
  <c r="T615" i="1"/>
  <c r="S615" i="1"/>
  <c r="R615" i="1"/>
  <c r="T614" i="1"/>
  <c r="S614" i="1"/>
  <c r="R614" i="1"/>
  <c r="T613" i="1"/>
  <c r="S613" i="1"/>
  <c r="R613" i="1"/>
  <c r="P612" i="1"/>
  <c r="O612" i="1"/>
  <c r="N612" i="1"/>
  <c r="M612" i="1"/>
  <c r="L612" i="1"/>
  <c r="J445" i="4"/>
  <c r="K445" i="4"/>
  <c r="I445" i="4"/>
  <c r="L441" i="4"/>
  <c r="L442" i="4"/>
  <c r="L443" i="4"/>
  <c r="L444" i="4"/>
  <c r="K609" i="1"/>
  <c r="L609" i="1"/>
  <c r="M609" i="1"/>
  <c r="N609" i="1"/>
  <c r="O609" i="1"/>
  <c r="P609" i="1"/>
  <c r="J609" i="1"/>
  <c r="L440" i="4"/>
  <c r="S608" i="1"/>
  <c r="Q607" i="1"/>
  <c r="S606" i="1"/>
  <c r="S605" i="1"/>
  <c r="J601" i="1"/>
  <c r="Q601" i="1" s="1"/>
  <c r="J602" i="1"/>
  <c r="T602" i="1" s="1"/>
  <c r="J603" i="1"/>
  <c r="L435" i="4"/>
  <c r="L436" i="4"/>
  <c r="L437" i="4"/>
  <c r="L438" i="4"/>
  <c r="K439" i="4"/>
  <c r="J439" i="4"/>
  <c r="I439" i="4"/>
  <c r="L434" i="4"/>
  <c r="L433" i="4"/>
  <c r="P604" i="1"/>
  <c r="O604" i="1"/>
  <c r="N604" i="1"/>
  <c r="M604" i="1"/>
  <c r="L604" i="1"/>
  <c r="K604" i="1"/>
  <c r="J600" i="1"/>
  <c r="T600" i="1" s="1"/>
  <c r="J599" i="1"/>
  <c r="T599" i="1" s="1"/>
  <c r="J598" i="1"/>
  <c r="T476" i="1"/>
  <c r="S476" i="1"/>
  <c r="R476" i="1"/>
  <c r="Q476" i="1"/>
  <c r="T475" i="1"/>
  <c r="S475" i="1"/>
  <c r="R475" i="1"/>
  <c r="Q475" i="1"/>
  <c r="T474" i="1"/>
  <c r="S474" i="1"/>
  <c r="R474" i="1"/>
  <c r="Q474" i="1"/>
  <c r="T473" i="1"/>
  <c r="S473" i="1"/>
  <c r="R473" i="1"/>
  <c r="Q473" i="1"/>
  <c r="L477" i="1"/>
  <c r="K477" i="1"/>
  <c r="J477" i="1"/>
  <c r="O477" i="1"/>
  <c r="N477" i="1"/>
  <c r="M477" i="1"/>
  <c r="P477" i="1"/>
  <c r="J344" i="4"/>
  <c r="K344" i="4"/>
  <c r="L344" i="4"/>
  <c r="I344" i="4"/>
  <c r="L467" i="4"/>
  <c r="L464" i="4"/>
  <c r="M634" i="1"/>
  <c r="K630" i="1"/>
  <c r="L634" i="1"/>
  <c r="Q631" i="1"/>
  <c r="S607" i="1"/>
  <c r="R607" i="1"/>
  <c r="T605" i="1"/>
  <c r="T606" i="1"/>
  <c r="T608" i="1"/>
  <c r="R605" i="1"/>
  <c r="R606" i="1"/>
  <c r="T607" i="1"/>
  <c r="R608" i="1"/>
  <c r="Q605" i="1"/>
  <c r="Q606" i="1"/>
  <c r="Q608" i="1"/>
  <c r="L430" i="4"/>
  <c r="K432" i="4"/>
  <c r="J432" i="4"/>
  <c r="I432" i="4"/>
  <c r="L431" i="4"/>
  <c r="L429" i="4"/>
  <c r="L428" i="4"/>
  <c r="K594" i="1"/>
  <c r="K593" i="1"/>
  <c r="Q593" i="1" s="1"/>
  <c r="K590" i="1"/>
  <c r="Q590" i="1" s="1"/>
  <c r="P597" i="1"/>
  <c r="O597" i="1"/>
  <c r="N597" i="1"/>
  <c r="M597" i="1"/>
  <c r="L597" i="1"/>
  <c r="J597" i="1"/>
  <c r="T596" i="1"/>
  <c r="S596" i="1"/>
  <c r="R596" i="1"/>
  <c r="Q596" i="1"/>
  <c r="T595" i="1"/>
  <c r="S595" i="1"/>
  <c r="R595" i="1"/>
  <c r="Q595" i="1"/>
  <c r="T594" i="1"/>
  <c r="S594" i="1"/>
  <c r="R594" i="1"/>
  <c r="T593" i="1"/>
  <c r="S593" i="1"/>
  <c r="R593" i="1"/>
  <c r="P592" i="1"/>
  <c r="O592" i="1"/>
  <c r="N592" i="1"/>
  <c r="M592" i="1"/>
  <c r="L592" i="1"/>
  <c r="S590" i="1"/>
  <c r="J587" i="1"/>
  <c r="P589" i="1"/>
  <c r="O589" i="1"/>
  <c r="N589" i="1"/>
  <c r="M589" i="1"/>
  <c r="L589" i="1"/>
  <c r="K589" i="1"/>
  <c r="J588" i="1"/>
  <c r="R588" i="1" s="1"/>
  <c r="J586" i="1"/>
  <c r="J585" i="1"/>
  <c r="K427" i="4"/>
  <c r="J427" i="4"/>
  <c r="I427" i="4"/>
  <c r="L426" i="4"/>
  <c r="L425" i="4"/>
  <c r="L424" i="4"/>
  <c r="L423" i="4"/>
  <c r="K422" i="4"/>
  <c r="J422" i="4"/>
  <c r="I422" i="4"/>
  <c r="L421" i="4"/>
  <c r="L420" i="4"/>
  <c r="L419" i="4"/>
  <c r="L418" i="4"/>
  <c r="P584" i="1"/>
  <c r="O584" i="1"/>
  <c r="N584" i="1"/>
  <c r="M584" i="1"/>
  <c r="L584" i="1"/>
  <c r="K584" i="1"/>
  <c r="J583" i="1"/>
  <c r="T583" i="1" s="1"/>
  <c r="J582" i="1"/>
  <c r="S582" i="1" s="1"/>
  <c r="J581" i="1"/>
  <c r="T581" i="1" s="1"/>
  <c r="J580" i="1"/>
  <c r="Q580" i="1" s="1"/>
  <c r="L415" i="4"/>
  <c r="K573" i="1"/>
  <c r="Q573" i="1" s="1"/>
  <c r="K572" i="1"/>
  <c r="Q572" i="1" s="1"/>
  <c r="T590" i="1"/>
  <c r="R590" i="1"/>
  <c r="K417" i="4"/>
  <c r="J417" i="4"/>
  <c r="I417" i="4"/>
  <c r="L416" i="4"/>
  <c r="L414" i="4"/>
  <c r="L413" i="4"/>
  <c r="L412" i="4"/>
  <c r="P579" i="1"/>
  <c r="O579" i="1"/>
  <c r="N579" i="1"/>
  <c r="M579" i="1"/>
  <c r="L579" i="1"/>
  <c r="J579" i="1"/>
  <c r="P574" i="1"/>
  <c r="O574" i="1"/>
  <c r="N574" i="1"/>
  <c r="M574" i="1"/>
  <c r="L574" i="1"/>
  <c r="M569" i="1"/>
  <c r="M571" i="1" s="1"/>
  <c r="J568" i="1"/>
  <c r="S568" i="1" s="1"/>
  <c r="J567" i="1"/>
  <c r="R567" i="1" s="1"/>
  <c r="P571" i="1"/>
  <c r="O571" i="1"/>
  <c r="N571" i="1"/>
  <c r="L571" i="1"/>
  <c r="K571" i="1"/>
  <c r="J570" i="1"/>
  <c r="R570" i="1" s="1"/>
  <c r="J566" i="1"/>
  <c r="S566" i="1" s="1"/>
  <c r="J565" i="1"/>
  <c r="Q565" i="1" s="1"/>
  <c r="J564" i="1"/>
  <c r="T564" i="1" s="1"/>
  <c r="K411" i="4"/>
  <c r="J411" i="4"/>
  <c r="I411" i="4"/>
  <c r="L410" i="4"/>
  <c r="L409" i="4"/>
  <c r="L408" i="4"/>
  <c r="L407" i="4"/>
  <c r="J561" i="1"/>
  <c r="T561" i="1" s="1"/>
  <c r="J558" i="1"/>
  <c r="S558" i="1" s="1"/>
  <c r="P563" i="1"/>
  <c r="O563" i="1"/>
  <c r="N563" i="1"/>
  <c r="M563" i="1"/>
  <c r="L563" i="1"/>
  <c r="K563" i="1"/>
  <c r="J562" i="1"/>
  <c r="R562" i="1" s="1"/>
  <c r="J560" i="1"/>
  <c r="J559" i="1"/>
  <c r="T559" i="1" s="1"/>
  <c r="J557" i="1"/>
  <c r="S557" i="1" s="1"/>
  <c r="J556" i="1"/>
  <c r="Q556" i="1" s="1"/>
  <c r="J555" i="1"/>
  <c r="T555" i="1" s="1"/>
  <c r="K406" i="4"/>
  <c r="J406" i="4"/>
  <c r="I406" i="4"/>
  <c r="L405" i="4"/>
  <c r="L404" i="4"/>
  <c r="L403" i="4"/>
  <c r="L402" i="4"/>
  <c r="L401" i="4"/>
  <c r="J549" i="1"/>
  <c r="N549" i="1"/>
  <c r="O549" i="1"/>
  <c r="P549" i="1"/>
  <c r="P554" i="1"/>
  <c r="O554" i="1"/>
  <c r="N554" i="1"/>
  <c r="M554" i="1"/>
  <c r="L554" i="1"/>
  <c r="J554" i="1"/>
  <c r="K548" i="1"/>
  <c r="L397" i="4"/>
  <c r="L398" i="4"/>
  <c r="L399" i="4"/>
  <c r="K400" i="4"/>
  <c r="J400" i="4"/>
  <c r="I400" i="4"/>
  <c r="L396" i="4"/>
  <c r="M549" i="1"/>
  <c r="L549" i="1"/>
  <c r="K382" i="4"/>
  <c r="J382" i="4"/>
  <c r="I382" i="4"/>
  <c r="L381" i="4"/>
  <c r="L380" i="4"/>
  <c r="L379" i="4"/>
  <c r="L378" i="4"/>
  <c r="J545" i="1"/>
  <c r="Q545" i="1" s="1"/>
  <c r="L393" i="4"/>
  <c r="K395" i="4"/>
  <c r="J395" i="4"/>
  <c r="I395" i="4"/>
  <c r="L394" i="4"/>
  <c r="L392" i="4"/>
  <c r="L391" i="4"/>
  <c r="M543" i="1"/>
  <c r="M547" i="1" s="1"/>
  <c r="J542" i="1"/>
  <c r="Q542" i="1" s="1"/>
  <c r="J544" i="1"/>
  <c r="J546" i="1"/>
  <c r="Q546" i="1" s="1"/>
  <c r="P547" i="1"/>
  <c r="O547" i="1"/>
  <c r="N547" i="1"/>
  <c r="L547" i="1"/>
  <c r="K547" i="1"/>
  <c r="K541" i="1"/>
  <c r="L541" i="1"/>
  <c r="M541" i="1"/>
  <c r="N541" i="1"/>
  <c r="O541" i="1"/>
  <c r="P541" i="1"/>
  <c r="L386" i="4"/>
  <c r="J539" i="1"/>
  <c r="K390" i="4"/>
  <c r="J390" i="4"/>
  <c r="I390" i="4"/>
  <c r="L389" i="4"/>
  <c r="L388" i="4"/>
  <c r="L387" i="4"/>
  <c r="L385" i="4"/>
  <c r="L384" i="4"/>
  <c r="L383" i="4"/>
  <c r="J540" i="1"/>
  <c r="T540" i="1" s="1"/>
  <c r="J538" i="1"/>
  <c r="Q538" i="1" s="1"/>
  <c r="J537" i="1"/>
  <c r="J536" i="1"/>
  <c r="J535" i="1"/>
  <c r="T535" i="1" s="1"/>
  <c r="J534" i="1"/>
  <c r="S527" i="1"/>
  <c r="P533" i="1"/>
  <c r="O533" i="1"/>
  <c r="N533" i="1"/>
  <c r="M533" i="1"/>
  <c r="L533" i="1"/>
  <c r="K533" i="1"/>
  <c r="P528" i="1"/>
  <c r="O528" i="1"/>
  <c r="N528" i="1"/>
  <c r="M528" i="1"/>
  <c r="L528" i="1"/>
  <c r="K528" i="1"/>
  <c r="T532" i="1"/>
  <c r="S532" i="1"/>
  <c r="R532" i="1"/>
  <c r="Q532" i="1"/>
  <c r="T531" i="1"/>
  <c r="S531" i="1"/>
  <c r="R531" i="1"/>
  <c r="Q531" i="1"/>
  <c r="T530" i="1"/>
  <c r="S530" i="1"/>
  <c r="R530" i="1"/>
  <c r="Q530" i="1"/>
  <c r="J529" i="1"/>
  <c r="Q529" i="1" s="1"/>
  <c r="T527" i="1"/>
  <c r="R527" i="1"/>
  <c r="Q527" i="1"/>
  <c r="T526" i="1"/>
  <c r="S526" i="1"/>
  <c r="R526" i="1"/>
  <c r="Q526" i="1"/>
  <c r="T525" i="1"/>
  <c r="S525" i="1"/>
  <c r="R525" i="1"/>
  <c r="Q525" i="1"/>
  <c r="L375" i="4"/>
  <c r="J377" i="4"/>
  <c r="I377" i="4"/>
  <c r="Q517" i="1"/>
  <c r="R517" i="1"/>
  <c r="S517" i="1"/>
  <c r="T517" i="1"/>
  <c r="Q516" i="1"/>
  <c r="R516" i="1"/>
  <c r="S516" i="1"/>
  <c r="T516" i="1"/>
  <c r="P523" i="1"/>
  <c r="O523" i="1"/>
  <c r="N523" i="1"/>
  <c r="M523" i="1"/>
  <c r="L523" i="1"/>
  <c r="K523" i="1"/>
  <c r="Q521" i="1"/>
  <c r="R521" i="1"/>
  <c r="S521" i="1"/>
  <c r="T521" i="1"/>
  <c r="Q522" i="1"/>
  <c r="R522" i="1"/>
  <c r="S522" i="1"/>
  <c r="T522" i="1"/>
  <c r="T520" i="1"/>
  <c r="S520" i="1"/>
  <c r="R520" i="1"/>
  <c r="Q520" i="1"/>
  <c r="Q518" i="1"/>
  <c r="R518" i="1"/>
  <c r="S518" i="1"/>
  <c r="T518" i="1"/>
  <c r="L374" i="4"/>
  <c r="J519" i="1"/>
  <c r="J515" i="1"/>
  <c r="J514" i="1"/>
  <c r="S513" i="1"/>
  <c r="K377" i="4"/>
  <c r="L376" i="4"/>
  <c r="L373" i="4"/>
  <c r="L372" i="4"/>
  <c r="J509" i="1"/>
  <c r="T509" i="1" s="1"/>
  <c r="J508" i="1"/>
  <c r="R508" i="1" s="1"/>
  <c r="J510" i="1"/>
  <c r="J511" i="1"/>
  <c r="S511" i="1" s="1"/>
  <c r="L369" i="4"/>
  <c r="L370" i="4"/>
  <c r="K371" i="4"/>
  <c r="J371" i="4"/>
  <c r="I371" i="4"/>
  <c r="L368" i="4"/>
  <c r="L366" i="4"/>
  <c r="L365" i="4"/>
  <c r="L364" i="4"/>
  <c r="P512" i="1"/>
  <c r="N512" i="1"/>
  <c r="M512" i="1"/>
  <c r="L512" i="1"/>
  <c r="K512" i="1"/>
  <c r="J507" i="1"/>
  <c r="Q507" i="1" s="1"/>
  <c r="J506" i="1"/>
  <c r="S506" i="1" s="1"/>
  <c r="J505" i="1"/>
  <c r="S505" i="1" s="1"/>
  <c r="L361" i="4"/>
  <c r="T513" i="1"/>
  <c r="Q513" i="1"/>
  <c r="R513" i="1"/>
  <c r="P504" i="1"/>
  <c r="O504" i="1"/>
  <c r="N504" i="1"/>
  <c r="M504" i="1"/>
  <c r="L504" i="1"/>
  <c r="P500" i="1"/>
  <c r="O500" i="1"/>
  <c r="N500" i="1"/>
  <c r="M500" i="1"/>
  <c r="L500" i="1"/>
  <c r="J500" i="1"/>
  <c r="K363" i="4"/>
  <c r="J363" i="4"/>
  <c r="I363" i="4"/>
  <c r="L362" i="4"/>
  <c r="L360" i="4"/>
  <c r="L359" i="4"/>
  <c r="K497" i="1"/>
  <c r="Q497" i="1" s="1"/>
  <c r="T499" i="1"/>
  <c r="T498" i="1"/>
  <c r="T497" i="1"/>
  <c r="L356" i="4"/>
  <c r="J494" i="1"/>
  <c r="K358" i="4"/>
  <c r="J358" i="4"/>
  <c r="I358" i="4"/>
  <c r="L357" i="4"/>
  <c r="L355" i="4"/>
  <c r="L354" i="4"/>
  <c r="L353" i="4"/>
  <c r="P496" i="1"/>
  <c r="N496" i="1"/>
  <c r="M496" i="1"/>
  <c r="L496" i="1"/>
  <c r="K496" i="1"/>
  <c r="J495" i="1"/>
  <c r="S495" i="1" s="1"/>
  <c r="J493" i="1"/>
  <c r="S493" i="1" s="1"/>
  <c r="J492" i="1"/>
  <c r="J491" i="1"/>
  <c r="S491" i="1" s="1"/>
  <c r="L350" i="4"/>
  <c r="J490" i="1"/>
  <c r="L490" i="1"/>
  <c r="M490" i="1"/>
  <c r="N490" i="1"/>
  <c r="O490" i="1"/>
  <c r="P490" i="1"/>
  <c r="K352" i="4"/>
  <c r="J352" i="4"/>
  <c r="I352" i="4"/>
  <c r="L351" i="4"/>
  <c r="L349" i="4"/>
  <c r="L348" i="4"/>
  <c r="K487" i="1"/>
  <c r="Q487" i="1" s="1"/>
  <c r="K488" i="1"/>
  <c r="Q488" i="1" s="1"/>
  <c r="K489" i="1"/>
  <c r="Q489" i="1" s="1"/>
  <c r="K486" i="1"/>
  <c r="T489" i="1"/>
  <c r="S489" i="1"/>
  <c r="R489" i="1"/>
  <c r="T488" i="1"/>
  <c r="S488" i="1"/>
  <c r="R488" i="1"/>
  <c r="T487" i="1"/>
  <c r="S487" i="1"/>
  <c r="R487" i="1"/>
  <c r="T486" i="1"/>
  <c r="S486" i="1"/>
  <c r="R486" i="1"/>
  <c r="K483" i="1"/>
  <c r="Q483" i="1" s="1"/>
  <c r="R483" i="1"/>
  <c r="S483" i="1"/>
  <c r="T483" i="1"/>
  <c r="P485" i="1"/>
  <c r="O485" i="1"/>
  <c r="N485" i="1"/>
  <c r="M485" i="1"/>
  <c r="L485" i="1"/>
  <c r="J485" i="1"/>
  <c r="T484" i="1"/>
  <c r="S484" i="1"/>
  <c r="R484" i="1"/>
  <c r="K484" i="1"/>
  <c r="Q484" i="1" s="1"/>
  <c r="J347" i="4"/>
  <c r="K347" i="4"/>
  <c r="I347" i="4"/>
  <c r="P482" i="1"/>
  <c r="N482" i="1"/>
  <c r="M482" i="1"/>
  <c r="L482" i="1"/>
  <c r="K482" i="1"/>
  <c r="T481" i="1"/>
  <c r="T480" i="1"/>
  <c r="R479" i="1"/>
  <c r="L346" i="4"/>
  <c r="L345" i="4"/>
  <c r="J472" i="1"/>
  <c r="L472" i="1"/>
  <c r="M472" i="1"/>
  <c r="O472" i="1"/>
  <c r="P472" i="1"/>
  <c r="K469" i="1"/>
  <c r="Q469" i="1" s="1"/>
  <c r="K470" i="1"/>
  <c r="Q470" i="1" s="1"/>
  <c r="K471" i="1"/>
  <c r="Q471" i="1" s="1"/>
  <c r="K468" i="1"/>
  <c r="N472" i="1"/>
  <c r="T471" i="1"/>
  <c r="S471" i="1"/>
  <c r="R471" i="1"/>
  <c r="T470" i="1"/>
  <c r="S470" i="1"/>
  <c r="R470" i="1"/>
  <c r="T469" i="1"/>
  <c r="S469" i="1"/>
  <c r="R469" i="1"/>
  <c r="T468" i="1"/>
  <c r="S468" i="1"/>
  <c r="R468" i="1"/>
  <c r="P467" i="1"/>
  <c r="N467" i="1"/>
  <c r="M467" i="1"/>
  <c r="L467" i="1"/>
  <c r="J467" i="1"/>
  <c r="T467" i="1" s="1"/>
  <c r="T466" i="1"/>
  <c r="S466" i="1"/>
  <c r="R466" i="1"/>
  <c r="Q466" i="1"/>
  <c r="T465" i="1"/>
  <c r="S465" i="1"/>
  <c r="R465" i="1"/>
  <c r="K465" i="1"/>
  <c r="K467" i="1" s="1"/>
  <c r="K339" i="4"/>
  <c r="J339" i="4"/>
  <c r="I339" i="4"/>
  <c r="L338" i="4"/>
  <c r="L337" i="4"/>
  <c r="L336" i="4"/>
  <c r="L335" i="4"/>
  <c r="K333" i="4"/>
  <c r="L333" i="4" s="1"/>
  <c r="P464" i="1"/>
  <c r="N464" i="1"/>
  <c r="M464" i="1"/>
  <c r="L464" i="1"/>
  <c r="K464" i="1"/>
  <c r="Q463" i="1"/>
  <c r="T463" i="1"/>
  <c r="S462" i="1"/>
  <c r="R462" i="1"/>
  <c r="Q462" i="1"/>
  <c r="Q461" i="1"/>
  <c r="T461" i="1"/>
  <c r="S460" i="1"/>
  <c r="R460" i="1"/>
  <c r="Q460" i="1"/>
  <c r="J334" i="4"/>
  <c r="I334" i="4"/>
  <c r="L332" i="4"/>
  <c r="J456" i="1"/>
  <c r="Q456" i="1" s="1"/>
  <c r="J457" i="1"/>
  <c r="R457" i="1" s="1"/>
  <c r="J458" i="1"/>
  <c r="Q458" i="1" s="1"/>
  <c r="J455" i="1"/>
  <c r="Q455" i="1" s="1"/>
  <c r="K331" i="4"/>
  <c r="L330" i="4"/>
  <c r="L329" i="4"/>
  <c r="L328" i="4"/>
  <c r="J331" i="4"/>
  <c r="I331" i="4"/>
  <c r="L327" i="4"/>
  <c r="P459" i="1"/>
  <c r="N459" i="1"/>
  <c r="M459" i="1"/>
  <c r="L459" i="1"/>
  <c r="K450" i="1"/>
  <c r="Q450" i="1" s="1"/>
  <c r="K451" i="1"/>
  <c r="Q451" i="1" s="1"/>
  <c r="K452" i="1"/>
  <c r="Q452" i="1" s="1"/>
  <c r="K453" i="1"/>
  <c r="Q453" i="1" s="1"/>
  <c r="Q499" i="1"/>
  <c r="Q498" i="1"/>
  <c r="R499" i="1"/>
  <c r="R498" i="1"/>
  <c r="S499" i="1"/>
  <c r="S497" i="1"/>
  <c r="S498" i="1"/>
  <c r="R497" i="1"/>
  <c r="J482" i="1"/>
  <c r="T479" i="1"/>
  <c r="T478" i="1"/>
  <c r="S478" i="1"/>
  <c r="Q478" i="1"/>
  <c r="R478" i="1"/>
  <c r="S479" i="1"/>
  <c r="Q481" i="1"/>
  <c r="R481" i="1"/>
  <c r="Q480" i="1"/>
  <c r="S481" i="1"/>
  <c r="R480" i="1"/>
  <c r="Q479" i="1"/>
  <c r="S480" i="1"/>
  <c r="T460" i="1"/>
  <c r="R461" i="1"/>
  <c r="T462" i="1"/>
  <c r="R463" i="1"/>
  <c r="J464" i="1"/>
  <c r="T464" i="1" s="1"/>
  <c r="S461" i="1"/>
  <c r="S463" i="1"/>
  <c r="K459" i="1"/>
  <c r="K448" i="1"/>
  <c r="K447" i="1"/>
  <c r="Q447" i="1" s="1"/>
  <c r="P449" i="1"/>
  <c r="O449" i="1"/>
  <c r="N449" i="1"/>
  <c r="M449" i="1"/>
  <c r="L449" i="1"/>
  <c r="J449" i="1"/>
  <c r="T448" i="1"/>
  <c r="S448" i="1"/>
  <c r="R448" i="1"/>
  <c r="T447" i="1"/>
  <c r="S447" i="1"/>
  <c r="R447" i="1"/>
  <c r="P454" i="1"/>
  <c r="N454" i="1"/>
  <c r="M454" i="1"/>
  <c r="L454" i="1"/>
  <c r="S453" i="1"/>
  <c r="T451" i="1"/>
  <c r="T450" i="1"/>
  <c r="L324" i="4"/>
  <c r="L325" i="4"/>
  <c r="K326" i="4"/>
  <c r="J326" i="4"/>
  <c r="I326" i="4"/>
  <c r="R452" i="1"/>
  <c r="S452" i="1"/>
  <c r="T452" i="1"/>
  <c r="T453" i="1"/>
  <c r="J454" i="1"/>
  <c r="R451" i="1"/>
  <c r="S451" i="1"/>
  <c r="R450" i="1"/>
  <c r="S450" i="1"/>
  <c r="R453" i="1"/>
  <c r="J323" i="4"/>
  <c r="K323" i="4"/>
  <c r="I323" i="4"/>
  <c r="K446" i="1"/>
  <c r="L446" i="1"/>
  <c r="M446" i="1"/>
  <c r="N446" i="1"/>
  <c r="O446" i="1"/>
  <c r="P446" i="1"/>
  <c r="J446" i="1"/>
  <c r="T445" i="1"/>
  <c r="S444" i="1"/>
  <c r="Q444" i="1"/>
  <c r="T443" i="1"/>
  <c r="L322" i="4"/>
  <c r="L321" i="4"/>
  <c r="L320" i="4"/>
  <c r="K319" i="4"/>
  <c r="I316" i="4"/>
  <c r="J316" i="4"/>
  <c r="J319" i="4" s="1"/>
  <c r="L318" i="4"/>
  <c r="O442" i="1"/>
  <c r="N440" i="1"/>
  <c r="N442" i="1" s="1"/>
  <c r="L440" i="1"/>
  <c r="L442" i="1" s="1"/>
  <c r="K440" i="1"/>
  <c r="K442" i="1" s="1"/>
  <c r="J438" i="1"/>
  <c r="T438" i="1" s="1"/>
  <c r="J439" i="1"/>
  <c r="T441" i="1"/>
  <c r="S441" i="1"/>
  <c r="R441" i="1"/>
  <c r="Q441" i="1"/>
  <c r="P440" i="1"/>
  <c r="P442" i="1" s="1"/>
  <c r="M440" i="1"/>
  <c r="M442" i="1" s="1"/>
  <c r="J437" i="1"/>
  <c r="S437" i="1" s="1"/>
  <c r="J436" i="1"/>
  <c r="J435" i="1"/>
  <c r="L317" i="4"/>
  <c r="L315" i="4"/>
  <c r="O434" i="1"/>
  <c r="Q431" i="1"/>
  <c r="K314" i="4"/>
  <c r="J314" i="4"/>
  <c r="I314" i="4"/>
  <c r="L313" i="4"/>
  <c r="L312" i="4"/>
  <c r="L311" i="4"/>
  <c r="K432" i="1"/>
  <c r="Q432" i="1" s="1"/>
  <c r="P434" i="1"/>
  <c r="N434" i="1"/>
  <c r="L434" i="1"/>
  <c r="J434" i="1"/>
  <c r="T433" i="1"/>
  <c r="S433" i="1"/>
  <c r="R433" i="1"/>
  <c r="M434" i="1"/>
  <c r="T432" i="1"/>
  <c r="S432" i="1"/>
  <c r="R432" i="1"/>
  <c r="T431" i="1"/>
  <c r="S431" i="1"/>
  <c r="R431" i="1"/>
  <c r="P430" i="1"/>
  <c r="N430" i="1"/>
  <c r="M430" i="1"/>
  <c r="R428" i="1"/>
  <c r="J310" i="4"/>
  <c r="K310" i="4"/>
  <c r="I310" i="4"/>
  <c r="L308" i="4"/>
  <c r="M426" i="1"/>
  <c r="M427" i="1" s="1"/>
  <c r="P427" i="1"/>
  <c r="N427" i="1"/>
  <c r="L427" i="1"/>
  <c r="K427" i="1"/>
  <c r="Q426" i="1"/>
  <c r="T426" i="1"/>
  <c r="S425" i="1"/>
  <c r="R425" i="1"/>
  <c r="Q424" i="1"/>
  <c r="T424" i="1"/>
  <c r="P423" i="1"/>
  <c r="N423" i="1"/>
  <c r="M423" i="1"/>
  <c r="L423" i="1"/>
  <c r="K423" i="1"/>
  <c r="J422" i="1"/>
  <c r="Q422" i="1" s="1"/>
  <c r="J421" i="1"/>
  <c r="Q421" i="1" s="1"/>
  <c r="J420" i="1"/>
  <c r="S420" i="1" s="1"/>
  <c r="L309" i="4"/>
  <c r="L307" i="4"/>
  <c r="L306" i="4"/>
  <c r="J417" i="1"/>
  <c r="Q417" i="1" s="1"/>
  <c r="J418" i="1"/>
  <c r="P419" i="1"/>
  <c r="N419" i="1"/>
  <c r="M419" i="1"/>
  <c r="L419" i="1"/>
  <c r="K419" i="1"/>
  <c r="J416" i="1"/>
  <c r="T416" i="1" s="1"/>
  <c r="L298" i="4"/>
  <c r="K301" i="4"/>
  <c r="J301" i="4"/>
  <c r="I301" i="4"/>
  <c r="L300" i="4"/>
  <c r="L299" i="4"/>
  <c r="J413" i="1"/>
  <c r="R413" i="1" s="1"/>
  <c r="P415" i="1"/>
  <c r="O415" i="1"/>
  <c r="N415" i="1"/>
  <c r="M415" i="1"/>
  <c r="L415" i="1"/>
  <c r="K415" i="1"/>
  <c r="J414" i="1"/>
  <c r="R414" i="1" s="1"/>
  <c r="J412" i="1"/>
  <c r="R412" i="1" s="1"/>
  <c r="P411" i="1"/>
  <c r="N411" i="1"/>
  <c r="M411" i="1"/>
  <c r="L411" i="1"/>
  <c r="K411" i="1"/>
  <c r="J410" i="1"/>
  <c r="J409" i="1"/>
  <c r="S409" i="1" s="1"/>
  <c r="L295" i="4"/>
  <c r="Q443" i="1"/>
  <c r="Q445" i="1"/>
  <c r="R444" i="1"/>
  <c r="R443" i="1"/>
  <c r="T444" i="1"/>
  <c r="R445" i="1"/>
  <c r="S443" i="1"/>
  <c r="S445" i="1"/>
  <c r="Q433" i="1"/>
  <c r="S428" i="1"/>
  <c r="T428" i="1"/>
  <c r="R424" i="1"/>
  <c r="T425" i="1"/>
  <c r="R426" i="1"/>
  <c r="J427" i="1"/>
  <c r="T427" i="1" s="1"/>
  <c r="S424" i="1"/>
  <c r="Q425" i="1"/>
  <c r="S426" i="1"/>
  <c r="K297" i="4"/>
  <c r="J297" i="4"/>
  <c r="I297" i="4"/>
  <c r="L296" i="4"/>
  <c r="L294" i="4"/>
  <c r="K406" i="1"/>
  <c r="Q406" i="1" s="1"/>
  <c r="R406" i="1"/>
  <c r="S406" i="1"/>
  <c r="T406" i="1"/>
  <c r="P408" i="1"/>
  <c r="O408" i="1"/>
  <c r="N408" i="1"/>
  <c r="M408" i="1"/>
  <c r="L408" i="1"/>
  <c r="J408" i="1"/>
  <c r="T407" i="1"/>
  <c r="S407" i="1"/>
  <c r="R407" i="1"/>
  <c r="K407" i="1"/>
  <c r="Q407" i="1" s="1"/>
  <c r="T405" i="1"/>
  <c r="S405" i="1"/>
  <c r="R405" i="1"/>
  <c r="K405" i="1"/>
  <c r="Q405" i="1" s="1"/>
  <c r="K403" i="1"/>
  <c r="Q400" i="1"/>
  <c r="P404" i="1"/>
  <c r="O404" i="1"/>
  <c r="N404" i="1"/>
  <c r="M404" i="1"/>
  <c r="L404" i="1"/>
  <c r="J404" i="1"/>
  <c r="T403" i="1"/>
  <c r="S403" i="1"/>
  <c r="R403" i="1"/>
  <c r="P402" i="1"/>
  <c r="O402" i="1"/>
  <c r="N402" i="1"/>
  <c r="M402" i="1"/>
  <c r="L402" i="1"/>
  <c r="T400" i="1"/>
  <c r="S400" i="1"/>
  <c r="R400" i="1"/>
  <c r="L399" i="1"/>
  <c r="M399" i="1"/>
  <c r="N399" i="1"/>
  <c r="O399" i="1"/>
  <c r="P399" i="1"/>
  <c r="J399" i="1"/>
  <c r="P397" i="1"/>
  <c r="O397" i="1"/>
  <c r="L397" i="1"/>
  <c r="M397" i="1"/>
  <c r="N397" i="1"/>
  <c r="L291" i="4"/>
  <c r="L292" i="4"/>
  <c r="L290" i="4"/>
  <c r="J293" i="4"/>
  <c r="K293" i="4"/>
  <c r="I293" i="4"/>
  <c r="K398" i="1"/>
  <c r="K399" i="1" s="1"/>
  <c r="K396" i="1"/>
  <c r="Q395" i="1"/>
  <c r="J394" i="1"/>
  <c r="T394" i="1" s="1"/>
  <c r="P393" i="1"/>
  <c r="N393" i="1"/>
  <c r="M393" i="1"/>
  <c r="L393" i="1"/>
  <c r="K393" i="1"/>
  <c r="J392" i="1"/>
  <c r="Q392" i="1" s="1"/>
  <c r="J391" i="1"/>
  <c r="S391" i="1" s="1"/>
  <c r="J390" i="1"/>
  <c r="T390" i="1" s="1"/>
  <c r="L283" i="4"/>
  <c r="K388" i="1"/>
  <c r="Q388" i="1" s="1"/>
  <c r="K285" i="4"/>
  <c r="J285" i="4"/>
  <c r="I285" i="4"/>
  <c r="L284" i="4"/>
  <c r="L282" i="4"/>
  <c r="L281" i="4"/>
  <c r="L280" i="4"/>
  <c r="L277" i="4"/>
  <c r="L278" i="4"/>
  <c r="K383" i="1"/>
  <c r="Q383" i="1" s="1"/>
  <c r="P389" i="1"/>
  <c r="N389" i="1"/>
  <c r="M389" i="1"/>
  <c r="L389" i="1"/>
  <c r="J389" i="1"/>
  <c r="T388" i="1"/>
  <c r="S388" i="1"/>
  <c r="R388" i="1"/>
  <c r="T387" i="1"/>
  <c r="S387" i="1"/>
  <c r="R387" i="1"/>
  <c r="K387" i="1"/>
  <c r="Q387" i="1" s="1"/>
  <c r="T386" i="1"/>
  <c r="S386" i="1"/>
  <c r="R386" i="1"/>
  <c r="K386" i="1"/>
  <c r="Q386" i="1" s="1"/>
  <c r="P385" i="1"/>
  <c r="O385" i="1"/>
  <c r="N385" i="1"/>
  <c r="M385" i="1"/>
  <c r="L385" i="1"/>
  <c r="T383" i="1"/>
  <c r="S383" i="1"/>
  <c r="R383" i="1"/>
  <c r="I279" i="4"/>
  <c r="L382" i="1"/>
  <c r="M382" i="1"/>
  <c r="N382" i="1"/>
  <c r="O382" i="1"/>
  <c r="P382" i="1"/>
  <c r="K380" i="1"/>
  <c r="Q380" i="1" s="1"/>
  <c r="K379" i="1"/>
  <c r="Q379" i="1" s="1"/>
  <c r="J381" i="1"/>
  <c r="R381" i="1" s="1"/>
  <c r="S380" i="1"/>
  <c r="T379" i="1"/>
  <c r="J378" i="1"/>
  <c r="K279" i="4"/>
  <c r="J279" i="4"/>
  <c r="L276" i="4"/>
  <c r="L270" i="4"/>
  <c r="J373" i="1"/>
  <c r="R373" i="1" s="1"/>
  <c r="L271" i="4"/>
  <c r="L274" i="4"/>
  <c r="L273" i="4"/>
  <c r="L272" i="4"/>
  <c r="K275" i="4"/>
  <c r="J275" i="4"/>
  <c r="I275" i="4"/>
  <c r="P377" i="1"/>
  <c r="N377" i="1"/>
  <c r="M377" i="1"/>
  <c r="L377" i="1"/>
  <c r="K377" i="1"/>
  <c r="J376" i="1"/>
  <c r="J375" i="1"/>
  <c r="Q375" i="1" s="1"/>
  <c r="J374" i="1"/>
  <c r="T374" i="1" s="1"/>
  <c r="J372" i="1"/>
  <c r="Q372" i="1" s="1"/>
  <c r="K269" i="4"/>
  <c r="J269" i="4"/>
  <c r="I269" i="4"/>
  <c r="L268" i="4"/>
  <c r="L267" i="4"/>
  <c r="L266" i="4"/>
  <c r="L265" i="4"/>
  <c r="P371" i="1"/>
  <c r="N371" i="1"/>
  <c r="M371" i="1"/>
  <c r="L371" i="1"/>
  <c r="J371" i="1"/>
  <c r="T371" i="1" s="1"/>
  <c r="T370" i="1"/>
  <c r="S370" i="1"/>
  <c r="R370" i="1"/>
  <c r="K370" i="1"/>
  <c r="Q370" i="1" s="1"/>
  <c r="T369" i="1"/>
  <c r="S369" i="1"/>
  <c r="R369" i="1"/>
  <c r="K369" i="1"/>
  <c r="Q369" i="1" s="1"/>
  <c r="T368" i="1"/>
  <c r="S368" i="1"/>
  <c r="R368" i="1"/>
  <c r="K368" i="1"/>
  <c r="Q368" i="1" s="1"/>
  <c r="T367" i="1"/>
  <c r="S367" i="1"/>
  <c r="R367" i="1"/>
  <c r="K367" i="1"/>
  <c r="Q367" i="1" s="1"/>
  <c r="K365" i="1"/>
  <c r="K364" i="1"/>
  <c r="Q364" i="1" s="1"/>
  <c r="P366" i="1"/>
  <c r="N366" i="1"/>
  <c r="M366" i="1"/>
  <c r="L366" i="1"/>
  <c r="T364" i="1"/>
  <c r="S364" i="1"/>
  <c r="R364" i="1"/>
  <c r="K264" i="4"/>
  <c r="J264" i="4"/>
  <c r="I264" i="4"/>
  <c r="L263" i="4"/>
  <c r="L262" i="4"/>
  <c r="L261" i="4"/>
  <c r="P363" i="1"/>
  <c r="N363" i="1"/>
  <c r="M363" i="1"/>
  <c r="L363" i="1"/>
  <c r="K363" i="1"/>
  <c r="J362" i="1"/>
  <c r="Q362" i="1" s="1"/>
  <c r="J361" i="1"/>
  <c r="Q361" i="1" s="1"/>
  <c r="R360" i="1"/>
  <c r="L259" i="4"/>
  <c r="L258" i="4"/>
  <c r="L257" i="4"/>
  <c r="L256" i="4"/>
  <c r="K260" i="4"/>
  <c r="J260" i="4"/>
  <c r="I260" i="4"/>
  <c r="P359" i="1"/>
  <c r="N359" i="1"/>
  <c r="M359" i="1"/>
  <c r="L359" i="1"/>
  <c r="K359" i="1"/>
  <c r="J358" i="1"/>
  <c r="Q358" i="1" s="1"/>
  <c r="J357" i="1"/>
  <c r="T357" i="1" s="1"/>
  <c r="J356" i="1"/>
  <c r="T356" i="1" s="1"/>
  <c r="J355" i="1"/>
  <c r="J354" i="1"/>
  <c r="T354" i="1" s="1"/>
  <c r="K344" i="1"/>
  <c r="L252" i="4"/>
  <c r="L253" i="4"/>
  <c r="L254" i="4"/>
  <c r="K255" i="4"/>
  <c r="J255" i="4"/>
  <c r="I255" i="4"/>
  <c r="L251" i="4"/>
  <c r="K348" i="1"/>
  <c r="Q348" i="1" s="1"/>
  <c r="K347" i="1"/>
  <c r="P353" i="1"/>
  <c r="N353" i="1"/>
  <c r="M353" i="1"/>
  <c r="L353" i="1"/>
  <c r="T348" i="1"/>
  <c r="P346" i="1"/>
  <c r="N346" i="1"/>
  <c r="M346" i="1"/>
  <c r="L346" i="1"/>
  <c r="J345" i="1"/>
  <c r="Q345" i="1" s="1"/>
  <c r="P343" i="1"/>
  <c r="N343" i="1"/>
  <c r="M343" i="1"/>
  <c r="L343" i="1"/>
  <c r="K343" i="1"/>
  <c r="T342" i="1"/>
  <c r="P341" i="1"/>
  <c r="N341" i="1"/>
  <c r="M341" i="1"/>
  <c r="L341" i="1"/>
  <c r="K341" i="1"/>
  <c r="J340" i="1"/>
  <c r="S340" i="1" s="1"/>
  <c r="Q339" i="1"/>
  <c r="J338" i="1"/>
  <c r="S338" i="1" s="1"/>
  <c r="J337" i="1"/>
  <c r="Q337" i="1" s="1"/>
  <c r="J336" i="1"/>
  <c r="R336" i="1" s="1"/>
  <c r="J335" i="1"/>
  <c r="R335" i="1" s="1"/>
  <c r="K250" i="4"/>
  <c r="J250" i="4"/>
  <c r="I250" i="4"/>
  <c r="L249" i="4"/>
  <c r="L248" i="4"/>
  <c r="L247" i="4"/>
  <c r="L246" i="4"/>
  <c r="L241" i="4"/>
  <c r="L242" i="4"/>
  <c r="J329" i="1"/>
  <c r="T329" i="1" s="1"/>
  <c r="J331" i="1"/>
  <c r="S331" i="1" s="1"/>
  <c r="J330" i="1"/>
  <c r="J332" i="1"/>
  <c r="R332" i="1" s="1"/>
  <c r="J333" i="1"/>
  <c r="S333" i="1" s="1"/>
  <c r="J328" i="1"/>
  <c r="S328" i="1" s="1"/>
  <c r="P334" i="1"/>
  <c r="N334" i="1"/>
  <c r="M334" i="1"/>
  <c r="L334" i="1"/>
  <c r="L240" i="4"/>
  <c r="L243" i="4"/>
  <c r="L244" i="4"/>
  <c r="L239" i="4"/>
  <c r="K245" i="4"/>
  <c r="J245" i="4"/>
  <c r="I245" i="4"/>
  <c r="P327" i="1"/>
  <c r="N327" i="1"/>
  <c r="M327" i="1"/>
  <c r="L327" i="1"/>
  <c r="J327" i="1"/>
  <c r="T326" i="1"/>
  <c r="S326" i="1"/>
  <c r="R326" i="1"/>
  <c r="K326" i="1"/>
  <c r="Q326" i="1" s="1"/>
  <c r="T325" i="1"/>
  <c r="S325" i="1"/>
  <c r="R325" i="1"/>
  <c r="K325" i="1"/>
  <c r="Q325" i="1" s="1"/>
  <c r="T324" i="1"/>
  <c r="S324" i="1"/>
  <c r="R324" i="1"/>
  <c r="K324" i="1"/>
  <c r="T323" i="1"/>
  <c r="S323" i="1"/>
  <c r="R323" i="1"/>
  <c r="K323" i="1"/>
  <c r="Q323" i="1" s="1"/>
  <c r="P322" i="1"/>
  <c r="O322" i="1"/>
  <c r="N322" i="1"/>
  <c r="M322" i="1"/>
  <c r="L322" i="1"/>
  <c r="J322" i="1"/>
  <c r="T321" i="1"/>
  <c r="S321" i="1"/>
  <c r="R321" i="1"/>
  <c r="K321" i="1"/>
  <c r="Q321" i="1" s="1"/>
  <c r="T320" i="1"/>
  <c r="S320" i="1"/>
  <c r="R320" i="1"/>
  <c r="K320" i="1"/>
  <c r="L236" i="4"/>
  <c r="L237" i="4"/>
  <c r="K238" i="4"/>
  <c r="J238" i="4"/>
  <c r="I238" i="4"/>
  <c r="J235" i="4"/>
  <c r="K235" i="4"/>
  <c r="I235" i="4"/>
  <c r="K316" i="1"/>
  <c r="Q316" i="1" s="1"/>
  <c r="P319" i="1"/>
  <c r="N319" i="1"/>
  <c r="M319" i="1"/>
  <c r="L319" i="1"/>
  <c r="J319" i="1"/>
  <c r="T319" i="1" s="1"/>
  <c r="T318" i="1"/>
  <c r="S318" i="1"/>
  <c r="R318" i="1"/>
  <c r="Q318" i="1"/>
  <c r="T317" i="1"/>
  <c r="S317" i="1"/>
  <c r="R317" i="1"/>
  <c r="Q317" i="1"/>
  <c r="T316" i="1"/>
  <c r="S316" i="1"/>
  <c r="R316" i="1"/>
  <c r="T315" i="1"/>
  <c r="S315" i="1"/>
  <c r="R315" i="1"/>
  <c r="Q315" i="1"/>
  <c r="L233" i="4"/>
  <c r="L234" i="4"/>
  <c r="L232" i="4"/>
  <c r="M313" i="1"/>
  <c r="M312" i="1"/>
  <c r="P314" i="1"/>
  <c r="N314" i="1"/>
  <c r="L314" i="1"/>
  <c r="J314" i="1"/>
  <c r="T314" i="1" s="1"/>
  <c r="T313" i="1"/>
  <c r="S313" i="1"/>
  <c r="R313" i="1"/>
  <c r="Q313" i="1"/>
  <c r="T312" i="1"/>
  <c r="S312" i="1"/>
  <c r="R312" i="1"/>
  <c r="Q312" i="1"/>
  <c r="T311" i="1"/>
  <c r="S311" i="1"/>
  <c r="R311" i="1"/>
  <c r="Q311" i="1"/>
  <c r="T310" i="1"/>
  <c r="S310" i="1"/>
  <c r="R310" i="1"/>
  <c r="K314" i="1"/>
  <c r="K226" i="4"/>
  <c r="J226" i="4"/>
  <c r="I226" i="4"/>
  <c r="S395" i="1"/>
  <c r="R398" i="1"/>
  <c r="S398" i="1"/>
  <c r="R395" i="1"/>
  <c r="T398" i="1"/>
  <c r="T395" i="1"/>
  <c r="R380" i="1"/>
  <c r="R379" i="1"/>
  <c r="T380" i="1"/>
  <c r="S379" i="1"/>
  <c r="T360" i="1"/>
  <c r="S360" i="1"/>
  <c r="Q360" i="1"/>
  <c r="R348" i="1"/>
  <c r="S348" i="1"/>
  <c r="S347" i="1"/>
  <c r="R347" i="1"/>
  <c r="T347" i="1"/>
  <c r="R344" i="1"/>
  <c r="S344" i="1"/>
  <c r="T344" i="1"/>
  <c r="Q342" i="1"/>
  <c r="R342" i="1"/>
  <c r="R339" i="1"/>
  <c r="S339" i="1"/>
  <c r="J343" i="1"/>
  <c r="T343" i="1" s="1"/>
  <c r="S342" i="1"/>
  <c r="T339" i="1"/>
  <c r="Q310" i="1"/>
  <c r="L226" i="4"/>
  <c r="O226" i="4" s="1"/>
  <c r="P309" i="1"/>
  <c r="N309" i="1"/>
  <c r="M309" i="1"/>
  <c r="L309" i="1"/>
  <c r="J309" i="1"/>
  <c r="T309" i="1" s="1"/>
  <c r="T308" i="1"/>
  <c r="S308" i="1"/>
  <c r="R308" i="1"/>
  <c r="K308" i="1"/>
  <c r="Q308" i="1" s="1"/>
  <c r="T307" i="1"/>
  <c r="S307" i="1"/>
  <c r="R307" i="1"/>
  <c r="K307" i="1"/>
  <c r="Q307" i="1" s="1"/>
  <c r="T306" i="1"/>
  <c r="S306" i="1"/>
  <c r="R306" i="1"/>
  <c r="K306" i="1"/>
  <c r="Q306" i="1" s="1"/>
  <c r="T305" i="1"/>
  <c r="S305" i="1"/>
  <c r="R305" i="1"/>
  <c r="K305" i="1"/>
  <c r="Q305" i="1" s="1"/>
  <c r="K302" i="1"/>
  <c r="Q302" i="1" s="1"/>
  <c r="P304" i="1"/>
  <c r="O304" i="1"/>
  <c r="N304" i="1"/>
  <c r="M304" i="1"/>
  <c r="L304" i="1"/>
  <c r="K221" i="4"/>
  <c r="J221" i="4"/>
  <c r="I221" i="4"/>
  <c r="L220" i="4"/>
  <c r="L219" i="4"/>
  <c r="K301" i="1"/>
  <c r="L301" i="1"/>
  <c r="M301" i="1"/>
  <c r="N301" i="1"/>
  <c r="O301" i="1"/>
  <c r="P301" i="1"/>
  <c r="J300" i="1"/>
  <c r="J299" i="1"/>
  <c r="T299" i="1" s="1"/>
  <c r="J298" i="1"/>
  <c r="T298" i="1" s="1"/>
  <c r="S297" i="1"/>
  <c r="L215" i="4"/>
  <c r="L216" i="4"/>
  <c r="L217" i="4"/>
  <c r="L214" i="4"/>
  <c r="J293" i="1"/>
  <c r="T293" i="1" s="1"/>
  <c r="J294" i="1"/>
  <c r="T294" i="1" s="1"/>
  <c r="J295" i="1"/>
  <c r="S295" i="1" s="1"/>
  <c r="J292" i="1"/>
  <c r="R292" i="1" s="1"/>
  <c r="J218" i="4"/>
  <c r="K218" i="4"/>
  <c r="I218" i="4"/>
  <c r="P296" i="1"/>
  <c r="O296" i="1"/>
  <c r="N296" i="1"/>
  <c r="M296" i="1"/>
  <c r="L296" i="1"/>
  <c r="K296" i="1"/>
  <c r="K213" i="4"/>
  <c r="J213" i="4"/>
  <c r="I213" i="4"/>
  <c r="L212" i="4"/>
  <c r="L211" i="4"/>
  <c r="L210" i="4"/>
  <c r="L209" i="4"/>
  <c r="L208" i="4"/>
  <c r="K291" i="1"/>
  <c r="L291" i="1"/>
  <c r="M291" i="1"/>
  <c r="N291" i="1"/>
  <c r="O291" i="1"/>
  <c r="P291" i="1"/>
  <c r="J291" i="1"/>
  <c r="R297" i="1"/>
  <c r="Q297" i="1"/>
  <c r="T297" i="1"/>
  <c r="T290" i="1"/>
  <c r="S290" i="1"/>
  <c r="R290" i="1"/>
  <c r="Q290" i="1"/>
  <c r="T289" i="1"/>
  <c r="S289" i="1"/>
  <c r="R289" i="1"/>
  <c r="Q289" i="1"/>
  <c r="T288" i="1"/>
  <c r="S288" i="1"/>
  <c r="R288" i="1"/>
  <c r="Q288" i="1"/>
  <c r="T287" i="1"/>
  <c r="S287" i="1"/>
  <c r="R287" i="1"/>
  <c r="Q287" i="1"/>
  <c r="Q283" i="1"/>
  <c r="R283" i="1"/>
  <c r="S283" i="1"/>
  <c r="T283" i="1"/>
  <c r="K207" i="4"/>
  <c r="J207" i="4"/>
  <c r="I207" i="4"/>
  <c r="L206" i="4"/>
  <c r="L205" i="4"/>
  <c r="L204" i="4"/>
  <c r="L203" i="4"/>
  <c r="L202" i="4"/>
  <c r="P286" i="1"/>
  <c r="N286" i="1"/>
  <c r="M286" i="1"/>
  <c r="T285" i="1"/>
  <c r="S285" i="1"/>
  <c r="R285" i="1"/>
  <c r="Q285" i="1"/>
  <c r="T284" i="1"/>
  <c r="S284" i="1"/>
  <c r="R284" i="1"/>
  <c r="Q284" i="1"/>
  <c r="T282" i="1"/>
  <c r="T281" i="1"/>
  <c r="S281" i="1"/>
  <c r="R281" i="1"/>
  <c r="P280" i="1"/>
  <c r="O280" i="1"/>
  <c r="N280" i="1"/>
  <c r="M280" i="1"/>
  <c r="L280" i="1"/>
  <c r="K280" i="1"/>
  <c r="J280" i="1"/>
  <c r="T279" i="1"/>
  <c r="S279" i="1"/>
  <c r="R279" i="1"/>
  <c r="Q279" i="1"/>
  <c r="T278" i="1"/>
  <c r="S278" i="1"/>
  <c r="R278" i="1"/>
  <c r="Q278" i="1"/>
  <c r="T277" i="1"/>
  <c r="S277" i="1"/>
  <c r="R277" i="1"/>
  <c r="Q277" i="1"/>
  <c r="K201" i="4"/>
  <c r="K273" i="1"/>
  <c r="K274" i="1"/>
  <c r="Q274" i="1" s="1"/>
  <c r="K275" i="1"/>
  <c r="Q275" i="1" s="1"/>
  <c r="K272" i="1"/>
  <c r="Q272" i="1" s="1"/>
  <c r="P276" i="1"/>
  <c r="N276" i="1"/>
  <c r="M276" i="1"/>
  <c r="T275" i="1"/>
  <c r="S275" i="1"/>
  <c r="R275" i="1"/>
  <c r="T274" i="1"/>
  <c r="S274" i="1"/>
  <c r="R274" i="1"/>
  <c r="T273" i="1"/>
  <c r="T272" i="1"/>
  <c r="S272" i="1"/>
  <c r="R272" i="1"/>
  <c r="L194" i="4"/>
  <c r="J268" i="1"/>
  <c r="R268" i="1" s="1"/>
  <c r="K196" i="4"/>
  <c r="J196" i="4"/>
  <c r="I196" i="4"/>
  <c r="L193" i="4"/>
  <c r="L187" i="4"/>
  <c r="L188" i="4"/>
  <c r="L189" i="4"/>
  <c r="J266" i="1"/>
  <c r="K266" i="1"/>
  <c r="L266" i="1"/>
  <c r="M266" i="1"/>
  <c r="N266" i="1"/>
  <c r="O266" i="1"/>
  <c r="Q264" i="1"/>
  <c r="R264" i="1"/>
  <c r="S264" i="1"/>
  <c r="T264" i="1"/>
  <c r="K286" i="1"/>
  <c r="Q281" i="1"/>
  <c r="L286" i="1"/>
  <c r="R282" i="1"/>
  <c r="Q282" i="1"/>
  <c r="J286" i="1"/>
  <c r="S282" i="1"/>
  <c r="J201" i="4"/>
  <c r="I201" i="4"/>
  <c r="L276" i="1"/>
  <c r="R273" i="1"/>
  <c r="J276" i="1"/>
  <c r="S273" i="1"/>
  <c r="K192" i="4"/>
  <c r="J192" i="4"/>
  <c r="I192" i="4"/>
  <c r="L191" i="4"/>
  <c r="L190" i="4"/>
  <c r="P271" i="1"/>
  <c r="N271" i="1"/>
  <c r="L271" i="1"/>
  <c r="K271" i="1"/>
  <c r="T267" i="1"/>
  <c r="S267" i="1"/>
  <c r="R267" i="1"/>
  <c r="Q267" i="1"/>
  <c r="P266" i="1"/>
  <c r="T265" i="1"/>
  <c r="S265" i="1"/>
  <c r="R265" i="1"/>
  <c r="Q265" i="1"/>
  <c r="T263" i="1"/>
  <c r="S263" i="1"/>
  <c r="R263" i="1"/>
  <c r="Q263" i="1"/>
  <c r="L175" i="4"/>
  <c r="K177" i="4"/>
  <c r="J177" i="4"/>
  <c r="I177" i="4"/>
  <c r="L176" i="4"/>
  <c r="L174" i="4"/>
  <c r="L173" i="4"/>
  <c r="L172" i="4"/>
  <c r="Q250" i="1"/>
  <c r="R250" i="1"/>
  <c r="T250" i="1"/>
  <c r="S250" i="1"/>
  <c r="P252" i="1"/>
  <c r="N252" i="1"/>
  <c r="M252" i="1"/>
  <c r="L252" i="1"/>
  <c r="K252" i="1"/>
  <c r="J252" i="1"/>
  <c r="T251" i="1"/>
  <c r="S251" i="1"/>
  <c r="R251" i="1"/>
  <c r="Q251" i="1"/>
  <c r="T249" i="1"/>
  <c r="S249" i="1"/>
  <c r="R249" i="1"/>
  <c r="Q249" i="1"/>
  <c r="T248" i="1"/>
  <c r="S248" i="1"/>
  <c r="R248" i="1"/>
  <c r="Q248" i="1"/>
  <c r="P247" i="1"/>
  <c r="O247" i="1"/>
  <c r="N247" i="1"/>
  <c r="M247" i="1"/>
  <c r="T246" i="1"/>
  <c r="S246" i="1"/>
  <c r="R246" i="1"/>
  <c r="Q246" i="1"/>
  <c r="T245" i="1"/>
  <c r="S245" i="1"/>
  <c r="R245" i="1"/>
  <c r="T244" i="1"/>
  <c r="S244" i="1"/>
  <c r="R244" i="1"/>
  <c r="Q244" i="1"/>
  <c r="M258" i="1"/>
  <c r="M260" i="1"/>
  <c r="M261" i="1"/>
  <c r="M259" i="1"/>
  <c r="Q245" i="1"/>
  <c r="J186" i="4"/>
  <c r="I186" i="4"/>
  <c r="K186" i="4"/>
  <c r="L178" i="4"/>
  <c r="L179" i="4"/>
  <c r="L180" i="4"/>
  <c r="L181" i="4"/>
  <c r="P262" i="1"/>
  <c r="O262" i="1"/>
  <c r="J262" i="1"/>
  <c r="T261" i="1"/>
  <c r="S261" i="1"/>
  <c r="R261" i="1"/>
  <c r="T260" i="1"/>
  <c r="S260" i="1"/>
  <c r="R260" i="1"/>
  <c r="T259" i="1"/>
  <c r="S259" i="1"/>
  <c r="T258" i="1"/>
  <c r="S258" i="1"/>
  <c r="R258" i="1"/>
  <c r="Q258" i="1"/>
  <c r="L169" i="4"/>
  <c r="L167" i="4"/>
  <c r="K182" i="4"/>
  <c r="P257" i="1"/>
  <c r="O257" i="1"/>
  <c r="J257" i="1"/>
  <c r="K262" i="1"/>
  <c r="R259" i="1"/>
  <c r="N262" i="1"/>
  <c r="M254" i="1"/>
  <c r="M257" i="1" s="1"/>
  <c r="K257" i="1"/>
  <c r="L257" i="1"/>
  <c r="N257" i="1"/>
  <c r="T256" i="1"/>
  <c r="S256" i="1"/>
  <c r="R256" i="1"/>
  <c r="Q256" i="1"/>
  <c r="T255" i="1"/>
  <c r="S255" i="1"/>
  <c r="R255" i="1"/>
  <c r="Q255" i="1"/>
  <c r="T254" i="1"/>
  <c r="S254" i="1"/>
  <c r="R254" i="1"/>
  <c r="Q254" i="1"/>
  <c r="T253" i="1"/>
  <c r="S253" i="1"/>
  <c r="R253" i="1"/>
  <c r="Q253" i="1"/>
  <c r="T242" i="1"/>
  <c r="S242" i="1"/>
  <c r="R242" i="1"/>
  <c r="Q242" i="1"/>
  <c r="T241" i="1"/>
  <c r="S241" i="1"/>
  <c r="R241" i="1"/>
  <c r="Q241" i="1"/>
  <c r="T240" i="1"/>
  <c r="S240" i="1"/>
  <c r="R240" i="1"/>
  <c r="Q240" i="1"/>
  <c r="K171" i="4"/>
  <c r="J238" i="1"/>
  <c r="T238" i="1" s="1"/>
  <c r="P238" i="1"/>
  <c r="K235" i="1"/>
  <c r="Q235" i="1" s="1"/>
  <c r="L163" i="4"/>
  <c r="T237" i="1"/>
  <c r="S237" i="1"/>
  <c r="R237" i="1"/>
  <c r="T236" i="1"/>
  <c r="S236" i="1"/>
  <c r="T235" i="1"/>
  <c r="S235" i="1"/>
  <c r="R235" i="1"/>
  <c r="T234" i="1"/>
  <c r="S234" i="1"/>
  <c r="L161" i="4"/>
  <c r="M233" i="1"/>
  <c r="N238" i="1"/>
  <c r="Q234" i="1"/>
  <c r="L238" i="1"/>
  <c r="J171" i="4"/>
  <c r="I171" i="4"/>
  <c r="K166" i="4"/>
  <c r="I166" i="4"/>
  <c r="J166" i="4"/>
  <c r="L165" i="4"/>
  <c r="L164" i="4"/>
  <c r="L162" i="4"/>
  <c r="R236" i="1"/>
  <c r="R234" i="1"/>
  <c r="Q236" i="1"/>
  <c r="Q227" i="1"/>
  <c r="R227" i="1"/>
  <c r="S227" i="1"/>
  <c r="T227" i="1"/>
  <c r="Q226" i="1"/>
  <c r="R226" i="1"/>
  <c r="S226" i="1"/>
  <c r="T226" i="1"/>
  <c r="T231" i="1"/>
  <c r="S231" i="1"/>
  <c r="R231" i="1"/>
  <c r="Q231" i="1"/>
  <c r="T230" i="1"/>
  <c r="S230" i="1"/>
  <c r="R230" i="1"/>
  <c r="Q230" i="1"/>
  <c r="T229" i="1"/>
  <c r="S229" i="1"/>
  <c r="R229" i="1"/>
  <c r="Q229" i="1"/>
  <c r="P233" i="1"/>
  <c r="N233" i="1"/>
  <c r="L233" i="1"/>
  <c r="K233" i="1"/>
  <c r="J233" i="1"/>
  <c r="T232" i="1"/>
  <c r="S232" i="1"/>
  <c r="R232" i="1"/>
  <c r="Q232" i="1"/>
  <c r="P228" i="1"/>
  <c r="N228" i="1"/>
  <c r="L228" i="1"/>
  <c r="K228" i="1"/>
  <c r="J228" i="1"/>
  <c r="T228" i="1" s="1"/>
  <c r="M228" i="1"/>
  <c r="T225" i="1"/>
  <c r="S225" i="1"/>
  <c r="R225" i="1"/>
  <c r="Q225" i="1"/>
  <c r="T224" i="1"/>
  <c r="S224" i="1"/>
  <c r="R224" i="1"/>
  <c r="Q224" i="1"/>
  <c r="P223" i="1"/>
  <c r="N223" i="1"/>
  <c r="M223" i="1"/>
  <c r="L223" i="1"/>
  <c r="J223" i="1"/>
  <c r="T223" i="1" s="1"/>
  <c r="T222" i="1"/>
  <c r="S222" i="1"/>
  <c r="R222" i="1"/>
  <c r="K222" i="1"/>
  <c r="Q222" i="1" s="1"/>
  <c r="T221" i="1"/>
  <c r="S221" i="1"/>
  <c r="R221" i="1"/>
  <c r="K221" i="1"/>
  <c r="Q221" i="1" s="1"/>
  <c r="T220" i="1"/>
  <c r="S220" i="1"/>
  <c r="R220" i="1"/>
  <c r="K220" i="1"/>
  <c r="Q220" i="1" s="1"/>
  <c r="T219" i="1"/>
  <c r="S219" i="1"/>
  <c r="R219" i="1"/>
  <c r="K219" i="1"/>
  <c r="Q219" i="1" s="1"/>
  <c r="K160" i="4"/>
  <c r="P218" i="1"/>
  <c r="N218" i="1"/>
  <c r="M218" i="1"/>
  <c r="L218" i="1"/>
  <c r="K218" i="1"/>
  <c r="J218" i="1"/>
  <c r="T218" i="1" s="1"/>
  <c r="T217" i="1"/>
  <c r="S217" i="1"/>
  <c r="R217" i="1"/>
  <c r="Q217" i="1"/>
  <c r="L159" i="4"/>
  <c r="L158" i="4"/>
  <c r="J160" i="4"/>
  <c r="I160" i="4"/>
  <c r="L157" i="4"/>
  <c r="R216" i="1"/>
  <c r="S215" i="1"/>
  <c r="T215" i="1"/>
  <c r="R215" i="1"/>
  <c r="Q215" i="1"/>
  <c r="T216" i="1"/>
  <c r="S216" i="1"/>
  <c r="Q216" i="1"/>
  <c r="P214" i="1"/>
  <c r="N214" i="1"/>
  <c r="M214" i="1"/>
  <c r="L214" i="1"/>
  <c r="K214" i="1"/>
  <c r="J214" i="1"/>
  <c r="T214" i="1" s="1"/>
  <c r="T213" i="1"/>
  <c r="S213" i="1"/>
  <c r="R213" i="1"/>
  <c r="Q213" i="1"/>
  <c r="P210" i="1"/>
  <c r="N210" i="1"/>
  <c r="L210" i="1"/>
  <c r="K210" i="1"/>
  <c r="J210" i="1"/>
  <c r="T209" i="1"/>
  <c r="S209" i="1"/>
  <c r="R209" i="1"/>
  <c r="Q209" i="1"/>
  <c r="M209" i="1"/>
  <c r="M210" i="1" s="1"/>
  <c r="T208" i="1"/>
  <c r="S208" i="1"/>
  <c r="R208" i="1"/>
  <c r="Q208" i="1"/>
  <c r="T207" i="1"/>
  <c r="S207" i="1"/>
  <c r="R207" i="1"/>
  <c r="Q207" i="1"/>
  <c r="Q203" i="1"/>
  <c r="R203" i="1"/>
  <c r="S203" i="1"/>
  <c r="T203" i="1"/>
  <c r="M203" i="1"/>
  <c r="M204" i="1" s="1"/>
  <c r="L150" i="4"/>
  <c r="L149" i="4"/>
  <c r="L148" i="4"/>
  <c r="L147" i="4"/>
  <c r="K151" i="4"/>
  <c r="J151" i="4"/>
  <c r="I151" i="4"/>
  <c r="P206" i="1"/>
  <c r="N206" i="1"/>
  <c r="M206" i="1"/>
  <c r="K206" i="1"/>
  <c r="J206" i="1"/>
  <c r="T205" i="1"/>
  <c r="S205" i="1"/>
  <c r="R205" i="1"/>
  <c r="P204" i="1"/>
  <c r="N204" i="1"/>
  <c r="L204" i="1"/>
  <c r="K204" i="1"/>
  <c r="J204" i="1"/>
  <c r="T202" i="1"/>
  <c r="S202" i="1"/>
  <c r="R202" i="1"/>
  <c r="Q202" i="1"/>
  <c r="T201" i="1"/>
  <c r="S201" i="1"/>
  <c r="R201" i="1"/>
  <c r="Q201" i="1"/>
  <c r="K197" i="1"/>
  <c r="Q197" i="1" s="1"/>
  <c r="L153" i="4"/>
  <c r="L206" i="1"/>
  <c r="Q205" i="1"/>
  <c r="L130" i="4"/>
  <c r="L131" i="4"/>
  <c r="L129" i="4"/>
  <c r="L144" i="4"/>
  <c r="L145" i="4"/>
  <c r="L143" i="4"/>
  <c r="K146" i="4"/>
  <c r="J146" i="4"/>
  <c r="I146" i="4"/>
  <c r="K198" i="1"/>
  <c r="K199" i="1"/>
  <c r="Q199" i="1" s="1"/>
  <c r="K196" i="1"/>
  <c r="Q196" i="1" s="1"/>
  <c r="J200" i="1"/>
  <c r="T199" i="1"/>
  <c r="S199" i="1"/>
  <c r="R199" i="1"/>
  <c r="T198" i="1"/>
  <c r="T197" i="1"/>
  <c r="S197" i="1"/>
  <c r="R197" i="1"/>
  <c r="T196" i="1"/>
  <c r="S196" i="1"/>
  <c r="R196" i="1"/>
  <c r="J195" i="1"/>
  <c r="T194" i="1"/>
  <c r="S194" i="1"/>
  <c r="R194" i="1"/>
  <c r="Q194" i="1"/>
  <c r="T193" i="1"/>
  <c r="T192" i="1"/>
  <c r="S192" i="1"/>
  <c r="R192" i="1"/>
  <c r="T191" i="1"/>
  <c r="S191" i="1"/>
  <c r="R191" i="1"/>
  <c r="Q191" i="1"/>
  <c r="M188" i="1"/>
  <c r="M190" i="1" s="1"/>
  <c r="Q183" i="1"/>
  <c r="R183" i="1"/>
  <c r="S183" i="1"/>
  <c r="T183" i="1"/>
  <c r="P190" i="1"/>
  <c r="N190" i="1"/>
  <c r="K190" i="1"/>
  <c r="J190" i="1"/>
  <c r="T190" i="1" s="1"/>
  <c r="T189" i="1"/>
  <c r="S189" i="1"/>
  <c r="R189" i="1"/>
  <c r="Q189" i="1"/>
  <c r="T188" i="1"/>
  <c r="S188" i="1"/>
  <c r="R188" i="1"/>
  <c r="T187" i="1"/>
  <c r="S187" i="1"/>
  <c r="R187" i="1"/>
  <c r="Q187" i="1"/>
  <c r="T186" i="1"/>
  <c r="S186" i="1"/>
  <c r="R186" i="1"/>
  <c r="Q186" i="1"/>
  <c r="P185" i="1"/>
  <c r="N185" i="1"/>
  <c r="M185" i="1"/>
  <c r="L185" i="1"/>
  <c r="K185" i="1"/>
  <c r="J185" i="1"/>
  <c r="T185" i="1" s="1"/>
  <c r="T184" i="1"/>
  <c r="S184" i="1"/>
  <c r="R184" i="1"/>
  <c r="Q184" i="1"/>
  <c r="T182" i="1"/>
  <c r="S182" i="1"/>
  <c r="R182" i="1"/>
  <c r="Q182" i="1"/>
  <c r="K137" i="4"/>
  <c r="J137" i="4"/>
  <c r="I137" i="4"/>
  <c r="K178" i="1"/>
  <c r="Q178" i="1" s="1"/>
  <c r="K179" i="1"/>
  <c r="Q179" i="1" s="1"/>
  <c r="K180" i="1"/>
  <c r="Q180" i="1" s="1"/>
  <c r="K177" i="1"/>
  <c r="Q177" i="1" s="1"/>
  <c r="P181" i="1"/>
  <c r="N181" i="1"/>
  <c r="M181" i="1"/>
  <c r="L181" i="1"/>
  <c r="J181" i="1"/>
  <c r="T181" i="1" s="1"/>
  <c r="T180" i="1"/>
  <c r="S180" i="1"/>
  <c r="R180" i="1"/>
  <c r="T179" i="1"/>
  <c r="S179" i="1"/>
  <c r="R179" i="1"/>
  <c r="T178" i="1"/>
  <c r="S178" i="1"/>
  <c r="R178" i="1"/>
  <c r="T177" i="1"/>
  <c r="S177" i="1"/>
  <c r="R177" i="1"/>
  <c r="K132" i="4"/>
  <c r="J132" i="4"/>
  <c r="I132" i="4"/>
  <c r="K128" i="4"/>
  <c r="J128" i="4"/>
  <c r="I128" i="4"/>
  <c r="L126" i="4"/>
  <c r="L125" i="4"/>
  <c r="L124" i="4"/>
  <c r="P176" i="1"/>
  <c r="N176" i="1"/>
  <c r="L176" i="1"/>
  <c r="J176" i="1"/>
  <c r="T176" i="1" s="1"/>
  <c r="T175" i="1"/>
  <c r="S175" i="1"/>
  <c r="R175" i="1"/>
  <c r="M176" i="1"/>
  <c r="Q175" i="1"/>
  <c r="T174" i="1"/>
  <c r="S174" i="1"/>
  <c r="R174" i="1"/>
  <c r="Q174" i="1"/>
  <c r="T173" i="1"/>
  <c r="S173" i="1"/>
  <c r="R173" i="1"/>
  <c r="Q173" i="1"/>
  <c r="T172" i="1"/>
  <c r="S172" i="1"/>
  <c r="R172" i="1"/>
  <c r="P171" i="1"/>
  <c r="N171" i="1"/>
  <c r="M171" i="1"/>
  <c r="L171" i="1"/>
  <c r="J171" i="1"/>
  <c r="T171" i="1" s="1"/>
  <c r="T170" i="1"/>
  <c r="S170" i="1"/>
  <c r="R170" i="1"/>
  <c r="Q170" i="1"/>
  <c r="T169" i="1"/>
  <c r="S169" i="1"/>
  <c r="R169" i="1"/>
  <c r="R198" i="1"/>
  <c r="N200" i="1"/>
  <c r="L200" i="1"/>
  <c r="M200" i="1"/>
  <c r="S198" i="1"/>
  <c r="P200" i="1"/>
  <c r="R193" i="1"/>
  <c r="N195" i="1"/>
  <c r="P195" i="1"/>
  <c r="S193" i="1"/>
  <c r="M195" i="1"/>
  <c r="K195" i="1"/>
  <c r="Q192" i="1"/>
  <c r="L195" i="1"/>
  <c r="Q193" i="1"/>
  <c r="L190" i="1"/>
  <c r="Q188" i="1"/>
  <c r="K176" i="1"/>
  <c r="K171" i="1"/>
  <c r="Q172" i="1"/>
  <c r="Q169" i="1"/>
  <c r="L121" i="4"/>
  <c r="M167" i="1"/>
  <c r="K167" i="1" s="1"/>
  <c r="Q167" i="1" s="1"/>
  <c r="M165" i="1"/>
  <c r="K166" i="1"/>
  <c r="Q166" i="1" s="1"/>
  <c r="K164" i="1"/>
  <c r="Q164" i="1" s="1"/>
  <c r="K161" i="1"/>
  <c r="Q161" i="1" s="1"/>
  <c r="K162" i="1"/>
  <c r="Q162" i="1" s="1"/>
  <c r="K160" i="1"/>
  <c r="Q160" i="1" s="1"/>
  <c r="S160" i="1"/>
  <c r="R160" i="1"/>
  <c r="S161" i="1"/>
  <c r="P168" i="1"/>
  <c r="N168" i="1"/>
  <c r="L168" i="1"/>
  <c r="J168" i="1"/>
  <c r="T167" i="1"/>
  <c r="S167" i="1"/>
  <c r="R167" i="1"/>
  <c r="T166" i="1"/>
  <c r="S166" i="1"/>
  <c r="R166" i="1"/>
  <c r="T165" i="1"/>
  <c r="S165" i="1"/>
  <c r="R165" i="1"/>
  <c r="T164" i="1"/>
  <c r="S164" i="1"/>
  <c r="R164" i="1"/>
  <c r="P163" i="1"/>
  <c r="N163" i="1"/>
  <c r="M163" i="1"/>
  <c r="L163" i="1"/>
  <c r="T162" i="1"/>
  <c r="T160" i="1"/>
  <c r="I123" i="4"/>
  <c r="J123" i="4"/>
  <c r="K123" i="4"/>
  <c r="L120" i="4"/>
  <c r="L119" i="4"/>
  <c r="T161" i="1"/>
  <c r="R162" i="1"/>
  <c r="S162" i="1"/>
  <c r="R161" i="1"/>
  <c r="J163" i="1"/>
  <c r="T163" i="1" s="1"/>
  <c r="K116" i="4"/>
  <c r="K118" i="4" s="1"/>
  <c r="J156" i="1"/>
  <c r="Q156" i="1" s="1"/>
  <c r="J157" i="1"/>
  <c r="R157" i="1" s="1"/>
  <c r="J158" i="1"/>
  <c r="R158" i="1" s="1"/>
  <c r="J155" i="1"/>
  <c r="R155" i="1" s="1"/>
  <c r="J153" i="1"/>
  <c r="S153" i="1" s="1"/>
  <c r="P159" i="1"/>
  <c r="N159" i="1"/>
  <c r="M159" i="1"/>
  <c r="L159" i="1"/>
  <c r="K159" i="1"/>
  <c r="P154" i="1"/>
  <c r="N154" i="1"/>
  <c r="M154" i="1"/>
  <c r="L154" i="1"/>
  <c r="K154" i="1"/>
  <c r="J152" i="1"/>
  <c r="R152" i="1" s="1"/>
  <c r="J151" i="1"/>
  <c r="J150" i="1"/>
  <c r="R150" i="1" s="1"/>
  <c r="J118" i="4"/>
  <c r="I118" i="4"/>
  <c r="L117" i="4"/>
  <c r="L115" i="4"/>
  <c r="L114" i="4"/>
  <c r="L111" i="4"/>
  <c r="K113" i="4"/>
  <c r="J113" i="4"/>
  <c r="I113" i="4"/>
  <c r="L112" i="4"/>
  <c r="L110" i="4"/>
  <c r="L109" i="4"/>
  <c r="L108" i="4"/>
  <c r="Q147" i="1"/>
  <c r="R147" i="1"/>
  <c r="S147" i="1"/>
  <c r="T147" i="1"/>
  <c r="J137" i="1"/>
  <c r="Q137" i="1" s="1"/>
  <c r="J140" i="1"/>
  <c r="T140" i="1" s="1"/>
  <c r="J143" i="1"/>
  <c r="S143" i="1" s="1"/>
  <c r="J142" i="1"/>
  <c r="T142" i="1" s="1"/>
  <c r="J141" i="1"/>
  <c r="P149" i="1"/>
  <c r="N149" i="1"/>
  <c r="M149" i="1"/>
  <c r="L149" i="1"/>
  <c r="K149" i="1"/>
  <c r="J149" i="1"/>
  <c r="T148" i="1"/>
  <c r="S148" i="1"/>
  <c r="R148" i="1"/>
  <c r="Q148" i="1"/>
  <c r="T146" i="1"/>
  <c r="S146" i="1"/>
  <c r="R146" i="1"/>
  <c r="Q146" i="1"/>
  <c r="T145" i="1"/>
  <c r="S145" i="1"/>
  <c r="R145" i="1"/>
  <c r="Q145" i="1"/>
  <c r="P144" i="1"/>
  <c r="N144" i="1"/>
  <c r="M144" i="1"/>
  <c r="L144" i="1"/>
  <c r="K144" i="1"/>
  <c r="P139" i="1"/>
  <c r="N139" i="1"/>
  <c r="M139" i="1"/>
  <c r="L139" i="1"/>
  <c r="K139" i="1"/>
  <c r="J138" i="1"/>
  <c r="J136" i="1"/>
  <c r="S136" i="1" s="1"/>
  <c r="J135" i="1"/>
  <c r="S135" i="1" s="1"/>
  <c r="K130" i="1"/>
  <c r="Q130" i="1" s="1"/>
  <c r="K131" i="1"/>
  <c r="Q131" i="1" s="1"/>
  <c r="Q132" i="1"/>
  <c r="K133" i="1"/>
  <c r="Q133" i="1" s="1"/>
  <c r="P134" i="1"/>
  <c r="N134" i="1"/>
  <c r="M134" i="1"/>
  <c r="L134" i="1"/>
  <c r="J134" i="1"/>
  <c r="T134" i="1" s="1"/>
  <c r="T133" i="1"/>
  <c r="S133" i="1"/>
  <c r="R133" i="1"/>
  <c r="T132" i="1"/>
  <c r="S132" i="1"/>
  <c r="R132" i="1"/>
  <c r="T131" i="1"/>
  <c r="S131" i="1"/>
  <c r="R131" i="1"/>
  <c r="T130" i="1"/>
  <c r="S130" i="1"/>
  <c r="R130" i="1"/>
  <c r="T129" i="1"/>
  <c r="S129" i="1"/>
  <c r="R129" i="1"/>
  <c r="Q129" i="1"/>
  <c r="K107" i="4"/>
  <c r="J107" i="4"/>
  <c r="I107" i="4"/>
  <c r="L105" i="4"/>
  <c r="L104" i="4"/>
  <c r="L103" i="4"/>
  <c r="L102" i="4"/>
  <c r="L125" i="1"/>
  <c r="K125" i="1" s="1"/>
  <c r="Q125" i="1" s="1"/>
  <c r="K101" i="4"/>
  <c r="J101" i="4"/>
  <c r="I101" i="4"/>
  <c r="L100" i="4"/>
  <c r="L99" i="4"/>
  <c r="L98" i="4"/>
  <c r="P128" i="1"/>
  <c r="N128" i="1"/>
  <c r="M128" i="1"/>
  <c r="J128" i="1"/>
  <c r="T127" i="1"/>
  <c r="S127" i="1"/>
  <c r="R127" i="1"/>
  <c r="K127" i="1"/>
  <c r="T126" i="1"/>
  <c r="S126" i="1"/>
  <c r="R126" i="1"/>
  <c r="K126" i="1"/>
  <c r="Q126" i="1" s="1"/>
  <c r="T125" i="1"/>
  <c r="S125" i="1"/>
  <c r="R125" i="1"/>
  <c r="L96" i="4"/>
  <c r="L95" i="4"/>
  <c r="L94" i="4"/>
  <c r="L93" i="4"/>
  <c r="T122" i="1"/>
  <c r="J124" i="1"/>
  <c r="J118" i="1"/>
  <c r="Q118" i="1" s="1"/>
  <c r="J119" i="1"/>
  <c r="J117" i="1"/>
  <c r="P124" i="1"/>
  <c r="N124" i="1"/>
  <c r="M124" i="1"/>
  <c r="L124" i="1"/>
  <c r="K124" i="1"/>
  <c r="T123" i="1"/>
  <c r="S123" i="1"/>
  <c r="R123" i="1"/>
  <c r="Q123" i="1"/>
  <c r="S122" i="1"/>
  <c r="R122" i="1"/>
  <c r="P120" i="1"/>
  <c r="N120" i="1"/>
  <c r="M120" i="1"/>
  <c r="L120" i="1"/>
  <c r="K120" i="1"/>
  <c r="K97" i="4"/>
  <c r="J97" i="4"/>
  <c r="I97" i="4"/>
  <c r="I80" i="4"/>
  <c r="I82" i="4" s="1"/>
  <c r="K112" i="1"/>
  <c r="K113" i="1"/>
  <c r="Q113" i="1" s="1"/>
  <c r="K114" i="1"/>
  <c r="Q114" i="1" s="1"/>
  <c r="K115" i="1"/>
  <c r="Q115" i="1" s="1"/>
  <c r="K111" i="1"/>
  <c r="Q111" i="1" s="1"/>
  <c r="K92" i="4"/>
  <c r="J92" i="4"/>
  <c r="I92" i="4"/>
  <c r="L90" i="4"/>
  <c r="L89" i="4"/>
  <c r="L88" i="4"/>
  <c r="L87" i="4"/>
  <c r="P116" i="1"/>
  <c r="N116" i="1"/>
  <c r="M116" i="1"/>
  <c r="J116" i="1"/>
  <c r="T116" i="1" s="1"/>
  <c r="T115" i="1"/>
  <c r="S115" i="1"/>
  <c r="R115" i="1"/>
  <c r="T114" i="1"/>
  <c r="S114" i="1"/>
  <c r="R114" i="1"/>
  <c r="T113" i="1"/>
  <c r="S113" i="1"/>
  <c r="R113" i="1"/>
  <c r="T112" i="1"/>
  <c r="S112" i="1"/>
  <c r="R112" i="1"/>
  <c r="T111" i="1"/>
  <c r="S111" i="1"/>
  <c r="R111" i="1"/>
  <c r="L116" i="1"/>
  <c r="K86" i="4"/>
  <c r="J86" i="4"/>
  <c r="I86" i="4"/>
  <c r="L85" i="4"/>
  <c r="L84" i="4"/>
  <c r="L83" i="4"/>
  <c r="L107" i="1"/>
  <c r="P110" i="1"/>
  <c r="N110" i="1"/>
  <c r="M110" i="1"/>
  <c r="J110" i="1"/>
  <c r="T110" i="1" s="1"/>
  <c r="T109" i="1"/>
  <c r="S109" i="1"/>
  <c r="R109" i="1"/>
  <c r="K109" i="1"/>
  <c r="Q109" i="1" s="1"/>
  <c r="T108" i="1"/>
  <c r="S108" i="1"/>
  <c r="R108" i="1"/>
  <c r="K108" i="1"/>
  <c r="T107" i="1"/>
  <c r="S107" i="1"/>
  <c r="R107" i="1"/>
  <c r="K100" i="1"/>
  <c r="Q100" i="1" s="1"/>
  <c r="K82" i="4"/>
  <c r="J82" i="4"/>
  <c r="L79" i="4"/>
  <c r="L78" i="4"/>
  <c r="P106" i="1"/>
  <c r="N106" i="1"/>
  <c r="M106" i="1"/>
  <c r="L106" i="1"/>
  <c r="J106" i="1"/>
  <c r="T106" i="1" s="1"/>
  <c r="T105" i="1"/>
  <c r="S105" i="1"/>
  <c r="R105" i="1"/>
  <c r="K105" i="1"/>
  <c r="Q105" i="1" s="1"/>
  <c r="T104" i="1"/>
  <c r="S104" i="1"/>
  <c r="R104" i="1"/>
  <c r="K104" i="1"/>
  <c r="Q104" i="1" s="1"/>
  <c r="T103" i="1"/>
  <c r="S103" i="1"/>
  <c r="R103" i="1"/>
  <c r="K103" i="1"/>
  <c r="Q103" i="1" s="1"/>
  <c r="P102" i="1"/>
  <c r="N102" i="1"/>
  <c r="M102" i="1"/>
  <c r="L102" i="1"/>
  <c r="J102" i="1"/>
  <c r="T102" i="1" s="1"/>
  <c r="T101" i="1"/>
  <c r="S101" i="1"/>
  <c r="R101" i="1"/>
  <c r="K101" i="1"/>
  <c r="Q101" i="1" s="1"/>
  <c r="T100" i="1"/>
  <c r="S100" i="1"/>
  <c r="R100" i="1"/>
  <c r="T99" i="1"/>
  <c r="S99" i="1"/>
  <c r="R99" i="1"/>
  <c r="K99" i="1"/>
  <c r="R84" i="1"/>
  <c r="S84" i="1"/>
  <c r="T84" i="1"/>
  <c r="T54" i="1"/>
  <c r="S54" i="1"/>
  <c r="R54" i="1"/>
  <c r="L92" i="1"/>
  <c r="K92" i="1" s="1"/>
  <c r="Q92" i="1" s="1"/>
  <c r="L73" i="4"/>
  <c r="K77" i="4"/>
  <c r="J77" i="4"/>
  <c r="I77" i="4"/>
  <c r="L75" i="4"/>
  <c r="L74" i="4"/>
  <c r="L72" i="4"/>
  <c r="L71" i="4"/>
  <c r="K93" i="1"/>
  <c r="Q93" i="1" s="1"/>
  <c r="R93" i="1"/>
  <c r="S93" i="1"/>
  <c r="T93" i="1"/>
  <c r="P98" i="1"/>
  <c r="N98" i="1"/>
  <c r="M98" i="1"/>
  <c r="J98" i="1"/>
  <c r="T98" i="1" s="1"/>
  <c r="T97" i="1"/>
  <c r="S97" i="1"/>
  <c r="R97" i="1"/>
  <c r="K97" i="1"/>
  <c r="Q97" i="1" s="1"/>
  <c r="T96" i="1"/>
  <c r="S96" i="1"/>
  <c r="R96" i="1"/>
  <c r="K96" i="1"/>
  <c r="Q96" i="1" s="1"/>
  <c r="T95" i="1"/>
  <c r="S95" i="1"/>
  <c r="R95" i="1"/>
  <c r="K95" i="1"/>
  <c r="Q95" i="1" s="1"/>
  <c r="T94" i="1"/>
  <c r="S94" i="1"/>
  <c r="R94" i="1"/>
  <c r="K94" i="1"/>
  <c r="T92" i="1"/>
  <c r="S92" i="1"/>
  <c r="R92" i="1"/>
  <c r="L68" i="4"/>
  <c r="K70" i="4"/>
  <c r="J70" i="4"/>
  <c r="I70" i="4"/>
  <c r="L69" i="4"/>
  <c r="L67" i="4"/>
  <c r="L66" i="4"/>
  <c r="P91" i="1"/>
  <c r="N91" i="1"/>
  <c r="M91" i="1"/>
  <c r="L91" i="1"/>
  <c r="J91" i="1"/>
  <c r="T91" i="1" s="1"/>
  <c r="T90" i="1"/>
  <c r="S90" i="1"/>
  <c r="R90" i="1"/>
  <c r="K90" i="1"/>
  <c r="Q90" i="1" s="1"/>
  <c r="T89" i="1"/>
  <c r="S89" i="1"/>
  <c r="R89" i="1"/>
  <c r="K89" i="1"/>
  <c r="Q89" i="1" s="1"/>
  <c r="T88" i="1"/>
  <c r="S88" i="1"/>
  <c r="R88" i="1"/>
  <c r="K88" i="1"/>
  <c r="Q88" i="1" s="1"/>
  <c r="L63" i="4"/>
  <c r="K82" i="1"/>
  <c r="Q82" i="1" s="1"/>
  <c r="K81" i="1"/>
  <c r="Q81" i="1" s="1"/>
  <c r="K80" i="1"/>
  <c r="Q80" i="1" s="1"/>
  <c r="K79" i="1"/>
  <c r="Q79" i="1" s="1"/>
  <c r="K78" i="1"/>
  <c r="K85" i="1"/>
  <c r="Q85" i="1" s="1"/>
  <c r="K86" i="1"/>
  <c r="Q86" i="1" s="1"/>
  <c r="K84" i="1"/>
  <c r="K65" i="4"/>
  <c r="J65" i="4"/>
  <c r="I65" i="4"/>
  <c r="L62" i="4"/>
  <c r="L61" i="4"/>
  <c r="L60" i="4"/>
  <c r="L59" i="4"/>
  <c r="R121" i="1"/>
  <c r="Q121" i="1"/>
  <c r="S121" i="1"/>
  <c r="T121" i="1"/>
  <c r="Q122" i="1"/>
  <c r="R80" i="1"/>
  <c r="S80" i="1"/>
  <c r="T80" i="1"/>
  <c r="R81" i="1"/>
  <c r="S81" i="1"/>
  <c r="T81" i="1"/>
  <c r="P87" i="1"/>
  <c r="N87" i="1"/>
  <c r="L87" i="1"/>
  <c r="J87" i="1"/>
  <c r="T87" i="1" s="1"/>
  <c r="T86" i="1"/>
  <c r="S86" i="1"/>
  <c r="R86" i="1"/>
  <c r="T85" i="1"/>
  <c r="S85" i="1"/>
  <c r="R85" i="1"/>
  <c r="M87" i="1"/>
  <c r="P83" i="1"/>
  <c r="N83" i="1"/>
  <c r="M83" i="1"/>
  <c r="L83" i="1"/>
  <c r="J83" i="1"/>
  <c r="T83" i="1" s="1"/>
  <c r="T82" i="1"/>
  <c r="S82" i="1"/>
  <c r="R82" i="1"/>
  <c r="T79" i="1"/>
  <c r="S79" i="1"/>
  <c r="R79" i="1"/>
  <c r="T78" i="1"/>
  <c r="S78" i="1"/>
  <c r="R78" i="1"/>
  <c r="K76" i="1"/>
  <c r="Q76" i="1" s="1"/>
  <c r="K58" i="4"/>
  <c r="J58" i="4"/>
  <c r="I58" i="4"/>
  <c r="L56" i="4"/>
  <c r="L55" i="4"/>
  <c r="L54" i="4"/>
  <c r="L53" i="4"/>
  <c r="K73" i="1"/>
  <c r="K74" i="1"/>
  <c r="Q74" i="1" s="1"/>
  <c r="R73" i="1"/>
  <c r="S73" i="1"/>
  <c r="T73" i="1"/>
  <c r="R74" i="1"/>
  <c r="S74" i="1"/>
  <c r="T74" i="1"/>
  <c r="P77" i="1"/>
  <c r="N77" i="1"/>
  <c r="L77" i="1"/>
  <c r="J77" i="1"/>
  <c r="T77" i="1" s="1"/>
  <c r="T76" i="1"/>
  <c r="S76" i="1"/>
  <c r="R76" i="1"/>
  <c r="T75" i="1"/>
  <c r="S75" i="1"/>
  <c r="R75" i="1"/>
  <c r="K75" i="1"/>
  <c r="Q75" i="1" s="1"/>
  <c r="T72" i="1"/>
  <c r="S72" i="1"/>
  <c r="R72" i="1"/>
  <c r="K72" i="1"/>
  <c r="Q72" i="1" s="1"/>
  <c r="M68" i="1"/>
  <c r="K68" i="1" s="1"/>
  <c r="Q68" i="1" s="1"/>
  <c r="M69" i="1"/>
  <c r="K70" i="1"/>
  <c r="Q70" i="1" s="1"/>
  <c r="K52" i="4"/>
  <c r="J52" i="4"/>
  <c r="I52" i="4"/>
  <c r="L51" i="4"/>
  <c r="L50" i="4"/>
  <c r="L49" i="4"/>
  <c r="P71" i="1"/>
  <c r="N71" i="1"/>
  <c r="L71" i="1"/>
  <c r="J71" i="1"/>
  <c r="T70" i="1"/>
  <c r="S70" i="1"/>
  <c r="R70" i="1"/>
  <c r="T69" i="1"/>
  <c r="S69" i="1"/>
  <c r="R69" i="1"/>
  <c r="T68" i="1"/>
  <c r="S68" i="1"/>
  <c r="R68" i="1"/>
  <c r="K48" i="4"/>
  <c r="J48" i="4"/>
  <c r="I48" i="4"/>
  <c r="L47" i="4"/>
  <c r="L46" i="4"/>
  <c r="L45" i="4"/>
  <c r="L44" i="4"/>
  <c r="K62" i="1"/>
  <c r="Q62" i="1" s="1"/>
  <c r="J60" i="1"/>
  <c r="R61" i="1"/>
  <c r="S61" i="1"/>
  <c r="T61" i="1"/>
  <c r="K61" i="1"/>
  <c r="Q61" i="1" s="1"/>
  <c r="P67" i="1"/>
  <c r="N67" i="1"/>
  <c r="M67" i="1"/>
  <c r="L67" i="1"/>
  <c r="J67" i="1"/>
  <c r="T67" i="1" s="1"/>
  <c r="T66" i="1"/>
  <c r="S66" i="1"/>
  <c r="R66" i="1"/>
  <c r="K66" i="1"/>
  <c r="Q66" i="1" s="1"/>
  <c r="T65" i="1"/>
  <c r="S65" i="1"/>
  <c r="R65" i="1"/>
  <c r="K65" i="1"/>
  <c r="Q65" i="1" s="1"/>
  <c r="T64" i="1"/>
  <c r="S64" i="1"/>
  <c r="R64" i="1"/>
  <c r="K64" i="1"/>
  <c r="P63" i="1"/>
  <c r="N63" i="1"/>
  <c r="M63" i="1"/>
  <c r="L63" i="1"/>
  <c r="T62" i="1"/>
  <c r="S62" i="1"/>
  <c r="R62" i="1"/>
  <c r="T59" i="1"/>
  <c r="S59" i="1"/>
  <c r="R59" i="1"/>
  <c r="K59" i="1"/>
  <c r="M77" i="1"/>
  <c r="K56" i="1"/>
  <c r="Q56" i="1" s="1"/>
  <c r="R56" i="1"/>
  <c r="S56" i="1"/>
  <c r="T56" i="1"/>
  <c r="L40" i="4"/>
  <c r="L37" i="4"/>
  <c r="K43" i="4"/>
  <c r="J43" i="4"/>
  <c r="I43" i="4"/>
  <c r="L42" i="4"/>
  <c r="L39" i="4"/>
  <c r="L38" i="4"/>
  <c r="R55" i="1"/>
  <c r="S55" i="1"/>
  <c r="T55" i="1"/>
  <c r="K55" i="1"/>
  <c r="Q55" i="1" s="1"/>
  <c r="K52" i="1"/>
  <c r="Q52" i="1" s="1"/>
  <c r="P58" i="1"/>
  <c r="N58" i="1"/>
  <c r="L58" i="1"/>
  <c r="T57" i="1"/>
  <c r="S57" i="1"/>
  <c r="R57" i="1"/>
  <c r="K57" i="1"/>
  <c r="Q57" i="1" s="1"/>
  <c r="K54" i="1"/>
  <c r="Q54" i="1" s="1"/>
  <c r="J53" i="1"/>
  <c r="S53" i="1" s="1"/>
  <c r="T52" i="1"/>
  <c r="S52" i="1"/>
  <c r="R52" i="1"/>
  <c r="M58" i="1"/>
  <c r="R8" i="1"/>
  <c r="P7" i="1"/>
  <c r="N7" i="1"/>
  <c r="M7" i="1"/>
  <c r="L7" i="1"/>
  <c r="K7" i="1"/>
  <c r="J7" i="1"/>
  <c r="T7" i="1" s="1"/>
  <c r="Q6" i="1"/>
  <c r="T6" i="1"/>
  <c r="S6" i="1"/>
  <c r="R6" i="1"/>
  <c r="I15" i="4"/>
  <c r="T47" i="1"/>
  <c r="K20" i="4"/>
  <c r="J20" i="4"/>
  <c r="I20" i="4"/>
  <c r="K25" i="4"/>
  <c r="J25" i="4"/>
  <c r="I25" i="4"/>
  <c r="I31" i="4"/>
  <c r="K36" i="4"/>
  <c r="J36" i="4"/>
  <c r="I36" i="4"/>
  <c r="K31" i="4"/>
  <c r="J31" i="4"/>
  <c r="J15" i="4"/>
  <c r="K15" i="4"/>
  <c r="J10" i="4"/>
  <c r="K10" i="4"/>
  <c r="L35" i="4"/>
  <c r="M50" i="1"/>
  <c r="K50" i="1" s="1"/>
  <c r="K47" i="1"/>
  <c r="Q47" i="1" s="1"/>
  <c r="S47" i="1"/>
  <c r="K44" i="1"/>
  <c r="Q44" i="1" s="1"/>
  <c r="L34" i="4"/>
  <c r="L33" i="4"/>
  <c r="L32" i="4"/>
  <c r="J48" i="1"/>
  <c r="K48" i="1" s="1"/>
  <c r="Q48" i="1" s="1"/>
  <c r="M49" i="1"/>
  <c r="K45" i="1"/>
  <c r="P51" i="1"/>
  <c r="N51" i="1"/>
  <c r="L51" i="1"/>
  <c r="T50" i="1"/>
  <c r="S50" i="1"/>
  <c r="R50" i="1"/>
  <c r="T49" i="1"/>
  <c r="S49" i="1"/>
  <c r="R49" i="1"/>
  <c r="R47" i="1"/>
  <c r="P46" i="1"/>
  <c r="N46" i="1"/>
  <c r="M46" i="1"/>
  <c r="L46" i="1"/>
  <c r="J46" i="1"/>
  <c r="T46" i="1" s="1"/>
  <c r="T45" i="1"/>
  <c r="S45" i="1"/>
  <c r="R45" i="1"/>
  <c r="T44" i="1"/>
  <c r="S44" i="1"/>
  <c r="R44" i="1"/>
  <c r="L36" i="1"/>
  <c r="L38" i="1" s="1"/>
  <c r="L28" i="4"/>
  <c r="L27" i="4"/>
  <c r="L30" i="4"/>
  <c r="L29" i="4"/>
  <c r="L26" i="4"/>
  <c r="L23" i="4"/>
  <c r="L24" i="4"/>
  <c r="L22" i="4"/>
  <c r="L21" i="4"/>
  <c r="L19" i="4"/>
  <c r="L18" i="4"/>
  <c r="L17" i="4"/>
  <c r="L16" i="4"/>
  <c r="I7" i="4"/>
  <c r="L7" i="4" s="1"/>
  <c r="I8" i="4"/>
  <c r="L8" i="4" s="1"/>
  <c r="L9" i="4"/>
  <c r="L14" i="4"/>
  <c r="L13" i="4"/>
  <c r="L12" i="4"/>
  <c r="L11" i="4"/>
  <c r="T42" i="1"/>
  <c r="T41" i="1"/>
  <c r="T40" i="1"/>
  <c r="T39" i="1"/>
  <c r="T37" i="1"/>
  <c r="T36" i="1"/>
  <c r="T34" i="1"/>
  <c r="T33" i="1"/>
  <c r="T32" i="1"/>
  <c r="T30" i="1"/>
  <c r="T29" i="1"/>
  <c r="T28" i="1"/>
  <c r="T26" i="1"/>
  <c r="T24" i="1"/>
  <c r="T23" i="1"/>
  <c r="T22" i="1"/>
  <c r="T21" i="1"/>
  <c r="T19" i="1"/>
  <c r="T18" i="1"/>
  <c r="T17" i="1"/>
  <c r="T16" i="1"/>
  <c r="T14" i="1"/>
  <c r="T13" i="1"/>
  <c r="T12" i="1"/>
  <c r="T10" i="1"/>
  <c r="T9" i="1"/>
  <c r="T8" i="1"/>
  <c r="S8" i="1"/>
  <c r="K37" i="1"/>
  <c r="Q37" i="1" s="1"/>
  <c r="K40" i="1"/>
  <c r="Q40" i="1" s="1"/>
  <c r="R40" i="1"/>
  <c r="S40" i="1"/>
  <c r="P43" i="1"/>
  <c r="N43" i="1"/>
  <c r="M43" i="1"/>
  <c r="L43" i="1"/>
  <c r="J43" i="1"/>
  <c r="T43" i="1" s="1"/>
  <c r="S42" i="1"/>
  <c r="R42" i="1"/>
  <c r="K42" i="1"/>
  <c r="Q42" i="1" s="1"/>
  <c r="S41" i="1"/>
  <c r="R41" i="1"/>
  <c r="K41" i="1"/>
  <c r="Q41" i="1" s="1"/>
  <c r="S39" i="1"/>
  <c r="R39" i="1"/>
  <c r="K39" i="1"/>
  <c r="Q39" i="1" s="1"/>
  <c r="P38" i="1"/>
  <c r="N38" i="1"/>
  <c r="M38" i="1"/>
  <c r="J38" i="1"/>
  <c r="S37" i="1"/>
  <c r="R37" i="1"/>
  <c r="S36" i="1"/>
  <c r="R36" i="1"/>
  <c r="P35" i="1"/>
  <c r="N35" i="1"/>
  <c r="M35" i="1"/>
  <c r="L35" i="1"/>
  <c r="J35" i="1"/>
  <c r="T35" i="1" s="1"/>
  <c r="S34" i="1"/>
  <c r="R34" i="1"/>
  <c r="K34" i="1"/>
  <c r="Q34" i="1" s="1"/>
  <c r="S33" i="1"/>
  <c r="R33" i="1"/>
  <c r="K33" i="1"/>
  <c r="Q33" i="1" s="1"/>
  <c r="S32" i="1"/>
  <c r="R32" i="1"/>
  <c r="K32" i="1"/>
  <c r="Q32" i="1" s="1"/>
  <c r="S30" i="1"/>
  <c r="S29" i="1"/>
  <c r="S28" i="1"/>
  <c r="S26" i="1"/>
  <c r="S24" i="1"/>
  <c r="S23" i="1"/>
  <c r="S22" i="1"/>
  <c r="S21" i="1"/>
  <c r="S19" i="1"/>
  <c r="S18" i="1"/>
  <c r="S17" i="1"/>
  <c r="S16" i="1"/>
  <c r="S14" i="1"/>
  <c r="S13" i="1"/>
  <c r="S12" i="1"/>
  <c r="S10" i="1"/>
  <c r="S9" i="1"/>
  <c r="P31" i="1"/>
  <c r="N31" i="1"/>
  <c r="M31" i="1"/>
  <c r="L31" i="1"/>
  <c r="J31" i="1"/>
  <c r="R30" i="1"/>
  <c r="K30" i="1"/>
  <c r="Q30" i="1" s="1"/>
  <c r="R29" i="1"/>
  <c r="K29" i="1"/>
  <c r="R28" i="1"/>
  <c r="K28" i="1"/>
  <c r="Q28" i="1" s="1"/>
  <c r="P27" i="1"/>
  <c r="N27" i="1"/>
  <c r="M27" i="1"/>
  <c r="L27" i="1"/>
  <c r="J27" i="1"/>
  <c r="T27" i="1" s="1"/>
  <c r="R26" i="1"/>
  <c r="K26" i="1"/>
  <c r="Q26" i="1" s="1"/>
  <c r="K17" i="1"/>
  <c r="Q17" i="1" s="1"/>
  <c r="R17" i="1"/>
  <c r="L18" i="1"/>
  <c r="K18" i="1" s="1"/>
  <c r="Q18" i="1" s="1"/>
  <c r="K22" i="1"/>
  <c r="Q22" i="1" s="1"/>
  <c r="K23" i="1"/>
  <c r="Q23" i="1" s="1"/>
  <c r="K24" i="1"/>
  <c r="Q24" i="1" s="1"/>
  <c r="K21" i="1"/>
  <c r="Q21" i="1" s="1"/>
  <c r="K19" i="1"/>
  <c r="Q19" i="1" s="1"/>
  <c r="K16" i="1"/>
  <c r="Q16" i="1" s="1"/>
  <c r="J20" i="1"/>
  <c r="T20" i="1" s="1"/>
  <c r="R22" i="1"/>
  <c r="P25" i="1"/>
  <c r="N25" i="1"/>
  <c r="M25" i="1"/>
  <c r="L25" i="1"/>
  <c r="J25" i="1"/>
  <c r="R24" i="1"/>
  <c r="R23" i="1"/>
  <c r="R21" i="1"/>
  <c r="P20" i="1"/>
  <c r="N20" i="1"/>
  <c r="M20" i="1"/>
  <c r="R19" i="1"/>
  <c r="R18" i="1"/>
  <c r="R16" i="1"/>
  <c r="P15" i="1"/>
  <c r="N15" i="1"/>
  <c r="M15" i="1"/>
  <c r="L15" i="1"/>
  <c r="J15" i="1"/>
  <c r="T15" i="1" s="1"/>
  <c r="R14" i="1"/>
  <c r="K14" i="1"/>
  <c r="Q14" i="1" s="1"/>
  <c r="R13" i="1"/>
  <c r="K13" i="1"/>
  <c r="Q13" i="1" s="1"/>
  <c r="R12" i="1"/>
  <c r="K12" i="1"/>
  <c r="Q12" i="1" s="1"/>
  <c r="K10" i="1"/>
  <c r="Q10" i="1" s="1"/>
  <c r="K9" i="1"/>
  <c r="Q9" i="1" s="1"/>
  <c r="K8" i="1"/>
  <c r="Q8" i="1" s="1"/>
  <c r="P11" i="1"/>
  <c r="N11" i="1"/>
  <c r="M11" i="1"/>
  <c r="L11" i="1"/>
  <c r="J11" i="1"/>
  <c r="T11" i="1" s="1"/>
  <c r="R10" i="1"/>
  <c r="R9" i="1"/>
  <c r="Q237" i="1"/>
  <c r="M238" i="1"/>
  <c r="Q260" i="1"/>
  <c r="Q261" i="1"/>
  <c r="Q259" i="1"/>
  <c r="L262" i="1"/>
  <c r="S269" i="1"/>
  <c r="S270" i="1"/>
  <c r="R269" i="1"/>
  <c r="T269" i="1"/>
  <c r="Q269" i="1"/>
  <c r="R270" i="1"/>
  <c r="T270" i="1"/>
  <c r="M270" i="1"/>
  <c r="Q270" i="1"/>
  <c r="M269" i="1"/>
  <c r="S302" i="1"/>
  <c r="R302" i="1"/>
  <c r="T302" i="1"/>
  <c r="J304" i="1"/>
  <c r="S303" i="1"/>
  <c r="R303" i="1"/>
  <c r="K303" i="1"/>
  <c r="Q303" i="1" s="1"/>
  <c r="T303" i="1"/>
  <c r="K334" i="1"/>
  <c r="R349" i="1"/>
  <c r="S349" i="1"/>
  <c r="T349" i="1"/>
  <c r="K349" i="1"/>
  <c r="Q349" i="1" s="1"/>
  <c r="R350" i="1"/>
  <c r="T350" i="1"/>
  <c r="K350" i="1"/>
  <c r="Q350" i="1" s="1"/>
  <c r="S350" i="1"/>
  <c r="R351" i="1"/>
  <c r="T351" i="1"/>
  <c r="S351" i="1"/>
  <c r="K351" i="1"/>
  <c r="Q351" i="1" s="1"/>
  <c r="J353" i="1"/>
  <c r="T353" i="1" s="1"/>
  <c r="S352" i="1"/>
  <c r="R352" i="1"/>
  <c r="K352" i="1"/>
  <c r="Q352" i="1" s="1"/>
  <c r="T352" i="1"/>
  <c r="R365" i="1"/>
  <c r="T365" i="1"/>
  <c r="S365" i="1"/>
  <c r="J366" i="1"/>
  <c r="T366" i="1" s="1"/>
  <c r="J385" i="1"/>
  <c r="S384" i="1"/>
  <c r="R384" i="1"/>
  <c r="K384" i="1"/>
  <c r="Q384" i="1" s="1"/>
  <c r="T384" i="1"/>
  <c r="J402" i="1"/>
  <c r="S401" i="1"/>
  <c r="T401" i="1"/>
  <c r="K402" i="1"/>
  <c r="R401" i="1"/>
  <c r="Q401" i="1"/>
  <c r="K428" i="1"/>
  <c r="Q428" i="1" s="1"/>
  <c r="L430" i="1"/>
  <c r="S429" i="1"/>
  <c r="T429" i="1"/>
  <c r="R429" i="1"/>
  <c r="K429" i="1"/>
  <c r="Q429" i="1" s="1"/>
  <c r="J430" i="1"/>
  <c r="T430" i="1" s="1"/>
  <c r="S501" i="1"/>
  <c r="R501" i="1"/>
  <c r="K501" i="1"/>
  <c r="Q501" i="1" s="1"/>
  <c r="T501" i="1"/>
  <c r="S502" i="1"/>
  <c r="R502" i="1"/>
  <c r="K502" i="1"/>
  <c r="Q502" i="1" s="1"/>
  <c r="T502" i="1"/>
  <c r="S503" i="1"/>
  <c r="T503" i="1"/>
  <c r="R503" i="1"/>
  <c r="K503" i="1"/>
  <c r="J504" i="1"/>
  <c r="J524" i="1"/>
  <c r="Q524" i="1" s="1"/>
  <c r="T548" i="1"/>
  <c r="R548" i="1"/>
  <c r="S548" i="1"/>
  <c r="R550" i="1"/>
  <c r="T550" i="1"/>
  <c r="S550" i="1"/>
  <c r="S551" i="1"/>
  <c r="R551" i="1"/>
  <c r="K551" i="1"/>
  <c r="Q551" i="1" s="1"/>
  <c r="T551" i="1"/>
  <c r="K550" i="1"/>
  <c r="Q550" i="1" s="1"/>
  <c r="S552" i="1"/>
  <c r="R552" i="1"/>
  <c r="K552" i="1"/>
  <c r="Q552" i="1" s="1"/>
  <c r="T552" i="1"/>
  <c r="R553" i="1"/>
  <c r="T553" i="1"/>
  <c r="S553" i="1"/>
  <c r="K553" i="1"/>
  <c r="Q553" i="1" s="1"/>
  <c r="S575" i="1"/>
  <c r="R575" i="1"/>
  <c r="K575" i="1"/>
  <c r="Q575" i="1" s="1"/>
  <c r="T575" i="1"/>
  <c r="T576" i="1"/>
  <c r="R576" i="1"/>
  <c r="K576" i="1"/>
  <c r="Q576" i="1" s="1"/>
  <c r="S576" i="1"/>
  <c r="T577" i="1"/>
  <c r="R577" i="1"/>
  <c r="K577" i="1"/>
  <c r="Q577" i="1" s="1"/>
  <c r="S577" i="1"/>
  <c r="S578" i="1"/>
  <c r="T578" i="1"/>
  <c r="K578" i="1"/>
  <c r="Q578" i="1" s="1"/>
  <c r="R578" i="1"/>
  <c r="S572" i="1"/>
  <c r="R572" i="1"/>
  <c r="T572" i="1"/>
  <c r="S573" i="1"/>
  <c r="J574" i="1"/>
  <c r="R573" i="1"/>
  <c r="T573" i="1"/>
  <c r="S591" i="1"/>
  <c r="R591" i="1"/>
  <c r="T591" i="1"/>
  <c r="J592" i="1"/>
  <c r="K591" i="1"/>
  <c r="Q591" i="1" s="1"/>
  <c r="S610" i="1"/>
  <c r="R610" i="1"/>
  <c r="T610" i="1"/>
  <c r="K610" i="1"/>
  <c r="Q610" i="1" s="1"/>
  <c r="S611" i="1"/>
  <c r="J612" i="1"/>
  <c r="R611" i="1"/>
  <c r="K611" i="1"/>
  <c r="Q611" i="1" s="1"/>
  <c r="T611" i="1"/>
  <c r="K634" i="1"/>
  <c r="Q632" i="1"/>
  <c r="L547" i="4"/>
  <c r="Q871" i="1"/>
  <c r="L667" i="4"/>
  <c r="S1139" i="1"/>
  <c r="R1139" i="1"/>
  <c r="T1139" i="1"/>
  <c r="K1139" i="1"/>
  <c r="Q1139" i="1" s="1"/>
  <c r="J1141" i="1"/>
  <c r="S1154" i="1"/>
  <c r="T1154" i="1"/>
  <c r="K1154" i="1"/>
  <c r="Q1154" i="1" s="1"/>
  <c r="R1154" i="1"/>
  <c r="J1156" i="1"/>
  <c r="S1155" i="1"/>
  <c r="R1155" i="1"/>
  <c r="K1155" i="1"/>
  <c r="Q1155" i="1" s="1"/>
  <c r="T1155" i="1"/>
  <c r="L1491" i="1"/>
  <c r="K1488" i="1"/>
  <c r="K1533" i="1"/>
  <c r="S3451" i="1"/>
  <c r="R3451" i="1"/>
  <c r="K3451" i="1"/>
  <c r="T3451" i="1"/>
  <c r="M212" i="1"/>
  <c r="K155" i="4"/>
  <c r="I139" i="4"/>
  <c r="L212" i="1"/>
  <c r="N212" i="1"/>
  <c r="P211" i="1"/>
  <c r="I141" i="4"/>
  <c r="J152" i="4"/>
  <c r="K212" i="1"/>
  <c r="J155" i="4"/>
  <c r="I140" i="4"/>
  <c r="J212" i="1"/>
  <c r="J139" i="4"/>
  <c r="J138" i="4"/>
  <c r="L211" i="1"/>
  <c r="J141" i="4"/>
  <c r="J140" i="4"/>
  <c r="K141" i="4"/>
  <c r="I152" i="4"/>
  <c r="I155" i="4"/>
  <c r="J211" i="1"/>
  <c r="J154" i="4"/>
  <c r="I154" i="4"/>
  <c r="I138" i="4"/>
  <c r="M211" i="1"/>
  <c r="S402" i="1" l="1"/>
  <c r="S3462" i="1"/>
  <c r="T2649" i="1"/>
  <c r="U3620" i="1"/>
  <c r="Q3369" i="1"/>
  <c r="R3135" i="1"/>
  <c r="T1650" i="1"/>
  <c r="T2431" i="1"/>
  <c r="Q1132" i="1"/>
  <c r="U3608" i="1"/>
  <c r="N1789" i="1"/>
  <c r="S3581" i="1"/>
  <c r="K3317" i="1"/>
  <c r="Q3317" i="1" s="1"/>
  <c r="U3317" i="1" s="1"/>
  <c r="R3581" i="1"/>
  <c r="Q3581" i="1"/>
  <c r="U3571" i="1"/>
  <c r="S266" i="1"/>
  <c r="R3563" i="1"/>
  <c r="S3563" i="1"/>
  <c r="T3554" i="1"/>
  <c r="S3554" i="1"/>
  <c r="J3562" i="1"/>
  <c r="R3562" i="1" s="1"/>
  <c r="R3554" i="1"/>
  <c r="T1742" i="1"/>
  <c r="T3529" i="1"/>
  <c r="K46" i="1"/>
  <c r="Q46" i="1" s="1"/>
  <c r="Q1098" i="1"/>
  <c r="T644" i="1"/>
  <c r="Q335" i="1"/>
  <c r="Q652" i="1"/>
  <c r="R295" i="1"/>
  <c r="T566" i="1"/>
  <c r="S390" i="1"/>
  <c r="Q583" i="1"/>
  <c r="R390" i="1"/>
  <c r="R409" i="1"/>
  <c r="Q390" i="1"/>
  <c r="S600" i="1"/>
  <c r="R505" i="1"/>
  <c r="Q600" i="1"/>
  <c r="Q558" i="1"/>
  <c r="S1069" i="1"/>
  <c r="T3495" i="1"/>
  <c r="R3495" i="1"/>
  <c r="T335" i="1"/>
  <c r="U3555" i="1"/>
  <c r="U3558" i="1"/>
  <c r="U3556" i="1"/>
  <c r="S2191" i="1"/>
  <c r="U3557" i="1"/>
  <c r="R2191" i="1"/>
  <c r="R491" i="1"/>
  <c r="L1110" i="4"/>
  <c r="R3369" i="1"/>
  <c r="Q152" i="1"/>
  <c r="T562" i="1"/>
  <c r="R652" i="1"/>
  <c r="Q2828" i="1"/>
  <c r="R3260" i="1"/>
  <c r="Q3046" i="1"/>
  <c r="K1724" i="1"/>
  <c r="Q1724" i="1" s="1"/>
  <c r="T1156" i="1"/>
  <c r="S322" i="1"/>
  <c r="L992" i="4"/>
  <c r="L1064" i="4"/>
  <c r="L1082" i="4"/>
  <c r="K787" i="1"/>
  <c r="Q787" i="1" s="1"/>
  <c r="L1116" i="4"/>
  <c r="L1718" i="4"/>
  <c r="S3048" i="1"/>
  <c r="S1643" i="1"/>
  <c r="Q2201" i="1"/>
  <c r="T3026" i="1"/>
  <c r="S1081" i="1"/>
  <c r="L1261" i="4"/>
  <c r="L1287" i="4"/>
  <c r="L1293" i="4"/>
  <c r="L1298" i="4"/>
  <c r="L1371" i="4"/>
  <c r="T709" i="1"/>
  <c r="T2286" i="1"/>
  <c r="S3112" i="1"/>
  <c r="R1256" i="1"/>
  <c r="S1582" i="1"/>
  <c r="S1010" i="1"/>
  <c r="Q1256" i="1"/>
  <c r="T1599" i="1"/>
  <c r="R1204" i="1"/>
  <c r="R1582" i="1"/>
  <c r="Q1582" i="1"/>
  <c r="Q3260" i="1"/>
  <c r="S218" i="1"/>
  <c r="R538" i="1"/>
  <c r="K582" i="4"/>
  <c r="L582" i="4" s="1"/>
  <c r="O582" i="4" s="1"/>
  <c r="R2828" i="1"/>
  <c r="L1267" i="4"/>
  <c r="L1275" i="4"/>
  <c r="Q1623" i="1"/>
  <c r="T2945" i="1"/>
  <c r="Q3366" i="1"/>
  <c r="R683" i="1"/>
  <c r="T1623" i="1"/>
  <c r="Q2846" i="1"/>
  <c r="Q627" i="1"/>
  <c r="T660" i="1"/>
  <c r="T683" i="1"/>
  <c r="L983" i="4"/>
  <c r="T153" i="1"/>
  <c r="S588" i="1"/>
  <c r="Q677" i="1"/>
  <c r="S677" i="1"/>
  <c r="L1044" i="4"/>
  <c r="Q2755" i="1"/>
  <c r="U2755" i="1" s="1"/>
  <c r="K662" i="1"/>
  <c r="K663" i="1" s="1"/>
  <c r="Q663" i="1" s="1"/>
  <c r="R358" i="1"/>
  <c r="R582" i="1"/>
  <c r="L1219" i="4"/>
  <c r="L1237" i="4"/>
  <c r="L1242" i="4"/>
  <c r="S2138" i="1"/>
  <c r="T511" i="1"/>
  <c r="S662" i="1"/>
  <c r="T1509" i="1"/>
  <c r="S2228" i="1"/>
  <c r="S3046" i="1"/>
  <c r="S3403" i="1"/>
  <c r="S599" i="1"/>
  <c r="Q602" i="1"/>
  <c r="T999" i="1"/>
  <c r="L1714" i="4"/>
  <c r="S2972" i="1"/>
  <c r="S422" i="1"/>
  <c r="Q491" i="1"/>
  <c r="T417" i="1"/>
  <c r="T1203" i="1"/>
  <c r="T1346" i="1"/>
  <c r="L1076" i="4"/>
  <c r="L1192" i="4"/>
  <c r="L1215" i="4"/>
  <c r="L1225" i="4"/>
  <c r="L1360" i="4"/>
  <c r="R1708" i="1"/>
  <c r="T542" i="1"/>
  <c r="R1249" i="1"/>
  <c r="S2627" i="1"/>
  <c r="Q3242" i="1"/>
  <c r="T623" i="1"/>
  <c r="R723" i="1"/>
  <c r="T780" i="1"/>
  <c r="L1088" i="4"/>
  <c r="L1251" i="4"/>
  <c r="L1271" i="4"/>
  <c r="L1282" i="4"/>
  <c r="S1609" i="1"/>
  <c r="T1670" i="1"/>
  <c r="T764" i="1"/>
  <c r="S811" i="1"/>
  <c r="S852" i="1"/>
  <c r="T1069" i="1"/>
  <c r="S1254" i="1"/>
  <c r="S1184" i="1"/>
  <c r="L1246" i="4"/>
  <c r="Q1620" i="1"/>
  <c r="T1643" i="1"/>
  <c r="S2033" i="1"/>
  <c r="T455" i="1"/>
  <c r="L1124" i="4"/>
  <c r="L1168" i="4"/>
  <c r="T1602" i="1"/>
  <c r="T1620" i="1"/>
  <c r="Q1643" i="1"/>
  <c r="L1365" i="4"/>
  <c r="S372" i="1"/>
  <c r="S1282" i="1"/>
  <c r="L1188" i="4"/>
  <c r="Q2553" i="1"/>
  <c r="L977" i="4"/>
  <c r="L1010" i="4"/>
  <c r="L1024" i="4"/>
  <c r="L1070" i="4"/>
  <c r="S2450" i="1"/>
  <c r="Q3336" i="1"/>
  <c r="S630" i="1"/>
  <c r="Q420" i="1"/>
  <c r="L1375" i="4"/>
  <c r="R156" i="1"/>
  <c r="T767" i="1"/>
  <c r="L722" i="4"/>
  <c r="R947" i="1"/>
  <c r="L1098" i="4"/>
  <c r="S2843" i="1"/>
  <c r="S3279" i="1"/>
  <c r="U74" i="1"/>
  <c r="L1052" i="4"/>
  <c r="L1092" i="4"/>
  <c r="L1721" i="4"/>
  <c r="T965" i="1"/>
  <c r="S640" i="1"/>
  <c r="S647" i="1"/>
  <c r="S623" i="1"/>
  <c r="S644" i="1"/>
  <c r="S660" i="1"/>
  <c r="S683" i="1"/>
  <c r="L998" i="4"/>
  <c r="L1019" i="4"/>
  <c r="R3148" i="1"/>
  <c r="S280" i="1"/>
  <c r="T772" i="1"/>
  <c r="L1154" i="4"/>
  <c r="L1231" i="4"/>
  <c r="J1151" i="1"/>
  <c r="Q1151" i="1" s="1"/>
  <c r="L1146" i="4"/>
  <c r="L1740" i="4"/>
  <c r="K767" i="1"/>
  <c r="Q767" i="1" s="1"/>
  <c r="T662" i="1"/>
  <c r="Q511" i="1"/>
  <c r="S458" i="1"/>
  <c r="R345" i="1"/>
  <c r="Q599" i="1"/>
  <c r="R417" i="1"/>
  <c r="T592" i="1"/>
  <c r="T1161" i="1"/>
  <c r="L1104" i="4"/>
  <c r="L1131" i="4"/>
  <c r="L1200" i="4"/>
  <c r="L1205" i="4"/>
  <c r="L1210" i="4"/>
  <c r="T2072" i="1"/>
  <c r="Q2992" i="1"/>
  <c r="Q3134" i="1"/>
  <c r="R3403" i="1"/>
  <c r="T1141" i="1"/>
  <c r="Q153" i="1"/>
  <c r="S335" i="1"/>
  <c r="S345" i="1"/>
  <c r="T491" i="1"/>
  <c r="S562" i="1"/>
  <c r="T458" i="1"/>
  <c r="R602" i="1"/>
  <c r="R53" i="1"/>
  <c r="T408" i="1"/>
  <c r="T472" i="1"/>
  <c r="R663" i="1"/>
  <c r="Q3097" i="1"/>
  <c r="T3134" i="1"/>
  <c r="T3188" i="1"/>
  <c r="J3202" i="1"/>
  <c r="R3202" i="1" s="1"/>
  <c r="S3299" i="1"/>
  <c r="J271" i="1"/>
  <c r="S271" i="1" s="1"/>
  <c r="R511" i="1"/>
  <c r="R458" i="1"/>
  <c r="R535" i="1"/>
  <c r="Q562" i="1"/>
  <c r="R662" i="1"/>
  <c r="R566" i="1"/>
  <c r="R600" i="1"/>
  <c r="T409" i="1"/>
  <c r="S417" i="1"/>
  <c r="T723" i="1"/>
  <c r="U784" i="1"/>
  <c r="U821" i="1"/>
  <c r="R835" i="1"/>
  <c r="U846" i="1"/>
  <c r="R948" i="1"/>
  <c r="L1037" i="4"/>
  <c r="L1178" i="4"/>
  <c r="L1345" i="4"/>
  <c r="T2537" i="1"/>
  <c r="K2843" i="1"/>
  <c r="Q2843" i="1" s="1"/>
  <c r="T2928" i="1"/>
  <c r="T3097" i="1"/>
  <c r="S3203" i="1"/>
  <c r="T135" i="1"/>
  <c r="T588" i="1"/>
  <c r="Q588" i="1"/>
  <c r="R599" i="1"/>
  <c r="Q158" i="1"/>
  <c r="Q566" i="1"/>
  <c r="S652" i="1"/>
  <c r="T601" i="1"/>
  <c r="Q409" i="1"/>
  <c r="S602" i="1"/>
  <c r="Q398" i="1"/>
  <c r="U398" i="1" s="1"/>
  <c r="S11" i="1"/>
  <c r="S482" i="1"/>
  <c r="U714" i="1"/>
  <c r="T746" i="1"/>
  <c r="L1003" i="4"/>
  <c r="S1473" i="1"/>
  <c r="L1724" i="4"/>
  <c r="S3097" i="1"/>
  <c r="R3189" i="1"/>
  <c r="U3189" i="1" s="1"/>
  <c r="T2120" i="1"/>
  <c r="T627" i="1"/>
  <c r="L1058" i="4"/>
  <c r="L1160" i="4"/>
  <c r="L1196" i="4"/>
  <c r="L1355" i="4"/>
  <c r="S2155" i="1"/>
  <c r="R640" i="1"/>
  <c r="R647" i="1"/>
  <c r="U763" i="1"/>
  <c r="U792" i="1"/>
  <c r="U1318" i="1"/>
  <c r="L1139" i="4"/>
  <c r="L1313" i="4"/>
  <c r="I1872" i="4"/>
  <c r="R2553" i="1"/>
  <c r="T2666" i="1"/>
  <c r="L1328" i="4"/>
  <c r="L1947" i="4"/>
  <c r="L2524" i="1"/>
  <c r="L2533" i="1" s="1"/>
  <c r="T2553" i="1"/>
  <c r="L1255" i="4"/>
  <c r="L1490" i="4"/>
  <c r="Q2012" i="1"/>
  <c r="U2012" i="1" s="1"/>
  <c r="J2398" i="1"/>
  <c r="T2398" i="1" s="1"/>
  <c r="L728" i="4"/>
  <c r="L1340" i="4"/>
  <c r="S1784" i="1"/>
  <c r="T2028" i="1"/>
  <c r="L1753" i="4"/>
  <c r="L347" i="4"/>
  <c r="O347" i="4" s="1"/>
  <c r="U701" i="1"/>
  <c r="U718" i="1"/>
  <c r="U729" i="1"/>
  <c r="S746" i="1"/>
  <c r="L575" i="4"/>
  <c r="O575" i="4" s="1"/>
  <c r="U773" i="1"/>
  <c r="S835" i="1"/>
  <c r="L1183" i="4"/>
  <c r="T2843" i="1"/>
  <c r="L166" i="4"/>
  <c r="O166" i="4" s="1"/>
  <c r="U756" i="1"/>
  <c r="T3304" i="1"/>
  <c r="R965" i="1"/>
  <c r="R1069" i="1"/>
  <c r="L1308" i="4"/>
  <c r="I1513" i="4"/>
  <c r="L1030" i="4"/>
  <c r="T3226" i="1"/>
  <c r="K2108" i="1"/>
  <c r="Q2108" i="1" s="1"/>
  <c r="P2161" i="1"/>
  <c r="S2161" i="1" s="1"/>
  <c r="L1917" i="4"/>
  <c r="Q3096" i="1"/>
  <c r="S3114" i="1"/>
  <c r="R3242" i="1"/>
  <c r="Q3484" i="1"/>
  <c r="S3495" i="1"/>
  <c r="T156" i="1"/>
  <c r="T421" i="1"/>
  <c r="Q416" i="1"/>
  <c r="R612" i="1"/>
  <c r="T948" i="1"/>
  <c r="S965" i="1"/>
  <c r="R1641" i="1"/>
  <c r="L1329" i="4"/>
  <c r="M2126" i="1"/>
  <c r="T2223" i="1"/>
  <c r="T3403" i="1"/>
  <c r="Q3497" i="1"/>
  <c r="T372" i="1"/>
  <c r="R27" i="1"/>
  <c r="K790" i="1"/>
  <c r="Q790" i="1" s="1"/>
  <c r="R767" i="1"/>
  <c r="R772" i="1"/>
  <c r="R780" i="1"/>
  <c r="S816" i="1"/>
  <c r="S874" i="1"/>
  <c r="R884" i="1"/>
  <c r="Q1641" i="1"/>
  <c r="S1655" i="1"/>
  <c r="Q2170" i="1"/>
  <c r="U2170" i="1" s="1"/>
  <c r="R2227" i="1"/>
  <c r="T2191" i="1"/>
  <c r="R2241" i="1"/>
  <c r="Q465" i="1"/>
  <c r="U465" i="1" s="1"/>
  <c r="L543" i="4"/>
  <c r="R171" i="1"/>
  <c r="U724" i="1"/>
  <c r="R746" i="1"/>
  <c r="U801" i="1"/>
  <c r="R820" i="1"/>
  <c r="T825" i="1"/>
  <c r="T840" i="1"/>
  <c r="R879" i="1"/>
  <c r="Q1945" i="1"/>
  <c r="S3096" i="1"/>
  <c r="T3114" i="1"/>
  <c r="Q3263" i="1"/>
  <c r="K1491" i="1"/>
  <c r="Q1491" i="1" s="1"/>
  <c r="K884" i="1"/>
  <c r="Q884" i="1" s="1"/>
  <c r="T262" i="1"/>
  <c r="U360" i="1"/>
  <c r="R449" i="1"/>
  <c r="T609" i="1"/>
  <c r="R677" i="1"/>
  <c r="K699" i="1"/>
  <c r="Q699" i="1" s="1"/>
  <c r="L545" i="4"/>
  <c r="T717" i="1"/>
  <c r="Q948" i="1"/>
  <c r="Q2063" i="1"/>
  <c r="U2063" i="1" s="1"/>
  <c r="R3096" i="1"/>
  <c r="Q3114" i="1"/>
  <c r="R3207" i="1"/>
  <c r="T3425" i="1"/>
  <c r="T3479" i="1"/>
  <c r="U1723" i="1"/>
  <c r="T529" i="1"/>
  <c r="Q143" i="1"/>
  <c r="S102" i="1"/>
  <c r="T257" i="1"/>
  <c r="R252" i="1"/>
  <c r="S371" i="1"/>
  <c r="S609" i="1"/>
  <c r="U628" i="1"/>
  <c r="R634" i="1"/>
  <c r="S627" i="1"/>
  <c r="Q243" i="1"/>
  <c r="L475" i="4"/>
  <c r="O475" i="4" s="1"/>
  <c r="L479" i="4"/>
  <c r="O479" i="4" s="1"/>
  <c r="U645" i="1"/>
  <c r="S780" i="1"/>
  <c r="R794" i="1"/>
  <c r="U1048" i="1"/>
  <c r="S1369" i="1"/>
  <c r="S1472" i="1"/>
  <c r="R1483" i="1"/>
  <c r="U1686" i="1"/>
  <c r="L1403" i="4"/>
  <c r="Q2009" i="1"/>
  <c r="L2420" i="4"/>
  <c r="L2425" i="4" s="1"/>
  <c r="R2954" i="1"/>
  <c r="Q495" i="1"/>
  <c r="T538" i="1"/>
  <c r="R495" i="1"/>
  <c r="T449" i="1"/>
  <c r="U629" i="1"/>
  <c r="R630" i="1"/>
  <c r="U625" i="1"/>
  <c r="R627" i="1"/>
  <c r="T243" i="1"/>
  <c r="U635" i="1"/>
  <c r="T1468" i="1"/>
  <c r="R1614" i="1"/>
  <c r="S2626" i="1"/>
  <c r="S2622" i="1"/>
  <c r="T2668" i="1"/>
  <c r="R2843" i="1"/>
  <c r="T3246" i="1"/>
  <c r="U710" i="1"/>
  <c r="R655" i="1"/>
  <c r="J363" i="1"/>
  <c r="S363" i="1" s="1"/>
  <c r="Q509" i="1"/>
  <c r="T1474" i="1"/>
  <c r="S1584" i="1"/>
  <c r="J2010" i="1"/>
  <c r="S2010" i="1" s="1"/>
  <c r="L1761" i="4"/>
  <c r="L1767" i="4" s="1"/>
  <c r="S2668" i="1"/>
  <c r="S2895" i="1"/>
  <c r="R2972" i="1"/>
  <c r="U24" i="1"/>
  <c r="R294" i="1"/>
  <c r="Q394" i="1"/>
  <c r="T1520" i="1"/>
  <c r="S2214" i="1"/>
  <c r="T2590" i="1"/>
  <c r="R2668" i="1"/>
  <c r="Q2895" i="1"/>
  <c r="R3024" i="1"/>
  <c r="T3129" i="1"/>
  <c r="K1536" i="1"/>
  <c r="Q1536" i="1" s="1"/>
  <c r="S329" i="1"/>
  <c r="S509" i="1"/>
  <c r="S529" i="1"/>
  <c r="J533" i="1"/>
  <c r="S533" i="1" s="1"/>
  <c r="L128" i="1"/>
  <c r="R912" i="1"/>
  <c r="R918" i="1"/>
  <c r="T1275" i="1"/>
  <c r="S1774" i="1"/>
  <c r="T2228" i="1"/>
  <c r="T2891" i="1"/>
  <c r="T2972" i="1"/>
  <c r="R3129" i="1"/>
  <c r="Q142" i="1"/>
  <c r="Q336" i="1"/>
  <c r="T373" i="1"/>
  <c r="U786" i="1"/>
  <c r="S1146" i="1"/>
  <c r="S1493" i="1"/>
  <c r="U1721" i="1"/>
  <c r="Q765" i="1"/>
  <c r="U765" i="1" s="1"/>
  <c r="R656" i="1"/>
  <c r="J393" i="1"/>
  <c r="R393" i="1" s="1"/>
  <c r="Q691" i="1"/>
  <c r="U691" i="1" s="1"/>
  <c r="S392" i="1"/>
  <c r="R555" i="1"/>
  <c r="S538" i="1"/>
  <c r="K574" i="1"/>
  <c r="Q574" i="1" s="1"/>
  <c r="K319" i="1"/>
  <c r="Q319" i="1" s="1"/>
  <c r="R176" i="1"/>
  <c r="T362" i="1"/>
  <c r="R529" i="1"/>
  <c r="K334" i="4"/>
  <c r="R143" i="1"/>
  <c r="T331" i="1"/>
  <c r="S354" i="1"/>
  <c r="S31" i="1"/>
  <c r="Q252" i="1"/>
  <c r="Q266" i="1"/>
  <c r="U386" i="1"/>
  <c r="L323" i="4"/>
  <c r="O323" i="4" s="1"/>
  <c r="U452" i="1"/>
  <c r="Q482" i="1"/>
  <c r="T490" i="1"/>
  <c r="S579" i="1"/>
  <c r="L417" i="4"/>
  <c r="O417" i="4" s="1"/>
  <c r="T597" i="1"/>
  <c r="Q630" i="1"/>
  <c r="T477" i="1"/>
  <c r="U613" i="1"/>
  <c r="U618" i="1"/>
  <c r="S634" i="1"/>
  <c r="U659" i="1"/>
  <c r="Q247" i="1"/>
  <c r="L485" i="4"/>
  <c r="O485" i="4" s="1"/>
  <c r="S1227" i="1"/>
  <c r="R1428" i="1"/>
  <c r="K1469" i="1"/>
  <c r="K1472" i="1" s="1"/>
  <c r="Q1472" i="1" s="1"/>
  <c r="R1493" i="1"/>
  <c r="S1487" i="1"/>
  <c r="S1550" i="1"/>
  <c r="T1554" i="1"/>
  <c r="S1594" i="1"/>
  <c r="K2515" i="1"/>
  <c r="Q2515" i="1" s="1"/>
  <c r="U2563" i="1"/>
  <c r="T2571" i="1"/>
  <c r="R2891" i="1"/>
  <c r="U2868" i="1"/>
  <c r="S2891" i="1"/>
  <c r="O2936" i="1"/>
  <c r="T3011" i="1"/>
  <c r="S3026" i="1"/>
  <c r="R3299" i="1"/>
  <c r="Q3370" i="1"/>
  <c r="T3437" i="1"/>
  <c r="T634" i="1"/>
  <c r="U637" i="1"/>
  <c r="S732" i="1"/>
  <c r="U778" i="1"/>
  <c r="S2928" i="1"/>
  <c r="S3011" i="1"/>
  <c r="K3069" i="1"/>
  <c r="Q3069" i="1" s="1"/>
  <c r="Q3184" i="1"/>
  <c r="U1722" i="1"/>
  <c r="Q295" i="1"/>
  <c r="T392" i="1"/>
  <c r="S294" i="1"/>
  <c r="S546" i="1"/>
  <c r="K430" i="1"/>
  <c r="Q430" i="1" s="1"/>
  <c r="R329" i="1"/>
  <c r="K500" i="1"/>
  <c r="Q500" i="1" s="1"/>
  <c r="T143" i="1"/>
  <c r="T414" i="1"/>
  <c r="Q331" i="1"/>
  <c r="R116" i="1"/>
  <c r="U236" i="1"/>
  <c r="R262" i="1"/>
  <c r="R247" i="1"/>
  <c r="R434" i="1"/>
  <c r="Q467" i="1"/>
  <c r="R623" i="1"/>
  <c r="T630" i="1"/>
  <c r="R1150" i="1"/>
  <c r="R1203" i="1"/>
  <c r="M1270" i="1"/>
  <c r="S1308" i="1"/>
  <c r="T1371" i="1"/>
  <c r="T1363" i="1"/>
  <c r="Q1493" i="1"/>
  <c r="T1594" i="1"/>
  <c r="R1785" i="1"/>
  <c r="T1855" i="1"/>
  <c r="S2139" i="1"/>
  <c r="T2252" i="1"/>
  <c r="R2825" i="1"/>
  <c r="R3011" i="1"/>
  <c r="R3073" i="1"/>
  <c r="R3184" i="1"/>
  <c r="R3424" i="1"/>
  <c r="T3513" i="1"/>
  <c r="S158" i="1"/>
  <c r="S361" i="1"/>
  <c r="T558" i="1"/>
  <c r="R331" i="1"/>
  <c r="Q623" i="1"/>
  <c r="U665" i="1"/>
  <c r="U737" i="1"/>
  <c r="U775" i="1"/>
  <c r="T3073" i="1"/>
  <c r="Q3112" i="1"/>
  <c r="U3165" i="1"/>
  <c r="S3184" i="1"/>
  <c r="U1720" i="1"/>
  <c r="T295" i="1"/>
  <c r="S43" i="1"/>
  <c r="T495" i="1"/>
  <c r="S336" i="1"/>
  <c r="Q555" i="1"/>
  <c r="S555" i="1"/>
  <c r="R506" i="1"/>
  <c r="T158" i="1"/>
  <c r="S142" i="1"/>
  <c r="Q354" i="1"/>
  <c r="S567" i="1"/>
  <c r="R43" i="1"/>
  <c r="Q190" i="1"/>
  <c r="R327" i="1"/>
  <c r="S399" i="1"/>
  <c r="S1150" i="1"/>
  <c r="Q1203" i="1"/>
  <c r="S1371" i="1"/>
  <c r="T1529" i="1"/>
  <c r="R1545" i="1"/>
  <c r="R1594" i="1"/>
  <c r="S1916" i="1"/>
  <c r="T2538" i="1"/>
  <c r="R2649" i="1"/>
  <c r="R2684" i="1"/>
  <c r="J2826" i="1"/>
  <c r="S2826" i="1" s="1"/>
  <c r="Q2940" i="1"/>
  <c r="U2940" i="1" s="1"/>
  <c r="R3130" i="1"/>
  <c r="R3498" i="1"/>
  <c r="Q373" i="1"/>
  <c r="Q567" i="1"/>
  <c r="L463" i="4"/>
  <c r="O463" i="4" s="1"/>
  <c r="Q644" i="1"/>
  <c r="R1468" i="1"/>
  <c r="S2468" i="1"/>
  <c r="Q2953" i="1"/>
  <c r="R790" i="1"/>
  <c r="K647" i="1"/>
  <c r="Q647" i="1" s="1"/>
  <c r="R142" i="1"/>
  <c r="T546" i="1"/>
  <c r="R546" i="1"/>
  <c r="T336" i="1"/>
  <c r="T157" i="1"/>
  <c r="T337" i="1"/>
  <c r="R509" i="1"/>
  <c r="S414" i="1"/>
  <c r="R558" i="1"/>
  <c r="T567" i="1"/>
  <c r="Q329" i="1"/>
  <c r="S373" i="1"/>
  <c r="R354" i="1"/>
  <c r="T456" i="1"/>
  <c r="R83" i="1"/>
  <c r="S87" i="1"/>
  <c r="L70" i="4"/>
  <c r="R257" i="1"/>
  <c r="S247" i="1"/>
  <c r="Q1371" i="1"/>
  <c r="K1377" i="1"/>
  <c r="R1529" i="1"/>
  <c r="U2265" i="1"/>
  <c r="U2459" i="1"/>
  <c r="M2558" i="1"/>
  <c r="S2587" i="1"/>
  <c r="S2649" i="1"/>
  <c r="T2714" i="1"/>
  <c r="S2945" i="1"/>
  <c r="Q3026" i="1"/>
  <c r="Q3073" i="1"/>
  <c r="J3091" i="1"/>
  <c r="T3091" i="1" s="1"/>
  <c r="S3129" i="1"/>
  <c r="J3149" i="1"/>
  <c r="Q3149" i="1" s="1"/>
  <c r="S3148" i="1"/>
  <c r="S3498" i="1"/>
  <c r="T2625" i="1"/>
  <c r="Q2625" i="1"/>
  <c r="Q299" i="1"/>
  <c r="L20" i="1"/>
  <c r="L146" i="4"/>
  <c r="O146" i="4" s="1"/>
  <c r="L192" i="4"/>
  <c r="O192" i="4" s="1"/>
  <c r="U369" i="1"/>
  <c r="U641" i="1"/>
  <c r="Q660" i="1"/>
  <c r="K717" i="1"/>
  <c r="Q717" i="1" s="1"/>
  <c r="U728" i="1"/>
  <c r="L561" i="4"/>
  <c r="O561" i="4" s="1"/>
  <c r="U749" i="1"/>
  <c r="U752" i="1"/>
  <c r="Q755" i="1"/>
  <c r="S755" i="1"/>
  <c r="S764" i="1"/>
  <c r="U761" i="1"/>
  <c r="U768" i="1"/>
  <c r="Q780" i="1"/>
  <c r="U783" i="1"/>
  <c r="L658" i="4"/>
  <c r="O658" i="4" s="1"/>
  <c r="U854" i="1"/>
  <c r="T1614" i="1"/>
  <c r="Q1621" i="1"/>
  <c r="K2097" i="1"/>
  <c r="Q2097" i="1" s="1"/>
  <c r="Q2179" i="1"/>
  <c r="L1926" i="4"/>
  <c r="R2315" i="1"/>
  <c r="Q2431" i="1"/>
  <c r="J2623" i="1"/>
  <c r="S2623" i="1" s="1"/>
  <c r="T2954" i="1"/>
  <c r="T3048" i="1"/>
  <c r="T3074" i="1"/>
  <c r="S3303" i="1"/>
  <c r="R3385" i="1"/>
  <c r="R48" i="1"/>
  <c r="K36" i="1"/>
  <c r="Q36" i="1" s="1"/>
  <c r="U36" i="1" s="1"/>
  <c r="R420" i="1"/>
  <c r="S404" i="1"/>
  <c r="L314" i="4"/>
  <c r="S449" i="1"/>
  <c r="S844" i="1"/>
  <c r="S912" i="1"/>
  <c r="R1085" i="1"/>
  <c r="S1087" i="1"/>
  <c r="Q1201" i="1"/>
  <c r="Q1562" i="1"/>
  <c r="S1621" i="1"/>
  <c r="T1763" i="1"/>
  <c r="S1966" i="1"/>
  <c r="L1610" i="4"/>
  <c r="R2187" i="1"/>
  <c r="R2482" i="1"/>
  <c r="Q3074" i="1"/>
  <c r="Q3208" i="1"/>
  <c r="Q3479" i="1"/>
  <c r="S357" i="1"/>
  <c r="T53" i="1"/>
  <c r="K53" i="1"/>
  <c r="Q53" i="1" s="1"/>
  <c r="T420" i="1"/>
  <c r="R437" i="1"/>
  <c r="S77" i="1"/>
  <c r="S134" i="1"/>
  <c r="T280" i="1"/>
  <c r="K382" i="1"/>
  <c r="T1234" i="1"/>
  <c r="M1317" i="1"/>
  <c r="M1323" i="1" s="1"/>
  <c r="M1327" i="1" s="1"/>
  <c r="R1398" i="1"/>
  <c r="U1546" i="1"/>
  <c r="T1562" i="1"/>
  <c r="S1575" i="1"/>
  <c r="R1621" i="1"/>
  <c r="T1641" i="1"/>
  <c r="R2057" i="1"/>
  <c r="J2144" i="1"/>
  <c r="Q2144" i="1" s="1"/>
  <c r="Q2288" i="1"/>
  <c r="R2518" i="1"/>
  <c r="K2551" i="1"/>
  <c r="Q2551" i="1" s="1"/>
  <c r="Q2956" i="1"/>
  <c r="R3014" i="1"/>
  <c r="T3222" i="1"/>
  <c r="J301" i="1"/>
  <c r="T301" i="1" s="1"/>
  <c r="Q357" i="1"/>
  <c r="J58" i="1"/>
  <c r="T58" i="1" s="1"/>
  <c r="T437" i="1"/>
  <c r="R91" i="1"/>
  <c r="R1275" i="1"/>
  <c r="U1261" i="1"/>
  <c r="T1550" i="1"/>
  <c r="R1520" i="1"/>
  <c r="S1562" i="1"/>
  <c r="R1895" i="1"/>
  <c r="S1923" i="1"/>
  <c r="K2102" i="1"/>
  <c r="K2105" i="1" s="1"/>
  <c r="Q2105" i="1" s="1"/>
  <c r="T2127" i="1"/>
  <c r="Q2192" i="1"/>
  <c r="U2192" i="1" s="1"/>
  <c r="R2682" i="1"/>
  <c r="U2879" i="1"/>
  <c r="T3014" i="1"/>
  <c r="R3222" i="1"/>
  <c r="Q3303" i="1"/>
  <c r="S3389" i="1"/>
  <c r="R185" i="1"/>
  <c r="R357" i="1"/>
  <c r="S374" i="1"/>
  <c r="Q437" i="1"/>
  <c r="R888" i="1"/>
  <c r="T962" i="1"/>
  <c r="T1015" i="1"/>
  <c r="K1935" i="1"/>
  <c r="Q1935" i="1" s="1"/>
  <c r="T2342" i="1"/>
  <c r="Q2954" i="1"/>
  <c r="S3014" i="1"/>
  <c r="Q3048" i="1"/>
  <c r="R3074" i="1"/>
  <c r="T3303" i="1"/>
  <c r="T3385" i="1"/>
  <c r="R3439" i="1"/>
  <c r="Q3461" i="1"/>
  <c r="R515" i="1"/>
  <c r="S515" i="1"/>
  <c r="T515" i="1"/>
  <c r="S585" i="1"/>
  <c r="T585" i="1"/>
  <c r="K617" i="1"/>
  <c r="Q617" i="1" s="1"/>
  <c r="T557" i="1"/>
  <c r="L452" i="4"/>
  <c r="O452" i="4" s="1"/>
  <c r="T655" i="1"/>
  <c r="S655" i="1"/>
  <c r="Q712" i="1"/>
  <c r="U712" i="1" s="1"/>
  <c r="S802" i="1"/>
  <c r="L621" i="4"/>
  <c r="O621" i="4" s="1"/>
  <c r="U830" i="1"/>
  <c r="U832" i="1"/>
  <c r="U847" i="1"/>
  <c r="K857" i="1"/>
  <c r="S862" i="1"/>
  <c r="S879" i="1"/>
  <c r="K746" i="1"/>
  <c r="Q746" i="1" s="1"/>
  <c r="R557" i="1"/>
  <c r="K116" i="1"/>
  <c r="Q116" i="1" s="1"/>
  <c r="Q112" i="1"/>
  <c r="U112" i="1" s="1"/>
  <c r="Q300" i="1"/>
  <c r="T300" i="1"/>
  <c r="S300" i="1"/>
  <c r="R300" i="1"/>
  <c r="Q332" i="1"/>
  <c r="T332" i="1"/>
  <c r="S332" i="1"/>
  <c r="R340" i="1"/>
  <c r="Q340" i="1"/>
  <c r="T340" i="1"/>
  <c r="J346" i="1"/>
  <c r="S346" i="1" s="1"/>
  <c r="T345" i="1"/>
  <c r="K397" i="1"/>
  <c r="J396" i="1"/>
  <c r="Q396" i="1" s="1"/>
  <c r="S421" i="1"/>
  <c r="J423" i="1"/>
  <c r="S423" i="1" s="1"/>
  <c r="R421" i="1"/>
  <c r="S439" i="1"/>
  <c r="R439" i="1"/>
  <c r="Q439" i="1"/>
  <c r="T439" i="1"/>
  <c r="T482" i="1"/>
  <c r="R482" i="1"/>
  <c r="S455" i="1"/>
  <c r="J459" i="1"/>
  <c r="S459" i="1" s="1"/>
  <c r="R455" i="1"/>
  <c r="R542" i="1"/>
  <c r="S542" i="1"/>
  <c r="T1132" i="1"/>
  <c r="R1132" i="1"/>
  <c r="T1147" i="1"/>
  <c r="Q1147" i="1"/>
  <c r="Q494" i="1"/>
  <c r="T494" i="1"/>
  <c r="S494" i="1"/>
  <c r="R494" i="1"/>
  <c r="Q557" i="1"/>
  <c r="S152" i="1"/>
  <c r="T152" i="1"/>
  <c r="T155" i="1"/>
  <c r="S155" i="1"/>
  <c r="Q155" i="1"/>
  <c r="U265" i="1"/>
  <c r="Q378" i="1"/>
  <c r="T378" i="1"/>
  <c r="S378" i="1"/>
  <c r="R378" i="1"/>
  <c r="Q399" i="1"/>
  <c r="Q403" i="1"/>
  <c r="U403" i="1" s="1"/>
  <c r="K404" i="1"/>
  <c r="Q404" i="1" s="1"/>
  <c r="R422" i="1"/>
  <c r="T422" i="1"/>
  <c r="R1126" i="1"/>
  <c r="S1126" i="1"/>
  <c r="R651" i="1"/>
  <c r="T651" i="1"/>
  <c r="Q730" i="1"/>
  <c r="U730" i="1" s="1"/>
  <c r="K732" i="1"/>
  <c r="Q732" i="1" s="1"/>
  <c r="R304" i="1"/>
  <c r="T304" i="1"/>
  <c r="S1097" i="1"/>
  <c r="T1097" i="1"/>
  <c r="Q515" i="1"/>
  <c r="R811" i="1"/>
  <c r="K454" i="1"/>
  <c r="Q454" i="1" s="1"/>
  <c r="S540" i="1"/>
  <c r="U23" i="1"/>
  <c r="U40" i="1"/>
  <c r="R1308" i="1"/>
  <c r="R1310" i="1"/>
  <c r="S1418" i="1"/>
  <c r="U1534" i="1"/>
  <c r="T1642" i="1"/>
  <c r="S1847" i="1"/>
  <c r="J2126" i="1"/>
  <c r="S2126" i="1" s="1"/>
  <c r="T2220" i="1"/>
  <c r="K2309" i="4"/>
  <c r="U1143" i="1"/>
  <c r="U2876" i="1"/>
  <c r="S2956" i="1"/>
  <c r="T3027" i="1"/>
  <c r="S3093" i="1"/>
  <c r="Q3151" i="1"/>
  <c r="Q3187" i="1"/>
  <c r="R3187" i="1"/>
  <c r="T3419" i="1"/>
  <c r="U22" i="1"/>
  <c r="J543" i="1"/>
  <c r="S543" i="1" s="1"/>
  <c r="T549" i="1"/>
  <c r="U608" i="1"/>
  <c r="R617" i="1"/>
  <c r="U620" i="1"/>
  <c r="U649" i="1"/>
  <c r="L607" i="4"/>
  <c r="Q802" i="1"/>
  <c r="U810" i="1"/>
  <c r="S1125" i="1"/>
  <c r="R1258" i="1"/>
  <c r="S1219" i="1"/>
  <c r="S1509" i="1"/>
  <c r="T1561" i="1"/>
  <c r="Q1600" i="1"/>
  <c r="U1596" i="1"/>
  <c r="R1663" i="1"/>
  <c r="T1785" i="1"/>
  <c r="J1850" i="1"/>
  <c r="S1850" i="1" s="1"/>
  <c r="R1855" i="1"/>
  <c r="Q2028" i="1"/>
  <c r="S2056" i="1"/>
  <c r="Q2098" i="1"/>
  <c r="U2098" i="1" s="1"/>
  <c r="U2177" i="1"/>
  <c r="R2201" i="1"/>
  <c r="S2220" i="1"/>
  <c r="L1819" i="4"/>
  <c r="S2236" i="1"/>
  <c r="N2258" i="1"/>
  <c r="N2263" i="1" s="1"/>
  <c r="N2267" i="1" s="1"/>
  <c r="N2272" i="1" s="1"/>
  <c r="N2276" i="1" s="1"/>
  <c r="S2289" i="1"/>
  <c r="T2288" i="1"/>
  <c r="S2393" i="1"/>
  <c r="Q2419" i="1"/>
  <c r="T2559" i="1"/>
  <c r="U2531" i="1"/>
  <c r="Q2574" i="1"/>
  <c r="Q2684" i="1"/>
  <c r="T2956" i="1"/>
  <c r="T3043" i="1"/>
  <c r="K3101" i="1"/>
  <c r="K3109" i="1" s="1"/>
  <c r="J3110" i="1"/>
  <c r="R3110" i="1" s="1"/>
  <c r="Q3135" i="1"/>
  <c r="U3137" i="1"/>
  <c r="U173" i="1"/>
  <c r="S353" i="1"/>
  <c r="T399" i="1"/>
  <c r="U400" i="1"/>
  <c r="J411" i="1"/>
  <c r="R411" i="1" s="1"/>
  <c r="U447" i="1"/>
  <c r="R490" i="1"/>
  <c r="L400" i="4"/>
  <c r="L601" i="4"/>
  <c r="O601" i="4" s="1"/>
  <c r="U1157" i="1"/>
  <c r="Q1255" i="1"/>
  <c r="R1280" i="1"/>
  <c r="R1386" i="1"/>
  <c r="R1509" i="1"/>
  <c r="T1487" i="1"/>
  <c r="S1600" i="1"/>
  <c r="U1631" i="1"/>
  <c r="S1640" i="1"/>
  <c r="R1664" i="1"/>
  <c r="T1678" i="1"/>
  <c r="T1692" i="1"/>
  <c r="R1847" i="1"/>
  <c r="S2073" i="1"/>
  <c r="S2127" i="1"/>
  <c r="T2179" i="1"/>
  <c r="T2199" i="1"/>
  <c r="R2220" i="1"/>
  <c r="T2251" i="1"/>
  <c r="K2311" i="1"/>
  <c r="Q2311" i="1" s="1"/>
  <c r="J2568" i="1"/>
  <c r="R2568" i="1" s="1"/>
  <c r="R2622" i="1"/>
  <c r="R2646" i="1"/>
  <c r="T2684" i="1"/>
  <c r="Q2665" i="1"/>
  <c r="U2686" i="1"/>
  <c r="R2698" i="1"/>
  <c r="Q2803" i="1"/>
  <c r="U2803" i="1" s="1"/>
  <c r="U2877" i="1"/>
  <c r="U2923" i="1"/>
  <c r="K2970" i="1"/>
  <c r="T3135" i="1"/>
  <c r="S3187" i="1"/>
  <c r="U3159" i="1"/>
  <c r="S3368" i="1"/>
  <c r="S574" i="1"/>
  <c r="M271" i="1"/>
  <c r="U14" i="1"/>
  <c r="U310" i="1"/>
  <c r="R399" i="1"/>
  <c r="T404" i="1"/>
  <c r="U406" i="1"/>
  <c r="S427" i="1"/>
  <c r="S1256" i="1"/>
  <c r="M1357" i="1"/>
  <c r="R1418" i="1"/>
  <c r="R1491" i="1"/>
  <c r="U1558" i="1"/>
  <c r="S1571" i="1"/>
  <c r="R1640" i="1"/>
  <c r="S1664" i="1"/>
  <c r="Q1847" i="1"/>
  <c r="J1996" i="1"/>
  <c r="S1996" i="1" s="1"/>
  <c r="S2172" i="1"/>
  <c r="S2197" i="1"/>
  <c r="Q2289" i="1"/>
  <c r="K2352" i="1"/>
  <c r="K2356" i="1" s="1"/>
  <c r="K2360" i="1" s="1"/>
  <c r="K2364" i="1" s="1"/>
  <c r="K2368" i="1" s="1"/>
  <c r="K2372" i="1" s="1"/>
  <c r="J1949" i="4"/>
  <c r="S2647" i="1"/>
  <c r="T2648" i="1"/>
  <c r="J2863" i="1"/>
  <c r="J2871" i="1" s="1"/>
  <c r="T2871" i="1" s="1"/>
  <c r="K2952" i="1"/>
  <c r="R3030" i="1"/>
  <c r="T3093" i="1"/>
  <c r="R3172" i="1"/>
  <c r="R3368" i="1"/>
  <c r="Q634" i="1"/>
  <c r="R77" i="1"/>
  <c r="L92" i="4"/>
  <c r="R128" i="1"/>
  <c r="U130" i="1"/>
  <c r="U169" i="1"/>
  <c r="S176" i="1"/>
  <c r="S190" i="1"/>
  <c r="R223" i="1"/>
  <c r="R322" i="1"/>
  <c r="R993" i="1"/>
  <c r="R1114" i="1"/>
  <c r="T1282" i="1"/>
  <c r="S1428" i="1"/>
  <c r="Q1428" i="1"/>
  <c r="L1270" i="4"/>
  <c r="K1609" i="1"/>
  <c r="Q1609" i="1" s="1"/>
  <c r="Q1640" i="1"/>
  <c r="T1664" i="1"/>
  <c r="Q1916" i="1"/>
  <c r="U2014" i="1"/>
  <c r="U2019" i="1"/>
  <c r="R2121" i="1"/>
  <c r="S2166" i="1"/>
  <c r="K2208" i="1"/>
  <c r="R2223" i="1"/>
  <c r="R2288" i="1"/>
  <c r="S2311" i="1"/>
  <c r="S2315" i="1"/>
  <c r="U2323" i="1"/>
  <c r="U2654" i="1"/>
  <c r="T2746" i="1"/>
  <c r="U2849" i="1"/>
  <c r="U2869" i="1"/>
  <c r="R3093" i="1"/>
  <c r="S3151" i="1"/>
  <c r="S3172" i="1"/>
  <c r="T3368" i="1"/>
  <c r="T3388" i="1"/>
  <c r="J3527" i="1"/>
  <c r="Q3527" i="1" s="1"/>
  <c r="S3543" i="1"/>
  <c r="R1511" i="1"/>
  <c r="S1511" i="1"/>
  <c r="T1511" i="1"/>
  <c r="Q1511" i="1"/>
  <c r="K1972" i="1"/>
  <c r="J1967" i="1"/>
  <c r="J1972" i="1" s="1"/>
  <c r="S1972" i="1" s="1"/>
  <c r="J341" i="1"/>
  <c r="T341" i="1" s="1"/>
  <c r="U621" i="1"/>
  <c r="S508" i="1"/>
  <c r="R371" i="1"/>
  <c r="S794" i="1"/>
  <c r="U488" i="1"/>
  <c r="Q135" i="1"/>
  <c r="T505" i="1"/>
  <c r="R266" i="1"/>
  <c r="T506" i="1"/>
  <c r="R328" i="1"/>
  <c r="S535" i="1"/>
  <c r="T338" i="1"/>
  <c r="R338" i="1"/>
  <c r="R163" i="1"/>
  <c r="S214" i="1"/>
  <c r="J569" i="1"/>
  <c r="T569" i="1" s="1"/>
  <c r="R408" i="1"/>
  <c r="R549" i="1"/>
  <c r="T852" i="1"/>
  <c r="S319" i="1"/>
  <c r="Q414" i="1"/>
  <c r="S456" i="1"/>
  <c r="S888" i="1"/>
  <c r="R472" i="1"/>
  <c r="U619" i="1"/>
  <c r="R1330" i="1"/>
  <c r="Q1330" i="1"/>
  <c r="S1330" i="1"/>
  <c r="J1370" i="1"/>
  <c r="Q1370" i="1" s="1"/>
  <c r="L1377" i="1"/>
  <c r="T1522" i="1"/>
  <c r="R1522" i="1"/>
  <c r="J1526" i="1"/>
  <c r="S1526" i="1" s="1"/>
  <c r="S1522" i="1"/>
  <c r="S1527" i="1"/>
  <c r="J1532" i="1"/>
  <c r="Q1532" i="1" s="1"/>
  <c r="Q1527" i="1"/>
  <c r="T1527" i="1"/>
  <c r="J1714" i="1"/>
  <c r="S1714" i="1" s="1"/>
  <c r="S1709" i="1"/>
  <c r="U2069" i="1"/>
  <c r="T2077" i="1"/>
  <c r="S2077" i="1"/>
  <c r="R2795" i="1"/>
  <c r="T2795" i="1"/>
  <c r="T3297" i="1"/>
  <c r="R3297" i="1"/>
  <c r="S3297" i="1"/>
  <c r="T3306" i="1"/>
  <c r="S3306" i="1"/>
  <c r="R1436" i="1"/>
  <c r="T1436" i="1"/>
  <c r="J2606" i="1"/>
  <c r="R2606" i="1" s="1"/>
  <c r="L2611" i="1"/>
  <c r="S559" i="1"/>
  <c r="U633" i="1"/>
  <c r="J1294" i="1"/>
  <c r="R1294" i="1" s="1"/>
  <c r="L1301" i="1"/>
  <c r="L1302" i="1" s="1"/>
  <c r="T2032" i="1"/>
  <c r="Q2032" i="1"/>
  <c r="R2032" i="1"/>
  <c r="S2032" i="1"/>
  <c r="T2198" i="1"/>
  <c r="S2198" i="1"/>
  <c r="R2198" i="1"/>
  <c r="Q2198" i="1"/>
  <c r="T2221" i="1"/>
  <c r="Q2221" i="1"/>
  <c r="T2451" i="1"/>
  <c r="Q2451" i="1"/>
  <c r="T3062" i="1"/>
  <c r="S3062" i="1"/>
  <c r="S3075" i="1"/>
  <c r="R3075" i="1"/>
  <c r="Q505" i="1"/>
  <c r="R214" i="1"/>
  <c r="U182" i="1"/>
  <c r="L177" i="4"/>
  <c r="O177" i="4" s="1"/>
  <c r="J589" i="1"/>
  <c r="R589" i="1" s="1"/>
  <c r="R293" i="1"/>
  <c r="R392" i="1"/>
  <c r="R366" i="1"/>
  <c r="K612" i="1"/>
  <c r="Q612" i="1" s="1"/>
  <c r="T508" i="1"/>
  <c r="R118" i="1"/>
  <c r="K434" i="1"/>
  <c r="Q434" i="1" s="1"/>
  <c r="Q427" i="1"/>
  <c r="R394" i="1"/>
  <c r="R153" i="1"/>
  <c r="Q506" i="1"/>
  <c r="R456" i="1"/>
  <c r="S504" i="1"/>
  <c r="U401" i="1"/>
  <c r="U42" i="1"/>
  <c r="L58" i="4"/>
  <c r="O58" i="4" s="1"/>
  <c r="R124" i="1"/>
  <c r="S485" i="1"/>
  <c r="U531" i="1"/>
  <c r="U532" i="1"/>
  <c r="S477" i="1"/>
  <c r="U796" i="1"/>
  <c r="T1421" i="1"/>
  <c r="Q1421" i="1"/>
  <c r="S1453" i="1"/>
  <c r="T1453" i="1"/>
  <c r="Q1747" i="1"/>
  <c r="U1747" i="1" s="1"/>
  <c r="K1750" i="1"/>
  <c r="Q1750" i="1" s="1"/>
  <c r="Q1838" i="1"/>
  <c r="T1838" i="1"/>
  <c r="Q2483" i="1"/>
  <c r="S2483" i="1"/>
  <c r="S2706" i="1"/>
  <c r="Q3113" i="1"/>
  <c r="Q3243" i="1"/>
  <c r="R3243" i="1"/>
  <c r="R3460" i="1"/>
  <c r="S3460" i="1"/>
  <c r="S2375" i="1"/>
  <c r="T2375" i="1"/>
  <c r="R3420" i="1"/>
  <c r="S3420" i="1"/>
  <c r="T3420" i="1"/>
  <c r="Q3420" i="1"/>
  <c r="R467" i="1"/>
  <c r="R477" i="1"/>
  <c r="U250" i="1"/>
  <c r="T412" i="1"/>
  <c r="R559" i="1"/>
  <c r="Q338" i="1"/>
  <c r="S118" i="1"/>
  <c r="R319" i="1"/>
  <c r="T888" i="1"/>
  <c r="U89" i="1"/>
  <c r="U202" i="1"/>
  <c r="L151" i="4"/>
  <c r="O151" i="4" s="1"/>
  <c r="Q286" i="1"/>
  <c r="T554" i="1"/>
  <c r="S549" i="1"/>
  <c r="U473" i="1"/>
  <c r="U476" i="1"/>
  <c r="R1010" i="1"/>
  <c r="Q1220" i="1"/>
  <c r="U1220" i="1" s="1"/>
  <c r="K1221" i="1"/>
  <c r="Q1221" i="1" s="1"/>
  <c r="S1225" i="1"/>
  <c r="R1225" i="1"/>
  <c r="Q1277" i="1"/>
  <c r="U1277" i="1" s="1"/>
  <c r="K1280" i="1"/>
  <c r="Q1280" i="1" s="1"/>
  <c r="R1438" i="1"/>
  <c r="Q1438" i="1"/>
  <c r="Q1563" i="1"/>
  <c r="R1563" i="1"/>
  <c r="T1563" i="1"/>
  <c r="U1647" i="1"/>
  <c r="T1660" i="1"/>
  <c r="K1833" i="1"/>
  <c r="K1837" i="1" s="1"/>
  <c r="J2467" i="1"/>
  <c r="T2467" i="1" s="1"/>
  <c r="K2475" i="1"/>
  <c r="Q2991" i="1"/>
  <c r="R2991" i="1"/>
  <c r="R3029" i="1"/>
  <c r="Q3029" i="1"/>
  <c r="S3029" i="1"/>
  <c r="T3029" i="1"/>
  <c r="Q3044" i="1"/>
  <c r="T3044" i="1"/>
  <c r="T3186" i="1"/>
  <c r="J3191" i="1"/>
  <c r="T3191" i="1" s="1"/>
  <c r="R3186" i="1"/>
  <c r="S3225" i="1"/>
  <c r="T3443" i="1"/>
  <c r="S3443" i="1"/>
  <c r="T1987" i="1"/>
  <c r="J1989" i="1"/>
  <c r="R1989" i="1" s="1"/>
  <c r="S3131" i="1"/>
  <c r="T3131" i="1"/>
  <c r="R3131" i="1"/>
  <c r="Q3131" i="1"/>
  <c r="T266" i="1"/>
  <c r="U622" i="1"/>
  <c r="S293" i="1"/>
  <c r="R135" i="1"/>
  <c r="K592" i="1"/>
  <c r="Q592" i="1" s="1"/>
  <c r="T118" i="1"/>
  <c r="S457" i="1"/>
  <c r="U111" i="1"/>
  <c r="K223" i="1"/>
  <c r="Q223" i="1" s="1"/>
  <c r="S27" i="1"/>
  <c r="K811" i="1"/>
  <c r="Q811" i="1" s="1"/>
  <c r="S137" i="1"/>
  <c r="S98" i="1"/>
  <c r="Q508" i="1"/>
  <c r="Q559" i="1"/>
  <c r="S228" i="1"/>
  <c r="Q535" i="1"/>
  <c r="R816" i="1"/>
  <c r="R372" i="1"/>
  <c r="R299" i="1"/>
  <c r="S394" i="1"/>
  <c r="L668" i="4"/>
  <c r="R25" i="1"/>
  <c r="U148" i="1"/>
  <c r="U162" i="1"/>
  <c r="S171" i="1"/>
  <c r="U175" i="1"/>
  <c r="S467" i="1"/>
  <c r="U469" i="1"/>
  <c r="S472" i="1"/>
  <c r="U487" i="1"/>
  <c r="S490" i="1"/>
  <c r="T579" i="1"/>
  <c r="T1173" i="1"/>
  <c r="K1173" i="1"/>
  <c r="Q1173" i="1" s="1"/>
  <c r="S1173" i="1"/>
  <c r="R1660" i="1"/>
  <c r="S2006" i="1"/>
  <c r="T2006" i="1"/>
  <c r="Q2006" i="1"/>
  <c r="T2379" i="1"/>
  <c r="R2379" i="1"/>
  <c r="R2727" i="1"/>
  <c r="Q2809" i="1"/>
  <c r="R2930" i="1"/>
  <c r="Q2930" i="1"/>
  <c r="S2930" i="1"/>
  <c r="T2930" i="1"/>
  <c r="Q2971" i="1"/>
  <c r="R2971" i="1"/>
  <c r="T2971" i="1"/>
  <c r="R3352" i="1"/>
  <c r="T3352" i="1"/>
  <c r="U759" i="1"/>
  <c r="S867" i="1"/>
  <c r="Q874" i="1"/>
  <c r="T879" i="1"/>
  <c r="T884" i="1"/>
  <c r="U1105" i="1"/>
  <c r="M1243" i="1"/>
  <c r="T1414" i="1"/>
  <c r="S1520" i="1"/>
  <c r="M1479" i="1"/>
  <c r="R1487" i="1"/>
  <c r="U1489" i="1"/>
  <c r="T1491" i="1"/>
  <c r="U1633" i="1"/>
  <c r="U1658" i="1"/>
  <c r="L1383" i="4"/>
  <c r="S1742" i="1"/>
  <c r="M1861" i="1"/>
  <c r="T1883" i="1"/>
  <c r="J1922" i="1"/>
  <c r="R1922" i="1" s="1"/>
  <c r="Q2056" i="1"/>
  <c r="T2092" i="1"/>
  <c r="L1771" i="4"/>
  <c r="S2223" i="1"/>
  <c r="U2194" i="1"/>
  <c r="I1954" i="4"/>
  <c r="K2439" i="1"/>
  <c r="K2466" i="1"/>
  <c r="Q2466" i="1" s="1"/>
  <c r="Q2537" i="1"/>
  <c r="S2574" i="1"/>
  <c r="U2578" i="1"/>
  <c r="S2590" i="1"/>
  <c r="R2605" i="1"/>
  <c r="T2735" i="1"/>
  <c r="R2746" i="1"/>
  <c r="L2312" i="4"/>
  <c r="L2315" i="4" s="1"/>
  <c r="K2355" i="4"/>
  <c r="S2912" i="1"/>
  <c r="S3321" i="1"/>
  <c r="Q3439" i="1"/>
  <c r="R1200" i="1"/>
  <c r="T1219" i="1"/>
  <c r="U1242" i="1"/>
  <c r="U1244" i="1"/>
  <c r="U1248" i="1"/>
  <c r="U1260" i="1"/>
  <c r="S1275" i="1"/>
  <c r="T1443" i="1"/>
  <c r="S1529" i="1"/>
  <c r="R1584" i="1"/>
  <c r="S1682" i="1"/>
  <c r="R1742" i="1"/>
  <c r="R1916" i="1"/>
  <c r="L1744" i="4"/>
  <c r="L1946" i="4"/>
  <c r="U2367" i="1"/>
  <c r="K2388" i="1"/>
  <c r="N2403" i="1"/>
  <c r="N2411" i="1" s="1"/>
  <c r="U2405" i="1"/>
  <c r="L1987" i="4"/>
  <c r="U2428" i="1"/>
  <c r="R2574" i="1"/>
  <c r="Q2667" i="1"/>
  <c r="S2809" i="1"/>
  <c r="L2347" i="4"/>
  <c r="R3288" i="1"/>
  <c r="T3332" i="1"/>
  <c r="S3439" i="1"/>
  <c r="L501" i="4"/>
  <c r="Q683" i="1"/>
  <c r="T690" i="1"/>
  <c r="S908" i="1"/>
  <c r="S946" i="1"/>
  <c r="R987" i="1"/>
  <c r="R999" i="1"/>
  <c r="K1037" i="1"/>
  <c r="Q1037" i="1" s="1"/>
  <c r="R1051" i="1"/>
  <c r="R1634" i="1"/>
  <c r="J1386" i="4"/>
  <c r="S2102" i="1"/>
  <c r="U2314" i="1"/>
  <c r="T2482" i="1"/>
  <c r="U2926" i="1"/>
  <c r="T3069" i="1"/>
  <c r="U3125" i="1"/>
  <c r="K3365" i="1"/>
  <c r="T663" i="1"/>
  <c r="T816" i="1"/>
  <c r="T908" i="1"/>
  <c r="T1053" i="1"/>
  <c r="U1093" i="1"/>
  <c r="K1096" i="1"/>
  <c r="Q1096" i="1" s="1"/>
  <c r="U1313" i="1"/>
  <c r="R1385" i="1"/>
  <c r="R1402" i="1"/>
  <c r="T1584" i="1"/>
  <c r="Q1663" i="1"/>
  <c r="J1828" i="1"/>
  <c r="T1828" i="1" s="1"/>
  <c r="R1793" i="1"/>
  <c r="U2039" i="1"/>
  <c r="R2056" i="1"/>
  <c r="T2057" i="1"/>
  <c r="R2073" i="1"/>
  <c r="T2123" i="1"/>
  <c r="T2227" i="1"/>
  <c r="S2316" i="1"/>
  <c r="L2087" i="4"/>
  <c r="Q2518" i="1"/>
  <c r="U2607" i="1"/>
  <c r="U2808" i="1"/>
  <c r="S2894" i="1"/>
  <c r="U2932" i="1"/>
  <c r="U3002" i="1"/>
  <c r="R3062" i="1"/>
  <c r="R3069" i="1"/>
  <c r="Q3279" i="1"/>
  <c r="U626" i="1"/>
  <c r="U638" i="1"/>
  <c r="U642" i="1"/>
  <c r="R644" i="1"/>
  <c r="U646" i="1"/>
  <c r="T647" i="1"/>
  <c r="S663" i="1"/>
  <c r="Q671" i="1"/>
  <c r="T677" i="1"/>
  <c r="L525" i="4"/>
  <c r="O525" i="4" s="1"/>
  <c r="U688" i="1"/>
  <c r="U693" i="1"/>
  <c r="U698" i="1"/>
  <c r="R717" i="1"/>
  <c r="R934" i="1"/>
  <c r="U1009" i="1"/>
  <c r="T1020" i="1"/>
  <c r="U1208" i="1"/>
  <c r="T1225" i="1"/>
  <c r="J1435" i="1"/>
  <c r="T1435" i="1" s="1"/>
  <c r="T1663" i="1"/>
  <c r="T1687" i="1"/>
  <c r="L1513" i="4"/>
  <c r="T1895" i="1"/>
  <c r="R2028" i="1"/>
  <c r="R2097" i="1"/>
  <c r="R2171" i="1"/>
  <c r="Q2112" i="1"/>
  <c r="R2149" i="1"/>
  <c r="T2205" i="1"/>
  <c r="S2227" i="1"/>
  <c r="R2246" i="1"/>
  <c r="Q2286" i="1"/>
  <c r="L1901" i="4"/>
  <c r="L1902" i="4" s="1"/>
  <c r="R2335" i="1"/>
  <c r="J1920" i="4"/>
  <c r="Q2393" i="1"/>
  <c r="S2517" i="1"/>
  <c r="S2537" i="1"/>
  <c r="J2555" i="1"/>
  <c r="S2555" i="1" s="1"/>
  <c r="T2569" i="1"/>
  <c r="R2590" i="1"/>
  <c r="S2698" i="1"/>
  <c r="U2644" i="1"/>
  <c r="U2659" i="1"/>
  <c r="T2698" i="1"/>
  <c r="R2894" i="1"/>
  <c r="T2912" i="1"/>
  <c r="U2967" i="1"/>
  <c r="U3003" i="1"/>
  <c r="U3008" i="1"/>
  <c r="U3173" i="1"/>
  <c r="Q2516" i="1"/>
  <c r="T2516" i="1"/>
  <c r="R2516" i="1"/>
  <c r="U591" i="1"/>
  <c r="U429" i="1"/>
  <c r="S223" i="1"/>
  <c r="U342" i="1"/>
  <c r="U311" i="1"/>
  <c r="U321" i="1"/>
  <c r="U325" i="1"/>
  <c r="L334" i="4"/>
  <c r="O334" i="4" s="1"/>
  <c r="L390" i="4"/>
  <c r="O390" i="4" s="1"/>
  <c r="S554" i="1"/>
  <c r="U838" i="1"/>
  <c r="U841" i="1"/>
  <c r="R998" i="1"/>
  <c r="Q1022" i="1"/>
  <c r="Q1053" i="1"/>
  <c r="T1051" i="1"/>
  <c r="R1363" i="1"/>
  <c r="S1719" i="1"/>
  <c r="R2046" i="1"/>
  <c r="R2072" i="1"/>
  <c r="U2081" i="1"/>
  <c r="R2197" i="1"/>
  <c r="Q2260" i="1"/>
  <c r="Q2450" i="1"/>
  <c r="R2809" i="1"/>
  <c r="U2951" i="1"/>
  <c r="U3106" i="1"/>
  <c r="T3207" i="1"/>
  <c r="U3216" i="1"/>
  <c r="S3242" i="1"/>
  <c r="S3301" i="1"/>
  <c r="S3304" i="1"/>
  <c r="R3395" i="1"/>
  <c r="T3424" i="1"/>
  <c r="Q3424" i="1"/>
  <c r="R3419" i="1"/>
  <c r="R3442" i="1"/>
  <c r="S3441" i="1"/>
  <c r="Q3528" i="1"/>
  <c r="U113" i="1"/>
  <c r="U132" i="1"/>
  <c r="L123" i="4"/>
  <c r="O123" i="4" s="1"/>
  <c r="L128" i="4"/>
  <c r="O128" i="4" s="1"/>
  <c r="R210" i="1"/>
  <c r="U215" i="1"/>
  <c r="U217" i="1"/>
  <c r="R218" i="1"/>
  <c r="R228" i="1"/>
  <c r="Q233" i="1"/>
  <c r="U259" i="1"/>
  <c r="U264" i="1"/>
  <c r="U285" i="1"/>
  <c r="R291" i="1"/>
  <c r="L213" i="4"/>
  <c r="O213" i="4" s="1"/>
  <c r="L221" i="4"/>
  <c r="O221" i="4" s="1"/>
  <c r="U606" i="1"/>
  <c r="T820" i="1"/>
  <c r="S825" i="1"/>
  <c r="L634" i="4"/>
  <c r="U829" i="1"/>
  <c r="U833" i="1"/>
  <c r="U834" i="1"/>
  <c r="U839" i="1"/>
  <c r="T862" i="1"/>
  <c r="R874" i="1"/>
  <c r="T902" i="1"/>
  <c r="U937" i="1"/>
  <c r="T998" i="1"/>
  <c r="L800" i="4"/>
  <c r="T1280" i="1"/>
  <c r="U1728" i="1"/>
  <c r="S1796" i="1"/>
  <c r="R1966" i="1"/>
  <c r="S2022" i="1"/>
  <c r="U2158" i="1"/>
  <c r="U2176" i="1"/>
  <c r="T2236" i="1"/>
  <c r="U2245" i="1"/>
  <c r="S2482" i="1"/>
  <c r="U2562" i="1"/>
  <c r="U2580" i="1"/>
  <c r="S2666" i="1"/>
  <c r="R2706" i="1"/>
  <c r="S2776" i="1"/>
  <c r="U2874" i="1"/>
  <c r="U3081" i="1"/>
  <c r="U3088" i="1"/>
  <c r="U3154" i="1"/>
  <c r="Q3207" i="1"/>
  <c r="R3263" i="1"/>
  <c r="T3263" i="1"/>
  <c r="R3301" i="1"/>
  <c r="R3304" i="1"/>
  <c r="Q3352" i="1"/>
  <c r="S3528" i="1"/>
  <c r="S46" i="1"/>
  <c r="U76" i="1"/>
  <c r="S106" i="1"/>
  <c r="U166" i="1"/>
  <c r="M168" i="1"/>
  <c r="U170" i="1"/>
  <c r="U471" i="1"/>
  <c r="L352" i="4"/>
  <c r="L358" i="4"/>
  <c r="O358" i="4" s="1"/>
  <c r="L382" i="4"/>
  <c r="U813" i="1"/>
  <c r="U933" i="1"/>
  <c r="L786" i="4"/>
  <c r="U1016" i="1"/>
  <c r="U1018" i="1"/>
  <c r="U1168" i="1"/>
  <c r="S1383" i="1"/>
  <c r="U1456" i="1"/>
  <c r="T1483" i="1"/>
  <c r="R1500" i="1"/>
  <c r="U1501" i="1"/>
  <c r="Q1502" i="1"/>
  <c r="U1502" i="1" s="1"/>
  <c r="U1544" i="1"/>
  <c r="R1559" i="1"/>
  <c r="U1612" i="1"/>
  <c r="S1687" i="1"/>
  <c r="U1886" i="1"/>
  <c r="S1897" i="1"/>
  <c r="U2363" i="1"/>
  <c r="T2520" i="1"/>
  <c r="S2551" i="1"/>
  <c r="U2917" i="1"/>
  <c r="U3015" i="1"/>
  <c r="U3040" i="1"/>
  <c r="U3052" i="1"/>
  <c r="L2643" i="4"/>
  <c r="T3225" i="1"/>
  <c r="R3262" i="1"/>
  <c r="T3305" i="1"/>
  <c r="N3321" i="1"/>
  <c r="R3321" i="1" s="1"/>
  <c r="K3350" i="1"/>
  <c r="Q3350" i="1" s="1"/>
  <c r="S3475" i="1"/>
  <c r="R31" i="1"/>
  <c r="L339" i="4"/>
  <c r="T1194" i="1"/>
  <c r="U1412" i="1"/>
  <c r="U1513" i="1"/>
  <c r="R1692" i="1"/>
  <c r="U1748" i="1"/>
  <c r="Q2046" i="1"/>
  <c r="U2103" i="1"/>
  <c r="T2214" i="1"/>
  <c r="K2499" i="1"/>
  <c r="Q2499" i="1" s="1"/>
  <c r="S91" i="1"/>
  <c r="S366" i="1"/>
  <c r="U370" i="1"/>
  <c r="L269" i="4"/>
  <c r="O269" i="4" s="1"/>
  <c r="U380" i="1"/>
  <c r="U387" i="1"/>
  <c r="R404" i="1"/>
  <c r="U428" i="1"/>
  <c r="L310" i="4"/>
  <c r="O310" i="4" s="1"/>
  <c r="R427" i="1"/>
  <c r="S434" i="1"/>
  <c r="U481" i="1"/>
  <c r="L331" i="4"/>
  <c r="O331" i="4" s="1"/>
  <c r="J496" i="1"/>
  <c r="T496" i="1" s="1"/>
  <c r="U776" i="1"/>
  <c r="U779" i="1"/>
  <c r="L596" i="4"/>
  <c r="O596" i="4" s="1"/>
  <c r="Q781" i="1"/>
  <c r="U781" i="1" s="1"/>
  <c r="U789" i="1"/>
  <c r="S790" i="1"/>
  <c r="U872" i="1"/>
  <c r="U1040" i="1"/>
  <c r="U1237" i="1"/>
  <c r="S1363" i="1"/>
  <c r="Q1742" i="1"/>
  <c r="T1777" i="1"/>
  <c r="U1965" i="1"/>
  <c r="U1982" i="1"/>
  <c r="T2124" i="1"/>
  <c r="L1814" i="4"/>
  <c r="U2401" i="1"/>
  <c r="T2825" i="1"/>
  <c r="T2862" i="1"/>
  <c r="U3482" i="1"/>
  <c r="U126" i="1"/>
  <c r="Q214" i="1"/>
  <c r="Q218" i="1"/>
  <c r="Q228" i="1"/>
  <c r="U232" i="1"/>
  <c r="U231" i="1"/>
  <c r="L196" i="4"/>
  <c r="O196" i="4" s="1"/>
  <c r="U283" i="1"/>
  <c r="S343" i="1"/>
  <c r="L255" i="4"/>
  <c r="U605" i="1"/>
  <c r="U475" i="1"/>
  <c r="U631" i="1"/>
  <c r="S243" i="1"/>
  <c r="U636" i="1"/>
  <c r="U639" i="1"/>
  <c r="T640" i="1"/>
  <c r="U643" i="1"/>
  <c r="L491" i="4"/>
  <c r="O491" i="4" s="1"/>
  <c r="R660" i="1"/>
  <c r="L507" i="4"/>
  <c r="O507" i="4" s="1"/>
  <c r="U675" i="1"/>
  <c r="L511" i="4"/>
  <c r="O511" i="4" s="1"/>
  <c r="U682" i="1"/>
  <c r="U686" i="1"/>
  <c r="Q690" i="1"/>
  <c r="S703" i="1"/>
  <c r="U705" i="1"/>
  <c r="U708" i="1"/>
  <c r="L549" i="4"/>
  <c r="U725" i="1"/>
  <c r="U727" i="1"/>
  <c r="U731" i="1"/>
  <c r="U747" i="1"/>
  <c r="U750" i="1"/>
  <c r="T755" i="1"/>
  <c r="R764" i="1"/>
  <c r="U760" i="1"/>
  <c r="T811" i="1"/>
  <c r="R844" i="1"/>
  <c r="R908" i="1"/>
  <c r="R946" i="1"/>
  <c r="U1239" i="1"/>
  <c r="U1316" i="1"/>
  <c r="R1550" i="1"/>
  <c r="R1777" i="1"/>
  <c r="T2112" i="1"/>
  <c r="R2499" i="1"/>
  <c r="S2828" i="1"/>
  <c r="U2873" i="1"/>
  <c r="U3155" i="1"/>
  <c r="R3225" i="1"/>
  <c r="S3264" i="1"/>
  <c r="T3301" i="1"/>
  <c r="S3305" i="1"/>
  <c r="U3332" i="1"/>
  <c r="T3350" i="1"/>
  <c r="T3366" i="1"/>
  <c r="R3437" i="1"/>
  <c r="S3461" i="1"/>
  <c r="T3526" i="1"/>
  <c r="S500" i="1"/>
  <c r="T500" i="1"/>
  <c r="R500" i="1"/>
  <c r="Q827" i="1"/>
  <c r="U827" i="1" s="1"/>
  <c r="K835" i="1"/>
  <c r="Q835" i="1" s="1"/>
  <c r="K1141" i="1"/>
  <c r="Q1141" i="1" s="1"/>
  <c r="T210" i="1"/>
  <c r="K31" i="1"/>
  <c r="Q31" i="1" s="1"/>
  <c r="Q29" i="1"/>
  <c r="U29" i="1" s="1"/>
  <c r="K49" i="1"/>
  <c r="Q49" i="1" s="1"/>
  <c r="U49" i="1" s="1"/>
  <c r="M51" i="1"/>
  <c r="J63" i="1"/>
  <c r="T63" i="1" s="1"/>
  <c r="S60" i="1"/>
  <c r="R60" i="1"/>
  <c r="T71" i="1"/>
  <c r="R71" i="1"/>
  <c r="S71" i="1"/>
  <c r="K69" i="1"/>
  <c r="Q69" i="1" s="1"/>
  <c r="U69" i="1" s="1"/>
  <c r="M71" i="1"/>
  <c r="Q176" i="1"/>
  <c r="S894" i="1"/>
  <c r="T894" i="1"/>
  <c r="R973" i="1"/>
  <c r="Q973" i="1"/>
  <c r="T1639" i="1"/>
  <c r="R1639" i="1"/>
  <c r="K1650" i="1"/>
  <c r="Q1650" i="1" s="1"/>
  <c r="Q1648" i="1"/>
  <c r="U1648" i="1" s="1"/>
  <c r="R1908" i="1"/>
  <c r="T1908" i="1"/>
  <c r="Q2047" i="1"/>
  <c r="U2047" i="1" s="1"/>
  <c r="K2052" i="1"/>
  <c r="Q2052" i="1" s="1"/>
  <c r="S151" i="1"/>
  <c r="T151" i="1"/>
  <c r="R151" i="1"/>
  <c r="J154" i="1"/>
  <c r="R154" i="1" s="1"/>
  <c r="T1508" i="1"/>
  <c r="S1508" i="1"/>
  <c r="Q198" i="1"/>
  <c r="U198" i="1" s="1"/>
  <c r="K200" i="1"/>
  <c r="Q200" i="1" s="1"/>
  <c r="R238" i="1"/>
  <c r="T136" i="1"/>
  <c r="R136" i="1"/>
  <c r="Q136" i="1"/>
  <c r="T149" i="1"/>
  <c r="S149" i="1"/>
  <c r="R355" i="1"/>
  <c r="J359" i="1"/>
  <c r="Q359" i="1" s="1"/>
  <c r="R362" i="1"/>
  <c r="S362" i="1"/>
  <c r="T389" i="1"/>
  <c r="R389" i="1"/>
  <c r="S410" i="1"/>
  <c r="Q410" i="1"/>
  <c r="R410" i="1"/>
  <c r="T435" i="1"/>
  <c r="Q435" i="1"/>
  <c r="J440" i="1"/>
  <c r="T440" i="1" s="1"/>
  <c r="S435" i="1"/>
  <c r="R435" i="1"/>
  <c r="I319" i="4"/>
  <c r="L316" i="4"/>
  <c r="L319" i="4" s="1"/>
  <c r="O319" i="4" s="1"/>
  <c r="Q448" i="1"/>
  <c r="U448" i="1" s="1"/>
  <c r="K449" i="1"/>
  <c r="Q449" i="1" s="1"/>
  <c r="R787" i="1"/>
  <c r="T787" i="1"/>
  <c r="L857" i="1"/>
  <c r="Q853" i="1"/>
  <c r="U853" i="1" s="1"/>
  <c r="Q858" i="1"/>
  <c r="U858" i="1" s="1"/>
  <c r="K859" i="1"/>
  <c r="Q859" i="1" s="1"/>
  <c r="T233" i="1"/>
  <c r="S233" i="1"/>
  <c r="L110" i="1"/>
  <c r="K107" i="1"/>
  <c r="Q107" i="1" s="1"/>
  <c r="U107" i="1" s="1"/>
  <c r="T117" i="1"/>
  <c r="S117" i="1"/>
  <c r="R117" i="1"/>
  <c r="Q117" i="1"/>
  <c r="T560" i="1"/>
  <c r="S560" i="1"/>
  <c r="Q581" i="1"/>
  <c r="R581" i="1"/>
  <c r="S581" i="1"/>
  <c r="J584" i="1"/>
  <c r="S584" i="1" s="1"/>
  <c r="R598" i="1"/>
  <c r="Q598" i="1"/>
  <c r="S598" i="1"/>
  <c r="T598" i="1"/>
  <c r="J604" i="1"/>
  <c r="T604" i="1" s="1"/>
  <c r="R603" i="1"/>
  <c r="S603" i="1"/>
  <c r="Q603" i="1"/>
  <c r="T603" i="1"/>
  <c r="Q650" i="1"/>
  <c r="U650" i="1" s="1"/>
  <c r="K651" i="1"/>
  <c r="Q651" i="1" s="1"/>
  <c r="S671" i="1"/>
  <c r="Q722" i="1"/>
  <c r="U722" i="1" s="1"/>
  <c r="K723" i="1"/>
  <c r="Q723" i="1" s="1"/>
  <c r="K739" i="1"/>
  <c r="Q739" i="1" s="1"/>
  <c r="Q733" i="1"/>
  <c r="U733" i="1" s="1"/>
  <c r="U742" i="1"/>
  <c r="Q757" i="1"/>
  <c r="U757" i="1" s="1"/>
  <c r="K764" i="1"/>
  <c r="Q764" i="1" s="1"/>
  <c r="K852" i="1"/>
  <c r="Q852" i="1" s="1"/>
  <c r="Q848" i="1"/>
  <c r="U848" i="1" s="1"/>
  <c r="T857" i="1"/>
  <c r="S857" i="1"/>
  <c r="T292" i="1"/>
  <c r="Q292" i="1"/>
  <c r="S292" i="1"/>
  <c r="Q320" i="1"/>
  <c r="U320" i="1" s="1"/>
  <c r="K322" i="1"/>
  <c r="Q322" i="1" s="1"/>
  <c r="Q324" i="1"/>
  <c r="U324" i="1" s="1"/>
  <c r="K327" i="1"/>
  <c r="Q327" i="1" s="1"/>
  <c r="U513" i="1"/>
  <c r="S537" i="1"/>
  <c r="Q537" i="1"/>
  <c r="R539" i="1"/>
  <c r="T539" i="1"/>
  <c r="Q539" i="1"/>
  <c r="S539" i="1"/>
  <c r="Q548" i="1"/>
  <c r="U548" i="1" s="1"/>
  <c r="K549" i="1"/>
  <c r="Q549" i="1" s="1"/>
  <c r="U936" i="1"/>
  <c r="U611" i="1"/>
  <c r="U115" i="1"/>
  <c r="L97" i="4"/>
  <c r="O97" i="4" s="1"/>
  <c r="T912" i="1"/>
  <c r="T928" i="1"/>
  <c r="T946" i="1"/>
  <c r="K965" i="1"/>
  <c r="Q965" i="1" s="1"/>
  <c r="R962" i="1"/>
  <c r="K987" i="1"/>
  <c r="Q987" i="1" s="1"/>
  <c r="S1164" i="1"/>
  <c r="Q1164" i="1"/>
  <c r="R1164" i="1"/>
  <c r="T1510" i="1"/>
  <c r="Q1510" i="1"/>
  <c r="T1521" i="1"/>
  <c r="Q1521" i="1"/>
  <c r="R1521" i="1"/>
  <c r="S1521" i="1"/>
  <c r="S1822" i="1"/>
  <c r="S2064" i="1"/>
  <c r="R2064" i="1"/>
  <c r="T2075" i="1"/>
  <c r="S2075" i="1"/>
  <c r="Q2075" i="1"/>
  <c r="R2075" i="1"/>
  <c r="T3404" i="1"/>
  <c r="Q3404" i="1"/>
  <c r="S3404" i="1"/>
  <c r="U8" i="1"/>
  <c r="Y8" i="1" s="1"/>
  <c r="U82" i="1"/>
  <c r="S83" i="1"/>
  <c r="U88" i="1"/>
  <c r="U95" i="1"/>
  <c r="R98" i="1"/>
  <c r="Q124" i="1"/>
  <c r="S291" i="1"/>
  <c r="U431" i="1"/>
  <c r="U470" i="1"/>
  <c r="Q477" i="1"/>
  <c r="U843" i="1"/>
  <c r="R852" i="1"/>
  <c r="U881" i="1"/>
  <c r="S884" i="1"/>
  <c r="U893" i="1"/>
  <c r="U967" i="1"/>
  <c r="Q1192" i="1"/>
  <c r="U1192" i="1" s="1"/>
  <c r="K1194" i="1"/>
  <c r="Q1194" i="1" s="1"/>
  <c r="Q1202" i="1"/>
  <c r="R1202" i="1"/>
  <c r="S1202" i="1"/>
  <c r="Q1918" i="1"/>
  <c r="U1918" i="1" s="1"/>
  <c r="K1922" i="1"/>
  <c r="U815" i="1"/>
  <c r="S385" i="1"/>
  <c r="U54" i="1"/>
  <c r="U66" i="1"/>
  <c r="U75" i="1"/>
  <c r="U379" i="1"/>
  <c r="U474" i="1"/>
  <c r="U744" i="1"/>
  <c r="U799" i="1"/>
  <c r="U805" i="1"/>
  <c r="R902" i="1"/>
  <c r="S1344" i="1"/>
  <c r="Q1344" i="1"/>
  <c r="T1401" i="1"/>
  <c r="Q1401" i="1"/>
  <c r="R1401" i="1"/>
  <c r="R1601" i="1"/>
  <c r="Q1601" i="1"/>
  <c r="S1601" i="1"/>
  <c r="T1601" i="1"/>
  <c r="U1852" i="1"/>
  <c r="K2118" i="1"/>
  <c r="Q2118" i="1" s="1"/>
  <c r="Q2141" i="1"/>
  <c r="S2141" i="1"/>
  <c r="S2149" i="1"/>
  <c r="U836" i="1"/>
  <c r="U576" i="1"/>
  <c r="Q262" i="1"/>
  <c r="L25" i="4"/>
  <c r="O25" i="4" s="1"/>
  <c r="Q7" i="1"/>
  <c r="R206" i="1"/>
  <c r="S257" i="1"/>
  <c r="S262" i="1"/>
  <c r="U339" i="1"/>
  <c r="U313" i="1"/>
  <c r="M314" i="1"/>
  <c r="U315" i="1"/>
  <c r="U368" i="1"/>
  <c r="U734" i="1"/>
  <c r="U735" i="1"/>
  <c r="U736" i="1"/>
  <c r="U738" i="1"/>
  <c r="R739" i="1"/>
  <c r="U743" i="1"/>
  <c r="U745" i="1"/>
  <c r="U873" i="1"/>
  <c r="U880" i="1"/>
  <c r="R894" i="1"/>
  <c r="R928" i="1"/>
  <c r="T934" i="1"/>
  <c r="U977" i="1"/>
  <c r="U1032" i="1"/>
  <c r="U1054" i="1"/>
  <c r="U1055" i="1"/>
  <c r="U1060" i="1"/>
  <c r="Q1311" i="1"/>
  <c r="R1311" i="1"/>
  <c r="T1311" i="1"/>
  <c r="U1736" i="1"/>
  <c r="L2507" i="1"/>
  <c r="J2500" i="1"/>
  <c r="J2507" i="1" s="1"/>
  <c r="S2507" i="1" s="1"/>
  <c r="R2506" i="1"/>
  <c r="U2506" i="1" s="1"/>
  <c r="N2507" i="1"/>
  <c r="Q2825" i="1"/>
  <c r="Q2827" i="1"/>
  <c r="R2827" i="1"/>
  <c r="S2827" i="1"/>
  <c r="T2827" i="1"/>
  <c r="U875" i="1"/>
  <c r="U72" i="1"/>
  <c r="U164" i="1"/>
  <c r="S210" i="1"/>
  <c r="U242" i="1"/>
  <c r="U255" i="1"/>
  <c r="U244" i="1"/>
  <c r="U267" i="1"/>
  <c r="L201" i="4"/>
  <c r="O201" i="4" s="1"/>
  <c r="L207" i="4"/>
  <c r="O207" i="4" s="1"/>
  <c r="L218" i="4"/>
  <c r="O218" i="4" s="1"/>
  <c r="Q328" i="1"/>
  <c r="S446" i="1"/>
  <c r="U669" i="1"/>
  <c r="U674" i="1"/>
  <c r="U689" i="1"/>
  <c r="U695" i="1"/>
  <c r="U697" i="1"/>
  <c r="S723" i="1"/>
  <c r="U726" i="1"/>
  <c r="R732" i="1"/>
  <c r="U769" i="1"/>
  <c r="T794" i="1"/>
  <c r="U795" i="1"/>
  <c r="U797" i="1"/>
  <c r="T802" i="1"/>
  <c r="U800" i="1"/>
  <c r="U804" i="1"/>
  <c r="U807" i="1"/>
  <c r="U808" i="1"/>
  <c r="U809" i="1"/>
  <c r="K816" i="1"/>
  <c r="Q816" i="1" s="1"/>
  <c r="U822" i="1"/>
  <c r="R825" i="1"/>
  <c r="T835" i="1"/>
  <c r="R862" i="1"/>
  <c r="U869" i="1"/>
  <c r="T874" i="1"/>
  <c r="U878" i="1"/>
  <c r="R898" i="1"/>
  <c r="U898" i="1" s="1"/>
  <c r="S934" i="1"/>
  <c r="U986" i="1"/>
  <c r="L793" i="4"/>
  <c r="T1010" i="1"/>
  <c r="S1051" i="1"/>
  <c r="U1080" i="1"/>
  <c r="J1180" i="1"/>
  <c r="S1180" i="1" s="1"/>
  <c r="R1179" i="1"/>
  <c r="K1179" i="1"/>
  <c r="Q1179" i="1" s="1"/>
  <c r="T1179" i="1"/>
  <c r="T1202" i="1"/>
  <c r="R1525" i="1"/>
  <c r="T1525" i="1"/>
  <c r="Q1525" i="1"/>
  <c r="I1304" i="4"/>
  <c r="L1304" i="4" s="1"/>
  <c r="L1299" i="4"/>
  <c r="R1746" i="1"/>
  <c r="S1746" i="1"/>
  <c r="S1903" i="1"/>
  <c r="R1903" i="1"/>
  <c r="Q1903" i="1"/>
  <c r="T1903" i="1"/>
  <c r="L1759" i="4"/>
  <c r="U1140" i="1"/>
  <c r="U1193" i="1"/>
  <c r="S1194" i="1"/>
  <c r="U1198" i="1"/>
  <c r="U1206" i="1"/>
  <c r="T1227" i="1"/>
  <c r="U1259" i="1"/>
  <c r="U1269" i="1"/>
  <c r="U1296" i="1"/>
  <c r="U1364" i="1"/>
  <c r="U1388" i="1"/>
  <c r="T1719" i="1"/>
  <c r="L1385" i="4"/>
  <c r="U1740" i="1"/>
  <c r="J1789" i="1"/>
  <c r="S1789" i="1" s="1"/>
  <c r="K1796" i="1"/>
  <c r="Q1796" i="1" s="1"/>
  <c r="R1796" i="1"/>
  <c r="U1806" i="1"/>
  <c r="U1814" i="1"/>
  <c r="U1816" i="1"/>
  <c r="T1822" i="1"/>
  <c r="L1478" i="4"/>
  <c r="U1864" i="1"/>
  <c r="L1533" i="4"/>
  <c r="R1897" i="1"/>
  <c r="U1948" i="1"/>
  <c r="K1978" i="1"/>
  <c r="Q1978" i="1" s="1"/>
  <c r="U1981" i="1"/>
  <c r="U1984" i="1"/>
  <c r="U1995" i="1"/>
  <c r="U2000" i="1"/>
  <c r="R2034" i="1"/>
  <c r="S2078" i="1"/>
  <c r="T2143" i="1"/>
  <c r="U2129" i="1"/>
  <c r="L1747" i="4"/>
  <c r="T2166" i="1"/>
  <c r="R2164" i="1"/>
  <c r="R2535" i="1"/>
  <c r="Q2535" i="1"/>
  <c r="S2535" i="1"/>
  <c r="Q2855" i="1"/>
  <c r="U2855" i="1" s="1"/>
  <c r="K2862" i="1"/>
  <c r="Q2862" i="1" s="1"/>
  <c r="S1096" i="1"/>
  <c r="U1124" i="1"/>
  <c r="T1343" i="1"/>
  <c r="U1349" i="1"/>
  <c r="U1353" i="1"/>
  <c r="U1381" i="1"/>
  <c r="U1457" i="1"/>
  <c r="U1613" i="1"/>
  <c r="U1652" i="1"/>
  <c r="Q1684" i="1"/>
  <c r="U1684" i="1" s="1"/>
  <c r="S1692" i="1"/>
  <c r="T1757" i="1"/>
  <c r="U1767" i="1"/>
  <c r="Q1785" i="1"/>
  <c r="M1789" i="1"/>
  <c r="U1795" i="1"/>
  <c r="U2043" i="1"/>
  <c r="L1691" i="4"/>
  <c r="S2123" i="1"/>
  <c r="Q2123" i="1"/>
  <c r="L1781" i="4"/>
  <c r="L1789" i="4"/>
  <c r="L1794" i="4"/>
  <c r="S2788" i="1"/>
  <c r="T2788" i="1"/>
  <c r="Q2788" i="1"/>
  <c r="R2788" i="1"/>
  <c r="J2919" i="1"/>
  <c r="S2919" i="1" s="1"/>
  <c r="S2910" i="1"/>
  <c r="T2910" i="1"/>
  <c r="Q2910" i="1"/>
  <c r="Q3056" i="1"/>
  <c r="U3056" i="1" s="1"/>
  <c r="K3062" i="1"/>
  <c r="Q3062" i="1" s="1"/>
  <c r="U1169" i="1"/>
  <c r="U1171" i="1"/>
  <c r="U1238" i="1"/>
  <c r="K1323" i="1"/>
  <c r="K1327" i="1" s="1"/>
  <c r="S1398" i="1"/>
  <c r="U1422" i="1"/>
  <c r="U1439" i="1"/>
  <c r="R1453" i="1"/>
  <c r="L1173" i="4"/>
  <c r="U1466" i="1"/>
  <c r="R1472" i="1"/>
  <c r="Q1554" i="1"/>
  <c r="T1545" i="1"/>
  <c r="R1554" i="1"/>
  <c r="U1701" i="1"/>
  <c r="R1741" i="1"/>
  <c r="T1877" i="1"/>
  <c r="R1978" i="1"/>
  <c r="L1641" i="4"/>
  <c r="U2021" i="1"/>
  <c r="S2089" i="1"/>
  <c r="L1891" i="4"/>
  <c r="L1894" i="4" s="1"/>
  <c r="J1894" i="4"/>
  <c r="R2317" i="1"/>
  <c r="Q2317" i="1"/>
  <c r="T2317" i="1"/>
  <c r="Q2318" i="1"/>
  <c r="S2318" i="1"/>
  <c r="K1975" i="4"/>
  <c r="L1974" i="4"/>
  <c r="R2586" i="1"/>
  <c r="Q2586" i="1"/>
  <c r="S3116" i="1"/>
  <c r="T3116" i="1"/>
  <c r="R3116" i="1"/>
  <c r="T3298" i="1"/>
  <c r="S3298" i="1"/>
  <c r="Q3298" i="1"/>
  <c r="U3309" i="1"/>
  <c r="U1073" i="1"/>
  <c r="U1088" i="1"/>
  <c r="R1096" i="1"/>
  <c r="U1130" i="1"/>
  <c r="R1161" i="1"/>
  <c r="U1211" i="1"/>
  <c r="U1320" i="1"/>
  <c r="U1365" i="1"/>
  <c r="U1404" i="1"/>
  <c r="R1414" i="1"/>
  <c r="U1417" i="1"/>
  <c r="U1448" i="1"/>
  <c r="U1445" i="1"/>
  <c r="U1451" i="1"/>
  <c r="U1498" i="1"/>
  <c r="T1536" i="1"/>
  <c r="K1545" i="1"/>
  <c r="Q1545" i="1" s="1"/>
  <c r="U1608" i="1"/>
  <c r="I1334" i="4"/>
  <c r="I1351" i="4"/>
  <c r="L1351" i="4" s="1"/>
  <c r="U1671" i="1"/>
  <c r="U1766" i="1"/>
  <c r="L1440" i="4"/>
  <c r="U1792" i="1"/>
  <c r="U1848" i="1"/>
  <c r="S2046" i="1"/>
  <c r="R2053" i="1"/>
  <c r="L1670" i="4"/>
  <c r="U2050" i="1"/>
  <c r="T2137" i="1"/>
  <c r="R2138" i="1"/>
  <c r="S2179" i="1"/>
  <c r="S2269" i="1"/>
  <c r="T2269" i="1"/>
  <c r="R2269" i="1"/>
  <c r="U2290" i="1"/>
  <c r="S2432" i="1"/>
  <c r="T2432" i="1"/>
  <c r="R2432" i="1"/>
  <c r="T2469" i="1"/>
  <c r="S2469" i="1"/>
  <c r="S2470" i="1"/>
  <c r="T2470" i="1"/>
  <c r="N2927" i="1"/>
  <c r="Q3094" i="1"/>
  <c r="S3094" i="1"/>
  <c r="T3094" i="1"/>
  <c r="R3094" i="1"/>
  <c r="T3394" i="1"/>
  <c r="S3477" i="1"/>
  <c r="R3477" i="1"/>
  <c r="L870" i="4"/>
  <c r="U1104" i="1"/>
  <c r="L878" i="4"/>
  <c r="S1112" i="1"/>
  <c r="U1177" i="1"/>
  <c r="U1223" i="1"/>
  <c r="U1207" i="1"/>
  <c r="U1209" i="1"/>
  <c r="S1234" i="1"/>
  <c r="U1266" i="1"/>
  <c r="U1285" i="1"/>
  <c r="U1332" i="1"/>
  <c r="U1380" i="1"/>
  <c r="T1383" i="1"/>
  <c r="U1549" i="1"/>
  <c r="U1585" i="1"/>
  <c r="R1599" i="1"/>
  <c r="T1609" i="1"/>
  <c r="U1625" i="1"/>
  <c r="T1682" i="1"/>
  <c r="U1694" i="1"/>
  <c r="U1695" i="1"/>
  <c r="S1737" i="1"/>
  <c r="U1761" i="1"/>
  <c r="U1768" i="1"/>
  <c r="K1777" i="1"/>
  <c r="Q1777" i="1" s="1"/>
  <c r="R1877" i="1"/>
  <c r="S1793" i="1"/>
  <c r="U1798" i="1"/>
  <c r="S1803" i="1"/>
  <c r="L1447" i="4"/>
  <c r="L1465" i="4"/>
  <c r="L1481" i="4"/>
  <c r="U1842" i="1"/>
  <c r="S1871" i="1"/>
  <c r="U2001" i="1"/>
  <c r="S1944" i="1"/>
  <c r="T2022" i="1"/>
  <c r="U2042" i="1"/>
  <c r="T2108" i="1"/>
  <c r="Q2164" i="1"/>
  <c r="Q2121" i="1"/>
  <c r="U2116" i="1"/>
  <c r="L1785" i="4"/>
  <c r="Q2432" i="1"/>
  <c r="Q2470" i="1"/>
  <c r="Q2573" i="1"/>
  <c r="R2573" i="1"/>
  <c r="N3201" i="1"/>
  <c r="U2209" i="1"/>
  <c r="U2211" i="1"/>
  <c r="R2214" i="1"/>
  <c r="U2217" i="1"/>
  <c r="U2240" i="1"/>
  <c r="U2242" i="1"/>
  <c r="U2249" i="1"/>
  <c r="S2251" i="1"/>
  <c r="U2271" i="1"/>
  <c r="L1880" i="4"/>
  <c r="U2385" i="1"/>
  <c r="U2391" i="1"/>
  <c r="T2499" i="1"/>
  <c r="U2512" i="1"/>
  <c r="R2665" i="1"/>
  <c r="U2663" i="1"/>
  <c r="U2741" i="1"/>
  <c r="U2832" i="1"/>
  <c r="U2835" i="1"/>
  <c r="L2452" i="4"/>
  <c r="U2920" i="1"/>
  <c r="L2462" i="4"/>
  <c r="U2950" i="1"/>
  <c r="U2982" i="1"/>
  <c r="U2986" i="1"/>
  <c r="U3050" i="1"/>
  <c r="U3136" i="1"/>
  <c r="Q3203" i="1"/>
  <c r="S3209" i="1"/>
  <c r="U3212" i="1"/>
  <c r="U3215" i="1"/>
  <c r="Q3217" i="1"/>
  <c r="U3217" i="1" s="1"/>
  <c r="U3218" i="1"/>
  <c r="U3219" i="1"/>
  <c r="R3244" i="1"/>
  <c r="T3288" i="1"/>
  <c r="R3306" i="1"/>
  <c r="K3315" i="1"/>
  <c r="Q3315" i="1" s="1"/>
  <c r="R3366" i="1"/>
  <c r="S3370" i="1"/>
  <c r="U3343" i="1"/>
  <c r="U3349" i="1"/>
  <c r="U3397" i="1"/>
  <c r="R3443" i="1"/>
  <c r="R3462" i="1"/>
  <c r="S3479" i="1"/>
  <c r="T3498" i="1"/>
  <c r="U3499" i="1"/>
  <c r="S3529" i="1"/>
  <c r="U3539" i="1"/>
  <c r="T3543" i="1"/>
  <c r="U2213" i="1"/>
  <c r="R2236" i="1"/>
  <c r="U2239" i="1"/>
  <c r="Q2269" i="1"/>
  <c r="U2381" i="1"/>
  <c r="R2429" i="1"/>
  <c r="R2447" i="1"/>
  <c r="U2460" i="1"/>
  <c r="U2498" i="1"/>
  <c r="U2495" i="1"/>
  <c r="S2515" i="1"/>
  <c r="U2584" i="1"/>
  <c r="T2587" i="1"/>
  <c r="T2743" i="1"/>
  <c r="U2790" i="1"/>
  <c r="U2830" i="1"/>
  <c r="U2840" i="1"/>
  <c r="U2837" i="1"/>
  <c r="U2856" i="1"/>
  <c r="U3016" i="1"/>
  <c r="U3089" i="1"/>
  <c r="U3087" i="1"/>
  <c r="U3182" i="1"/>
  <c r="S3208" i="1"/>
  <c r="U3234" i="1"/>
  <c r="Q3297" i="1"/>
  <c r="U3312" i="1"/>
  <c r="U3364" i="1"/>
  <c r="R3386" i="1"/>
  <c r="T3461" i="1"/>
  <c r="T2187" i="1"/>
  <c r="U2204" i="1"/>
  <c r="U2262" i="1"/>
  <c r="K2398" i="1"/>
  <c r="U2694" i="1"/>
  <c r="U2705" i="1"/>
  <c r="L2248" i="4"/>
  <c r="U2704" i="1"/>
  <c r="U2711" i="1"/>
  <c r="R2714" i="1"/>
  <c r="T2721" i="1"/>
  <c r="U2881" i="1"/>
  <c r="U2885" i="1"/>
  <c r="U2889" i="1"/>
  <c r="U3077" i="1"/>
  <c r="U3103" i="1"/>
  <c r="U3105" i="1"/>
  <c r="L2856" i="4"/>
  <c r="U3329" i="1"/>
  <c r="U2235" i="1"/>
  <c r="Q2236" i="1"/>
  <c r="R2251" i="1"/>
  <c r="L1856" i="4"/>
  <c r="L1862" i="4"/>
  <c r="T2311" i="1"/>
  <c r="U2330" i="1"/>
  <c r="R2431" i="1"/>
  <c r="K2457" i="1"/>
  <c r="U2565" i="1"/>
  <c r="U2600" i="1"/>
  <c r="S2605" i="1"/>
  <c r="S2665" i="1"/>
  <c r="S2761" i="1"/>
  <c r="U2799" i="1"/>
  <c r="U2978" i="1"/>
  <c r="U2983" i="1"/>
  <c r="U3054" i="1"/>
  <c r="T3208" i="1"/>
  <c r="U3221" i="1"/>
  <c r="Q3222" i="1"/>
  <c r="U3249" i="1"/>
  <c r="U3313" i="1"/>
  <c r="L2847" i="4"/>
  <c r="U3392" i="1"/>
  <c r="U3398" i="1"/>
  <c r="R3511" i="1"/>
  <c r="L1809" i="4"/>
  <c r="M2285" i="1"/>
  <c r="R2311" i="1"/>
  <c r="T2429" i="1"/>
  <c r="T2447" i="1"/>
  <c r="R2466" i="1"/>
  <c r="R2483" i="1"/>
  <c r="U2546" i="1"/>
  <c r="U2583" i="1"/>
  <c r="T2605" i="1"/>
  <c r="S2714" i="1"/>
  <c r="S2795" i="1"/>
  <c r="U2797" i="1"/>
  <c r="U2818" i="1"/>
  <c r="U2880" i="1"/>
  <c r="U2888" i="1"/>
  <c r="U2890" i="1"/>
  <c r="U2896" i="1"/>
  <c r="U2935" i="1"/>
  <c r="U2960" i="1"/>
  <c r="U2965" i="1"/>
  <c r="U3059" i="1"/>
  <c r="K3080" i="1"/>
  <c r="K3090" i="1" s="1"/>
  <c r="U3108" i="1"/>
  <c r="T3148" i="1"/>
  <c r="U3157" i="1"/>
  <c r="R3188" i="1"/>
  <c r="U3199" i="1"/>
  <c r="R3203" i="1"/>
  <c r="R3209" i="1"/>
  <c r="K3258" i="1"/>
  <c r="S3246" i="1"/>
  <c r="Q3306" i="1"/>
  <c r="R3332" i="1"/>
  <c r="S3352" i="1"/>
  <c r="U3373" i="1"/>
  <c r="S3369" i="1"/>
  <c r="S3385" i="1"/>
  <c r="Q3386" i="1"/>
  <c r="T3386" i="1"/>
  <c r="U3435" i="1"/>
  <c r="S3437" i="1"/>
  <c r="Q3443" i="1"/>
  <c r="Q3462" i="1"/>
  <c r="U3471" i="1"/>
  <c r="Q3529" i="1"/>
  <c r="U101" i="1"/>
  <c r="Q293" i="1"/>
  <c r="S67" i="1"/>
  <c r="T137" i="1"/>
  <c r="S739" i="1"/>
  <c r="K20" i="1"/>
  <c r="S309" i="1"/>
  <c r="S299" i="1"/>
  <c r="T504" i="1"/>
  <c r="L80" i="4"/>
  <c r="U16" i="1"/>
  <c r="U21" i="1"/>
  <c r="T31" i="1"/>
  <c r="L48" i="4"/>
  <c r="O48" i="4" s="1"/>
  <c r="U93" i="1"/>
  <c r="L77" i="4"/>
  <c r="O77" i="4" s="1"/>
  <c r="U105" i="1"/>
  <c r="L82" i="4"/>
  <c r="O82" i="4" s="1"/>
  <c r="L101" i="4"/>
  <c r="U856" i="1"/>
  <c r="T1071" i="1"/>
  <c r="Q1071" i="1"/>
  <c r="R1071" i="1"/>
  <c r="S1071" i="1"/>
  <c r="Q1291" i="1"/>
  <c r="U1291" i="1" s="1"/>
  <c r="K1293" i="1"/>
  <c r="Q1293" i="1" s="1"/>
  <c r="U1322" i="1"/>
  <c r="J1455" i="1"/>
  <c r="T1455" i="1" s="1"/>
  <c r="S3531" i="1"/>
  <c r="R3531" i="1"/>
  <c r="Q3531" i="1"/>
  <c r="T3531" i="1"/>
  <c r="Q905" i="1"/>
  <c r="U905" i="1" s="1"/>
  <c r="K908" i="1"/>
  <c r="Q908" i="1" s="1"/>
  <c r="S1236" i="1"/>
  <c r="R1236" i="1"/>
  <c r="T1236" i="1"/>
  <c r="U741" i="1"/>
  <c r="T2055" i="1"/>
  <c r="Q2055" i="1"/>
  <c r="S2055" i="1"/>
  <c r="R2255" i="1"/>
  <c r="S2255" i="1"/>
  <c r="Q2255" i="1"/>
  <c r="T2255" i="1"/>
  <c r="L31" i="4"/>
  <c r="O31" i="4" s="1"/>
  <c r="U90" i="1"/>
  <c r="K1161" i="1"/>
  <c r="Q1161" i="1" s="1"/>
  <c r="Q1158" i="1"/>
  <c r="U1158" i="1" s="1"/>
  <c r="Q2188" i="1"/>
  <c r="U2188" i="1" s="1"/>
  <c r="K2191" i="1"/>
  <c r="Q2191" i="1" s="1"/>
  <c r="R1156" i="1"/>
  <c r="K304" i="1"/>
  <c r="Q304" i="1" s="1"/>
  <c r="R67" i="1"/>
  <c r="U350" i="1"/>
  <c r="U65" i="1"/>
  <c r="S298" i="1"/>
  <c r="T410" i="1"/>
  <c r="R298" i="1"/>
  <c r="Q298" i="1"/>
  <c r="S181" i="1"/>
  <c r="Q314" i="1"/>
  <c r="K27" i="1"/>
  <c r="Q27" i="1" s="1"/>
  <c r="L116" i="4"/>
  <c r="I10" i="4"/>
  <c r="Q568" i="1"/>
  <c r="K60" i="1"/>
  <c r="Q60" i="1" s="1"/>
  <c r="L98" i="1"/>
  <c r="Q412" i="1"/>
  <c r="U37" i="1"/>
  <c r="Y37" i="1" s="1"/>
  <c r="U30" i="1"/>
  <c r="L15" i="4"/>
  <c r="O15" i="4" s="1"/>
  <c r="L52" i="4"/>
  <c r="O52" i="4" s="1"/>
  <c r="K165" i="1"/>
  <c r="L137" i="4"/>
  <c r="O137" i="4" s="1"/>
  <c r="Q185" i="1"/>
  <c r="U199" i="1"/>
  <c r="U279" i="1"/>
  <c r="R361" i="1"/>
  <c r="T361" i="1"/>
  <c r="S949" i="1"/>
  <c r="R949" i="1"/>
  <c r="J956" i="1"/>
  <c r="T956" i="1" s="1"/>
  <c r="U1064" i="1"/>
  <c r="S1039" i="1"/>
  <c r="Q1039" i="1"/>
  <c r="T1039" i="1"/>
  <c r="R1043" i="1"/>
  <c r="U1043" i="1" s="1"/>
  <c r="N1045" i="1"/>
  <c r="T1127" i="1"/>
  <c r="Q1127" i="1"/>
  <c r="R1127" i="1"/>
  <c r="L901" i="4"/>
  <c r="S1280" i="1"/>
  <c r="K1866" i="1"/>
  <c r="Q1866" i="1" s="1"/>
  <c r="Q1862" i="1"/>
  <c r="U1862" i="1" s="1"/>
  <c r="K1879" i="1"/>
  <c r="Q1877" i="1"/>
  <c r="Q1283" i="1"/>
  <c r="R1283" i="1"/>
  <c r="T1283" i="1"/>
  <c r="S1283" i="1"/>
  <c r="S204" i="1"/>
  <c r="T204" i="1"/>
  <c r="T457" i="1"/>
  <c r="Q457" i="1"/>
  <c r="Q560" i="1"/>
  <c r="R560" i="1"/>
  <c r="T653" i="1"/>
  <c r="Q653" i="1"/>
  <c r="T1000" i="1"/>
  <c r="Q1000" i="1"/>
  <c r="Q1021" i="1"/>
  <c r="R1021" i="1"/>
  <c r="S1021" i="1"/>
  <c r="U1049" i="1"/>
  <c r="U1175" i="1"/>
  <c r="R1182" i="1"/>
  <c r="S1182" i="1"/>
  <c r="Q1236" i="1"/>
  <c r="U1366" i="1"/>
  <c r="R1420" i="1"/>
  <c r="Q1420" i="1"/>
  <c r="J1419" i="1"/>
  <c r="Q1419" i="1" s="1"/>
  <c r="K1425" i="1"/>
  <c r="R1425" i="1" s="1"/>
  <c r="Q1461" i="1"/>
  <c r="U1461" i="1" s="1"/>
  <c r="K1464" i="1"/>
  <c r="Q1464" i="1" s="1"/>
  <c r="Q1162" i="1"/>
  <c r="R1162" i="1"/>
  <c r="S1162" i="1"/>
  <c r="T1162" i="1"/>
  <c r="J1170" i="1"/>
  <c r="Q1170" i="1" s="1"/>
  <c r="S35" i="1"/>
  <c r="K825" i="1"/>
  <c r="Q825" i="1" s="1"/>
  <c r="T385" i="1"/>
  <c r="J159" i="1"/>
  <c r="R159" i="1" s="1"/>
  <c r="R137" i="1"/>
  <c r="Q157" i="1"/>
  <c r="R485" i="1"/>
  <c r="T402" i="1"/>
  <c r="U55" i="1"/>
  <c r="S412" i="1"/>
  <c r="K309" i="1"/>
  <c r="Q309" i="1" s="1"/>
  <c r="Q204" i="1"/>
  <c r="R181" i="1"/>
  <c r="S157" i="1"/>
  <c r="T60" i="1"/>
  <c r="T568" i="1"/>
  <c r="U577" i="1"/>
  <c r="U550" i="1"/>
  <c r="R524" i="1"/>
  <c r="U10" i="1"/>
  <c r="U28" i="1"/>
  <c r="Y28" i="1" s="1"/>
  <c r="R35" i="1"/>
  <c r="U39" i="1"/>
  <c r="U47" i="1"/>
  <c r="Y47" i="1" s="1"/>
  <c r="R87" i="1"/>
  <c r="U92" i="1"/>
  <c r="L107" i="4"/>
  <c r="U131" i="1"/>
  <c r="U145" i="1"/>
  <c r="Y145" i="1" s="1"/>
  <c r="U432" i="1"/>
  <c r="U828" i="1"/>
  <c r="U837" i="1"/>
  <c r="T1115" i="1"/>
  <c r="Q1115" i="1"/>
  <c r="S1134" i="1"/>
  <c r="Q1134" i="1"/>
  <c r="K1275" i="1"/>
  <c r="Q1275" i="1" s="1"/>
  <c r="Q1273" i="1"/>
  <c r="U1273" i="1" s="1"/>
  <c r="U1292" i="1"/>
  <c r="Q1308" i="1"/>
  <c r="T1308" i="1"/>
  <c r="T1329" i="1"/>
  <c r="S1329" i="1"/>
  <c r="R1329" i="1"/>
  <c r="U317" i="1"/>
  <c r="U483" i="1"/>
  <c r="L557" i="4"/>
  <c r="O557" i="4" s="1"/>
  <c r="U868" i="1"/>
  <c r="U871" i="1"/>
  <c r="L677" i="4"/>
  <c r="O677" i="4" s="1"/>
  <c r="U876" i="1"/>
  <c r="U921" i="1"/>
  <c r="S973" i="1"/>
  <c r="U981" i="1"/>
  <c r="U1012" i="1"/>
  <c r="T1022" i="1"/>
  <c r="U1034" i="1"/>
  <c r="U1030" i="1"/>
  <c r="Q1028" i="1"/>
  <c r="U1028" i="1" s="1"/>
  <c r="J1086" i="1"/>
  <c r="R1086" i="1" s="1"/>
  <c r="Q1097" i="1"/>
  <c r="Q1126" i="1"/>
  <c r="T1126" i="1"/>
  <c r="U1137" i="1"/>
  <c r="T1150" i="1"/>
  <c r="R1173" i="1"/>
  <c r="T1184" i="1"/>
  <c r="R1255" i="1"/>
  <c r="Q1184" i="1"/>
  <c r="R1234" i="1"/>
  <c r="U1289" i="1"/>
  <c r="U1304" i="1"/>
  <c r="U1307" i="1"/>
  <c r="K1343" i="1"/>
  <c r="Q1343" i="1" s="1"/>
  <c r="R1346" i="1"/>
  <c r="R1343" i="1"/>
  <c r="U1341" i="1"/>
  <c r="K1357" i="1"/>
  <c r="S1402" i="1"/>
  <c r="U1373" i="1"/>
  <c r="R1383" i="1"/>
  <c r="J1434" i="1"/>
  <c r="Q1436" i="1"/>
  <c r="T1438" i="1"/>
  <c r="U1444" i="1"/>
  <c r="U1462" i="1"/>
  <c r="Q1442" i="1"/>
  <c r="T1473" i="1"/>
  <c r="U1495" i="1"/>
  <c r="U1569" i="1"/>
  <c r="K1571" i="1"/>
  <c r="Q1571" i="1" s="1"/>
  <c r="Q1568" i="1"/>
  <c r="U1568" i="1" s="1"/>
  <c r="T2122" i="1"/>
  <c r="R2122" i="1"/>
  <c r="J2175" i="1"/>
  <c r="R2175" i="1" s="1"/>
  <c r="U2233" i="1"/>
  <c r="R2253" i="1"/>
  <c r="Q2253" i="1"/>
  <c r="J2258" i="1"/>
  <c r="J2263" i="1" s="1"/>
  <c r="S2263" i="1" s="1"/>
  <c r="R149" i="1"/>
  <c r="U167" i="1"/>
  <c r="U172" i="1"/>
  <c r="U364" i="1"/>
  <c r="U367" i="1"/>
  <c r="S389" i="1"/>
  <c r="L293" i="4"/>
  <c r="O293" i="4" s="1"/>
  <c r="U463" i="1"/>
  <c r="U850" i="1"/>
  <c r="U892" i="1"/>
  <c r="U943" i="1"/>
  <c r="U969" i="1"/>
  <c r="U975" i="1"/>
  <c r="U978" i="1"/>
  <c r="U1042" i="1"/>
  <c r="J1138" i="1"/>
  <c r="Q1138" i="1" s="1"/>
  <c r="U1142" i="1"/>
  <c r="U1144" i="1"/>
  <c r="T1182" i="1"/>
  <c r="U1216" i="1"/>
  <c r="U1290" i="1"/>
  <c r="U1403" i="1"/>
  <c r="U1423" i="1"/>
  <c r="U1463" i="1"/>
  <c r="Q2090" i="1"/>
  <c r="U2090" i="1" s="1"/>
  <c r="K2092" i="1"/>
  <c r="Q2092" i="1" s="1"/>
  <c r="R2102" i="1"/>
  <c r="N2161" i="1"/>
  <c r="R2161" i="1" s="1"/>
  <c r="R2155" i="1"/>
  <c r="S2246" i="1"/>
  <c r="K2263" i="1"/>
  <c r="T2260" i="1"/>
  <c r="R2260" i="1"/>
  <c r="S2260" i="1"/>
  <c r="Q2338" i="1"/>
  <c r="U2338" i="1" s="1"/>
  <c r="K2342" i="1"/>
  <c r="Q2342" i="1" s="1"/>
  <c r="L238" i="4"/>
  <c r="O238" i="4" s="1"/>
  <c r="U443" i="1"/>
  <c r="U433" i="1"/>
  <c r="U450" i="1"/>
  <c r="U624" i="1"/>
  <c r="U658" i="1"/>
  <c r="R243" i="1"/>
  <c r="S651" i="1"/>
  <c r="U748" i="1"/>
  <c r="U751" i="1"/>
  <c r="U754" i="1"/>
  <c r="U766" i="1"/>
  <c r="S820" i="1"/>
  <c r="K844" i="1"/>
  <c r="Q844" i="1" s="1"/>
  <c r="U863" i="1"/>
  <c r="U865" i="1"/>
  <c r="U882" i="1"/>
  <c r="U887" i="1"/>
  <c r="S902" i="1"/>
  <c r="U914" i="1"/>
  <c r="L714" i="4"/>
  <c r="Q928" i="1"/>
  <c r="U927" i="1"/>
  <c r="S928" i="1"/>
  <c r="U954" i="1"/>
  <c r="U958" i="1"/>
  <c r="U960" i="1"/>
  <c r="L755" i="4"/>
  <c r="J972" i="1"/>
  <c r="J980" i="1" s="1"/>
  <c r="S980" i="1" s="1"/>
  <c r="R1015" i="1"/>
  <c r="K1051" i="1"/>
  <c r="Q1051" i="1" s="1"/>
  <c r="U1065" i="1"/>
  <c r="U1084" i="1"/>
  <c r="R1087" i="1"/>
  <c r="U1102" i="1"/>
  <c r="U1111" i="1"/>
  <c r="U1122" i="1"/>
  <c r="R1128" i="1"/>
  <c r="U1159" i="1"/>
  <c r="T1165" i="1"/>
  <c r="Q1165" i="1"/>
  <c r="S1255" i="1"/>
  <c r="S1258" i="1"/>
  <c r="J1264" i="1"/>
  <c r="J1270" i="1" s="1"/>
  <c r="R1270" i="1" s="1"/>
  <c r="K1254" i="1"/>
  <c r="Q1254" i="1" s="1"/>
  <c r="T1249" i="1"/>
  <c r="R1254" i="1"/>
  <c r="R1344" i="1"/>
  <c r="Q1402" i="1"/>
  <c r="L1407" i="1"/>
  <c r="U1410" i="1"/>
  <c r="T1425" i="1"/>
  <c r="T1442" i="1"/>
  <c r="U1467" i="1"/>
  <c r="R1473" i="1"/>
  <c r="U1518" i="1"/>
  <c r="U1481" i="1"/>
  <c r="J1861" i="1"/>
  <c r="S1861" i="1" s="1"/>
  <c r="Q1856" i="1"/>
  <c r="R1856" i="1"/>
  <c r="T1856" i="1"/>
  <c r="S2140" i="1"/>
  <c r="R2140" i="1"/>
  <c r="Q2331" i="1"/>
  <c r="U2331" i="1" s="1"/>
  <c r="K2335" i="1"/>
  <c r="Q2335" i="1" s="1"/>
  <c r="Q2676" i="1"/>
  <c r="U2676" i="1" s="1"/>
  <c r="K2682" i="1"/>
  <c r="Q2682" i="1" s="1"/>
  <c r="S163" i="1"/>
  <c r="U203" i="1"/>
  <c r="U263" i="1"/>
  <c r="T485" i="1"/>
  <c r="U526" i="1"/>
  <c r="L469" i="4"/>
  <c r="O469" i="4" s="1"/>
  <c r="U667" i="1"/>
  <c r="U670" i="1"/>
  <c r="U666" i="1"/>
  <c r="R671" i="1"/>
  <c r="U673" i="1"/>
  <c r="U678" i="1"/>
  <c r="U681" i="1"/>
  <c r="U685" i="1"/>
  <c r="U692" i="1"/>
  <c r="T699" i="1"/>
  <c r="R703" i="1"/>
  <c r="T739" i="1"/>
  <c r="U798" i="1"/>
  <c r="R802" i="1"/>
  <c r="U803" i="1"/>
  <c r="U806" i="1"/>
  <c r="U812" i="1"/>
  <c r="U814" i="1"/>
  <c r="L629" i="4"/>
  <c r="O629" i="4" s="1"/>
  <c r="U855" i="1"/>
  <c r="R857" i="1"/>
  <c r="L693" i="4"/>
  <c r="U923" i="1"/>
  <c r="U932" i="1"/>
  <c r="U950" i="1"/>
  <c r="U953" i="1"/>
  <c r="K971" i="1"/>
  <c r="Q971" i="1" s="1"/>
  <c r="S1022" i="1"/>
  <c r="U1014" i="1"/>
  <c r="U1041" i="1"/>
  <c r="U1044" i="1"/>
  <c r="U1059" i="1"/>
  <c r="T1085" i="1"/>
  <c r="R1081" i="1"/>
  <c r="L896" i="4"/>
  <c r="U1129" i="1"/>
  <c r="U1231" i="1"/>
  <c r="U1245" i="1"/>
  <c r="U1167" i="1"/>
  <c r="U1303" i="1"/>
  <c r="U1306" i="1"/>
  <c r="U1331" i="1"/>
  <c r="U1339" i="1"/>
  <c r="T1398" i="1"/>
  <c r="K1418" i="1"/>
  <c r="Q1418" i="1" s="1"/>
  <c r="T1472" i="1"/>
  <c r="Q1644" i="1"/>
  <c r="T1644" i="1"/>
  <c r="R1644" i="1"/>
  <c r="S1644" i="1"/>
  <c r="J1698" i="1"/>
  <c r="S1698" i="1" s="1"/>
  <c r="Q1693" i="1"/>
  <c r="R1693" i="1"/>
  <c r="S1693" i="1"/>
  <c r="R1724" i="1"/>
  <c r="S1724" i="1"/>
  <c r="R1884" i="1"/>
  <c r="Q1884" i="1"/>
  <c r="Q2004" i="1"/>
  <c r="T2004" i="1"/>
  <c r="R2199" i="1"/>
  <c r="Q2199" i="1"/>
  <c r="T2278" i="1"/>
  <c r="Q2278" i="1"/>
  <c r="R2278" i="1"/>
  <c r="U2598" i="1"/>
  <c r="U146" i="1"/>
  <c r="R168" i="1"/>
  <c r="U251" i="1"/>
  <c r="U441" i="1"/>
  <c r="U453" i="1"/>
  <c r="U480" i="1"/>
  <c r="U478" i="1"/>
  <c r="U498" i="1"/>
  <c r="U499" i="1"/>
  <c r="U466" i="1"/>
  <c r="U497" i="1"/>
  <c r="L411" i="4"/>
  <c r="O411" i="4" s="1"/>
  <c r="U661" i="1"/>
  <c r="U668" i="1"/>
  <c r="U672" i="1"/>
  <c r="U679" i="1"/>
  <c r="R690" i="1"/>
  <c r="U897" i="1"/>
  <c r="U903" i="1"/>
  <c r="T918" i="1"/>
  <c r="S987" i="1"/>
  <c r="S1015" i="1"/>
  <c r="U1019" i="1"/>
  <c r="U1058" i="1"/>
  <c r="U1057" i="1"/>
  <c r="U1074" i="1"/>
  <c r="Q1087" i="1"/>
  <c r="L864" i="4"/>
  <c r="T1096" i="1"/>
  <c r="R1097" i="1"/>
  <c r="S1165" i="1"/>
  <c r="K1227" i="1"/>
  <c r="Q1227" i="1" s="1"/>
  <c r="Q1258" i="1"/>
  <c r="U1187" i="1"/>
  <c r="U1252" i="1"/>
  <c r="U1267" i="1"/>
  <c r="U1271" i="1"/>
  <c r="S1293" i="1"/>
  <c r="U1312" i="1"/>
  <c r="U1315" i="1"/>
  <c r="Q1385" i="1"/>
  <c r="S1468" i="1"/>
  <c r="U1476" i="1"/>
  <c r="U1528" i="1"/>
  <c r="T1629" i="1"/>
  <c r="R1629" i="1"/>
  <c r="L1315" i="4"/>
  <c r="I1318" i="4"/>
  <c r="L1318" i="4" s="1"/>
  <c r="K1944" i="1"/>
  <c r="Q1944" i="1" s="1"/>
  <c r="Q1940" i="1"/>
  <c r="U1940" i="1" s="1"/>
  <c r="T2030" i="1"/>
  <c r="S2030" i="1"/>
  <c r="Q2030" i="1"/>
  <c r="T2125" i="1"/>
  <c r="S2125" i="1"/>
  <c r="R2125" i="1"/>
  <c r="U2156" i="1"/>
  <c r="L1851" i="4"/>
  <c r="S2448" i="1"/>
  <c r="R2448" i="1"/>
  <c r="T2448" i="1"/>
  <c r="S1559" i="1"/>
  <c r="Q1561" i="1"/>
  <c r="U1590" i="1"/>
  <c r="U1603" i="1"/>
  <c r="S1619" i="1"/>
  <c r="U1622" i="1"/>
  <c r="R1620" i="1"/>
  <c r="U1676" i="1"/>
  <c r="U1710" i="1"/>
  <c r="U1739" i="1"/>
  <c r="U1753" i="1"/>
  <c r="U1829" i="1"/>
  <c r="L1500" i="4"/>
  <c r="S1883" i="1"/>
  <c r="U1926" i="1"/>
  <c r="Q1946" i="1"/>
  <c r="U1946" i="1" s="1"/>
  <c r="L1569" i="4"/>
  <c r="U1949" i="1"/>
  <c r="R2006" i="1"/>
  <c r="T2034" i="1"/>
  <c r="S2057" i="1"/>
  <c r="Q2053" i="1"/>
  <c r="Q2073" i="1"/>
  <c r="K2072" i="1"/>
  <c r="Q2072" i="1" s="1"/>
  <c r="T2078" i="1"/>
  <c r="U2104" i="1"/>
  <c r="Q2124" i="1"/>
  <c r="R2141" i="1"/>
  <c r="Q2138" i="1"/>
  <c r="S2171" i="1"/>
  <c r="S2112" i="1"/>
  <c r="S2121" i="1"/>
  <c r="U2130" i="1"/>
  <c r="U2133" i="1"/>
  <c r="K2137" i="1"/>
  <c r="Q2137" i="1" s="1"/>
  <c r="T2141" i="1"/>
  <c r="U2146" i="1"/>
  <c r="Q2187" i="1"/>
  <c r="R2221" i="1"/>
  <c r="U2180" i="1"/>
  <c r="U2189" i="1"/>
  <c r="U2195" i="1"/>
  <c r="U2207" i="1"/>
  <c r="R2289" i="1"/>
  <c r="R2318" i="1"/>
  <c r="J2399" i="1"/>
  <c r="J2403" i="1" s="1"/>
  <c r="S2403" i="1" s="1"/>
  <c r="L2403" i="1"/>
  <c r="L2411" i="1" s="1"/>
  <c r="U2564" i="1"/>
  <c r="T2589" i="1"/>
  <c r="R2589" i="1"/>
  <c r="S2589" i="1"/>
  <c r="U1515" i="1"/>
  <c r="S1554" i="1"/>
  <c r="U1583" i="1"/>
  <c r="U1618" i="1"/>
  <c r="J1334" i="4"/>
  <c r="R1678" i="1"/>
  <c r="U1697" i="1"/>
  <c r="T1703" i="1"/>
  <c r="T1708" i="1"/>
  <c r="R1719" i="1"/>
  <c r="U1773" i="1"/>
  <c r="L1522" i="4"/>
  <c r="U2071" i="1"/>
  <c r="L1828" i="4"/>
  <c r="L1839" i="4"/>
  <c r="U2243" i="1"/>
  <c r="Q2246" i="1"/>
  <c r="U2247" i="1"/>
  <c r="U2266" i="1"/>
  <c r="Q2612" i="1"/>
  <c r="U2612" i="1" s="1"/>
  <c r="K2622" i="1"/>
  <c r="Q2622" i="1" s="1"/>
  <c r="R2624" i="1"/>
  <c r="S2624" i="1"/>
  <c r="U2637" i="1"/>
  <c r="K2727" i="1"/>
  <c r="Q2727" i="1" s="1"/>
  <c r="Q2722" i="1"/>
  <c r="U2722" i="1" s="1"/>
  <c r="U1494" i="1"/>
  <c r="T1500" i="1"/>
  <c r="U1530" i="1"/>
  <c r="M1532" i="1"/>
  <c r="R1571" i="1"/>
  <c r="R1575" i="1"/>
  <c r="Q1594" i="1"/>
  <c r="Q1614" i="1"/>
  <c r="K1619" i="1"/>
  <c r="Q1619" i="1" s="1"/>
  <c r="U1651" i="1"/>
  <c r="T1634" i="1"/>
  <c r="U1667" i="1"/>
  <c r="U1752" i="1"/>
  <c r="L1430" i="4"/>
  <c r="U1783" i="1"/>
  <c r="T1784" i="1"/>
  <c r="K1871" i="1"/>
  <c r="Q1871" i="1" s="1"/>
  <c r="L1509" i="4"/>
  <c r="R1883" i="1"/>
  <c r="L1528" i="4"/>
  <c r="L1902" i="1"/>
  <c r="U1907" i="1"/>
  <c r="U1912" i="1"/>
  <c r="U1914" i="1"/>
  <c r="L1560" i="4"/>
  <c r="R1935" i="1"/>
  <c r="K2003" i="1"/>
  <c r="Q2003" i="1" s="1"/>
  <c r="Q2034" i="1"/>
  <c r="T2033" i="1"/>
  <c r="U2085" i="1"/>
  <c r="U2091" i="1"/>
  <c r="S2092" i="1"/>
  <c r="L1732" i="4"/>
  <c r="K2155" i="1"/>
  <c r="K2161" i="1" s="1"/>
  <c r="Q2161" i="1" s="1"/>
  <c r="U2157" i="1"/>
  <c r="U2162" i="1"/>
  <c r="S2201" i="1"/>
  <c r="K2214" i="1"/>
  <c r="Q2214" i="1" s="1"/>
  <c r="S2219" i="1"/>
  <c r="Q2219" i="1"/>
  <c r="Q2228" i="1"/>
  <c r="S2552" i="1"/>
  <c r="R2552" i="1"/>
  <c r="Q2552" i="1"/>
  <c r="T2552" i="1"/>
  <c r="O2792" i="1"/>
  <c r="T3247" i="1"/>
  <c r="Q3247" i="1"/>
  <c r="S1500" i="1"/>
  <c r="K1500" i="1"/>
  <c r="Q1500" i="1" s="1"/>
  <c r="Q1504" i="1"/>
  <c r="T1571" i="1"/>
  <c r="T1575" i="1"/>
  <c r="S1678" i="1"/>
  <c r="K1741" i="1"/>
  <c r="Q1741" i="1" s="1"/>
  <c r="L1425" i="4"/>
  <c r="U1794" i="1"/>
  <c r="U1797" i="1"/>
  <c r="U1801" i="1"/>
  <c r="U1809" i="1"/>
  <c r="T1818" i="1"/>
  <c r="R1822" i="1"/>
  <c r="U1834" i="1"/>
  <c r="U1857" i="1"/>
  <c r="L1495" i="4"/>
  <c r="K1966" i="1"/>
  <c r="Q1966" i="1" s="1"/>
  <c r="U1980" i="1"/>
  <c r="U1991" i="1"/>
  <c r="U1999" i="1"/>
  <c r="U2037" i="1"/>
  <c r="U2038" i="1"/>
  <c r="U2023" i="1"/>
  <c r="U2106" i="1"/>
  <c r="U2145" i="1"/>
  <c r="U2238" i="1"/>
  <c r="Q2197" i="1"/>
  <c r="T2197" i="1"/>
  <c r="U2216" i="1"/>
  <c r="L1823" i="4"/>
  <c r="J1975" i="4"/>
  <c r="L1971" i="4"/>
  <c r="T2485" i="1"/>
  <c r="R2485" i="1"/>
  <c r="S2485" i="1"/>
  <c r="Q2502" i="1"/>
  <c r="S2502" i="1"/>
  <c r="T2502" i="1"/>
  <c r="R2502" i="1"/>
  <c r="U2526" i="1"/>
  <c r="U2548" i="1"/>
  <c r="U2645" i="1"/>
  <c r="T2727" i="1"/>
  <c r="Q2744" i="1"/>
  <c r="J2751" i="1"/>
  <c r="S2751" i="1" s="1"/>
  <c r="U1649" i="1"/>
  <c r="K1629" i="1"/>
  <c r="Q1629" i="1" s="1"/>
  <c r="U1716" i="1"/>
  <c r="U1717" i="1"/>
  <c r="U1749" i="1"/>
  <c r="U1770" i="1"/>
  <c r="L1444" i="4"/>
  <c r="U1831" i="1"/>
  <c r="L1474" i="4"/>
  <c r="K1855" i="1"/>
  <c r="Q1855" i="1" s="1"/>
  <c r="U1867" i="1"/>
  <c r="Q1883" i="1"/>
  <c r="U1892" i="1"/>
  <c r="L1542" i="4"/>
  <c r="Q1908" i="1"/>
  <c r="S1915" i="1"/>
  <c r="T1935" i="1"/>
  <c r="U1934" i="1"/>
  <c r="U1931" i="1"/>
  <c r="U1929" i="1"/>
  <c r="U1937" i="1"/>
  <c r="U1975" i="1"/>
  <c r="L1599" i="4"/>
  <c r="S2035" i="1"/>
  <c r="Q2033" i="1"/>
  <c r="T2046" i="1"/>
  <c r="S2053" i="1"/>
  <c r="R2077" i="1"/>
  <c r="Q2077" i="1"/>
  <c r="S2097" i="1"/>
  <c r="S2164" i="1"/>
  <c r="Q2127" i="1"/>
  <c r="U2111" i="1"/>
  <c r="U2117" i="1"/>
  <c r="U2152" i="1"/>
  <c r="S2187" i="1"/>
  <c r="U2193" i="1"/>
  <c r="U2244" i="1"/>
  <c r="T2246" i="1"/>
  <c r="S2317" i="1"/>
  <c r="L1908" i="4"/>
  <c r="U2327" i="1"/>
  <c r="L1916" i="4"/>
  <c r="U2336" i="1"/>
  <c r="U2339" i="1"/>
  <c r="U2341" i="1"/>
  <c r="U2640" i="1"/>
  <c r="U2756" i="1"/>
  <c r="S2777" i="1"/>
  <c r="R2777" i="1"/>
  <c r="T2777" i="1"/>
  <c r="J2785" i="1"/>
  <c r="M2291" i="1"/>
  <c r="M2295" i="1" s="1"/>
  <c r="M2299" i="1" s="1"/>
  <c r="M2303" i="1" s="1"/>
  <c r="M2307" i="1" s="1"/>
  <c r="U2298" i="1"/>
  <c r="U2310" i="1"/>
  <c r="I1949" i="4"/>
  <c r="S2379" i="1"/>
  <c r="S2447" i="1"/>
  <c r="N2419" i="1"/>
  <c r="R2419" i="1" s="1"/>
  <c r="Q2448" i="1"/>
  <c r="T2450" i="1"/>
  <c r="T2466" i="1"/>
  <c r="R2470" i="1"/>
  <c r="T2483" i="1"/>
  <c r="R2486" i="1"/>
  <c r="U2489" i="1"/>
  <c r="U2504" i="1"/>
  <c r="K2079" i="4"/>
  <c r="U2510" i="1"/>
  <c r="Q2520" i="1"/>
  <c r="Q2538" i="1"/>
  <c r="R2554" i="1"/>
  <c r="R2569" i="1"/>
  <c r="K2585" i="1"/>
  <c r="Q2585" i="1" s="1"/>
  <c r="T2585" i="1"/>
  <c r="S2592" i="1"/>
  <c r="Q2587" i="1"/>
  <c r="T2592" i="1"/>
  <c r="K2605" i="1"/>
  <c r="Q2605" i="1" s="1"/>
  <c r="U2638" i="1"/>
  <c r="U2653" i="1"/>
  <c r="Q2666" i="1"/>
  <c r="K2698" i="1"/>
  <c r="Q2698" i="1" s="1"/>
  <c r="T2706" i="1"/>
  <c r="U2717" i="1"/>
  <c r="S2727" i="1"/>
  <c r="Q2743" i="1"/>
  <c r="U2737" i="1"/>
  <c r="U2774" i="1"/>
  <c r="S2779" i="1"/>
  <c r="R2779" i="1"/>
  <c r="U2887" i="1"/>
  <c r="S2957" i="1"/>
  <c r="Q2957" i="1"/>
  <c r="L2564" i="4"/>
  <c r="L2566" i="4" s="1"/>
  <c r="K2566" i="4"/>
  <c r="Q3302" i="1"/>
  <c r="T3302" i="1"/>
  <c r="U3379" i="1"/>
  <c r="S3407" i="1"/>
  <c r="T3407" i="1"/>
  <c r="Q3407" i="1"/>
  <c r="R3407" i="1"/>
  <c r="U2351" i="1"/>
  <c r="U2396" i="1"/>
  <c r="U2629" i="1"/>
  <c r="U2630" i="1"/>
  <c r="L2287" i="4"/>
  <c r="S3133" i="1"/>
  <c r="R3133" i="1"/>
  <c r="T3133" i="1"/>
  <c r="Q3133" i="1"/>
  <c r="J3224" i="1"/>
  <c r="K3233" i="1"/>
  <c r="K3240" i="1" s="1"/>
  <c r="L2788" i="4"/>
  <c r="S3290" i="1"/>
  <c r="K3290" i="1"/>
  <c r="K3296" i="1" s="1"/>
  <c r="R3290" i="1"/>
  <c r="T3290" i="1"/>
  <c r="T3387" i="1"/>
  <c r="J3393" i="1"/>
  <c r="R3393" i="1" s="1"/>
  <c r="J3476" i="1"/>
  <c r="S3476" i="1" s="1"/>
  <c r="L3487" i="1"/>
  <c r="U3510" i="1"/>
  <c r="Q2379" i="1"/>
  <c r="U2384" i="1"/>
  <c r="U2387" i="1"/>
  <c r="U2402" i="1"/>
  <c r="U2444" i="1"/>
  <c r="U2445" i="1"/>
  <c r="S2451" i="1"/>
  <c r="U2474" i="1"/>
  <c r="U2479" i="1"/>
  <c r="S2487" i="1"/>
  <c r="U2497" i="1"/>
  <c r="U2496" i="1"/>
  <c r="U2493" i="1"/>
  <c r="S2499" i="1"/>
  <c r="L2071" i="4"/>
  <c r="U2540" i="1"/>
  <c r="U2545" i="1"/>
  <c r="T2551" i="1"/>
  <c r="L2116" i="4"/>
  <c r="U2557" i="1"/>
  <c r="U2567" i="1"/>
  <c r="S2569" i="1"/>
  <c r="J2655" i="1"/>
  <c r="Q2655" i="1" s="1"/>
  <c r="U2641" i="1"/>
  <c r="U2660" i="1"/>
  <c r="U2675" i="1"/>
  <c r="U2690" i="1"/>
  <c r="U2692" i="1"/>
  <c r="U2695" i="1"/>
  <c r="Q2706" i="1"/>
  <c r="U2709" i="1"/>
  <c r="R2735" i="1"/>
  <c r="R3111" i="1"/>
  <c r="T3111" i="1"/>
  <c r="S3206" i="1"/>
  <c r="Q3206" i="1"/>
  <c r="R3206" i="1"/>
  <c r="S3315" i="1"/>
  <c r="T3315" i="1"/>
  <c r="R3481" i="1"/>
  <c r="Q3481" i="1"/>
  <c r="L1942" i="4"/>
  <c r="U2441" i="1"/>
  <c r="Q2487" i="1"/>
  <c r="U2492" i="1"/>
  <c r="K2533" i="1"/>
  <c r="U2561" i="1"/>
  <c r="U2544" i="1"/>
  <c r="R2551" i="1"/>
  <c r="T2570" i="1"/>
  <c r="L2129" i="4"/>
  <c r="L2138" i="4"/>
  <c r="U2582" i="1"/>
  <c r="T2647" i="1"/>
  <c r="S2648" i="1"/>
  <c r="U2636" i="1"/>
  <c r="U2642" i="1"/>
  <c r="S2682" i="1"/>
  <c r="L2262" i="4"/>
  <c r="L2270" i="4"/>
  <c r="U2767" i="1"/>
  <c r="L2309" i="4"/>
  <c r="R2776" i="1"/>
  <c r="Q2779" i="1"/>
  <c r="Q2778" i="1"/>
  <c r="L2324" i="4"/>
  <c r="U2789" i="1"/>
  <c r="L2331" i="4"/>
  <c r="S2812" i="1"/>
  <c r="Q2812" i="1"/>
  <c r="L2851" i="1"/>
  <c r="J2844" i="1"/>
  <c r="S2844" i="1" s="1"/>
  <c r="K3176" i="1"/>
  <c r="J3168" i="1"/>
  <c r="J3176" i="1" s="1"/>
  <c r="J3296" i="1"/>
  <c r="R3296" i="1" s="1"/>
  <c r="R3315" i="1"/>
  <c r="R3334" i="1"/>
  <c r="Q3334" i="1"/>
  <c r="S3334" i="1"/>
  <c r="T3334" i="1"/>
  <c r="Q3459" i="1"/>
  <c r="R3459" i="1"/>
  <c r="U2304" i="1"/>
  <c r="L1900" i="4"/>
  <c r="U2340" i="1"/>
  <c r="S2342" i="1"/>
  <c r="U2410" i="1"/>
  <c r="U2407" i="1"/>
  <c r="T2419" i="1"/>
  <c r="U2442" i="1"/>
  <c r="L2030" i="4"/>
  <c r="U2458" i="1"/>
  <c r="U2462" i="1"/>
  <c r="U2465" i="1"/>
  <c r="S2466" i="1"/>
  <c r="L2038" i="4"/>
  <c r="Q2469" i="1"/>
  <c r="Q2486" i="1"/>
  <c r="U2488" i="1"/>
  <c r="U2490" i="1"/>
  <c r="R2515" i="1"/>
  <c r="R2520" i="1"/>
  <c r="U2521" i="1"/>
  <c r="U2525" i="1"/>
  <c r="U2529" i="1"/>
  <c r="U2528" i="1"/>
  <c r="S2538" i="1"/>
  <c r="Q2534" i="1"/>
  <c r="T2554" i="1"/>
  <c r="S2570" i="1"/>
  <c r="M2568" i="1"/>
  <c r="R2647" i="1"/>
  <c r="R2648" i="1"/>
  <c r="U2616" i="1"/>
  <c r="U2618" i="1"/>
  <c r="U2632" i="1"/>
  <c r="U2628" i="1"/>
  <c r="K2633" i="1"/>
  <c r="U2639" i="1"/>
  <c r="U2673" i="1"/>
  <c r="T2682" i="1"/>
  <c r="K2714" i="1"/>
  <c r="Q2714" i="1" s="1"/>
  <c r="U2723" i="1"/>
  <c r="T2761" i="1"/>
  <c r="U2781" i="1"/>
  <c r="L2584" i="4"/>
  <c r="L2587" i="4" s="1"/>
  <c r="K2587" i="4"/>
  <c r="R3098" i="1"/>
  <c r="S3098" i="1"/>
  <c r="U3144" i="1"/>
  <c r="Q3171" i="1"/>
  <c r="S3171" i="1"/>
  <c r="T3206" i="1"/>
  <c r="Q3259" i="1"/>
  <c r="R3259" i="1"/>
  <c r="R3440" i="1"/>
  <c r="T3440" i="1"/>
  <c r="U3454" i="1"/>
  <c r="R3475" i="1"/>
  <c r="S3514" i="1"/>
  <c r="R3514" i="1"/>
  <c r="Q3514" i="1"/>
  <c r="L2339" i="4"/>
  <c r="U2801" i="1"/>
  <c r="U2804" i="1"/>
  <c r="U2807" i="1"/>
  <c r="U2821" i="1"/>
  <c r="U2824" i="1"/>
  <c r="U2902" i="1"/>
  <c r="U2904" i="1"/>
  <c r="U2908" i="1"/>
  <c r="U2961" i="1"/>
  <c r="T2991" i="1"/>
  <c r="U3036" i="1"/>
  <c r="U3102" i="1"/>
  <c r="S3134" i="1"/>
  <c r="U3213" i="1"/>
  <c r="U3211" i="1"/>
  <c r="T3243" i="1"/>
  <c r="T3260" i="1"/>
  <c r="U3228" i="1"/>
  <c r="U3235" i="1"/>
  <c r="U3238" i="1"/>
  <c r="U3251" i="1"/>
  <c r="U3253" i="1"/>
  <c r="U3277" i="1"/>
  <c r="T3279" i="1"/>
  <c r="U3291" i="1"/>
  <c r="U3331" i="1"/>
  <c r="U3328" i="1"/>
  <c r="T3336" i="1"/>
  <c r="S3336" i="1"/>
  <c r="U3346" i="1"/>
  <c r="U3363" i="1"/>
  <c r="U3391" i="1"/>
  <c r="U3384" i="1"/>
  <c r="L2952" i="4"/>
  <c r="U3413" i="1"/>
  <c r="S3425" i="1"/>
  <c r="U3452" i="1"/>
  <c r="L2996" i="4"/>
  <c r="J3458" i="1"/>
  <c r="Q3477" i="1"/>
  <c r="R3484" i="1"/>
  <c r="J3496" i="1"/>
  <c r="Q3496" i="1" s="1"/>
  <c r="S3511" i="1"/>
  <c r="R3528" i="1"/>
  <c r="U2814" i="1"/>
  <c r="U2831" i="1"/>
  <c r="U2834" i="1"/>
  <c r="U2841" i="1"/>
  <c r="U2913" i="1"/>
  <c r="U2886" i="1"/>
  <c r="U2897" i="1"/>
  <c r="U2989" i="1"/>
  <c r="U3019" i="1"/>
  <c r="T3024" i="1"/>
  <c r="U3139" i="1"/>
  <c r="L2811" i="4"/>
  <c r="L2829" i="4"/>
  <c r="U3401" i="1"/>
  <c r="L2987" i="4"/>
  <c r="T3475" i="1"/>
  <c r="U3490" i="1"/>
  <c r="T2894" i="1"/>
  <c r="L2479" i="4"/>
  <c r="U3032" i="1"/>
  <c r="U3086" i="1"/>
  <c r="U3100" i="1"/>
  <c r="Q3169" i="1"/>
  <c r="U3190" i="1"/>
  <c r="U3193" i="1"/>
  <c r="L2737" i="4"/>
  <c r="L2758" i="4"/>
  <c r="U3236" i="1"/>
  <c r="U3237" i="1"/>
  <c r="U3239" i="1"/>
  <c r="U3293" i="1"/>
  <c r="U3337" i="1"/>
  <c r="U3360" i="1"/>
  <c r="U3416" i="1"/>
  <c r="S3419" i="1"/>
  <c r="U3445" i="1"/>
  <c r="Q3513" i="1"/>
  <c r="J3512" i="1"/>
  <c r="J3519" i="1" s="1"/>
  <c r="U3535" i="1"/>
  <c r="L2398" i="4"/>
  <c r="L2407" i="4"/>
  <c r="U2882" i="1"/>
  <c r="L2417" i="4"/>
  <c r="U2878" i="1"/>
  <c r="U2941" i="1"/>
  <c r="U2979" i="1"/>
  <c r="U2985" i="1"/>
  <c r="U2987" i="1"/>
  <c r="U3060" i="1"/>
  <c r="U3078" i="1"/>
  <c r="U3118" i="1"/>
  <c r="U3194" i="1"/>
  <c r="U3210" i="1"/>
  <c r="U3231" i="1"/>
  <c r="J3223" i="1"/>
  <c r="R3223" i="1" s="1"/>
  <c r="U3252" i="1"/>
  <c r="U3257" i="1"/>
  <c r="U3256" i="1"/>
  <c r="U3255" i="1"/>
  <c r="U3275" i="1"/>
  <c r="U3287" i="1"/>
  <c r="U3322" i="1"/>
  <c r="U3324" i="1"/>
  <c r="U3339" i="1"/>
  <c r="U3410" i="1"/>
  <c r="U3436" i="1"/>
  <c r="U3447" i="1"/>
  <c r="L3027" i="4"/>
  <c r="L3052" i="4"/>
  <c r="R3513" i="1"/>
  <c r="U3517" i="1"/>
  <c r="U3532" i="1"/>
  <c r="U2934" i="1"/>
  <c r="U2944" i="1"/>
  <c r="Q2945" i="1"/>
  <c r="U2966" i="1"/>
  <c r="U3013" i="1"/>
  <c r="U3018" i="1"/>
  <c r="U3020" i="1"/>
  <c r="U3021" i="1"/>
  <c r="U3033" i="1"/>
  <c r="U3051" i="1"/>
  <c r="U3061" i="1"/>
  <c r="T3151" i="1"/>
  <c r="K3148" i="1"/>
  <c r="Q3148" i="1" s="1"/>
  <c r="Q3204" i="1"/>
  <c r="T3209" i="1"/>
  <c r="R3261" i="1"/>
  <c r="R3298" i="1"/>
  <c r="Q3299" i="1"/>
  <c r="U3314" i="1"/>
  <c r="U3282" i="1"/>
  <c r="U3377" i="1"/>
  <c r="K3395" i="1"/>
  <c r="Q3395" i="1" s="1"/>
  <c r="R3404" i="1"/>
  <c r="L2935" i="4"/>
  <c r="U3399" i="1"/>
  <c r="L2967" i="4"/>
  <c r="U3427" i="1"/>
  <c r="U3494" i="1"/>
  <c r="R3526" i="1"/>
  <c r="K142" i="4"/>
  <c r="I156" i="4"/>
  <c r="L156" i="4" s="1"/>
  <c r="O156" i="4" s="1"/>
  <c r="L152" i="4"/>
  <c r="S211" i="1"/>
  <c r="R212" i="1"/>
  <c r="L140" i="4"/>
  <c r="J156" i="4"/>
  <c r="I142" i="4"/>
  <c r="L142" i="4" s="1"/>
  <c r="O142" i="4" s="1"/>
  <c r="L138" i="4"/>
  <c r="Q212" i="1"/>
  <c r="J142" i="4"/>
  <c r="L139" i="4"/>
  <c r="L155" i="4"/>
  <c r="T212" i="1"/>
  <c r="S212" i="1"/>
  <c r="Q211" i="1"/>
  <c r="L154" i="4"/>
  <c r="L141" i="4"/>
  <c r="K156" i="4"/>
  <c r="R211" i="1"/>
  <c r="T211" i="1"/>
  <c r="U1139" i="1"/>
  <c r="S545" i="1"/>
  <c r="S1156" i="1"/>
  <c r="T327" i="1"/>
  <c r="T574" i="1"/>
  <c r="U103" i="1"/>
  <c r="Y103" i="1" s="1"/>
  <c r="R430" i="1"/>
  <c r="U57" i="1"/>
  <c r="U219" i="1"/>
  <c r="U444" i="1"/>
  <c r="U461" i="1"/>
  <c r="K934" i="1"/>
  <c r="Q934" i="1" s="1"/>
  <c r="Q929" i="1"/>
  <c r="U929" i="1" s="1"/>
  <c r="U942" i="1"/>
  <c r="T1037" i="1"/>
  <c r="R1037" i="1"/>
  <c r="U1031" i="1"/>
  <c r="T1099" i="1"/>
  <c r="R1099" i="1"/>
  <c r="S1099" i="1"/>
  <c r="J1106" i="1"/>
  <c r="T1106" i="1" s="1"/>
  <c r="Q1099" i="1"/>
  <c r="U1108" i="1"/>
  <c r="K879" i="1"/>
  <c r="Q879" i="1" s="1"/>
  <c r="Q877" i="1"/>
  <c r="U877" i="1" s="1"/>
  <c r="Q1488" i="1"/>
  <c r="U1488" i="1" s="1"/>
  <c r="T545" i="1"/>
  <c r="K181" i="1"/>
  <c r="Q181" i="1" s="1"/>
  <c r="R333" i="1"/>
  <c r="Q333" i="1"/>
  <c r="Q957" i="1"/>
  <c r="U957" i="1" s="1"/>
  <c r="K962" i="1"/>
  <c r="Q962" i="1" s="1"/>
  <c r="K1061" i="1"/>
  <c r="K1069" i="1" s="1"/>
  <c r="Q1069" i="1" s="1"/>
  <c r="J1052" i="1"/>
  <c r="U1067" i="1"/>
  <c r="T1125" i="1"/>
  <c r="R1125" i="1"/>
  <c r="L908" i="4"/>
  <c r="Q1149" i="1"/>
  <c r="R1149" i="1"/>
  <c r="S1149" i="1"/>
  <c r="S48" i="1"/>
  <c r="J51" i="1"/>
  <c r="T333" i="1"/>
  <c r="R592" i="1"/>
  <c r="Q374" i="1"/>
  <c r="Q438" i="1"/>
  <c r="S438" i="1"/>
  <c r="R438" i="1"/>
  <c r="T935" i="1"/>
  <c r="S935" i="1"/>
  <c r="K935" i="1"/>
  <c r="Q935" i="1" s="1"/>
  <c r="S993" i="1"/>
  <c r="T993" i="1"/>
  <c r="Q990" i="1"/>
  <c r="U990" i="1" s="1"/>
  <c r="K993" i="1"/>
  <c r="Q993" i="1" s="1"/>
  <c r="Q1007" i="1"/>
  <c r="U1007" i="1" s="1"/>
  <c r="K1010" i="1"/>
  <c r="Q1010" i="1" s="1"/>
  <c r="T971" i="1"/>
  <c r="Q1533" i="1"/>
  <c r="U1533" i="1" s="1"/>
  <c r="K1156" i="1"/>
  <c r="Q1156" i="1" s="1"/>
  <c r="T48" i="1"/>
  <c r="U590" i="1"/>
  <c r="U819" i="1"/>
  <c r="J939" i="1"/>
  <c r="R939" i="1" s="1"/>
  <c r="U940" i="1"/>
  <c r="R1001" i="1"/>
  <c r="T1001" i="1"/>
  <c r="J1045" i="1"/>
  <c r="S1045" i="1" s="1"/>
  <c r="Q1038" i="1"/>
  <c r="U1083" i="1"/>
  <c r="K1112" i="1"/>
  <c r="Q1112" i="1" s="1"/>
  <c r="Q1107" i="1"/>
  <c r="U1107" i="1" s="1"/>
  <c r="T1113" i="1"/>
  <c r="S1113" i="1"/>
  <c r="R1113" i="1"/>
  <c r="Q1113" i="1"/>
  <c r="Q1116" i="1"/>
  <c r="R1116" i="1"/>
  <c r="K1125" i="1"/>
  <c r="Q1125" i="1" s="1"/>
  <c r="Q1123" i="1"/>
  <c r="U1123" i="1" s="1"/>
  <c r="K1015" i="1"/>
  <c r="Q1015" i="1" s="1"/>
  <c r="Q1011" i="1"/>
  <c r="U1011" i="1" s="1"/>
  <c r="T790" i="1"/>
  <c r="S592" i="1"/>
  <c r="R374" i="1"/>
  <c r="R545" i="1"/>
  <c r="U61" i="1"/>
  <c r="U615" i="1"/>
  <c r="R654" i="1"/>
  <c r="S654" i="1"/>
  <c r="T654" i="1"/>
  <c r="R859" i="1"/>
  <c r="S859" i="1"/>
  <c r="K1076" i="1"/>
  <c r="J1070" i="1"/>
  <c r="J1076" i="1" s="1"/>
  <c r="U551" i="1"/>
  <c r="U62" i="1"/>
  <c r="K83" i="1"/>
  <c r="Q83" i="1" s="1"/>
  <c r="U100" i="1"/>
  <c r="U104" i="1"/>
  <c r="U123" i="1"/>
  <c r="U125" i="1"/>
  <c r="Q149" i="1"/>
  <c r="U161" i="1"/>
  <c r="S200" i="1"/>
  <c r="U197" i="1"/>
  <c r="U208" i="1"/>
  <c r="U209" i="1"/>
  <c r="U220" i="1"/>
  <c r="U224" i="1"/>
  <c r="U241" i="1"/>
  <c r="U254" i="1"/>
  <c r="Q257" i="1"/>
  <c r="T322" i="1"/>
  <c r="L250" i="4"/>
  <c r="O250" i="4" s="1"/>
  <c r="Q343" i="1"/>
  <c r="R385" i="1"/>
  <c r="U424" i="1"/>
  <c r="U445" i="1"/>
  <c r="U530" i="1"/>
  <c r="U607" i="1"/>
  <c r="T247" i="1"/>
  <c r="U239" i="1"/>
  <c r="Q640" i="1"/>
  <c r="U704" i="1"/>
  <c r="U706" i="1"/>
  <c r="U707" i="1"/>
  <c r="S709" i="1"/>
  <c r="U711" i="1"/>
  <c r="U713" i="1"/>
  <c r="S717" i="1"/>
  <c r="U715" i="1"/>
  <c r="U716" i="1"/>
  <c r="U719" i="1"/>
  <c r="U721" i="1"/>
  <c r="U930" i="1"/>
  <c r="U961" i="1"/>
  <c r="S962" i="1"/>
  <c r="U968" i="1"/>
  <c r="S971" i="1"/>
  <c r="L771" i="4"/>
  <c r="U989" i="1"/>
  <c r="U991" i="1"/>
  <c r="U996" i="1"/>
  <c r="U1004" i="1"/>
  <c r="U1008" i="1"/>
  <c r="S1020" i="1"/>
  <c r="U1025" i="1"/>
  <c r="L826" i="4"/>
  <c r="U1079" i="1"/>
  <c r="S1085" i="1"/>
  <c r="T1081" i="1"/>
  <c r="U1101" i="1"/>
  <c r="R1148" i="1"/>
  <c r="U1152" i="1"/>
  <c r="U302" i="1"/>
  <c r="U270" i="1"/>
  <c r="U9" i="1"/>
  <c r="U32" i="1"/>
  <c r="U34" i="1"/>
  <c r="R46" i="1"/>
  <c r="Q45" i="1"/>
  <c r="U45" i="1" s="1"/>
  <c r="S7" i="1"/>
  <c r="U68" i="1"/>
  <c r="U70" i="1"/>
  <c r="U79" i="1"/>
  <c r="U86" i="1"/>
  <c r="U81" i="1"/>
  <c r="U147" i="1"/>
  <c r="U160" i="1"/>
  <c r="U180" i="1"/>
  <c r="U184" i="1"/>
  <c r="U186" i="1"/>
  <c r="U188" i="1"/>
  <c r="U183" i="1"/>
  <c r="U191" i="1"/>
  <c r="U193" i="1"/>
  <c r="U258" i="1"/>
  <c r="M262" i="1"/>
  <c r="U245" i="1"/>
  <c r="U248" i="1"/>
  <c r="U272" i="1"/>
  <c r="U275" i="1"/>
  <c r="U277" i="1"/>
  <c r="Q280" i="1"/>
  <c r="U281" i="1"/>
  <c r="U284" i="1"/>
  <c r="U289" i="1"/>
  <c r="T291" i="1"/>
  <c r="U306" i="1"/>
  <c r="U395" i="1"/>
  <c r="U323" i="1"/>
  <c r="R353" i="1"/>
  <c r="L264" i="4"/>
  <c r="O264" i="4" s="1"/>
  <c r="K371" i="1"/>
  <c r="Q371" i="1" s="1"/>
  <c r="U383" i="1"/>
  <c r="U405" i="1"/>
  <c r="U407" i="1"/>
  <c r="S408" i="1"/>
  <c r="L297" i="4"/>
  <c r="L301" i="4"/>
  <c r="O301" i="4" s="1"/>
  <c r="R504" i="1"/>
  <c r="L371" i="4"/>
  <c r="O371" i="4" s="1"/>
  <c r="U518" i="1"/>
  <c r="U521" i="1"/>
  <c r="U516" i="1"/>
  <c r="U527" i="1"/>
  <c r="L395" i="4"/>
  <c r="L406" i="4"/>
  <c r="O406" i="4" s="1"/>
  <c r="L422" i="4"/>
  <c r="O422" i="4" s="1"/>
  <c r="L427" i="4"/>
  <c r="O427" i="4" s="1"/>
  <c r="U596" i="1"/>
  <c r="L432" i="4"/>
  <c r="O432" i="4" s="1"/>
  <c r="U648" i="1"/>
  <c r="U664" i="1"/>
  <c r="T671" i="1"/>
  <c r="S690" i="1"/>
  <c r="L534" i="4"/>
  <c r="O534" i="4" s="1"/>
  <c r="T703" i="1"/>
  <c r="L643" i="4"/>
  <c r="O643" i="4" s="1"/>
  <c r="L651" i="4"/>
  <c r="L686" i="4"/>
  <c r="O686" i="4" s="1"/>
  <c r="U886" i="1"/>
  <c r="U895" i="1"/>
  <c r="U896" i="1"/>
  <c r="U900" i="1"/>
  <c r="Q902" i="1"/>
  <c r="U904" i="1"/>
  <c r="U906" i="1"/>
  <c r="U907" i="1"/>
  <c r="U917" i="1"/>
  <c r="S918" i="1"/>
  <c r="U926" i="1"/>
  <c r="U944" i="1"/>
  <c r="U951" i="1"/>
  <c r="U952" i="1"/>
  <c r="U955" i="1"/>
  <c r="T973" i="1"/>
  <c r="U982" i="1"/>
  <c r="U984" i="1"/>
  <c r="U1006" i="1"/>
  <c r="U1029" i="1"/>
  <c r="U1033" i="1"/>
  <c r="S1037" i="1"/>
  <c r="U1035" i="1"/>
  <c r="U1046" i="1"/>
  <c r="U1050" i="1"/>
  <c r="U1082" i="1"/>
  <c r="U1089" i="1"/>
  <c r="U1095" i="1"/>
  <c r="L885" i="4"/>
  <c r="L892" i="4"/>
  <c r="S1213" i="1"/>
  <c r="T1213" i="1"/>
  <c r="U553" i="1"/>
  <c r="U552" i="1"/>
  <c r="U351" i="1"/>
  <c r="S15" i="1"/>
  <c r="U26" i="1"/>
  <c r="U12" i="1"/>
  <c r="Y12" i="1" s="1"/>
  <c r="U19" i="1"/>
  <c r="Y19" i="1" s="1"/>
  <c r="U33" i="1"/>
  <c r="Y33" i="1" s="1"/>
  <c r="U97" i="1"/>
  <c r="S110" i="1"/>
  <c r="U122" i="1"/>
  <c r="R134" i="1"/>
  <c r="Q171" i="1"/>
  <c r="U201" i="1"/>
  <c r="U205" i="1"/>
  <c r="Q210" i="1"/>
  <c r="U213" i="1"/>
  <c r="U221" i="1"/>
  <c r="U222" i="1"/>
  <c r="U225" i="1"/>
  <c r="U235" i="1"/>
  <c r="U240" i="1"/>
  <c r="U253" i="1"/>
  <c r="U256" i="1"/>
  <c r="L186" i="4"/>
  <c r="U297" i="1"/>
  <c r="U305" i="1"/>
  <c r="R314" i="1"/>
  <c r="U316" i="1"/>
  <c r="R343" i="1"/>
  <c r="L279" i="4"/>
  <c r="O279" i="4" s="1"/>
  <c r="R446" i="1"/>
  <c r="R454" i="1"/>
  <c r="U489" i="1"/>
  <c r="L377" i="4"/>
  <c r="R568" i="1"/>
  <c r="R579" i="1"/>
  <c r="U593" i="1"/>
  <c r="U595" i="1"/>
  <c r="R601" i="1"/>
  <c r="T612" i="1"/>
  <c r="U614" i="1"/>
  <c r="T617" i="1"/>
  <c r="T732" i="1"/>
  <c r="U740" i="1"/>
  <c r="U851" i="1"/>
  <c r="L708" i="4"/>
  <c r="O708" i="4" s="1"/>
  <c r="U919" i="1"/>
  <c r="U931" i="1"/>
  <c r="L742" i="4"/>
  <c r="U995" i="1"/>
  <c r="J1005" i="1"/>
  <c r="Q1005" i="1" s="1"/>
  <c r="U1003" i="1"/>
  <c r="U1024" i="1"/>
  <c r="L806" i="4"/>
  <c r="U1120" i="1"/>
  <c r="Q1181" i="1"/>
  <c r="U1181" i="1" s="1"/>
  <c r="K1182" i="1"/>
  <c r="Q1182" i="1" s="1"/>
  <c r="Q402" i="1"/>
  <c r="K15" i="1"/>
  <c r="Q15" i="1" s="1"/>
  <c r="U13" i="1"/>
  <c r="Y13" i="1" s="1"/>
  <c r="U41" i="1"/>
  <c r="L10" i="4"/>
  <c r="O10" i="4" s="1"/>
  <c r="L36" i="4"/>
  <c r="O36" i="4" s="1"/>
  <c r="U52" i="1"/>
  <c r="Y52" i="1" s="1"/>
  <c r="L43" i="4"/>
  <c r="O43" i="4" s="1"/>
  <c r="L65" i="4"/>
  <c r="O65" i="4" s="1"/>
  <c r="U96" i="1"/>
  <c r="R102" i="1"/>
  <c r="R106" i="1"/>
  <c r="U129" i="1"/>
  <c r="L118" i="4"/>
  <c r="O118" i="4" s="1"/>
  <c r="U174" i="1"/>
  <c r="L132" i="4"/>
  <c r="O132" i="4" s="1"/>
  <c r="U196" i="1"/>
  <c r="L160" i="4"/>
  <c r="O160" i="4" s="1"/>
  <c r="U230" i="1"/>
  <c r="U227" i="1"/>
  <c r="L171" i="4"/>
  <c r="U234" i="1"/>
  <c r="S238" i="1"/>
  <c r="R402" i="1"/>
  <c r="S430" i="1"/>
  <c r="T434" i="1"/>
  <c r="U451" i="1"/>
  <c r="U460" i="1"/>
  <c r="U462" i="1"/>
  <c r="R609" i="1"/>
  <c r="S612" i="1"/>
  <c r="S617" i="1"/>
  <c r="U771" i="1"/>
  <c r="U774" i="1"/>
  <c r="U777" i="1"/>
  <c r="U782" i="1"/>
  <c r="U785" i="1"/>
  <c r="U791" i="1"/>
  <c r="U793" i="1"/>
  <c r="U824" i="1"/>
  <c r="U818" i="1"/>
  <c r="K840" i="1"/>
  <c r="Q840" i="1" s="1"/>
  <c r="R840" i="1"/>
  <c r="U842" i="1"/>
  <c r="U849" i="1"/>
  <c r="T859" i="1"/>
  <c r="U864" i="1"/>
  <c r="U909" i="1"/>
  <c r="U911" i="1"/>
  <c r="U938" i="1"/>
  <c r="U959" i="1"/>
  <c r="U997" i="1"/>
  <c r="U994" i="1"/>
  <c r="L780" i="4"/>
  <c r="S1000" i="1"/>
  <c r="R1020" i="1"/>
  <c r="U1062" i="1"/>
  <c r="U1066" i="1"/>
  <c r="U1072" i="1"/>
  <c r="U1110" i="1"/>
  <c r="R1112" i="1"/>
  <c r="U1117" i="1"/>
  <c r="U1121" i="1"/>
  <c r="U1395" i="1"/>
  <c r="U632" i="1"/>
  <c r="U573" i="1"/>
  <c r="U572" i="1"/>
  <c r="U269" i="1"/>
  <c r="U17" i="1"/>
  <c r="U85" i="1"/>
  <c r="U80" i="1"/>
  <c r="Q78" i="1"/>
  <c r="U78" i="1" s="1"/>
  <c r="Y78" i="1" s="1"/>
  <c r="U133" i="1"/>
  <c r="U178" i="1"/>
  <c r="S185" i="1"/>
  <c r="U187" i="1"/>
  <c r="R190" i="1"/>
  <c r="U192" i="1"/>
  <c r="U194" i="1"/>
  <c r="U216" i="1"/>
  <c r="R233" i="1"/>
  <c r="U229" i="1"/>
  <c r="U226" i="1"/>
  <c r="U237" i="1"/>
  <c r="U261" i="1"/>
  <c r="U246" i="1"/>
  <c r="U249" i="1"/>
  <c r="U274" i="1"/>
  <c r="R280" i="1"/>
  <c r="U288" i="1"/>
  <c r="Q291" i="1"/>
  <c r="S304" i="1"/>
  <c r="U307" i="1"/>
  <c r="U326" i="1"/>
  <c r="S327" i="1"/>
  <c r="U425" i="1"/>
  <c r="U522" i="1"/>
  <c r="U517" i="1"/>
  <c r="U525" i="1"/>
  <c r="U720" i="1"/>
  <c r="U753" i="1"/>
  <c r="R755" i="1"/>
  <c r="U758" i="1"/>
  <c r="U762" i="1"/>
  <c r="U770" i="1"/>
  <c r="S767" i="1"/>
  <c r="S772" i="1"/>
  <c r="K772" i="1"/>
  <c r="Q772" i="1" s="1"/>
  <c r="U817" i="1"/>
  <c r="U823" i="1"/>
  <c r="U826" i="1"/>
  <c r="U831" i="1"/>
  <c r="U889" i="1"/>
  <c r="U890" i="1"/>
  <c r="U899" i="1"/>
  <c r="U901" i="1"/>
  <c r="U925" i="1"/>
  <c r="U983" i="1"/>
  <c r="U985" i="1"/>
  <c r="U988" i="1"/>
  <c r="U992" i="1"/>
  <c r="S998" i="1"/>
  <c r="U1047" i="1"/>
  <c r="L835" i="4"/>
  <c r="U1063" i="1"/>
  <c r="U1068" i="1"/>
  <c r="L857" i="4"/>
  <c r="U1109" i="1"/>
  <c r="S1133" i="1"/>
  <c r="L917" i="4"/>
  <c r="L924" i="4"/>
  <c r="S1161" i="1"/>
  <c r="L950" i="4"/>
  <c r="K1225" i="1"/>
  <c r="Q1225" i="1" s="1"/>
  <c r="U1251" i="1"/>
  <c r="U1305" i="1"/>
  <c r="J1352" i="1"/>
  <c r="S1352" i="1" s="1"/>
  <c r="Q1347" i="1"/>
  <c r="U1361" i="1"/>
  <c r="J1399" i="1"/>
  <c r="Q1399" i="1" s="1"/>
  <c r="T1369" i="1"/>
  <c r="U1375" i="1"/>
  <c r="U1397" i="1"/>
  <c r="Q1416" i="1"/>
  <c r="U1416" i="1" s="1"/>
  <c r="S1414" i="1"/>
  <c r="T1418" i="1"/>
  <c r="U1432" i="1"/>
  <c r="S1442" i="1"/>
  <c r="U1447" i="1"/>
  <c r="U1452" i="1"/>
  <c r="U1459" i="1"/>
  <c r="K1483" i="1"/>
  <c r="Q1483" i="1" s="1"/>
  <c r="S1492" i="1"/>
  <c r="S1510" i="1"/>
  <c r="K1516" i="1"/>
  <c r="Q1516" i="1" s="1"/>
  <c r="R1508" i="1"/>
  <c r="U1535" i="1"/>
  <c r="R1536" i="1"/>
  <c r="U1560" i="1"/>
  <c r="U1572" i="1"/>
  <c r="Q1575" i="1"/>
  <c r="U1577" i="1"/>
  <c r="U1598" i="1"/>
  <c r="U1607" i="1"/>
  <c r="U1606" i="1"/>
  <c r="R1609" i="1"/>
  <c r="U1630" i="1"/>
  <c r="L1322" i="4"/>
  <c r="R1642" i="1"/>
  <c r="U1654" i="1"/>
  <c r="L1330" i="4"/>
  <c r="U1637" i="1"/>
  <c r="U1657" i="1"/>
  <c r="K1660" i="1"/>
  <c r="Q1660" i="1" s="1"/>
  <c r="R1662" i="1"/>
  <c r="L1346" i="4"/>
  <c r="U1669" i="1"/>
  <c r="U1666" i="1"/>
  <c r="K1670" i="1"/>
  <c r="Q1670" i="1" s="1"/>
  <c r="R1670" i="1"/>
  <c r="U1672" i="1"/>
  <c r="U1681" i="1"/>
  <c r="R1682" i="1"/>
  <c r="R1687" i="1"/>
  <c r="T1750" i="1"/>
  <c r="R1750" i="1"/>
  <c r="S1750" i="1"/>
  <c r="R1185" i="1"/>
  <c r="T1185" i="1"/>
  <c r="U1241" i="1"/>
  <c r="U1246" i="1"/>
  <c r="U1247" i="1"/>
  <c r="S1343" i="1"/>
  <c r="R1369" i="1"/>
  <c r="U1376" i="1"/>
  <c r="R1421" i="1"/>
  <c r="U1471" i="1"/>
  <c r="U1477" i="1"/>
  <c r="U1480" i="1"/>
  <c r="Q1492" i="1"/>
  <c r="J1496" i="1"/>
  <c r="Q1496" i="1" s="1"/>
  <c r="J1512" i="1"/>
  <c r="R1510" i="1"/>
  <c r="U1514" i="1"/>
  <c r="U1547" i="1"/>
  <c r="U1573" i="1"/>
  <c r="U1588" i="1"/>
  <c r="J1604" i="1"/>
  <c r="T1604" i="1" s="1"/>
  <c r="S1599" i="1"/>
  <c r="T1619" i="1"/>
  <c r="U1616" i="1"/>
  <c r="J1645" i="1"/>
  <c r="S1645" i="1" s="1"/>
  <c r="Q1642" i="1"/>
  <c r="U1632" i="1"/>
  <c r="Q1634" i="1"/>
  <c r="U1636" i="1"/>
  <c r="U1638" i="1"/>
  <c r="U1653" i="1"/>
  <c r="T1655" i="1"/>
  <c r="Q1662" i="1"/>
  <c r="U1688" i="1"/>
  <c r="I1386" i="4"/>
  <c r="L1382" i="4"/>
  <c r="U1731" i="1"/>
  <c r="L932" i="4"/>
  <c r="L941" i="4"/>
  <c r="U1176" i="1"/>
  <c r="Q1185" i="1"/>
  <c r="U1229" i="1"/>
  <c r="U1240" i="1"/>
  <c r="K1249" i="1"/>
  <c r="Q1249" i="1" s="1"/>
  <c r="U1250" i="1"/>
  <c r="S1249" i="1"/>
  <c r="T1254" i="1"/>
  <c r="J1309" i="1"/>
  <c r="Q1309" i="1" s="1"/>
  <c r="U1297" i="1"/>
  <c r="U1299" i="1"/>
  <c r="U1336" i="1"/>
  <c r="U1337" i="1"/>
  <c r="T1347" i="1"/>
  <c r="U1356" i="1"/>
  <c r="J1384" i="1"/>
  <c r="J1391" i="1" s="1"/>
  <c r="Q1391" i="1" s="1"/>
  <c r="U1387" i="1"/>
  <c r="U1390" i="1"/>
  <c r="U1392" i="1"/>
  <c r="U1396" i="1"/>
  <c r="U1394" i="1"/>
  <c r="U1415" i="1"/>
  <c r="S1443" i="1"/>
  <c r="S1536" i="1"/>
  <c r="U1497" i="1"/>
  <c r="U1482" i="1"/>
  <c r="S1483" i="1"/>
  <c r="U1484" i="1"/>
  <c r="Q1487" i="1"/>
  <c r="U1490" i="1"/>
  <c r="U1503" i="1"/>
  <c r="U1539" i="1"/>
  <c r="U1542" i="1"/>
  <c r="Q1550" i="1"/>
  <c r="U1551" i="1"/>
  <c r="T1559" i="1"/>
  <c r="U1565" i="1"/>
  <c r="U1566" i="1"/>
  <c r="S1602" i="1"/>
  <c r="J1624" i="1"/>
  <c r="R1623" i="1"/>
  <c r="U1610" i="1"/>
  <c r="S1614" i="1"/>
  <c r="R1655" i="1"/>
  <c r="U1656" i="1"/>
  <c r="U1659" i="1"/>
  <c r="R1661" i="1"/>
  <c r="K1678" i="1"/>
  <c r="Q1678" i="1" s="1"/>
  <c r="U1668" i="1"/>
  <c r="S1670" i="1"/>
  <c r="U1673" i="1"/>
  <c r="U1677" i="1"/>
  <c r="U1745" i="1"/>
  <c r="U1215" i="1"/>
  <c r="U1470" i="1"/>
  <c r="Q1655" i="1"/>
  <c r="U1690" i="1"/>
  <c r="U1188" i="1"/>
  <c r="R1194" i="1"/>
  <c r="R1213" i="1"/>
  <c r="R1219" i="1"/>
  <c r="U1230" i="1"/>
  <c r="U1232" i="1"/>
  <c r="J1281" i="1"/>
  <c r="R1281" i="1" s="1"/>
  <c r="U1287" i="1"/>
  <c r="T1293" i="1"/>
  <c r="S1347" i="1"/>
  <c r="U1319" i="1"/>
  <c r="U1324" i="1"/>
  <c r="U1326" i="1"/>
  <c r="U1342" i="1"/>
  <c r="U1350" i="1"/>
  <c r="U1355" i="1"/>
  <c r="U1409" i="1"/>
  <c r="T1492" i="1"/>
  <c r="U1486" i="1"/>
  <c r="U1499" i="1"/>
  <c r="U1506" i="1"/>
  <c r="U1540" i="1"/>
  <c r="U1543" i="1"/>
  <c r="U1548" i="1"/>
  <c r="U1552" i="1"/>
  <c r="U1553" i="1"/>
  <c r="U1556" i="1"/>
  <c r="Q1559" i="1"/>
  <c r="Q1602" i="1"/>
  <c r="U1593" i="1"/>
  <c r="U1591" i="1"/>
  <c r="S1629" i="1"/>
  <c r="U1611" i="1"/>
  <c r="S1639" i="1"/>
  <c r="J1665" i="1"/>
  <c r="T1665" i="1" s="1"/>
  <c r="T1662" i="1"/>
  <c r="U1675" i="1"/>
  <c r="Q1687" i="1"/>
  <c r="U1961" i="1"/>
  <c r="U1178" i="1"/>
  <c r="J1191" i="1"/>
  <c r="S1191" i="1" s="1"/>
  <c r="U1190" i="1"/>
  <c r="L967" i="4"/>
  <c r="U1218" i="1"/>
  <c r="Q1224" i="1"/>
  <c r="U1224" i="1" s="1"/>
  <c r="U1226" i="1"/>
  <c r="R1227" i="1"/>
  <c r="U1228" i="1"/>
  <c r="U1272" i="1"/>
  <c r="U1274" i="1"/>
  <c r="U1278" i="1"/>
  <c r="U1279" i="1"/>
  <c r="U1300" i="1"/>
  <c r="U1325" i="1"/>
  <c r="U1348" i="1"/>
  <c r="U1367" i="1"/>
  <c r="U1413" i="1"/>
  <c r="U1425" i="1"/>
  <c r="U1429" i="1"/>
  <c r="U1465" i="1"/>
  <c r="Q1468" i="1"/>
  <c r="U1475" i="1"/>
  <c r="S1491" i="1"/>
  <c r="U1523" i="1"/>
  <c r="U1524" i="1"/>
  <c r="U1592" i="1"/>
  <c r="Q1605" i="1"/>
  <c r="U1605" i="1" s="1"/>
  <c r="U1628" i="1"/>
  <c r="S1634" i="1"/>
  <c r="S1661" i="1"/>
  <c r="Q1661" i="1"/>
  <c r="S1660" i="1"/>
  <c r="U1679" i="1"/>
  <c r="K1737" i="1"/>
  <c r="Q1737" i="1" s="1"/>
  <c r="U1729" i="1"/>
  <c r="U1732" i="1"/>
  <c r="U1735" i="1"/>
  <c r="U1743" i="1"/>
  <c r="U1744" i="1"/>
  <c r="U1754" i="1"/>
  <c r="U1756" i="1"/>
  <c r="L1419" i="4"/>
  <c r="U1771" i="1"/>
  <c r="T1774" i="1"/>
  <c r="S1777" i="1"/>
  <c r="T1803" i="1"/>
  <c r="K1850" i="1"/>
  <c r="L1454" i="4"/>
  <c r="L1461" i="4"/>
  <c r="U1824" i="1"/>
  <c r="U1827" i="1"/>
  <c r="L1469" i="4"/>
  <c r="L1486" i="4"/>
  <c r="U1876" i="1"/>
  <c r="Q1885" i="1"/>
  <c r="U1885" i="1" s="1"/>
  <c r="Q1880" i="1"/>
  <c r="U1880" i="1" s="1"/>
  <c r="U1882" i="1"/>
  <c r="U1881" i="1"/>
  <c r="U1888" i="1"/>
  <c r="U1887" i="1"/>
  <c r="U1890" i="1"/>
  <c r="U1894" i="1"/>
  <c r="K1897" i="1"/>
  <c r="Q1897" i="1" s="1"/>
  <c r="U1901" i="1"/>
  <c r="L1549" i="4"/>
  <c r="L1556" i="4"/>
  <c r="Q1923" i="1"/>
  <c r="S1978" i="1"/>
  <c r="K1939" i="1"/>
  <c r="Q1939" i="1" s="1"/>
  <c r="J1951" i="1"/>
  <c r="J1957" i="1" s="1"/>
  <c r="Q1957" i="1" s="1"/>
  <c r="T1966" i="1"/>
  <c r="U1976" i="1"/>
  <c r="R2004" i="1"/>
  <c r="U2013" i="1"/>
  <c r="S2028" i="1"/>
  <c r="T2035" i="1"/>
  <c r="U1700" i="1"/>
  <c r="R1703" i="1"/>
  <c r="U1707" i="1"/>
  <c r="S1708" i="1"/>
  <c r="L1408" i="4"/>
  <c r="L1414" i="4"/>
  <c r="K1774" i="1"/>
  <c r="Q1774" i="1" s="1"/>
  <c r="Q1776" i="1"/>
  <c r="U1776" i="1" s="1"/>
  <c r="K1822" i="1"/>
  <c r="J1844" i="1"/>
  <c r="U1808" i="1"/>
  <c r="U1807" i="1"/>
  <c r="U1813" i="1"/>
  <c r="U1819" i="1"/>
  <c r="U1826" i="1"/>
  <c r="Q1854" i="1"/>
  <c r="U1854" i="1" s="1"/>
  <c r="S1866" i="1"/>
  <c r="U1868" i="1"/>
  <c r="R1871" i="1"/>
  <c r="Q1870" i="1"/>
  <c r="U1870" i="1" s="1"/>
  <c r="S1884" i="1"/>
  <c r="U1893" i="1"/>
  <c r="L1538" i="4"/>
  <c r="U1917" i="1"/>
  <c r="U1919" i="1"/>
  <c r="U1920" i="1"/>
  <c r="J1927" i="1"/>
  <c r="Q1927" i="1" s="1"/>
  <c r="Q1925" i="1"/>
  <c r="U1925" i="1" s="1"/>
  <c r="R1945" i="1"/>
  <c r="K1985" i="1"/>
  <c r="Q1985" i="1" s="1"/>
  <c r="R1939" i="1"/>
  <c r="S1945" i="1"/>
  <c r="Q1959" i="1"/>
  <c r="U1959" i="1" s="1"/>
  <c r="S2004" i="1"/>
  <c r="U2018" i="1"/>
  <c r="U2016" i="1"/>
  <c r="Q2022" i="1"/>
  <c r="U2002" i="1"/>
  <c r="U1699" i="1"/>
  <c r="S1703" i="1"/>
  <c r="U1713" i="1"/>
  <c r="U1715" i="1"/>
  <c r="U1718" i="1"/>
  <c r="L1392" i="4"/>
  <c r="L1399" i="4"/>
  <c r="U1786" i="1"/>
  <c r="S1838" i="1"/>
  <c r="U1825" i="1"/>
  <c r="O1833" i="1"/>
  <c r="O1837" i="1" s="1"/>
  <c r="S1855" i="1"/>
  <c r="U1875" i="1"/>
  <c r="J1879" i="1"/>
  <c r="U1878" i="1"/>
  <c r="L1517" i="4"/>
  <c r="T1884" i="1"/>
  <c r="S1895" i="1"/>
  <c r="U1909" i="1"/>
  <c r="U1900" i="1"/>
  <c r="T1915" i="1"/>
  <c r="T1939" i="1"/>
  <c r="R1923" i="1"/>
  <c r="U1990" i="1"/>
  <c r="U1938" i="1"/>
  <c r="T1944" i="1"/>
  <c r="U1947" i="1"/>
  <c r="L1575" i="4"/>
  <c r="L1589" i="4"/>
  <c r="U1964" i="1"/>
  <c r="U1968" i="1"/>
  <c r="L1594" i="4"/>
  <c r="U1973" i="1"/>
  <c r="U1977" i="1"/>
  <c r="L1606" i="4"/>
  <c r="U1983" i="1"/>
  <c r="U1988" i="1"/>
  <c r="L1617" i="4"/>
  <c r="L1623" i="4"/>
  <c r="L1631" i="4"/>
  <c r="U1696" i="1"/>
  <c r="U1764" i="1"/>
  <c r="U1805" i="1"/>
  <c r="U1921" i="1"/>
  <c r="T1978" i="1"/>
  <c r="R1944" i="1"/>
  <c r="U2027" i="1"/>
  <c r="U2026" i="1"/>
  <c r="U1711" i="1"/>
  <c r="L1381" i="4"/>
  <c r="T1724" i="1"/>
  <c r="U1760" i="1"/>
  <c r="K1757" i="1"/>
  <c r="Q1757" i="1" s="1"/>
  <c r="U1759" i="1"/>
  <c r="U1772" i="1"/>
  <c r="R1774" i="1"/>
  <c r="U1775" i="1"/>
  <c r="U1780" i="1"/>
  <c r="L1435" i="4"/>
  <c r="U1787" i="1"/>
  <c r="U1788" i="1"/>
  <c r="U1791" i="1"/>
  <c r="T1796" i="1"/>
  <c r="U1802" i="1"/>
  <c r="R1803" i="1"/>
  <c r="U1800" i="1"/>
  <c r="U1799" i="1"/>
  <c r="U1832" i="1"/>
  <c r="U1836" i="1"/>
  <c r="U1839" i="1"/>
  <c r="U1840" i="1"/>
  <c r="U1843" i="1"/>
  <c r="U1846" i="1"/>
  <c r="U1849" i="1"/>
  <c r="U1851" i="1"/>
  <c r="U1853" i="1"/>
  <c r="U1858" i="1"/>
  <c r="U1860" i="1"/>
  <c r="U1863" i="1"/>
  <c r="U1865" i="1"/>
  <c r="U1904" i="1"/>
  <c r="U1905" i="1"/>
  <c r="S1908" i="1"/>
  <c r="U1906" i="1"/>
  <c r="U1913" i="1"/>
  <c r="Q1915" i="1"/>
  <c r="U1910" i="1"/>
  <c r="S1939" i="1"/>
  <c r="U1932" i="1"/>
  <c r="L1565" i="4"/>
  <c r="U1954" i="1"/>
  <c r="U1963" i="1"/>
  <c r="U1970" i="1"/>
  <c r="T1986" i="1"/>
  <c r="R1987" i="1"/>
  <c r="R2022" i="1"/>
  <c r="U2015" i="1"/>
  <c r="U2040" i="1"/>
  <c r="U2045" i="1"/>
  <c r="L1649" i="4"/>
  <c r="L1657" i="4"/>
  <c r="L1664" i="4"/>
  <c r="P2267" i="1"/>
  <c r="U2066" i="1"/>
  <c r="Q2119" i="1"/>
  <c r="Q2134" i="1"/>
  <c r="U2134" i="1" s="1"/>
  <c r="U2147" i="1"/>
  <c r="U2178" i="1"/>
  <c r="U2154" i="1"/>
  <c r="K2183" i="1"/>
  <c r="Q2183" i="1" s="1"/>
  <c r="T2219" i="1"/>
  <c r="U2229" i="1"/>
  <c r="U2230" i="1"/>
  <c r="U2248" i="1"/>
  <c r="U2250" i="1"/>
  <c r="U2254" i="1"/>
  <c r="T2335" i="1"/>
  <c r="I1920" i="4"/>
  <c r="U2337" i="1"/>
  <c r="J2343" i="1"/>
  <c r="Q2343" i="1" s="1"/>
  <c r="L1935" i="4"/>
  <c r="U2370" i="1"/>
  <c r="K2429" i="1"/>
  <c r="Q2429" i="1" s="1"/>
  <c r="Q2421" i="1"/>
  <c r="U2421" i="1" s="1"/>
  <c r="K2482" i="1"/>
  <c r="Q2482" i="1" s="1"/>
  <c r="Q2476" i="1"/>
  <c r="U2476" i="1" s="1"/>
  <c r="U2084" i="1"/>
  <c r="U2065" i="1"/>
  <c r="S2072" i="1"/>
  <c r="U2083" i="1"/>
  <c r="T2089" i="1"/>
  <c r="U2095" i="1"/>
  <c r="T2102" i="1"/>
  <c r="R2119" i="1"/>
  <c r="S2142" i="1"/>
  <c r="L1729" i="4"/>
  <c r="Q2151" i="1"/>
  <c r="U2151" i="1" s="1"/>
  <c r="T2164" i="1"/>
  <c r="K2251" i="1"/>
  <c r="Q2251" i="1" s="1"/>
  <c r="U2185" i="1"/>
  <c r="U2186" i="1"/>
  <c r="U2190" i="1"/>
  <c r="U2196" i="1"/>
  <c r="U2256" i="1"/>
  <c r="S2335" i="1"/>
  <c r="U2308" i="1"/>
  <c r="U2320" i="1"/>
  <c r="U2326" i="1"/>
  <c r="U2329" i="1"/>
  <c r="U2333" i="1"/>
  <c r="U2334" i="1"/>
  <c r="U2350" i="1"/>
  <c r="U2354" i="1"/>
  <c r="U2357" i="1"/>
  <c r="Q2375" i="1"/>
  <c r="L1950" i="4"/>
  <c r="L1954" i="4" s="1"/>
  <c r="U2376" i="1"/>
  <c r="J2388" i="1"/>
  <c r="L1967" i="4"/>
  <c r="K2447" i="1"/>
  <c r="Q2447" i="1" s="1"/>
  <c r="S2430" i="1"/>
  <c r="T2430" i="1"/>
  <c r="R2430" i="1"/>
  <c r="L1677" i="4"/>
  <c r="Q2068" i="1"/>
  <c r="U2068" i="1" s="1"/>
  <c r="R2089" i="1"/>
  <c r="R2139" i="1"/>
  <c r="Q2139" i="1"/>
  <c r="R2112" i="1"/>
  <c r="T2118" i="1"/>
  <c r="Q2120" i="1"/>
  <c r="U2136" i="1"/>
  <c r="T2142" i="1"/>
  <c r="Q2149" i="1"/>
  <c r="U2153" i="1"/>
  <c r="L1777" i="4"/>
  <c r="U2163" i="1"/>
  <c r="U2169" i="1"/>
  <c r="L1799" i="4"/>
  <c r="J2203" i="1"/>
  <c r="Q2203" i="1" s="1"/>
  <c r="J2208" i="1"/>
  <c r="U2234" i="1"/>
  <c r="R2252" i="1"/>
  <c r="R2205" i="1"/>
  <c r="Q2210" i="1"/>
  <c r="U2210" i="1" s="1"/>
  <c r="S2252" i="1"/>
  <c r="U2261" i="1"/>
  <c r="L1867" i="4"/>
  <c r="U2274" i="1"/>
  <c r="L1872" i="4"/>
  <c r="T2316" i="1"/>
  <c r="U2280" i="1"/>
  <c r="U2284" i="1"/>
  <c r="U2293" i="1"/>
  <c r="L1887" i="4"/>
  <c r="U2300" i="1"/>
  <c r="U2313" i="1"/>
  <c r="Q2315" i="1"/>
  <c r="L1914" i="4"/>
  <c r="U2347" i="1"/>
  <c r="L1943" i="4"/>
  <c r="L1960" i="4"/>
  <c r="R2383" i="1"/>
  <c r="U2390" i="1"/>
  <c r="U2392" i="1"/>
  <c r="U2394" i="1"/>
  <c r="U2397" i="1"/>
  <c r="U2400" i="1"/>
  <c r="L2079" i="4"/>
  <c r="J2769" i="1"/>
  <c r="S2762" i="1"/>
  <c r="U2366" i="1"/>
  <c r="U2044" i="1"/>
  <c r="U2049" i="1"/>
  <c r="U2048" i="1"/>
  <c r="U2051" i="1"/>
  <c r="U2054" i="1"/>
  <c r="Q2064" i="1"/>
  <c r="L1686" i="4"/>
  <c r="L1698" i="4"/>
  <c r="U2088" i="1"/>
  <c r="Q2089" i="1"/>
  <c r="L1707" i="4"/>
  <c r="L1710" i="4"/>
  <c r="U2096" i="1"/>
  <c r="U2093" i="1"/>
  <c r="U2100" i="1"/>
  <c r="S2120" i="1"/>
  <c r="U2114" i="1"/>
  <c r="U2113" i="1"/>
  <c r="U2115" i="1"/>
  <c r="Q2122" i="1"/>
  <c r="U2135" i="1"/>
  <c r="T2140" i="1"/>
  <c r="T2149" i="1"/>
  <c r="R2179" i="1"/>
  <c r="T2183" i="1"/>
  <c r="Q2205" i="1"/>
  <c r="U2184" i="1"/>
  <c r="L1804" i="4"/>
  <c r="U2202" i="1"/>
  <c r="U2224" i="1"/>
  <c r="L1834" i="4"/>
  <c r="L1845" i="4"/>
  <c r="U2259" i="1"/>
  <c r="U2319" i="1"/>
  <c r="R2316" i="1"/>
  <c r="U2322" i="1"/>
  <c r="U2324" i="1"/>
  <c r="U2325" i="1"/>
  <c r="U2332" i="1"/>
  <c r="U2349" i="1"/>
  <c r="U2353" i="1"/>
  <c r="U2369" i="1"/>
  <c r="U2371" i="1"/>
  <c r="U2377" i="1"/>
  <c r="S2383" i="1"/>
  <c r="T2393" i="1"/>
  <c r="U2418" i="1"/>
  <c r="Q2434" i="1"/>
  <c r="T2434" i="1"/>
  <c r="S2434" i="1"/>
  <c r="U2456" i="1"/>
  <c r="L2475" i="1"/>
  <c r="S2119" i="1"/>
  <c r="R2142" i="1"/>
  <c r="Q2125" i="1"/>
  <c r="R2166" i="1"/>
  <c r="R2219" i="1"/>
  <c r="U2212" i="1"/>
  <c r="U2215" i="1"/>
  <c r="U2218" i="1"/>
  <c r="U2257" i="1"/>
  <c r="U2268" i="1"/>
  <c r="U2270" i="1"/>
  <c r="U2273" i="1"/>
  <c r="U2283" i="1"/>
  <c r="U2292" i="1"/>
  <c r="U2294" i="1"/>
  <c r="U2296" i="1"/>
  <c r="U2301" i="1"/>
  <c r="U2302" i="1"/>
  <c r="U2305" i="1"/>
  <c r="U2309" i="1"/>
  <c r="U2312" i="1"/>
  <c r="T2315" i="1"/>
  <c r="J2321" i="1"/>
  <c r="T2318" i="1"/>
  <c r="U2346" i="1"/>
  <c r="U2361" i="1"/>
  <c r="U2365" i="1"/>
  <c r="Q2383" i="1"/>
  <c r="U2382" i="1"/>
  <c r="U2380" i="1"/>
  <c r="U2386" i="1"/>
  <c r="U2395" i="1"/>
  <c r="U2455" i="1"/>
  <c r="U2463" i="1"/>
  <c r="U2472" i="1"/>
  <c r="U2473" i="1"/>
  <c r="L2063" i="4"/>
  <c r="R2519" i="1"/>
  <c r="U2513" i="1"/>
  <c r="U2530" i="1"/>
  <c r="U2527" i="1"/>
  <c r="S2534" i="1"/>
  <c r="U2542" i="1"/>
  <c r="U2549" i="1"/>
  <c r="Q2554" i="1"/>
  <c r="Q2571" i="1"/>
  <c r="U2576" i="1"/>
  <c r="U2575" i="1"/>
  <c r="Q2592" i="1"/>
  <c r="U2594" i="1"/>
  <c r="L2156" i="4"/>
  <c r="U2604" i="1"/>
  <c r="L2163" i="4"/>
  <c r="S2625" i="1"/>
  <c r="Q2626" i="1"/>
  <c r="Q2685" i="1"/>
  <c r="U2687" i="1"/>
  <c r="U2693" i="1"/>
  <c r="U2703" i="1"/>
  <c r="U2707" i="1"/>
  <c r="U2710" i="1"/>
  <c r="U2712" i="1"/>
  <c r="U2713" i="1"/>
  <c r="Q2721" i="1"/>
  <c r="U2731" i="1"/>
  <c r="L2278" i="4"/>
  <c r="U2736" i="1"/>
  <c r="U2739" i="1"/>
  <c r="S2744" i="1"/>
  <c r="U2764" i="1"/>
  <c r="K2769" i="1"/>
  <c r="U2749" i="1"/>
  <c r="U2752" i="1"/>
  <c r="U2760" i="1"/>
  <c r="U2759" i="1"/>
  <c r="Q2761" i="1"/>
  <c r="L1980" i="4"/>
  <c r="L1995" i="4"/>
  <c r="L2003" i="4"/>
  <c r="U2443" i="1"/>
  <c r="L2047" i="4"/>
  <c r="U2481" i="1"/>
  <c r="L2054" i="4"/>
  <c r="S2486" i="1"/>
  <c r="U2508" i="1"/>
  <c r="U2511" i="1"/>
  <c r="T2515" i="1"/>
  <c r="Q2556" i="1"/>
  <c r="T2573" i="1"/>
  <c r="S2586" i="1"/>
  <c r="Q2627" i="1"/>
  <c r="K2646" i="1"/>
  <c r="Q2646" i="1" s="1"/>
  <c r="U2651" i="1"/>
  <c r="U2610" i="1"/>
  <c r="L2169" i="4"/>
  <c r="U2615" i="1"/>
  <c r="U2614" i="1"/>
  <c r="U2620" i="1"/>
  <c r="L2176" i="4"/>
  <c r="L2187" i="4"/>
  <c r="L2198" i="4"/>
  <c r="L2205" i="4"/>
  <c r="U2700" i="1"/>
  <c r="L2213" i="4"/>
  <c r="U2657" i="1"/>
  <c r="U2670" i="1"/>
  <c r="L2219" i="4"/>
  <c r="U2672" i="1"/>
  <c r="U2678" i="1"/>
  <c r="U2680" i="1"/>
  <c r="U2679" i="1"/>
  <c r="L2227" i="4"/>
  <c r="L2234" i="4"/>
  <c r="L2241" i="4"/>
  <c r="L2255" i="4"/>
  <c r="U2729" i="1"/>
  <c r="U2734" i="1"/>
  <c r="R2744" i="1"/>
  <c r="R2763" i="1"/>
  <c r="R2743" i="1"/>
  <c r="Q2746" i="1"/>
  <c r="U2754" i="1"/>
  <c r="T2776" i="1"/>
  <c r="U2775" i="1"/>
  <c r="T2794" i="1"/>
  <c r="S2794" i="1"/>
  <c r="R2794" i="1"/>
  <c r="L2817" i="1"/>
  <c r="J2810" i="1"/>
  <c r="Q2810" i="1" s="1"/>
  <c r="L2909" i="1"/>
  <c r="U2406" i="1"/>
  <c r="U2408" i="1"/>
  <c r="S2419" i="1"/>
  <c r="U2415" i="1"/>
  <c r="U2417" i="1"/>
  <c r="U2424" i="1"/>
  <c r="U2426" i="1"/>
  <c r="U2427" i="1"/>
  <c r="U2435" i="1"/>
  <c r="U2436" i="1"/>
  <c r="U2437" i="1"/>
  <c r="U2446" i="1"/>
  <c r="U2453" i="1"/>
  <c r="U2454" i="1"/>
  <c r="R2469" i="1"/>
  <c r="U2461" i="1"/>
  <c r="T2487" i="1"/>
  <c r="U2532" i="1"/>
  <c r="U2560" i="1"/>
  <c r="T2534" i="1"/>
  <c r="R2556" i="1"/>
  <c r="T2556" i="1"/>
  <c r="U2566" i="1"/>
  <c r="R2585" i="1"/>
  <c r="L2146" i="4"/>
  <c r="T2586" i="1"/>
  <c r="R2625" i="1"/>
  <c r="T2627" i="1"/>
  <c r="U2650" i="1"/>
  <c r="U2621" i="1"/>
  <c r="T2622" i="1"/>
  <c r="T2685" i="1"/>
  <c r="U2702" i="1"/>
  <c r="U2664" i="1"/>
  <c r="T2665" i="1"/>
  <c r="S2685" i="1"/>
  <c r="U2715" i="1"/>
  <c r="U2716" i="1"/>
  <c r="U2719" i="1"/>
  <c r="R2721" i="1"/>
  <c r="U2720" i="1"/>
  <c r="U2724" i="1"/>
  <c r="U2726" i="1"/>
  <c r="U2738" i="1"/>
  <c r="U2740" i="1"/>
  <c r="Q2745" i="1"/>
  <c r="S2763" i="1"/>
  <c r="T2744" i="1"/>
  <c r="U2772" i="1"/>
  <c r="U2773" i="1"/>
  <c r="R2947" i="1"/>
  <c r="S2947" i="1"/>
  <c r="T2947" i="1"/>
  <c r="U2543" i="1"/>
  <c r="U2409" i="1"/>
  <c r="S2429" i="1"/>
  <c r="U2440" i="1"/>
  <c r="U2464" i="1"/>
  <c r="U2477" i="1"/>
  <c r="U2478" i="1"/>
  <c r="U2480" i="1"/>
  <c r="U2505" i="1"/>
  <c r="U2509" i="1"/>
  <c r="U2609" i="1"/>
  <c r="U2708" i="1"/>
  <c r="U2688" i="1"/>
  <c r="U2691" i="1"/>
  <c r="U2696" i="1"/>
  <c r="U2697" i="1"/>
  <c r="U2699" i="1"/>
  <c r="U2701" i="1"/>
  <c r="U2718" i="1"/>
  <c r="S2721" i="1"/>
  <c r="U2753" i="1"/>
  <c r="U2758" i="1"/>
  <c r="U2757" i="1"/>
  <c r="L2302" i="4"/>
  <c r="T3070" i="1"/>
  <c r="R3070" i="1"/>
  <c r="Q3070" i="1"/>
  <c r="S3070" i="1"/>
  <c r="U2413" i="1"/>
  <c r="U2416" i="1"/>
  <c r="U2422" i="1"/>
  <c r="U2425" i="1"/>
  <c r="U2438" i="1"/>
  <c r="L2013" i="4"/>
  <c r="L2020" i="4"/>
  <c r="R2451" i="1"/>
  <c r="T2468" i="1"/>
  <c r="U2514" i="1"/>
  <c r="Q2517" i="1"/>
  <c r="U2522" i="1"/>
  <c r="U2547" i="1"/>
  <c r="L2110" i="4"/>
  <c r="L2122" i="4"/>
  <c r="R2571" i="1"/>
  <c r="U2601" i="1"/>
  <c r="U2602" i="1"/>
  <c r="U2608" i="1"/>
  <c r="R2626" i="1"/>
  <c r="T2646" i="1"/>
  <c r="U2634" i="1"/>
  <c r="S2646" i="1"/>
  <c r="U2652" i="1"/>
  <c r="U2669" i="1"/>
  <c r="U2677" i="1"/>
  <c r="U2681" i="1"/>
  <c r="U2725" i="1"/>
  <c r="S2735" i="1"/>
  <c r="T2763" i="1"/>
  <c r="S2743" i="1"/>
  <c r="U2748" i="1"/>
  <c r="L2294" i="4"/>
  <c r="U2765" i="1"/>
  <c r="U2766" i="1"/>
  <c r="U2768" i="1"/>
  <c r="J2793" i="1"/>
  <c r="T2793" i="1" s="1"/>
  <c r="U2786" i="1"/>
  <c r="S2862" i="1"/>
  <c r="U2861" i="1"/>
  <c r="R2862" i="1"/>
  <c r="J2892" i="1"/>
  <c r="S2892" i="1" s="1"/>
  <c r="U2866" i="1"/>
  <c r="K2883" i="1"/>
  <c r="J2946" i="1"/>
  <c r="Q2946" i="1" s="1"/>
  <c r="U2943" i="1"/>
  <c r="K2990" i="1"/>
  <c r="U2996" i="1"/>
  <c r="T3010" i="1"/>
  <c r="U3023" i="1"/>
  <c r="U3031" i="1"/>
  <c r="U3035" i="1"/>
  <c r="U3037" i="1"/>
  <c r="U3039" i="1"/>
  <c r="U3058" i="1"/>
  <c r="S3092" i="1"/>
  <c r="Q3098" i="1"/>
  <c r="Q3111" i="1"/>
  <c r="T3130" i="1"/>
  <c r="S3185" i="1"/>
  <c r="U3082" i="1"/>
  <c r="U3083" i="1"/>
  <c r="U3085" i="1"/>
  <c r="U3117" i="1"/>
  <c r="T3152" i="1"/>
  <c r="R3171" i="1"/>
  <c r="L2682" i="4"/>
  <c r="L2692" i="4"/>
  <c r="L2702" i="4"/>
  <c r="L2711" i="4"/>
  <c r="L2720" i="4"/>
  <c r="L2727" i="4"/>
  <c r="R3227" i="1"/>
  <c r="Q3227" i="1"/>
  <c r="S3227" i="1"/>
  <c r="T3227" i="1"/>
  <c r="U3316" i="1"/>
  <c r="U2782" i="1"/>
  <c r="U2829" i="1"/>
  <c r="U2839" i="1"/>
  <c r="U2842" i="1"/>
  <c r="R2864" i="1"/>
  <c r="U2905" i="1"/>
  <c r="L2471" i="4"/>
  <c r="T2953" i="1"/>
  <c r="R2945" i="1"/>
  <c r="U2949" i="1"/>
  <c r="Q2947" i="1"/>
  <c r="U2977" i="1"/>
  <c r="S2991" i="1"/>
  <c r="R2995" i="1"/>
  <c r="S3044" i="1"/>
  <c r="L2548" i="4"/>
  <c r="L2596" i="4"/>
  <c r="R3071" i="1"/>
  <c r="R3092" i="1"/>
  <c r="Q3116" i="1"/>
  <c r="Q3130" i="1"/>
  <c r="L2603" i="4"/>
  <c r="L2623" i="4"/>
  <c r="L2634" i="4"/>
  <c r="U3107" i="1"/>
  <c r="L2653" i="4"/>
  <c r="R3152" i="1"/>
  <c r="U3141" i="1"/>
  <c r="U3147" i="1"/>
  <c r="U3156" i="1"/>
  <c r="U3162" i="1"/>
  <c r="U3198" i="1"/>
  <c r="U3195" i="1"/>
  <c r="S3205" i="1"/>
  <c r="U2783" i="1"/>
  <c r="U2791" i="1"/>
  <c r="U2796" i="1"/>
  <c r="U2806" i="1"/>
  <c r="T2809" i="1"/>
  <c r="L2355" i="4"/>
  <c r="U2847" i="1"/>
  <c r="U2850" i="1"/>
  <c r="U2854" i="1"/>
  <c r="U2857" i="1"/>
  <c r="U2860" i="1"/>
  <c r="U2853" i="1"/>
  <c r="U2865" i="1"/>
  <c r="L2434" i="4"/>
  <c r="U2898" i="1"/>
  <c r="U2916" i="1"/>
  <c r="U2924" i="1"/>
  <c r="U2922" i="1"/>
  <c r="T2948" i="1"/>
  <c r="S2955" i="1"/>
  <c r="U2974" i="1"/>
  <c r="L2486" i="4"/>
  <c r="Q2948" i="1"/>
  <c r="L2496" i="4"/>
  <c r="L2503" i="4"/>
  <c r="L2513" i="4"/>
  <c r="J3000" i="1"/>
  <c r="S3000" i="1" s="1"/>
  <c r="T3030" i="1"/>
  <c r="U3005" i="1"/>
  <c r="L2540" i="4"/>
  <c r="L2556" i="4"/>
  <c r="R3027" i="1"/>
  <c r="L2576" i="4"/>
  <c r="R3044" i="1"/>
  <c r="T3071" i="1"/>
  <c r="Q3092" i="1"/>
  <c r="S3111" i="1"/>
  <c r="K3129" i="1"/>
  <c r="Q3129" i="1" s="1"/>
  <c r="Q3185" i="1"/>
  <c r="U3063" i="1"/>
  <c r="U3064" i="1"/>
  <c r="U3066" i="1"/>
  <c r="S3069" i="1"/>
  <c r="U3079" i="1"/>
  <c r="U3084" i="1"/>
  <c r="T3098" i="1"/>
  <c r="U3120" i="1"/>
  <c r="U3122" i="1"/>
  <c r="L2663" i="4"/>
  <c r="T3171" i="1"/>
  <c r="R3185" i="1"/>
  <c r="S3152" i="1"/>
  <c r="U3177" i="1"/>
  <c r="U3180" i="1"/>
  <c r="U3181" i="1"/>
  <c r="U3506" i="1"/>
  <c r="T3478" i="1"/>
  <c r="S3478" i="1"/>
  <c r="R3478" i="1"/>
  <c r="U2787" i="1"/>
  <c r="U2798" i="1"/>
  <c r="U2802" i="1"/>
  <c r="U2805" i="1"/>
  <c r="L2364" i="4"/>
  <c r="L2372" i="4"/>
  <c r="L2380" i="4"/>
  <c r="L2388" i="4"/>
  <c r="U2872" i="1"/>
  <c r="U2901" i="1"/>
  <c r="U2938" i="1"/>
  <c r="S2948" i="1"/>
  <c r="Q2955" i="1"/>
  <c r="T2955" i="1"/>
  <c r="U2958" i="1"/>
  <c r="U2964" i="1"/>
  <c r="U2969" i="1"/>
  <c r="U2968" i="1"/>
  <c r="S3027" i="1"/>
  <c r="U2994" i="1"/>
  <c r="U3001" i="1"/>
  <c r="U3004" i="1"/>
  <c r="U3142" i="1"/>
  <c r="U3146" i="1"/>
  <c r="U3145" i="1"/>
  <c r="U3160" i="1"/>
  <c r="U3161" i="1"/>
  <c r="U3163" i="1"/>
  <c r="U3166" i="1"/>
  <c r="U3164" i="1"/>
  <c r="U3192" i="1"/>
  <c r="U3197" i="1"/>
  <c r="U3200" i="1"/>
  <c r="L3240" i="1"/>
  <c r="U2784" i="1"/>
  <c r="U2813" i="1"/>
  <c r="U2815" i="1"/>
  <c r="S2825" i="1"/>
  <c r="U2836" i="1"/>
  <c r="T2864" i="1"/>
  <c r="U2903" i="1"/>
  <c r="U2907" i="1"/>
  <c r="U2915" i="1"/>
  <c r="U2918" i="1"/>
  <c r="U2925" i="1"/>
  <c r="R2928" i="1"/>
  <c r="R2953" i="1"/>
  <c r="U2975" i="1"/>
  <c r="U2963" i="1"/>
  <c r="U2984" i="1"/>
  <c r="S2995" i="1"/>
  <c r="Q3071" i="1"/>
  <c r="U3065" i="1"/>
  <c r="U3067" i="1"/>
  <c r="U3068" i="1"/>
  <c r="R3112" i="1"/>
  <c r="U3121" i="1"/>
  <c r="U3123" i="1"/>
  <c r="U3127" i="1"/>
  <c r="U3126" i="1"/>
  <c r="U3124" i="1"/>
  <c r="Q3188" i="1"/>
  <c r="Q3172" i="1"/>
  <c r="U3174" i="1"/>
  <c r="U3175" i="1"/>
  <c r="U3178" i="1"/>
  <c r="U3183" i="1"/>
  <c r="T3184" i="1"/>
  <c r="U3330" i="1"/>
  <c r="U3327" i="1"/>
  <c r="U3325" i="1"/>
  <c r="S3367" i="1"/>
  <c r="R3371" i="1"/>
  <c r="U3347" i="1"/>
  <c r="R3350" i="1"/>
  <c r="S3395" i="1"/>
  <c r="S3406" i="1"/>
  <c r="Q3421" i="1"/>
  <c r="S3421" i="1"/>
  <c r="S3440" i="1"/>
  <c r="U3444" i="1"/>
  <c r="U3449" i="1"/>
  <c r="U3456" i="1"/>
  <c r="U3464" i="1"/>
  <c r="Q3478" i="1"/>
  <c r="T3481" i="1"/>
  <c r="U3502" i="1"/>
  <c r="U3520" i="1"/>
  <c r="U3525" i="1"/>
  <c r="S3526" i="1"/>
  <c r="L3534" i="1"/>
  <c r="S3247" i="1"/>
  <c r="U3268" i="1"/>
  <c r="U3265" i="1"/>
  <c r="U3272" i="1"/>
  <c r="U3276" i="1"/>
  <c r="U3294" i="1"/>
  <c r="U3295" i="1"/>
  <c r="L2862" i="4"/>
  <c r="L2871" i="4"/>
  <c r="S3371" i="1"/>
  <c r="U3353" i="1"/>
  <c r="U3355" i="1"/>
  <c r="U3374" i="1"/>
  <c r="U3381" i="1"/>
  <c r="Q3388" i="1"/>
  <c r="J3402" i="1"/>
  <c r="R3394" i="1"/>
  <c r="U3422" i="1"/>
  <c r="T3442" i="1"/>
  <c r="U3446" i="1"/>
  <c r="U3453" i="1"/>
  <c r="J3438" i="1"/>
  <c r="J3448" i="1" s="1"/>
  <c r="J3457" i="1" s="1"/>
  <c r="T3460" i="1"/>
  <c r="U3468" i="1"/>
  <c r="U3486" i="1"/>
  <c r="U3483" i="1"/>
  <c r="S3481" i="1"/>
  <c r="U3501" i="1"/>
  <c r="U3518" i="1"/>
  <c r="U3533" i="1"/>
  <c r="U3540" i="1"/>
  <c r="U3541" i="1"/>
  <c r="S3222" i="1"/>
  <c r="R3247" i="1"/>
  <c r="Q3261" i="1"/>
  <c r="L2778" i="4"/>
  <c r="U3248" i="1"/>
  <c r="L2799" i="4"/>
  <c r="S3261" i="1"/>
  <c r="U3281" i="1"/>
  <c r="U3286" i="1"/>
  <c r="U3318" i="1"/>
  <c r="T3321" i="1"/>
  <c r="U3319" i="1"/>
  <c r="R3367" i="1"/>
  <c r="L2879" i="4"/>
  <c r="L2897" i="4"/>
  <c r="U3358" i="1"/>
  <c r="U3359" i="1"/>
  <c r="U3361" i="1"/>
  <c r="U3362" i="1"/>
  <c r="T3367" i="1"/>
  <c r="U3375" i="1"/>
  <c r="L2917" i="4"/>
  <c r="U3372" i="1"/>
  <c r="U3382" i="1"/>
  <c r="Q3387" i="1"/>
  <c r="S3387" i="1"/>
  <c r="S3388" i="1"/>
  <c r="S3394" i="1"/>
  <c r="R3406" i="1"/>
  <c r="R3387" i="1"/>
  <c r="U3408" i="1"/>
  <c r="Q3406" i="1"/>
  <c r="U3417" i="1"/>
  <c r="U3415" i="1"/>
  <c r="R3421" i="1"/>
  <c r="U3426" i="1"/>
  <c r="U3429" i="1"/>
  <c r="U3430" i="1"/>
  <c r="L2976" i="4"/>
  <c r="Q3442" i="1"/>
  <c r="Q3460" i="1"/>
  <c r="U3485" i="1"/>
  <c r="K3487" i="1"/>
  <c r="T3497" i="1"/>
  <c r="U3507" i="1"/>
  <c r="T3511" i="1"/>
  <c r="U3522" i="1"/>
  <c r="U3523" i="1"/>
  <c r="U3538" i="1"/>
  <c r="U3378" i="1"/>
  <c r="U3229" i="1"/>
  <c r="U3232" i="1"/>
  <c r="R3246" i="1"/>
  <c r="U3254" i="1"/>
  <c r="U3269" i="1"/>
  <c r="U3266" i="1"/>
  <c r="U3273" i="1"/>
  <c r="U3310" i="1"/>
  <c r="L2838" i="4"/>
  <c r="U3354" i="1"/>
  <c r="U3342" i="1"/>
  <c r="U3344" i="1"/>
  <c r="S3350" i="1"/>
  <c r="U3423" i="1"/>
  <c r="L2943" i="4"/>
  <c r="U3450" i="1"/>
  <c r="U3466" i="1"/>
  <c r="U3474" i="1"/>
  <c r="U3493" i="1"/>
  <c r="L3044" i="4"/>
  <c r="S3497" i="1"/>
  <c r="U3505" i="1"/>
  <c r="U3508" i="1"/>
  <c r="K3503" i="1"/>
  <c r="U3516" i="1"/>
  <c r="U3524" i="1"/>
  <c r="L3075" i="4"/>
  <c r="R3543" i="1"/>
  <c r="L2750" i="4"/>
  <c r="U3278" i="1"/>
  <c r="R3279" i="1"/>
  <c r="U3284" i="1"/>
  <c r="S3288" i="1"/>
  <c r="U3311" i="1"/>
  <c r="S3332" i="1"/>
  <c r="U3409" i="1"/>
  <c r="U3412" i="1"/>
  <c r="U3414" i="1"/>
  <c r="U3465" i="1"/>
  <c r="U3491" i="1"/>
  <c r="L3036" i="4"/>
  <c r="U3500" i="1"/>
  <c r="U3504" i="1"/>
  <c r="U3515" i="1"/>
  <c r="U3521" i="1"/>
  <c r="U3537" i="1"/>
  <c r="U3550" i="1"/>
  <c r="U3552" i="1"/>
  <c r="U3547" i="1"/>
  <c r="U3546" i="1"/>
  <c r="L260" i="4"/>
  <c r="O260" i="4" s="1"/>
  <c r="L819" i="4"/>
  <c r="L959" i="4"/>
  <c r="L2927" i="4"/>
  <c r="L3006" i="4"/>
  <c r="L3060" i="4"/>
  <c r="L2102" i="4"/>
  <c r="L496" i="4"/>
  <c r="O496" i="4" s="1"/>
  <c r="L518" i="4"/>
  <c r="L530" i="4"/>
  <c r="O530" i="4" s="1"/>
  <c r="L540" i="4"/>
  <c r="O540" i="4" s="1"/>
  <c r="L566" i="4"/>
  <c r="L588" i="4"/>
  <c r="L615" i="4"/>
  <c r="O615" i="4" s="1"/>
  <c r="L664" i="4"/>
  <c r="O664" i="4" s="1"/>
  <c r="L681" i="4"/>
  <c r="O681" i="4" s="1"/>
  <c r="L2096" i="4"/>
  <c r="L2769" i="4"/>
  <c r="L2890" i="4"/>
  <c r="L2906" i="4"/>
  <c r="L2672" i="4"/>
  <c r="L285" i="4"/>
  <c r="L363" i="4"/>
  <c r="O363" i="4" s="1"/>
  <c r="L1506" i="4"/>
  <c r="L1583" i="4"/>
  <c r="L2443" i="4"/>
  <c r="L2820" i="4"/>
  <c r="L2960" i="4"/>
  <c r="L3067" i="4"/>
  <c r="L3015" i="4"/>
  <c r="L3095" i="4"/>
  <c r="L20" i="4"/>
  <c r="O20" i="4" s="1"/>
  <c r="L86" i="4"/>
  <c r="L113" i="4"/>
  <c r="O113" i="4" s="1"/>
  <c r="L235" i="4"/>
  <c r="O235" i="4" s="1"/>
  <c r="L245" i="4"/>
  <c r="O245" i="4" s="1"/>
  <c r="L275" i="4"/>
  <c r="O275" i="4" s="1"/>
  <c r="L326" i="4"/>
  <c r="L439" i="4"/>
  <c r="O439" i="4" s="1"/>
  <c r="L445" i="4"/>
  <c r="O445" i="4" s="1"/>
  <c r="L700" i="4"/>
  <c r="O700" i="4" s="1"/>
  <c r="L734" i="4"/>
  <c r="L749" i="4"/>
  <c r="L763" i="4"/>
  <c r="L812" i="4"/>
  <c r="L850" i="4"/>
  <c r="L2522" i="4"/>
  <c r="L2531" i="4"/>
  <c r="L2614" i="4"/>
  <c r="L3085" i="4"/>
  <c r="U1155" i="1"/>
  <c r="Q108" i="1"/>
  <c r="U108" i="1" s="1"/>
  <c r="Q119" i="1"/>
  <c r="S119" i="1"/>
  <c r="R119" i="1"/>
  <c r="T119" i="1"/>
  <c r="J120" i="1"/>
  <c r="T514" i="1"/>
  <c r="R514" i="1"/>
  <c r="J523" i="1"/>
  <c r="S514" i="1"/>
  <c r="R536" i="1"/>
  <c r="T536" i="1"/>
  <c r="S536" i="1"/>
  <c r="Q536" i="1"/>
  <c r="S1141" i="1"/>
  <c r="U1154" i="1"/>
  <c r="K579" i="1"/>
  <c r="Q579" i="1" s="1"/>
  <c r="Q50" i="1"/>
  <c r="U50" i="1" s="1"/>
  <c r="K238" i="1"/>
  <c r="Q238" i="1" s="1"/>
  <c r="Q514" i="1"/>
  <c r="R554" i="1"/>
  <c r="U610" i="1"/>
  <c r="U578" i="1"/>
  <c r="U501" i="1"/>
  <c r="U384" i="1"/>
  <c r="U352" i="1"/>
  <c r="S38" i="1"/>
  <c r="U56" i="1"/>
  <c r="U109" i="1"/>
  <c r="R309" i="1"/>
  <c r="K366" i="1"/>
  <c r="Q366" i="1" s="1"/>
  <c r="Q365" i="1"/>
  <c r="U365" i="1" s="1"/>
  <c r="Q376" i="1"/>
  <c r="R376" i="1"/>
  <c r="J377" i="1"/>
  <c r="S376" i="1"/>
  <c r="T376" i="1"/>
  <c r="Q436" i="1"/>
  <c r="T436" i="1"/>
  <c r="R436" i="1"/>
  <c r="S436" i="1"/>
  <c r="T556" i="1"/>
  <c r="J563" i="1"/>
  <c r="Q563" i="1" s="1"/>
  <c r="R556" i="1"/>
  <c r="S556" i="1"/>
  <c r="S564" i="1"/>
  <c r="R564" i="1"/>
  <c r="Q564" i="1"/>
  <c r="R574" i="1"/>
  <c r="T586" i="1"/>
  <c r="S586" i="1"/>
  <c r="Q586" i="1"/>
  <c r="R586" i="1"/>
  <c r="R597" i="1"/>
  <c r="S597" i="1"/>
  <c r="U616" i="1"/>
  <c r="U676" i="1"/>
  <c r="U684" i="1"/>
  <c r="U687" i="1"/>
  <c r="U696" i="1"/>
  <c r="S699" i="1"/>
  <c r="U700" i="1"/>
  <c r="R110" i="1"/>
  <c r="U575" i="1"/>
  <c r="U349" i="1"/>
  <c r="U303" i="1"/>
  <c r="T25" i="1"/>
  <c r="S25" i="1"/>
  <c r="R20" i="1"/>
  <c r="S20" i="1"/>
  <c r="Q64" i="1"/>
  <c r="U64" i="1" s="1"/>
  <c r="Y64" i="1" s="1"/>
  <c r="K67" i="1"/>
  <c r="Q67" i="1" s="1"/>
  <c r="U121" i="1"/>
  <c r="Y121" i="1" s="1"/>
  <c r="U114" i="1"/>
  <c r="J144" i="1"/>
  <c r="Q144" i="1" s="1"/>
  <c r="R141" i="1"/>
  <c r="S141" i="1"/>
  <c r="T141" i="1"/>
  <c r="Q141" i="1"/>
  <c r="Q150" i="1"/>
  <c r="S150" i="1"/>
  <c r="T150" i="1"/>
  <c r="U189" i="1"/>
  <c r="T276" i="1"/>
  <c r="S276" i="1"/>
  <c r="T286" i="1"/>
  <c r="S286" i="1"/>
  <c r="R286" i="1"/>
  <c r="R276" i="1"/>
  <c r="Q273" i="1"/>
  <c r="U273" i="1" s="1"/>
  <c r="K276" i="1"/>
  <c r="Q276" i="1" s="1"/>
  <c r="U278" i="1"/>
  <c r="U287" i="1"/>
  <c r="U290" i="1"/>
  <c r="U308" i="1"/>
  <c r="S330" i="1"/>
  <c r="R330" i="1"/>
  <c r="T330" i="1"/>
  <c r="Q330" i="1"/>
  <c r="Q347" i="1"/>
  <c r="U347" i="1" s="1"/>
  <c r="K353" i="1"/>
  <c r="Q353" i="1" s="1"/>
  <c r="T355" i="1"/>
  <c r="Q355" i="1"/>
  <c r="S355" i="1"/>
  <c r="R464" i="1"/>
  <c r="S464" i="1"/>
  <c r="Q464" i="1"/>
  <c r="U479" i="1"/>
  <c r="U484" i="1"/>
  <c r="Q486" i="1"/>
  <c r="U486" i="1" s="1"/>
  <c r="K490" i="1"/>
  <c r="Q490" i="1" s="1"/>
  <c r="Q609" i="1"/>
  <c r="K389" i="1"/>
  <c r="Q389" i="1" s="1"/>
  <c r="Q503" i="1"/>
  <c r="U503" i="1" s="1"/>
  <c r="K504" i="1"/>
  <c r="Q504" i="1" s="1"/>
  <c r="Q59" i="1"/>
  <c r="U59" i="1" s="1"/>
  <c r="Y59" i="1" s="1"/>
  <c r="Q94" i="1"/>
  <c r="U94" i="1" s="1"/>
  <c r="K98" i="1"/>
  <c r="Q99" i="1"/>
  <c r="U99" i="1" s="1"/>
  <c r="Y99" i="1" s="1"/>
  <c r="K102" i="1"/>
  <c r="Q102" i="1" s="1"/>
  <c r="K106" i="1"/>
  <c r="Q106" i="1" s="1"/>
  <c r="T124" i="1"/>
  <c r="S124" i="1"/>
  <c r="T138" i="1"/>
  <c r="S138" i="1"/>
  <c r="Q138" i="1"/>
  <c r="R138" i="1"/>
  <c r="J139" i="1"/>
  <c r="Q139" i="1" s="1"/>
  <c r="U177" i="1"/>
  <c r="U179" i="1"/>
  <c r="T200" i="1"/>
  <c r="R200" i="1"/>
  <c r="T206" i="1"/>
  <c r="S206" i="1"/>
  <c r="T510" i="1"/>
  <c r="S510" i="1"/>
  <c r="R510" i="1"/>
  <c r="Q510" i="1"/>
  <c r="S519" i="1"/>
  <c r="T519" i="1"/>
  <c r="R519" i="1"/>
  <c r="Q519" i="1"/>
  <c r="U520" i="1"/>
  <c r="Q534" i="1"/>
  <c r="T534" i="1"/>
  <c r="S534" i="1"/>
  <c r="R534" i="1"/>
  <c r="S787" i="1"/>
  <c r="U788" i="1"/>
  <c r="Q3451" i="1"/>
  <c r="U3451" i="1" s="1"/>
  <c r="K3457" i="1"/>
  <c r="J541" i="1"/>
  <c r="Q541" i="1" s="1"/>
  <c r="R1141" i="1"/>
  <c r="R699" i="1"/>
  <c r="R38" i="1"/>
  <c r="T38" i="1"/>
  <c r="Q84" i="1"/>
  <c r="U84" i="1" s="1"/>
  <c r="K87" i="1"/>
  <c r="Q87" i="1" s="1"/>
  <c r="T195" i="1"/>
  <c r="R195" i="1"/>
  <c r="Q195" i="1"/>
  <c r="T507" i="1"/>
  <c r="R507" i="1"/>
  <c r="J512" i="1"/>
  <c r="S507" i="1"/>
  <c r="K385" i="1"/>
  <c r="Q385" i="1" s="1"/>
  <c r="Q73" i="1"/>
  <c r="U73" i="1" s="1"/>
  <c r="K77" i="1"/>
  <c r="Q77" i="1" s="1"/>
  <c r="K128" i="1"/>
  <c r="Q127" i="1"/>
  <c r="U127" i="1" s="1"/>
  <c r="T168" i="1"/>
  <c r="S168" i="1"/>
  <c r="K346" i="1"/>
  <c r="Q344" i="1"/>
  <c r="U344" i="1" s="1"/>
  <c r="S418" i="1"/>
  <c r="Q418" i="1"/>
  <c r="J419" i="1"/>
  <c r="R419" i="1" s="1"/>
  <c r="T418" i="1"/>
  <c r="R418" i="1"/>
  <c r="R492" i="1"/>
  <c r="Q492" i="1"/>
  <c r="T492" i="1"/>
  <c r="S492" i="1"/>
  <c r="R544" i="1"/>
  <c r="S544" i="1"/>
  <c r="T544" i="1"/>
  <c r="Q544" i="1"/>
  <c r="Q702" i="1"/>
  <c r="U702" i="1" s="1"/>
  <c r="K703" i="1"/>
  <c r="Q703" i="1" s="1"/>
  <c r="R709" i="1"/>
  <c r="Q709" i="1"/>
  <c r="Q587" i="1"/>
  <c r="T587" i="1"/>
  <c r="S587" i="1"/>
  <c r="Q916" i="1"/>
  <c r="U916" i="1" s="1"/>
  <c r="K918" i="1"/>
  <c r="Q918" i="1" s="1"/>
  <c r="R1265" i="1"/>
  <c r="S1265" i="1"/>
  <c r="T1265" i="1"/>
  <c r="Q1265" i="1"/>
  <c r="R1769" i="1"/>
  <c r="T1769" i="1"/>
  <c r="S1769" i="1"/>
  <c r="S840" i="1"/>
  <c r="J334" i="1"/>
  <c r="K91" i="1"/>
  <c r="Q91" i="1" s="1"/>
  <c r="R7" i="1"/>
  <c r="K554" i="1"/>
  <c r="Q554" i="1" s="1"/>
  <c r="K163" i="1"/>
  <c r="Q163" i="1" s="1"/>
  <c r="S156" i="1"/>
  <c r="R565" i="1"/>
  <c r="T446" i="1"/>
  <c r="Q294" i="1"/>
  <c r="J528" i="1"/>
  <c r="K43" i="1"/>
  <c r="Q43" i="1" s="1"/>
  <c r="R11" i="1"/>
  <c r="K25" i="1"/>
  <c r="Q25" i="1" s="1"/>
  <c r="K485" i="1"/>
  <c r="Q485" i="1" s="1"/>
  <c r="T268" i="1"/>
  <c r="S524" i="1"/>
  <c r="R493" i="1"/>
  <c r="J415" i="1"/>
  <c r="Q415" i="1" s="1"/>
  <c r="T656" i="1"/>
  <c r="U502" i="1"/>
  <c r="U44" i="1"/>
  <c r="U6" i="1"/>
  <c r="S116" i="1"/>
  <c r="T128" i="1"/>
  <c r="S128" i="1"/>
  <c r="S195" i="1"/>
  <c r="R204" i="1"/>
  <c r="T252" i="1"/>
  <c r="S252" i="1"/>
  <c r="U282" i="1"/>
  <c r="U348" i="1"/>
  <c r="S314" i="1"/>
  <c r="U318" i="1"/>
  <c r="R356" i="1"/>
  <c r="Q356" i="1"/>
  <c r="S356" i="1"/>
  <c r="R537" i="1"/>
  <c r="T537" i="1"/>
  <c r="S561" i="1"/>
  <c r="Q561" i="1"/>
  <c r="R561" i="1"/>
  <c r="T570" i="1"/>
  <c r="S570" i="1"/>
  <c r="Q570" i="1"/>
  <c r="S580" i="1"/>
  <c r="R580" i="1"/>
  <c r="T580" i="1"/>
  <c r="Q861" i="1"/>
  <c r="U861" i="1" s="1"/>
  <c r="K862" i="1"/>
  <c r="Q862" i="1" s="1"/>
  <c r="U860" i="1"/>
  <c r="U870" i="1"/>
  <c r="U883" i="1"/>
  <c r="K894" i="1"/>
  <c r="Q894" i="1" s="1"/>
  <c r="U891" i="1"/>
  <c r="Q910" i="1"/>
  <c r="U910" i="1" s="1"/>
  <c r="K912" i="1"/>
  <c r="Q912" i="1" s="1"/>
  <c r="S947" i="1"/>
  <c r="T947" i="1"/>
  <c r="U976" i="1"/>
  <c r="U979" i="1"/>
  <c r="S1001" i="1"/>
  <c r="Q1001" i="1"/>
  <c r="U1036" i="1"/>
  <c r="U1075" i="1"/>
  <c r="U1078" i="1"/>
  <c r="Q1145" i="1"/>
  <c r="U1145" i="1" s="1"/>
  <c r="K1146" i="1"/>
  <c r="Q1146" i="1" s="1"/>
  <c r="U1166" i="1"/>
  <c r="U1335" i="1"/>
  <c r="U1389" i="1"/>
  <c r="Q594" i="1"/>
  <c r="U594" i="1" s="1"/>
  <c r="K597" i="1"/>
  <c r="Q597" i="1" s="1"/>
  <c r="Q866" i="1"/>
  <c r="U866" i="1" s="1"/>
  <c r="K867" i="1"/>
  <c r="Q867" i="1" s="1"/>
  <c r="T1023" i="1"/>
  <c r="R1023" i="1"/>
  <c r="J1027" i="1"/>
  <c r="R1027" i="1" s="1"/>
  <c r="Q1358" i="1"/>
  <c r="U1358" i="1" s="1"/>
  <c r="K1363" i="1"/>
  <c r="Q1363" i="1" s="1"/>
  <c r="T1400" i="1"/>
  <c r="Q1400" i="1"/>
  <c r="S1400" i="1"/>
  <c r="R1400" i="1"/>
  <c r="K35" i="1"/>
  <c r="Q35" i="1" s="1"/>
  <c r="K820" i="1"/>
  <c r="Q820" i="1" s="1"/>
  <c r="S268" i="1"/>
  <c r="T565" i="1"/>
  <c r="S565" i="1"/>
  <c r="T524" i="1"/>
  <c r="Q268" i="1"/>
  <c r="T844" i="1"/>
  <c r="T328" i="1"/>
  <c r="J382" i="1"/>
  <c r="T381" i="1"/>
  <c r="T493" i="1"/>
  <c r="Q493" i="1"/>
  <c r="U207" i="1"/>
  <c r="U260" i="1"/>
  <c r="U312" i="1"/>
  <c r="S337" i="1"/>
  <c r="R337" i="1"/>
  <c r="Q391" i="1"/>
  <c r="R391" i="1"/>
  <c r="T391" i="1"/>
  <c r="S454" i="1"/>
  <c r="T454" i="1"/>
  <c r="Q585" i="1"/>
  <c r="R585" i="1"/>
  <c r="U845" i="1"/>
  <c r="T867" i="1"/>
  <c r="R867" i="1"/>
  <c r="U913" i="1"/>
  <c r="U915" i="1"/>
  <c r="U941" i="1"/>
  <c r="U945" i="1"/>
  <c r="U966" i="1"/>
  <c r="U970" i="1"/>
  <c r="R971" i="1"/>
  <c r="S974" i="1"/>
  <c r="R974" i="1"/>
  <c r="Q974" i="1"/>
  <c r="K998" i="1"/>
  <c r="Q998" i="1" s="1"/>
  <c r="U1077" i="1"/>
  <c r="U1160" i="1"/>
  <c r="T1235" i="1"/>
  <c r="S1235" i="1"/>
  <c r="Q1235" i="1"/>
  <c r="J1243" i="1"/>
  <c r="Q1243" i="1" s="1"/>
  <c r="R1235" i="1"/>
  <c r="S1579" i="1"/>
  <c r="R1579" i="1"/>
  <c r="Q1702" i="1"/>
  <c r="U1702" i="1" s="1"/>
  <c r="K1703" i="1"/>
  <c r="Q1703" i="1" s="1"/>
  <c r="U1002" i="1"/>
  <c r="K1081" i="1"/>
  <c r="Q1081" i="1" s="1"/>
  <c r="K1213" i="1"/>
  <c r="Q1213" i="1" s="1"/>
  <c r="Q1212" i="1"/>
  <c r="U1212" i="1" s="1"/>
  <c r="Q1454" i="1"/>
  <c r="R1454" i="1"/>
  <c r="T1454" i="1"/>
  <c r="S1454" i="1"/>
  <c r="U18" i="1"/>
  <c r="Q206" i="1"/>
  <c r="U1056" i="1"/>
  <c r="S1434" i="1"/>
  <c r="T1434" i="1"/>
  <c r="Q1427" i="1"/>
  <c r="U1427" i="1" s="1"/>
  <c r="K1434" i="1"/>
  <c r="T1441" i="1"/>
  <c r="S1441" i="1"/>
  <c r="R1441" i="1"/>
  <c r="Q1441" i="1"/>
  <c r="J1449" i="1"/>
  <c r="Q1449" i="1" s="1"/>
  <c r="K1453" i="1"/>
  <c r="Q1453" i="1" s="1"/>
  <c r="Q1450" i="1"/>
  <c r="U1450" i="1" s="1"/>
  <c r="Q1680" i="1"/>
  <c r="U1680" i="1" s="1"/>
  <c r="K1682" i="1"/>
  <c r="Q1682" i="1" s="1"/>
  <c r="R587" i="1"/>
  <c r="S413" i="1"/>
  <c r="Q413" i="1"/>
  <c r="T413" i="1"/>
  <c r="Q468" i="1"/>
  <c r="U468" i="1" s="1"/>
  <c r="K472" i="1"/>
  <c r="Q472" i="1" s="1"/>
  <c r="Q540" i="1"/>
  <c r="R540" i="1"/>
  <c r="Q582" i="1"/>
  <c r="T582" i="1"/>
  <c r="U680" i="1"/>
  <c r="U694" i="1"/>
  <c r="U920" i="1"/>
  <c r="Q922" i="1"/>
  <c r="R922" i="1"/>
  <c r="U924" i="1"/>
  <c r="T987" i="1"/>
  <c r="Q656" i="1"/>
  <c r="K134" i="1"/>
  <c r="Q134" i="1" s="1"/>
  <c r="K11" i="1"/>
  <c r="Q11" i="1" s="1"/>
  <c r="T358" i="1"/>
  <c r="J296" i="1"/>
  <c r="S358" i="1"/>
  <c r="K408" i="1"/>
  <c r="Q408" i="1" s="1"/>
  <c r="R15" i="1"/>
  <c r="Q151" i="1"/>
  <c r="S601" i="1"/>
  <c r="T375" i="1"/>
  <c r="R375" i="1"/>
  <c r="S375" i="1"/>
  <c r="Q381" i="1"/>
  <c r="S381" i="1"/>
  <c r="U388" i="1"/>
  <c r="S416" i="1"/>
  <c r="R416" i="1"/>
  <c r="Q446" i="1"/>
  <c r="S583" i="1"/>
  <c r="R583" i="1"/>
  <c r="R653" i="1"/>
  <c r="J657" i="1"/>
  <c r="Q885" i="1"/>
  <c r="U885" i="1" s="1"/>
  <c r="K888" i="1"/>
  <c r="Q888" i="1" s="1"/>
  <c r="T922" i="1"/>
  <c r="K946" i="1"/>
  <c r="Q946" i="1" s="1"/>
  <c r="U964" i="1"/>
  <c r="U963" i="1"/>
  <c r="K1020" i="1"/>
  <c r="Q1020" i="1" s="1"/>
  <c r="Q1017" i="1"/>
  <c r="U1017" i="1" s="1"/>
  <c r="U1013" i="1"/>
  <c r="Q1023" i="1"/>
  <c r="S1023" i="1"/>
  <c r="U1026" i="1"/>
  <c r="S1038" i="1"/>
  <c r="R1038" i="1"/>
  <c r="T1038" i="1"/>
  <c r="Q1205" i="1"/>
  <c r="S1205" i="1"/>
  <c r="R1205" i="1"/>
  <c r="T1205" i="1"/>
  <c r="J1210" i="1"/>
  <c r="S1210" i="1" s="1"/>
  <c r="Q1214" i="1"/>
  <c r="U1214" i="1" s="1"/>
  <c r="K1219" i="1"/>
  <c r="Q1219" i="1" s="1"/>
  <c r="U1430" i="1"/>
  <c r="U1433" i="1"/>
  <c r="U1627" i="1"/>
  <c r="U1094" i="1"/>
  <c r="U1135" i="1"/>
  <c r="T1174" i="1"/>
  <c r="R1174" i="1"/>
  <c r="R1295" i="1"/>
  <c r="Q1295" i="1"/>
  <c r="S1295" i="1"/>
  <c r="N1323" i="1"/>
  <c r="P1357" i="1"/>
  <c r="U1354" i="1"/>
  <c r="U1372" i="1"/>
  <c r="Q1393" i="1"/>
  <c r="U1393" i="1" s="1"/>
  <c r="K1398" i="1"/>
  <c r="Q1398" i="1" s="1"/>
  <c r="U1405" i="1"/>
  <c r="U1424" i="1"/>
  <c r="U1426" i="1"/>
  <c r="U1434" i="1"/>
  <c r="U1437" i="1"/>
  <c r="U1446" i="1"/>
  <c r="Q949" i="1"/>
  <c r="T949" i="1"/>
  <c r="S999" i="1"/>
  <c r="T1021" i="1"/>
  <c r="K1085" i="1"/>
  <c r="Q1085" i="1" s="1"/>
  <c r="U1091" i="1"/>
  <c r="T1112" i="1"/>
  <c r="R1115" i="1"/>
  <c r="S1114" i="1"/>
  <c r="T1114" i="1"/>
  <c r="J1119" i="1"/>
  <c r="R1119" i="1" s="1"/>
  <c r="U1118" i="1"/>
  <c r="T1128" i="1"/>
  <c r="Q1128" i="1"/>
  <c r="J1131" i="1"/>
  <c r="U1136" i="1"/>
  <c r="R1163" i="1"/>
  <c r="T1148" i="1"/>
  <c r="Q1148" i="1"/>
  <c r="R1186" i="1"/>
  <c r="K1234" i="1"/>
  <c r="Q1234" i="1" s="1"/>
  <c r="U1197" i="1"/>
  <c r="S1204" i="1"/>
  <c r="Q1204" i="1"/>
  <c r="U1233" i="1"/>
  <c r="Q1253" i="1"/>
  <c r="U1253" i="1" s="1"/>
  <c r="U1262" i="1"/>
  <c r="R1293" i="1"/>
  <c r="K1338" i="1"/>
  <c r="U1340" i="1"/>
  <c r="U1359" i="1"/>
  <c r="U1362" i="1"/>
  <c r="K1369" i="1"/>
  <c r="Q1369" i="1" s="1"/>
  <c r="U1378" i="1"/>
  <c r="T1420" i="1"/>
  <c r="R1443" i="1"/>
  <c r="S1561" i="1"/>
  <c r="U1587" i="1"/>
  <c r="U1734" i="1"/>
  <c r="U1090" i="1"/>
  <c r="T1098" i="1"/>
  <c r="Q1133" i="1"/>
  <c r="S1163" i="1"/>
  <c r="T1163" i="1"/>
  <c r="S1201" i="1"/>
  <c r="R1201" i="1"/>
  <c r="U1217" i="1"/>
  <c r="U1222" i="1"/>
  <c r="Q1310" i="1"/>
  <c r="T1310" i="1"/>
  <c r="U1321" i="1"/>
  <c r="T1345" i="1"/>
  <c r="Q1345" i="1"/>
  <c r="R1345" i="1"/>
  <c r="S1345" i="1"/>
  <c r="Q1382" i="1"/>
  <c r="U1382" i="1" s="1"/>
  <c r="K1383" i="1"/>
  <c r="Q1383" i="1" s="1"/>
  <c r="T1464" i="1"/>
  <c r="R1464" i="1"/>
  <c r="S1464" i="1"/>
  <c r="J1479" i="1"/>
  <c r="T1479" i="1" s="1"/>
  <c r="R1474" i="1"/>
  <c r="S1474" i="1"/>
  <c r="R1516" i="1"/>
  <c r="S1516" i="1"/>
  <c r="S1504" i="1"/>
  <c r="T1504" i="1"/>
  <c r="R1504" i="1"/>
  <c r="K1520" i="1"/>
  <c r="Q1520" i="1" s="1"/>
  <c r="S1538" i="1"/>
  <c r="Q1538" i="1"/>
  <c r="T1538" i="1"/>
  <c r="Q1779" i="1"/>
  <c r="U1779" i="1" s="1"/>
  <c r="K1784" i="1"/>
  <c r="Q1784" i="1" s="1"/>
  <c r="S1053" i="1"/>
  <c r="S1116" i="1"/>
  <c r="R1133" i="1"/>
  <c r="S1174" i="1"/>
  <c r="R1146" i="1"/>
  <c r="T1146" i="1"/>
  <c r="U1189" i="1"/>
  <c r="K1200" i="1"/>
  <c r="Q1200" i="1" s="1"/>
  <c r="Q1195" i="1"/>
  <c r="U1195" i="1" s="1"/>
  <c r="U1199" i="1"/>
  <c r="U1196" i="1"/>
  <c r="S1221" i="1"/>
  <c r="U1314" i="1"/>
  <c r="U1333" i="1"/>
  <c r="U1351" i="1"/>
  <c r="U1360" i="1"/>
  <c r="U1406" i="1"/>
  <c r="Q1408" i="1"/>
  <c r="U1408" i="1" s="1"/>
  <c r="K1414" i="1"/>
  <c r="Q1414" i="1" s="1"/>
  <c r="S1425" i="1"/>
  <c r="U1431" i="1"/>
  <c r="T1725" i="1"/>
  <c r="R1725" i="1"/>
  <c r="S1725" i="1"/>
  <c r="J1730" i="1"/>
  <c r="S1730" i="1" s="1"/>
  <c r="T1737" i="1"/>
  <c r="S1098" i="1"/>
  <c r="U1103" i="1"/>
  <c r="Q1100" i="1"/>
  <c r="R1100" i="1"/>
  <c r="T1100" i="1"/>
  <c r="T1116" i="1"/>
  <c r="T1134" i="1"/>
  <c r="R1134" i="1"/>
  <c r="R1147" i="1"/>
  <c r="S1147" i="1"/>
  <c r="Q1172" i="1"/>
  <c r="U1172" i="1" s="1"/>
  <c r="R1183" i="1"/>
  <c r="S1183" i="1"/>
  <c r="T1183" i="1"/>
  <c r="S1186" i="1"/>
  <c r="Q1186" i="1"/>
  <c r="T1200" i="1"/>
  <c r="S1200" i="1"/>
  <c r="T1221" i="1"/>
  <c r="R1221" i="1"/>
  <c r="R1257" i="1"/>
  <c r="S1257" i="1"/>
  <c r="T1257" i="1"/>
  <c r="Q1257" i="1"/>
  <c r="J1263" i="1"/>
  <c r="R1263" i="1" s="1"/>
  <c r="U1268" i="1"/>
  <c r="U1276" i="1"/>
  <c r="U1284" i="1"/>
  <c r="U1286" i="1"/>
  <c r="U1298" i="1"/>
  <c r="Q1329" i="1"/>
  <c r="J1334" i="1"/>
  <c r="T1334" i="1" s="1"/>
  <c r="U1368" i="1"/>
  <c r="U1374" i="1"/>
  <c r="U1379" i="1"/>
  <c r="S1386" i="1"/>
  <c r="Q1386" i="1"/>
  <c r="U1411" i="1"/>
  <c r="U1458" i="1"/>
  <c r="T1579" i="1"/>
  <c r="K1708" i="1"/>
  <c r="Q1708" i="1" s="1"/>
  <c r="T1762" i="1"/>
  <c r="S1762" i="1"/>
  <c r="S1804" i="1"/>
  <c r="Q1804" i="1"/>
  <c r="T1804" i="1"/>
  <c r="R1804" i="1"/>
  <c r="J1811" i="1"/>
  <c r="T1811" i="1" s="1"/>
  <c r="U1812" i="1"/>
  <c r="Q1818" i="1"/>
  <c r="U1820" i="1"/>
  <c r="Q1822" i="1"/>
  <c r="U1821" i="1"/>
  <c r="R1282" i="1"/>
  <c r="S1311" i="1"/>
  <c r="R1328" i="1"/>
  <c r="S1328" i="1"/>
  <c r="S1346" i="1"/>
  <c r="T1328" i="1"/>
  <c r="T1330" i="1"/>
  <c r="T1385" i="1"/>
  <c r="S1421" i="1"/>
  <c r="U1485" i="1"/>
  <c r="U1507" i="1"/>
  <c r="U1555" i="1"/>
  <c r="Q1576" i="1"/>
  <c r="U1576" i="1" s="1"/>
  <c r="K1579" i="1"/>
  <c r="Q1579" i="1" s="1"/>
  <c r="U1589" i="1"/>
  <c r="U1597" i="1"/>
  <c r="R1619" i="1"/>
  <c r="K1692" i="1"/>
  <c r="Q1692" i="1" s="1"/>
  <c r="U1704" i="1"/>
  <c r="U1706" i="1"/>
  <c r="U1712" i="1"/>
  <c r="K1719" i="1"/>
  <c r="Q1719" i="1" s="1"/>
  <c r="U1726" i="1"/>
  <c r="U1727" i="1"/>
  <c r="U1733" i="1"/>
  <c r="U1738" i="1"/>
  <c r="T1746" i="1"/>
  <c r="T1344" i="1"/>
  <c r="S1401" i="1"/>
  <c r="S1436" i="1"/>
  <c r="T1516" i="1"/>
  <c r="U1519" i="1"/>
  <c r="S1564" i="1"/>
  <c r="Q1564" i="1"/>
  <c r="J1567" i="1"/>
  <c r="T1564" i="1"/>
  <c r="Q1580" i="1"/>
  <c r="S1580" i="1"/>
  <c r="J1586" i="1"/>
  <c r="Q1586" i="1" s="1"/>
  <c r="Q1595" i="1"/>
  <c r="U1595" i="1" s="1"/>
  <c r="K1599" i="1"/>
  <c r="Q1599" i="1" s="1"/>
  <c r="U1646" i="1"/>
  <c r="R1650" i="1"/>
  <c r="S1650" i="1"/>
  <c r="T1674" i="1"/>
  <c r="S1674" i="1"/>
  <c r="S1545" i="1"/>
  <c r="U1557" i="1"/>
  <c r="R1561" i="1"/>
  <c r="Q1581" i="1"/>
  <c r="T1581" i="1"/>
  <c r="R1581" i="1"/>
  <c r="S1581" i="1"/>
  <c r="U1615" i="1"/>
  <c r="U1617" i="1"/>
  <c r="Q1635" i="1"/>
  <c r="U1635" i="1" s="1"/>
  <c r="K1639" i="1"/>
  <c r="Q1639" i="1" s="1"/>
  <c r="U1683" i="1"/>
  <c r="U1685" i="1"/>
  <c r="U1689" i="1"/>
  <c r="U1691" i="1"/>
  <c r="Q1709" i="1"/>
  <c r="R1709" i="1"/>
  <c r="T1709" i="1"/>
  <c r="U1751" i="1"/>
  <c r="Q1746" i="1"/>
  <c r="S1755" i="1"/>
  <c r="T1755" i="1"/>
  <c r="Q1755" i="1"/>
  <c r="U1781" i="1"/>
  <c r="R2052" i="1"/>
  <c r="S2052" i="1"/>
  <c r="U1478" i="1"/>
  <c r="K1508" i="1"/>
  <c r="Q1508" i="1" s="1"/>
  <c r="Q1505" i="1"/>
  <c r="U1505" i="1" s="1"/>
  <c r="U1531" i="1"/>
  <c r="J1541" i="1"/>
  <c r="T1541" i="1" s="1"/>
  <c r="S1537" i="1"/>
  <c r="T1537" i="1"/>
  <c r="Q1537" i="1"/>
  <c r="R1537" i="1"/>
  <c r="R1580" i="1"/>
  <c r="U1570" i="1"/>
  <c r="U1574" i="1"/>
  <c r="U1578" i="1"/>
  <c r="U1626" i="1"/>
  <c r="Q1674" i="1"/>
  <c r="R1674" i="1"/>
  <c r="U1705" i="1"/>
  <c r="R1737" i="1"/>
  <c r="T1741" i="1"/>
  <c r="S1741" i="1"/>
  <c r="P2360" i="1"/>
  <c r="T2287" i="1"/>
  <c r="R2287" i="1"/>
  <c r="S2287" i="1"/>
  <c r="Q2287" i="1"/>
  <c r="K2303" i="1"/>
  <c r="Q1517" i="1"/>
  <c r="U1517" i="1" s="1"/>
  <c r="T1600" i="1"/>
  <c r="R1755" i="1"/>
  <c r="U1790" i="1"/>
  <c r="Q1793" i="1"/>
  <c r="T1793" i="1"/>
  <c r="U1810" i="1"/>
  <c r="U1815" i="1"/>
  <c r="U1817" i="1"/>
  <c r="S1872" i="1"/>
  <c r="Q1872" i="1"/>
  <c r="J1874" i="1"/>
  <c r="T1874" i="1" s="1"/>
  <c r="T2031" i="1"/>
  <c r="R2031" i="1"/>
  <c r="Q2031" i="1"/>
  <c r="S2031" i="1"/>
  <c r="U2086" i="1"/>
  <c r="U2070" i="1"/>
  <c r="R2074" i="1"/>
  <c r="S2074" i="1"/>
  <c r="T2074" i="1"/>
  <c r="J2079" i="1"/>
  <c r="S2079" i="1" s="1"/>
  <c r="U2087" i="1"/>
  <c r="R2105" i="1"/>
  <c r="U2107" i="1"/>
  <c r="R2137" i="1"/>
  <c r="S2108" i="1"/>
  <c r="R2108" i="1"/>
  <c r="R2118" i="1"/>
  <c r="S2118" i="1"/>
  <c r="Q2128" i="1"/>
  <c r="S2128" i="1"/>
  <c r="R2128" i="1"/>
  <c r="T2471" i="1"/>
  <c r="Q2471" i="1"/>
  <c r="R2471" i="1"/>
  <c r="S2471" i="1"/>
  <c r="K1762" i="1"/>
  <c r="Q1762" i="1" s="1"/>
  <c r="Q1758" i="1"/>
  <c r="U1758" i="1" s="1"/>
  <c r="R1763" i="1"/>
  <c r="Q1763" i="1"/>
  <c r="S1763" i="1"/>
  <c r="Q1803" i="1"/>
  <c r="Q1823" i="1"/>
  <c r="R1823" i="1"/>
  <c r="T1823" i="1"/>
  <c r="U1835" i="1"/>
  <c r="U1845" i="1"/>
  <c r="R1866" i="1"/>
  <c r="T1871" i="1"/>
  <c r="U1891" i="1"/>
  <c r="U1896" i="1"/>
  <c r="T1985" i="1"/>
  <c r="R1985" i="1"/>
  <c r="R2005" i="1"/>
  <c r="Q2005" i="1"/>
  <c r="T2005" i="1"/>
  <c r="U2041" i="1"/>
  <c r="U2150" i="1"/>
  <c r="R2174" i="1"/>
  <c r="S2174" i="1"/>
  <c r="T2174" i="1"/>
  <c r="U2206" i="1"/>
  <c r="Q2345" i="1"/>
  <c r="S2345" i="1"/>
  <c r="T2345" i="1"/>
  <c r="R2345" i="1"/>
  <c r="U2404" i="1"/>
  <c r="U2412" i="1"/>
  <c r="R1757" i="1"/>
  <c r="R1762" i="1"/>
  <c r="U1765" i="1"/>
  <c r="Q1769" i="1"/>
  <c r="R1784" i="1"/>
  <c r="U1782" i="1"/>
  <c r="S1818" i="1"/>
  <c r="R1818" i="1"/>
  <c r="U1830" i="1"/>
  <c r="U1841" i="1"/>
  <c r="U1859" i="1"/>
  <c r="T1866" i="1"/>
  <c r="R1872" i="1"/>
  <c r="U1869" i="1"/>
  <c r="S1877" i="1"/>
  <c r="P1879" i="1"/>
  <c r="Q1895" i="1"/>
  <c r="T1898" i="1"/>
  <c r="Q1898" i="1"/>
  <c r="R1898" i="1"/>
  <c r="J1902" i="1"/>
  <c r="S1902" i="1" s="1"/>
  <c r="R1915" i="1"/>
  <c r="N1957" i="1"/>
  <c r="U1956" i="1"/>
  <c r="U1962" i="1"/>
  <c r="U1992" i="1"/>
  <c r="U1998" i="1"/>
  <c r="U2060" i="1"/>
  <c r="U2080" i="1"/>
  <c r="T2128" i="1"/>
  <c r="U2182" i="1"/>
  <c r="L2352" i="1"/>
  <c r="U1911" i="1"/>
  <c r="U1924" i="1"/>
  <c r="U1933" i="1"/>
  <c r="R2003" i="1"/>
  <c r="S2003" i="1"/>
  <c r="U1936" i="1"/>
  <c r="T2076" i="1"/>
  <c r="R2076" i="1"/>
  <c r="Q2076" i="1"/>
  <c r="S2076" i="1"/>
  <c r="T2171" i="1"/>
  <c r="O2175" i="1"/>
  <c r="T2222" i="1"/>
  <c r="Q2222" i="1"/>
  <c r="J2225" i="1"/>
  <c r="T2225" i="1" s="1"/>
  <c r="S2222" i="1"/>
  <c r="R2222" i="1"/>
  <c r="O2267" i="1"/>
  <c r="S1757" i="1"/>
  <c r="U1778" i="1"/>
  <c r="P1833" i="1"/>
  <c r="U1873" i="1"/>
  <c r="U1899" i="1"/>
  <c r="P1957" i="1"/>
  <c r="T1994" i="1"/>
  <c r="S1994" i="1"/>
  <c r="R1994" i="1"/>
  <c r="T2003" i="1"/>
  <c r="S2008" i="1"/>
  <c r="R2008" i="1"/>
  <c r="Q2008" i="1"/>
  <c r="S2029" i="1"/>
  <c r="J2036" i="1"/>
  <c r="S2036" i="1" s="1"/>
  <c r="T2029" i="1"/>
  <c r="Q2029" i="1"/>
  <c r="Q2171" i="1"/>
  <c r="K2175" i="1"/>
  <c r="O2299" i="1"/>
  <c r="U1943" i="1"/>
  <c r="U1953" i="1"/>
  <c r="U1971" i="1"/>
  <c r="U1974" i="1"/>
  <c r="S1985" i="1"/>
  <c r="U1993" i="1"/>
  <c r="U1997" i="1"/>
  <c r="S2007" i="1"/>
  <c r="Q2007" i="1"/>
  <c r="U2094" i="1"/>
  <c r="U2101" i="1"/>
  <c r="S2105" i="1"/>
  <c r="S2137" i="1"/>
  <c r="S2165" i="1"/>
  <c r="R2165" i="1"/>
  <c r="S2183" i="1"/>
  <c r="U2181" i="1"/>
  <c r="U2232" i="1"/>
  <c r="U2414" i="1"/>
  <c r="J1889" i="1"/>
  <c r="Q1889" i="1" s="1"/>
  <c r="S1935" i="1"/>
  <c r="U1952" i="1"/>
  <c r="U1955" i="1"/>
  <c r="U1958" i="1"/>
  <c r="U1960" i="1"/>
  <c r="U1969" i="1"/>
  <c r="R2007" i="1"/>
  <c r="U2020" i="1"/>
  <c r="U2017" i="1"/>
  <c r="R2030" i="1"/>
  <c r="R2055" i="1"/>
  <c r="T2052" i="1"/>
  <c r="J2067" i="1"/>
  <c r="S2067" i="1" s="1"/>
  <c r="T2064" i="1"/>
  <c r="Q2078" i="1"/>
  <c r="Q2062" i="1"/>
  <c r="T2062" i="1"/>
  <c r="S2062" i="1"/>
  <c r="U2110" i="1"/>
  <c r="R2124" i="1"/>
  <c r="U2132" i="1"/>
  <c r="U2148" i="1"/>
  <c r="J2168" i="1"/>
  <c r="U2159" i="1"/>
  <c r="S2167" i="1"/>
  <c r="R2167" i="1"/>
  <c r="T2167" i="1"/>
  <c r="T2241" i="1"/>
  <c r="Q2241" i="1"/>
  <c r="S2241" i="1"/>
  <c r="U2275" i="1"/>
  <c r="R2452" i="1"/>
  <c r="T2452" i="1"/>
  <c r="Q2452" i="1"/>
  <c r="U2494" i="1"/>
  <c r="T1897" i="1"/>
  <c r="S1986" i="1"/>
  <c r="Q1987" i="1"/>
  <c r="U1942" i="1"/>
  <c r="U1979" i="1"/>
  <c r="J2059" i="1"/>
  <c r="R2059" i="1" s="1"/>
  <c r="U2082" i="1"/>
  <c r="R2092" i="1"/>
  <c r="U2109" i="1"/>
  <c r="Q2143" i="1"/>
  <c r="R2143" i="1"/>
  <c r="Q2172" i="1"/>
  <c r="Q2173" i="1"/>
  <c r="T2173" i="1"/>
  <c r="S2173" i="1"/>
  <c r="U2277" i="1"/>
  <c r="N2299" i="1"/>
  <c r="T2328" i="1"/>
  <c r="S2328" i="1"/>
  <c r="Q2328" i="1"/>
  <c r="S2373" i="1"/>
  <c r="J2378" i="1"/>
  <c r="R2378" i="1" s="1"/>
  <c r="Q2373" i="1"/>
  <c r="R2373" i="1"/>
  <c r="U2539" i="1"/>
  <c r="U2550" i="1"/>
  <c r="R1986" i="1"/>
  <c r="S1987" i="1"/>
  <c r="U1941" i="1"/>
  <c r="U1950" i="1"/>
  <c r="T2009" i="1"/>
  <c r="R2009" i="1"/>
  <c r="Q2035" i="1"/>
  <c r="U2024" i="1"/>
  <c r="U2025" i="1"/>
  <c r="Q2058" i="1"/>
  <c r="R2058" i="1"/>
  <c r="S2058" i="1"/>
  <c r="T2058" i="1"/>
  <c r="U2061" i="1"/>
  <c r="T2097" i="1"/>
  <c r="U2099" i="1"/>
  <c r="T2105" i="1"/>
  <c r="S2122" i="1"/>
  <c r="J2131" i="1"/>
  <c r="Q2131" i="1" s="1"/>
  <c r="O2161" i="1"/>
  <c r="T2161" i="1" s="1"/>
  <c r="T2155" i="1"/>
  <c r="Q2165" i="1"/>
  <c r="T2172" i="1"/>
  <c r="U2160" i="1"/>
  <c r="R2183" i="1"/>
  <c r="R2200" i="1"/>
  <c r="S2200" i="1"/>
  <c r="T2200" i="1"/>
  <c r="Q2226" i="1"/>
  <c r="R2226" i="1"/>
  <c r="J2231" i="1"/>
  <c r="T2226" i="1"/>
  <c r="U2237" i="1"/>
  <c r="U2264" i="1"/>
  <c r="P2307" i="1"/>
  <c r="R2344" i="1"/>
  <c r="T2344" i="1"/>
  <c r="S2344" i="1"/>
  <c r="T2373" i="1"/>
  <c r="U2297" i="1"/>
  <c r="U2306" i="1"/>
  <c r="N2356" i="1"/>
  <c r="U2355" i="1"/>
  <c r="U2358" i="1"/>
  <c r="U2420" i="1"/>
  <c r="U2423" i="1"/>
  <c r="T2433" i="1"/>
  <c r="S2433" i="1"/>
  <c r="Q2433" i="1"/>
  <c r="R2433" i="1"/>
  <c r="J2439" i="1"/>
  <c r="S2449" i="1"/>
  <c r="Q2449" i="1"/>
  <c r="R2449" i="1"/>
  <c r="J2457" i="1"/>
  <c r="T2449" i="1"/>
  <c r="U2523" i="1"/>
  <c r="T2253" i="1"/>
  <c r="S2253" i="1"/>
  <c r="U2279" i="1"/>
  <c r="U2282" i="1"/>
  <c r="R2328" i="1"/>
  <c r="R2342" i="1"/>
  <c r="O2352" i="1"/>
  <c r="U2359" i="1"/>
  <c r="U2362" i="1"/>
  <c r="Q2484" i="1"/>
  <c r="S2484" i="1"/>
  <c r="R2484" i="1"/>
  <c r="J2491" i="1"/>
  <c r="T2491" i="1" s="1"/>
  <c r="T2484" i="1"/>
  <c r="U2503" i="1"/>
  <c r="Q2811" i="1"/>
  <c r="T2811" i="1"/>
  <c r="R2811" i="1"/>
  <c r="S2811" i="1"/>
  <c r="T2588" i="1"/>
  <c r="Q2588" i="1"/>
  <c r="R2588" i="1"/>
  <c r="S2588" i="1"/>
  <c r="J2595" i="1"/>
  <c r="S2595" i="1" s="1"/>
  <c r="K2735" i="1"/>
  <c r="Q2735" i="1" s="1"/>
  <c r="J3138" i="1"/>
  <c r="T3132" i="1"/>
  <c r="S3132" i="1"/>
  <c r="R3132" i="1"/>
  <c r="Q3132" i="1"/>
  <c r="J2291" i="1"/>
  <c r="Q2374" i="1"/>
  <c r="R2434" i="1"/>
  <c r="Q2430" i="1"/>
  <c r="R2468" i="1"/>
  <c r="T2501" i="1"/>
  <c r="R2517" i="1"/>
  <c r="Q2519" i="1"/>
  <c r="T2518" i="1"/>
  <c r="T2536" i="1"/>
  <c r="S2536" i="1"/>
  <c r="J2577" i="1"/>
  <c r="R2570" i="1"/>
  <c r="U2581" i="1"/>
  <c r="U2593" i="1"/>
  <c r="Q2591" i="1"/>
  <c r="R2591" i="1"/>
  <c r="S2591" i="1"/>
  <c r="U2635" i="1"/>
  <c r="U2643" i="1"/>
  <c r="U2656" i="1"/>
  <c r="U2658" i="1"/>
  <c r="U2661" i="1"/>
  <c r="U2733" i="1"/>
  <c r="U2742" i="1"/>
  <c r="U2750" i="1"/>
  <c r="U2816" i="1"/>
  <c r="U2820" i="1"/>
  <c r="U2823" i="1"/>
  <c r="U2867" i="1"/>
  <c r="S2286" i="1"/>
  <c r="Q2389" i="1"/>
  <c r="S2501" i="1"/>
  <c r="S2516" i="1"/>
  <c r="S2559" i="1"/>
  <c r="S2585" i="1"/>
  <c r="T2624" i="1"/>
  <c r="Q2624" i="1"/>
  <c r="U2730" i="1"/>
  <c r="U2732" i="1"/>
  <c r="T2374" i="1"/>
  <c r="S2389" i="1"/>
  <c r="R2501" i="1"/>
  <c r="J2524" i="1"/>
  <c r="R2524" i="1" s="1"/>
  <c r="Q2536" i="1"/>
  <c r="J2541" i="1"/>
  <c r="S2541" i="1" s="1"/>
  <c r="Q2559" i="1"/>
  <c r="U2617" i="1"/>
  <c r="U2613" i="1"/>
  <c r="U2619" i="1"/>
  <c r="U2631" i="1"/>
  <c r="S2683" i="1"/>
  <c r="R2683" i="1"/>
  <c r="T2683" i="1"/>
  <c r="J2689" i="1"/>
  <c r="T2689" i="1" s="1"/>
  <c r="Q2683" i="1"/>
  <c r="U2747" i="1"/>
  <c r="K2776" i="1"/>
  <c r="Q2776" i="1" s="1"/>
  <c r="Q2770" i="1"/>
  <c r="U2770" i="1" s="1"/>
  <c r="K2792" i="1"/>
  <c r="U2819" i="1"/>
  <c r="U2822" i="1"/>
  <c r="U2848" i="1"/>
  <c r="U2859" i="1"/>
  <c r="O2883" i="1"/>
  <c r="S2931" i="1"/>
  <c r="Q2931" i="1"/>
  <c r="T2931" i="1"/>
  <c r="J2936" i="1"/>
  <c r="S2936" i="1" s="1"/>
  <c r="R2374" i="1"/>
  <c r="R2389" i="1"/>
  <c r="T2519" i="1"/>
  <c r="Q2572" i="1"/>
  <c r="S2572" i="1"/>
  <c r="R2572" i="1"/>
  <c r="U2579" i="1"/>
  <c r="U2596" i="1"/>
  <c r="U2599" i="1"/>
  <c r="U2597" i="1"/>
  <c r="U2603" i="1"/>
  <c r="U2662" i="1"/>
  <c r="S2667" i="1"/>
  <c r="R2667" i="1"/>
  <c r="J2671" i="1"/>
  <c r="Q2671" i="1" s="1"/>
  <c r="U2674" i="1"/>
  <c r="U2728" i="1"/>
  <c r="U2771" i="1"/>
  <c r="U2780" i="1"/>
  <c r="U2875" i="1"/>
  <c r="J2980" i="1"/>
  <c r="T2980" i="1" s="1"/>
  <c r="R2973" i="1"/>
  <c r="Q2973" i="1"/>
  <c r="S2973" i="1"/>
  <c r="R3012" i="1"/>
  <c r="S3012" i="1"/>
  <c r="T3012" i="1"/>
  <c r="Q3012" i="1"/>
  <c r="K3042" i="1"/>
  <c r="N3042" i="1"/>
  <c r="R2761" i="1"/>
  <c r="R2762" i="1"/>
  <c r="S2778" i="1"/>
  <c r="R2845" i="1"/>
  <c r="S2846" i="1"/>
  <c r="T2914" i="1"/>
  <c r="R2914" i="1"/>
  <c r="Q2914" i="1"/>
  <c r="U2933" i="1"/>
  <c r="U2937" i="1"/>
  <c r="R2957" i="1"/>
  <c r="T2957" i="1"/>
  <c r="U2998" i="1"/>
  <c r="R3028" i="1"/>
  <c r="S3028" i="1"/>
  <c r="T3028" i="1"/>
  <c r="S3047" i="1"/>
  <c r="R3047" i="1"/>
  <c r="Q3047" i="1"/>
  <c r="T3047" i="1"/>
  <c r="U3128" i="1"/>
  <c r="S2745" i="1"/>
  <c r="T2778" i="1"/>
  <c r="Q2845" i="1"/>
  <c r="R2910" i="1"/>
  <c r="Q2884" i="1"/>
  <c r="U2884" i="1" s="1"/>
  <c r="K2891" i="1"/>
  <c r="Q2891" i="1" s="1"/>
  <c r="O2909" i="1"/>
  <c r="U2899" i="1"/>
  <c r="Q2911" i="1"/>
  <c r="R2911" i="1"/>
  <c r="T2911" i="1"/>
  <c r="U2988" i="1"/>
  <c r="Q3028" i="1"/>
  <c r="R3167" i="1"/>
  <c r="S3167" i="1"/>
  <c r="T3167" i="1"/>
  <c r="Q3167" i="1"/>
  <c r="Q3049" i="1"/>
  <c r="R3049" i="1"/>
  <c r="S3049" i="1"/>
  <c r="T3049" i="1"/>
  <c r="S3095" i="1"/>
  <c r="T3095" i="1"/>
  <c r="R3095" i="1"/>
  <c r="Q3095" i="1"/>
  <c r="R2745" i="1"/>
  <c r="Q2762" i="1"/>
  <c r="R2812" i="1"/>
  <c r="T2812" i="1"/>
  <c r="S2845" i="1"/>
  <c r="R2846" i="1"/>
  <c r="U2852" i="1"/>
  <c r="T2893" i="1"/>
  <c r="R2893" i="1"/>
  <c r="S2893" i="1"/>
  <c r="U2921" i="1"/>
  <c r="R2929" i="1"/>
  <c r="S2929" i="1"/>
  <c r="T2929" i="1"/>
  <c r="U2939" i="1"/>
  <c r="J2962" i="1"/>
  <c r="S2962" i="1" s="1"/>
  <c r="U2959" i="1"/>
  <c r="O2990" i="1"/>
  <c r="U2993" i="1"/>
  <c r="J3017" i="1"/>
  <c r="S3010" i="1"/>
  <c r="R3010" i="1"/>
  <c r="S3072" i="1"/>
  <c r="J3080" i="1"/>
  <c r="R3072" i="1"/>
  <c r="Q3072" i="1"/>
  <c r="T3072" i="1"/>
  <c r="Q3170" i="1"/>
  <c r="S3170" i="1"/>
  <c r="T3170" i="1"/>
  <c r="R3170" i="1"/>
  <c r="Q3396" i="1"/>
  <c r="U3396" i="1" s="1"/>
  <c r="R3045" i="1"/>
  <c r="S3045" i="1"/>
  <c r="Q3045" i="1"/>
  <c r="R3115" i="1"/>
  <c r="S3115" i="1"/>
  <c r="T3115" i="1"/>
  <c r="T2762" i="1"/>
  <c r="U2838" i="1"/>
  <c r="U2858" i="1"/>
  <c r="U2870" i="1"/>
  <c r="U2906" i="1"/>
  <c r="U2942" i="1"/>
  <c r="U2976" i="1"/>
  <c r="U2981" i="1"/>
  <c r="J3034" i="1"/>
  <c r="R3034" i="1" s="1"/>
  <c r="U3099" i="1"/>
  <c r="S2864" i="1"/>
  <c r="R2895" i="1"/>
  <c r="R2912" i="1"/>
  <c r="Q3024" i="1"/>
  <c r="Q3043" i="1"/>
  <c r="T2995" i="1"/>
  <c r="U3006" i="1"/>
  <c r="S3024" i="1"/>
  <c r="S3030" i="1"/>
  <c r="R3046" i="1"/>
  <c r="U3076" i="1"/>
  <c r="Q3075" i="1"/>
  <c r="T3075" i="1"/>
  <c r="P3109" i="1"/>
  <c r="U3104" i="1"/>
  <c r="T2992" i="1"/>
  <c r="R2992" i="1"/>
  <c r="U2999" i="1"/>
  <c r="U3007" i="1"/>
  <c r="U3022" i="1"/>
  <c r="U3038" i="1"/>
  <c r="U3041" i="1"/>
  <c r="S3043" i="1"/>
  <c r="J3053" i="1"/>
  <c r="Q3053" i="1" s="1"/>
  <c r="U3055" i="1"/>
  <c r="R3113" i="1"/>
  <c r="T3113" i="1"/>
  <c r="U3179" i="1"/>
  <c r="U3196" i="1"/>
  <c r="T3262" i="1"/>
  <c r="S3262" i="1"/>
  <c r="S3153" i="1"/>
  <c r="T3153" i="1"/>
  <c r="Q3153" i="1"/>
  <c r="U2997" i="1"/>
  <c r="R3025" i="1"/>
  <c r="T3025" i="1"/>
  <c r="Q3025" i="1"/>
  <c r="U3057" i="1"/>
  <c r="T3150" i="1"/>
  <c r="S3150" i="1"/>
  <c r="Q3150" i="1"/>
  <c r="U3220" i="1"/>
  <c r="S3244" i="1"/>
  <c r="T3244" i="1"/>
  <c r="T3259" i="1"/>
  <c r="J3270" i="1"/>
  <c r="R3270" i="1" s="1"/>
  <c r="S3259" i="1"/>
  <c r="U3283" i="1"/>
  <c r="U3285" i="1"/>
  <c r="U3289" i="1"/>
  <c r="U3308" i="1"/>
  <c r="J3340" i="1"/>
  <c r="Q3340" i="1" s="1"/>
  <c r="U3335" i="1"/>
  <c r="K3495" i="1"/>
  <c r="Q3495" i="1" s="1"/>
  <c r="Q3488" i="1"/>
  <c r="U3488" i="1" s="1"/>
  <c r="U3140" i="1"/>
  <c r="U3143" i="1"/>
  <c r="S3186" i="1"/>
  <c r="Q3186" i="1"/>
  <c r="O3240" i="1"/>
  <c r="R3241" i="1"/>
  <c r="Q3241" i="1"/>
  <c r="S3241" i="1"/>
  <c r="J3250" i="1"/>
  <c r="R3245" i="1"/>
  <c r="T3245" i="1"/>
  <c r="S3245" i="1"/>
  <c r="Q3245" i="1"/>
  <c r="R3302" i="1"/>
  <c r="S3302" i="1"/>
  <c r="R3333" i="1"/>
  <c r="T3333" i="1"/>
  <c r="Q3333" i="1"/>
  <c r="U3356" i="1"/>
  <c r="Q3418" i="1"/>
  <c r="U3418" i="1" s="1"/>
  <c r="K3419" i="1"/>
  <c r="Q3419" i="1" s="1"/>
  <c r="Q3226" i="1"/>
  <c r="R3226" i="1"/>
  <c r="U3267" i="1"/>
  <c r="U3271" i="1"/>
  <c r="K3288" i="1"/>
  <c r="Q3288" i="1" s="1"/>
  <c r="Q3280" i="1"/>
  <c r="U3280" i="1" s="1"/>
  <c r="K3511" i="1"/>
  <c r="Q3511" i="1" s="1"/>
  <c r="R3205" i="1"/>
  <c r="Q3205" i="1"/>
  <c r="T3205" i="1"/>
  <c r="U3230" i="1"/>
  <c r="U3274" i="1"/>
  <c r="U3292" i="1"/>
  <c r="T3300" i="1"/>
  <c r="S3300" i="1"/>
  <c r="R3300" i="1"/>
  <c r="J3307" i="1"/>
  <c r="Q3307" i="1" s="1"/>
  <c r="Q3469" i="1"/>
  <c r="U3469" i="1" s="1"/>
  <c r="K3475" i="1"/>
  <c r="Q3475" i="1" s="1"/>
  <c r="Q3320" i="1"/>
  <c r="U3320" i="1" s="1"/>
  <c r="Q3332" i="1"/>
  <c r="U3338" i="1"/>
  <c r="S3351" i="1"/>
  <c r="J3357" i="1"/>
  <c r="R3351" i="1"/>
  <c r="T3351" i="1"/>
  <c r="U3390" i="1"/>
  <c r="R3480" i="1"/>
  <c r="S3480" i="1"/>
  <c r="T3480" i="1"/>
  <c r="U3548" i="1"/>
  <c r="T3169" i="1"/>
  <c r="S3204" i="1"/>
  <c r="U3323" i="1"/>
  <c r="U3341" i="1"/>
  <c r="U3383" i="1"/>
  <c r="U3400" i="1"/>
  <c r="U3432" i="1"/>
  <c r="O3457" i="1"/>
  <c r="U3455" i="1"/>
  <c r="U3492" i="1"/>
  <c r="U3489" i="1"/>
  <c r="U3542" i="1"/>
  <c r="U3549" i="1"/>
  <c r="R3169" i="1"/>
  <c r="T3204" i="1"/>
  <c r="R3264" i="1"/>
  <c r="Q3264" i="1"/>
  <c r="U3326" i="1"/>
  <c r="O3365" i="1"/>
  <c r="K3385" i="1"/>
  <c r="Q3385" i="1" s="1"/>
  <c r="Q3405" i="1"/>
  <c r="T3405" i="1"/>
  <c r="J3411" i="1"/>
  <c r="R3411" i="1" s="1"/>
  <c r="R3405" i="1"/>
  <c r="U3463" i="1"/>
  <c r="Q3480" i="1"/>
  <c r="T3530" i="1"/>
  <c r="S3530" i="1"/>
  <c r="R3530" i="1"/>
  <c r="R3305" i="1"/>
  <c r="U3348" i="1"/>
  <c r="U3345" i="1"/>
  <c r="U3433" i="1"/>
  <c r="U3431" i="1"/>
  <c r="Q3434" i="1"/>
  <c r="U3434" i="1" s="1"/>
  <c r="K3437" i="1"/>
  <c r="Q3437" i="1" s="1"/>
  <c r="U3470" i="1"/>
  <c r="U3472" i="1"/>
  <c r="U3473" i="1"/>
  <c r="U3509" i="1"/>
  <c r="U3536" i="1"/>
  <c r="U3551" i="1"/>
  <c r="J3376" i="1"/>
  <c r="Q3376" i="1" s="1"/>
  <c r="Q3389" i="1"/>
  <c r="T3389" i="1"/>
  <c r="J3428" i="1"/>
  <c r="S3428" i="1" s="1"/>
  <c r="R3425" i="1"/>
  <c r="Q3440" i="1"/>
  <c r="R3441" i="1"/>
  <c r="S3459" i="1"/>
  <c r="T3484" i="1"/>
  <c r="R3544" i="1"/>
  <c r="T3370" i="1"/>
  <c r="Q3371" i="1"/>
  <c r="Q3380" i="1"/>
  <c r="U3380" i="1" s="1"/>
  <c r="Q3441" i="1"/>
  <c r="T3477" i="1"/>
  <c r="K3526" i="1"/>
  <c r="Q3526" i="1" s="1"/>
  <c r="S3544" i="1"/>
  <c r="K3543" i="1"/>
  <c r="Q3543" i="1" s="1"/>
  <c r="K3321" i="1" l="1"/>
  <c r="Q3321" i="1" s="1"/>
  <c r="U3321" i="1" s="1"/>
  <c r="R423" i="1"/>
  <c r="U3581" i="1"/>
  <c r="U3563" i="1"/>
  <c r="Q3562" i="1"/>
  <c r="T3562" i="1"/>
  <c r="U3554" i="1"/>
  <c r="S3562" i="1"/>
  <c r="J3158" i="1"/>
  <c r="R3158" i="1" s="1"/>
  <c r="S2398" i="1"/>
  <c r="S301" i="1"/>
  <c r="U3369" i="1"/>
  <c r="Q3202" i="1"/>
  <c r="J3214" i="1"/>
  <c r="T3214" i="1" s="1"/>
  <c r="K58" i="1"/>
  <c r="Q58" i="1" s="1"/>
  <c r="R2010" i="1"/>
  <c r="U1623" i="1"/>
  <c r="T2568" i="1"/>
  <c r="T1526" i="1"/>
  <c r="U2666" i="1"/>
  <c r="R1714" i="1"/>
  <c r="T1714" i="1"/>
  <c r="Q1526" i="1"/>
  <c r="J1301" i="1"/>
  <c r="Q1301" i="1" s="1"/>
  <c r="U390" i="1"/>
  <c r="U3495" i="1"/>
  <c r="J1425" i="1"/>
  <c r="Q1425" i="1" s="1"/>
  <c r="U652" i="1"/>
  <c r="U2227" i="1"/>
  <c r="T2010" i="1"/>
  <c r="R271" i="1"/>
  <c r="U1785" i="1"/>
  <c r="Q271" i="1"/>
  <c r="Q3091" i="1"/>
  <c r="T154" i="1"/>
  <c r="Q2010" i="1"/>
  <c r="J2011" i="1"/>
  <c r="R2011" i="1" s="1"/>
  <c r="U294" i="1"/>
  <c r="U1132" i="1"/>
  <c r="S1828" i="1"/>
  <c r="J1833" i="1"/>
  <c r="J1837" i="1" s="1"/>
  <c r="R1837" i="1" s="1"/>
  <c r="J571" i="1"/>
  <c r="Q571" i="1" s="1"/>
  <c r="Q346" i="1"/>
  <c r="R346" i="1"/>
  <c r="Q1828" i="1"/>
  <c r="T346" i="1"/>
  <c r="S3527" i="1"/>
  <c r="R1828" i="1"/>
  <c r="S1922" i="1"/>
  <c r="U2288" i="1"/>
  <c r="U529" i="1"/>
  <c r="U600" i="1"/>
  <c r="U421" i="1"/>
  <c r="T359" i="1"/>
  <c r="Q2388" i="1"/>
  <c r="K71" i="1"/>
  <c r="Q71" i="1" s="1"/>
  <c r="U71" i="1" s="1"/>
  <c r="T1294" i="1"/>
  <c r="R301" i="1"/>
  <c r="Q411" i="1"/>
  <c r="K38" i="1"/>
  <c r="Q38" i="1" s="1"/>
  <c r="U38" i="1" s="1"/>
  <c r="U409" i="1"/>
  <c r="S1151" i="1"/>
  <c r="T271" i="1"/>
  <c r="R604" i="1"/>
  <c r="K1180" i="1"/>
  <c r="Q1180" i="1" s="1"/>
  <c r="S1957" i="1"/>
  <c r="S2467" i="1"/>
  <c r="S2258" i="1"/>
  <c r="T2826" i="1"/>
  <c r="U1614" i="1"/>
  <c r="U266" i="1"/>
  <c r="U335" i="1"/>
  <c r="U1509" i="1"/>
  <c r="U660" i="1"/>
  <c r="U1203" i="1"/>
  <c r="U295" i="1"/>
  <c r="U677" i="1"/>
  <c r="U2553" i="1"/>
  <c r="U3097" i="1"/>
  <c r="U562" i="1"/>
  <c r="U345" i="1"/>
  <c r="T3202" i="1"/>
  <c r="S2568" i="1"/>
  <c r="U1344" i="1"/>
  <c r="J547" i="1"/>
  <c r="Q547" i="1" s="1"/>
  <c r="U609" i="1"/>
  <c r="S3202" i="1"/>
  <c r="Q2568" i="1"/>
  <c r="J1153" i="1"/>
  <c r="Q1153" i="1" s="1"/>
  <c r="U1069" i="1"/>
  <c r="R440" i="1"/>
  <c r="R1850" i="1"/>
  <c r="T1850" i="1"/>
  <c r="T1151" i="1"/>
  <c r="K1174" i="1"/>
  <c r="Q1174" i="1" s="1"/>
  <c r="U1174" i="1" s="1"/>
  <c r="Q1850" i="1"/>
  <c r="Q423" i="1"/>
  <c r="U3187" i="1"/>
  <c r="U3014" i="1"/>
  <c r="U2431" i="1"/>
  <c r="U3498" i="1"/>
  <c r="U158" i="1"/>
  <c r="T2175" i="1"/>
  <c r="U43" i="1"/>
  <c r="U366" i="1"/>
  <c r="U2028" i="1"/>
  <c r="U171" i="1"/>
  <c r="T459" i="1"/>
  <c r="R3191" i="1"/>
  <c r="Q382" i="1"/>
  <c r="T2606" i="1"/>
  <c r="U2191" i="1"/>
  <c r="U490" i="1"/>
  <c r="S496" i="1"/>
  <c r="U2393" i="1"/>
  <c r="R459" i="1"/>
  <c r="U2127" i="1"/>
  <c r="Q2457" i="1"/>
  <c r="U999" i="1"/>
  <c r="Q496" i="1"/>
  <c r="U2056" i="1"/>
  <c r="T1989" i="1"/>
  <c r="R496" i="1"/>
  <c r="Q459" i="1"/>
  <c r="U802" i="1"/>
  <c r="U1643" i="1"/>
  <c r="U908" i="1"/>
  <c r="U439" i="1"/>
  <c r="U683" i="1"/>
  <c r="U262" i="1"/>
  <c r="U7" i="1"/>
  <c r="J2475" i="1"/>
  <c r="S2475" i="1" s="1"/>
  <c r="T2623" i="1"/>
  <c r="T1532" i="1"/>
  <c r="U820" i="1"/>
  <c r="U3260" i="1"/>
  <c r="Q2863" i="1"/>
  <c r="U3046" i="1"/>
  <c r="Q2155" i="1"/>
  <c r="U2155" i="1" s="1"/>
  <c r="U1600" i="1"/>
  <c r="U233" i="1"/>
  <c r="J3487" i="1"/>
  <c r="T3487" i="1" s="1"/>
  <c r="U2649" i="1"/>
  <c r="U555" i="1"/>
  <c r="U491" i="1"/>
  <c r="U723" i="1"/>
  <c r="U3048" i="1"/>
  <c r="U137" i="1"/>
  <c r="U2046" i="1"/>
  <c r="U118" i="1"/>
  <c r="U1742" i="1"/>
  <c r="U3352" i="1"/>
  <c r="U135" i="1"/>
  <c r="Y135" i="1" s="1"/>
  <c r="U1563" i="1"/>
  <c r="U559" i="1"/>
  <c r="U1511" i="1"/>
  <c r="U1664" i="1"/>
  <c r="U1640" i="1"/>
  <c r="U1562" i="1"/>
  <c r="U437" i="1"/>
  <c r="U2954" i="1"/>
  <c r="U414" i="1"/>
  <c r="U1916" i="1"/>
  <c r="U3026" i="1"/>
  <c r="U2972" i="1"/>
  <c r="U2668" i="1"/>
  <c r="U511" i="1"/>
  <c r="U422" i="1"/>
  <c r="U3403" i="1"/>
  <c r="U862" i="1"/>
  <c r="U1520" i="1"/>
  <c r="S1532" i="1"/>
  <c r="J1440" i="1"/>
  <c r="S1440" i="1" s="1"/>
  <c r="T393" i="1"/>
  <c r="U2482" i="1"/>
  <c r="Q1861" i="1"/>
  <c r="S2863" i="1"/>
  <c r="U2891" i="1"/>
  <c r="T3512" i="1"/>
  <c r="Q1086" i="1"/>
  <c r="R1532" i="1"/>
  <c r="Q1435" i="1"/>
  <c r="S2655" i="1"/>
  <c r="Q956" i="1"/>
  <c r="U2809" i="1"/>
  <c r="R341" i="1"/>
  <c r="U2033" i="1"/>
  <c r="T1861" i="1"/>
  <c r="S1435" i="1"/>
  <c r="T1138" i="1"/>
  <c r="U1385" i="1"/>
  <c r="R1435" i="1"/>
  <c r="S1138" i="1"/>
  <c r="Q2467" i="1"/>
  <c r="R2467" i="1"/>
  <c r="J3101" i="1"/>
  <c r="S3101" i="1" s="1"/>
  <c r="S3091" i="1"/>
  <c r="U1421" i="1"/>
  <c r="R1170" i="1"/>
  <c r="U77" i="1"/>
  <c r="S411" i="1"/>
  <c r="U640" i="1"/>
  <c r="U455" i="1"/>
  <c r="U780" i="1"/>
  <c r="U3305" i="1"/>
  <c r="U156" i="1"/>
  <c r="Q662" i="1"/>
  <c r="U662" i="1" s="1"/>
  <c r="U2746" i="1"/>
  <c r="U1838" i="1"/>
  <c r="U190" i="1"/>
  <c r="U46" i="1"/>
  <c r="U3243" i="1"/>
  <c r="U663" i="1"/>
  <c r="U1282" i="1"/>
  <c r="T589" i="1"/>
  <c r="Q589" i="1"/>
  <c r="U2928" i="1"/>
  <c r="R3091" i="1"/>
  <c r="U2286" i="1"/>
  <c r="U328" i="1"/>
  <c r="S589" i="1"/>
  <c r="U2201" i="1"/>
  <c r="U2895" i="1"/>
  <c r="U2078" i="1"/>
  <c r="U1225" i="1"/>
  <c r="Q1045" i="1"/>
  <c r="U2825" i="1"/>
  <c r="Q2751" i="1"/>
  <c r="T1789" i="1"/>
  <c r="U1194" i="1"/>
  <c r="R1789" i="1"/>
  <c r="T411" i="1"/>
  <c r="Q2398" i="1"/>
  <c r="U599" i="1"/>
  <c r="R1951" i="1"/>
  <c r="U2487" i="1"/>
  <c r="R1455" i="1"/>
  <c r="U2450" i="1"/>
  <c r="S1951" i="1"/>
  <c r="T1951" i="1"/>
  <c r="T1957" i="1"/>
  <c r="R1957" i="1"/>
  <c r="U299" i="1"/>
  <c r="U293" i="1"/>
  <c r="Q1455" i="1"/>
  <c r="U2574" i="1"/>
  <c r="U505" i="1"/>
  <c r="U1594" i="1"/>
  <c r="U566" i="1"/>
  <c r="U1582" i="1"/>
  <c r="J1460" i="1"/>
  <c r="S1460" i="1" s="1"/>
  <c r="U371" i="1"/>
  <c r="U3134" i="1"/>
  <c r="S1294" i="1"/>
  <c r="U1529" i="1"/>
  <c r="Q2175" i="1"/>
  <c r="R1045" i="1"/>
  <c r="L1920" i="4"/>
  <c r="Q3393" i="1"/>
  <c r="U1436" i="1"/>
  <c r="U3279" i="1"/>
  <c r="S1455" i="1"/>
  <c r="U3299" i="1"/>
  <c r="U1051" i="1"/>
  <c r="U336" i="1"/>
  <c r="S2175" i="1"/>
  <c r="T1045" i="1"/>
  <c r="U703" i="1"/>
  <c r="U2665" i="1"/>
  <c r="Q1294" i="1"/>
  <c r="U2956" i="1"/>
  <c r="U152" i="1"/>
  <c r="U3074" i="1"/>
  <c r="U1621" i="1"/>
  <c r="U509" i="1"/>
  <c r="U623" i="1"/>
  <c r="U3011" i="1"/>
  <c r="U1493" i="1"/>
  <c r="U538" i="1"/>
  <c r="U1641" i="1"/>
  <c r="U2223" i="1"/>
  <c r="U3242" i="1"/>
  <c r="U746" i="1"/>
  <c r="U2843" i="1"/>
  <c r="U602" i="1"/>
  <c r="U965" i="1"/>
  <c r="U542" i="1"/>
  <c r="U1256" i="1"/>
  <c r="U1620" i="1"/>
  <c r="R1526" i="1"/>
  <c r="Q20" i="1"/>
  <c r="U20" i="1" s="1"/>
  <c r="U372" i="1"/>
  <c r="U1438" i="1"/>
  <c r="U2198" i="1"/>
  <c r="U3093" i="1"/>
  <c r="U3368" i="1"/>
  <c r="Q2844" i="1"/>
  <c r="Q2623" i="1"/>
  <c r="Q1989" i="1"/>
  <c r="T1370" i="1"/>
  <c r="R972" i="1"/>
  <c r="U888" i="1"/>
  <c r="U116" i="1"/>
  <c r="R58" i="1"/>
  <c r="U3112" i="1"/>
  <c r="Q3191" i="1"/>
  <c r="S2606" i="1"/>
  <c r="S1989" i="1"/>
  <c r="U2828" i="1"/>
  <c r="U1371" i="1"/>
  <c r="U3385" i="1"/>
  <c r="J2633" i="1"/>
  <c r="T2633" i="1" s="1"/>
  <c r="S2500" i="1"/>
  <c r="R2398" i="1"/>
  <c r="U912" i="1"/>
  <c r="Q2606" i="1"/>
  <c r="U185" i="1"/>
  <c r="R363" i="1"/>
  <c r="S58" i="1"/>
  <c r="T1967" i="1"/>
  <c r="S393" i="1"/>
  <c r="R2623" i="1"/>
  <c r="S972" i="1"/>
  <c r="Q128" i="1"/>
  <c r="U128" i="1" s="1"/>
  <c r="U3246" i="1"/>
  <c r="J2611" i="1"/>
  <c r="R2611" i="1" s="1"/>
  <c r="U2375" i="1"/>
  <c r="L1386" i="4"/>
  <c r="Q363" i="1"/>
  <c r="T396" i="1"/>
  <c r="U879" i="1"/>
  <c r="Q1967" i="1"/>
  <c r="U3479" i="1"/>
  <c r="J3119" i="1"/>
  <c r="T3119" i="1" s="1"/>
  <c r="Q2892" i="1"/>
  <c r="U1719" i="1"/>
  <c r="Q393" i="1"/>
  <c r="U3129" i="1"/>
  <c r="S396" i="1"/>
  <c r="U651" i="1"/>
  <c r="S1370" i="1"/>
  <c r="U894" i="1"/>
  <c r="R396" i="1"/>
  <c r="T363" i="1"/>
  <c r="U385" i="1"/>
  <c r="Q1789" i="1"/>
  <c r="U627" i="1"/>
  <c r="U2199" i="1"/>
  <c r="Q1384" i="1"/>
  <c r="T3149" i="1"/>
  <c r="U3543" i="1"/>
  <c r="U549" i="1"/>
  <c r="U508" i="1"/>
  <c r="U2777" i="1"/>
  <c r="U630" i="1"/>
  <c r="U354" i="1"/>
  <c r="U948" i="1"/>
  <c r="U3462" i="1"/>
  <c r="Q543" i="1"/>
  <c r="U811" i="1"/>
  <c r="U176" i="1"/>
  <c r="U3437" i="1"/>
  <c r="U3350" i="1"/>
  <c r="S1005" i="1"/>
  <c r="J1407" i="1"/>
  <c r="S1407" i="1" s="1"/>
  <c r="R1861" i="1"/>
  <c r="U304" i="1"/>
  <c r="R1967" i="1"/>
  <c r="U1283" i="1"/>
  <c r="T972" i="1"/>
  <c r="T2892" i="1"/>
  <c r="S1879" i="1"/>
  <c r="U1777" i="1"/>
  <c r="S1309" i="1"/>
  <c r="U1115" i="1"/>
  <c r="R1138" i="1"/>
  <c r="R1645" i="1"/>
  <c r="U653" i="1"/>
  <c r="U247" i="1"/>
  <c r="U2006" i="1"/>
  <c r="U588" i="1"/>
  <c r="U458" i="1"/>
  <c r="U417" i="1"/>
  <c r="Q1604" i="1"/>
  <c r="U1346" i="1"/>
  <c r="Q972" i="1"/>
  <c r="U3222" i="1"/>
  <c r="U3459" i="1"/>
  <c r="U153" i="1"/>
  <c r="R1384" i="1"/>
  <c r="U2228" i="1"/>
  <c r="U2289" i="1"/>
  <c r="U1275" i="1"/>
  <c r="J2833" i="1"/>
  <c r="R2833" i="1" s="1"/>
  <c r="Q301" i="1"/>
  <c r="U449" i="1"/>
  <c r="R1151" i="1"/>
  <c r="Q3512" i="1"/>
  <c r="U601" i="1"/>
  <c r="T1384" i="1"/>
  <c r="U1442" i="1"/>
  <c r="U3151" i="1"/>
  <c r="U392" i="1"/>
  <c r="R3512" i="1"/>
  <c r="U1112" i="1"/>
  <c r="S1384" i="1"/>
  <c r="S341" i="1"/>
  <c r="U647" i="1"/>
  <c r="U15" i="1"/>
  <c r="U3297" i="1"/>
  <c r="S3512" i="1"/>
  <c r="T1352" i="1"/>
  <c r="U402" i="1"/>
  <c r="Q341" i="1"/>
  <c r="U3225" i="1"/>
  <c r="Q1714" i="1"/>
  <c r="U1670" i="1"/>
  <c r="U412" i="1"/>
  <c r="U3073" i="1"/>
  <c r="U331" i="1"/>
  <c r="U3439" i="1"/>
  <c r="T543" i="1"/>
  <c r="U2684" i="1"/>
  <c r="U644" i="1"/>
  <c r="U1847" i="1"/>
  <c r="R2919" i="1"/>
  <c r="S63" i="1"/>
  <c r="U1363" i="1"/>
  <c r="U31" i="1"/>
  <c r="U3263" i="1"/>
  <c r="R3149" i="1"/>
  <c r="U3094" i="1"/>
  <c r="U3366" i="1"/>
  <c r="S3149" i="1"/>
  <c r="U558" i="1"/>
  <c r="U467" i="1"/>
  <c r="U546" i="1"/>
  <c r="U634" i="1"/>
  <c r="U143" i="1"/>
  <c r="U373" i="1"/>
  <c r="U394" i="1"/>
  <c r="U655" i="1"/>
  <c r="U495" i="1"/>
  <c r="U3096" i="1"/>
  <c r="U3114" i="1"/>
  <c r="U1418" i="1"/>
  <c r="R63" i="1"/>
  <c r="U671" i="1"/>
  <c r="U427" i="1"/>
  <c r="U1527" i="1"/>
  <c r="U404" i="1"/>
  <c r="U2220" i="1"/>
  <c r="U399" i="1"/>
  <c r="U515" i="1"/>
  <c r="U378" i="1"/>
  <c r="U494" i="1"/>
  <c r="U482" i="1"/>
  <c r="U340" i="1"/>
  <c r="U300" i="1"/>
  <c r="U357" i="1"/>
  <c r="U280" i="1"/>
  <c r="U53" i="1"/>
  <c r="U3303" i="1"/>
  <c r="U329" i="1"/>
  <c r="U567" i="1"/>
  <c r="U1575" i="1"/>
  <c r="U3404" i="1"/>
  <c r="U2894" i="1"/>
  <c r="U2569" i="1"/>
  <c r="U2073" i="1"/>
  <c r="U2590" i="1"/>
  <c r="U2971" i="1"/>
  <c r="U3526" i="1"/>
  <c r="T2500" i="1"/>
  <c r="Q1996" i="1"/>
  <c r="U3184" i="1"/>
  <c r="R3527" i="1"/>
  <c r="R2826" i="1"/>
  <c r="T2144" i="1"/>
  <c r="U1966" i="1"/>
  <c r="U732" i="1"/>
  <c r="U2587" i="1"/>
  <c r="U2236" i="1"/>
  <c r="S2144" i="1"/>
  <c r="Q3110" i="1"/>
  <c r="U2761" i="1"/>
  <c r="U2516" i="1"/>
  <c r="R2844" i="1"/>
  <c r="T2126" i="1"/>
  <c r="R2144" i="1"/>
  <c r="T1996" i="1"/>
  <c r="U1895" i="1"/>
  <c r="U1414" i="1"/>
  <c r="U1453" i="1"/>
  <c r="Q584" i="1"/>
  <c r="Q154" i="1"/>
  <c r="K63" i="1"/>
  <c r="Q63" i="1" s="1"/>
  <c r="T423" i="1"/>
  <c r="S359" i="1"/>
  <c r="R584" i="1"/>
  <c r="Q2826" i="1"/>
  <c r="U1182" i="1"/>
  <c r="U3148" i="1"/>
  <c r="U2221" i="1"/>
  <c r="Q533" i="1"/>
  <c r="U3207" i="1"/>
  <c r="U1428" i="1"/>
  <c r="T533" i="1"/>
  <c r="J3534" i="1"/>
  <c r="Q3534" i="1" s="1"/>
  <c r="S3110" i="1"/>
  <c r="U2910" i="1"/>
  <c r="U1443" i="1"/>
  <c r="U204" i="1"/>
  <c r="R359" i="1"/>
  <c r="U3395" i="1"/>
  <c r="U755" i="1"/>
  <c r="U717" i="1"/>
  <c r="Q3290" i="1"/>
  <c r="U3290" i="1" s="1"/>
  <c r="R2126" i="1"/>
  <c r="U1053" i="1"/>
  <c r="U1081" i="1"/>
  <c r="U998" i="1"/>
  <c r="U91" i="1"/>
  <c r="K794" i="1"/>
  <c r="Q794" i="1" s="1"/>
  <c r="U794" i="1" s="1"/>
  <c r="S154" i="1"/>
  <c r="T3110" i="1"/>
  <c r="R1996" i="1"/>
  <c r="U1483" i="1"/>
  <c r="R533" i="1"/>
  <c r="U333" i="1"/>
  <c r="U3528" i="1"/>
  <c r="U1255" i="1"/>
  <c r="T584" i="1"/>
  <c r="Q1922" i="1"/>
  <c r="T3527" i="1"/>
  <c r="U3370" i="1"/>
  <c r="U3425" i="1"/>
  <c r="U2912" i="1"/>
  <c r="Q2500" i="1"/>
  <c r="Q2126" i="1"/>
  <c r="U1692" i="1"/>
  <c r="U3172" i="1"/>
  <c r="U2945" i="1"/>
  <c r="U2622" i="1"/>
  <c r="U2447" i="1"/>
  <c r="T1698" i="1"/>
  <c r="U1491" i="1"/>
  <c r="U1487" i="1"/>
  <c r="Q1469" i="1"/>
  <c r="U1469" i="1" s="1"/>
  <c r="U767" i="1"/>
  <c r="U2714" i="1"/>
  <c r="T1922" i="1"/>
  <c r="U27" i="1"/>
  <c r="L1334" i="4"/>
  <c r="J397" i="1"/>
  <c r="U2552" i="1"/>
  <c r="U214" i="1"/>
  <c r="U420" i="1"/>
  <c r="U142" i="1"/>
  <c r="U3135" i="1"/>
  <c r="U155" i="1"/>
  <c r="U332" i="1"/>
  <c r="U1663" i="1"/>
  <c r="U3152" i="1"/>
  <c r="U2537" i="1"/>
  <c r="U218" i="1"/>
  <c r="U1639" i="1"/>
  <c r="T3496" i="1"/>
  <c r="U3130" i="1"/>
  <c r="U157" i="1"/>
  <c r="R1180" i="1"/>
  <c r="T1180" i="1"/>
  <c r="J3503" i="1"/>
  <c r="T3503" i="1" s="1"/>
  <c r="T2946" i="1"/>
  <c r="U2517" i="1"/>
  <c r="J2348" i="1"/>
  <c r="Q2348" i="1" s="1"/>
  <c r="U2171" i="1"/>
  <c r="J1317" i="1"/>
  <c r="T1317" i="1" s="1"/>
  <c r="R3496" i="1"/>
  <c r="U3116" i="1"/>
  <c r="U2469" i="1"/>
  <c r="U1550" i="1"/>
  <c r="U2538" i="1"/>
  <c r="U1150" i="1"/>
  <c r="S1967" i="1"/>
  <c r="U884" i="1"/>
  <c r="Q857" i="1"/>
  <c r="U857" i="1" s="1"/>
  <c r="U535" i="1"/>
  <c r="U2585" i="1"/>
  <c r="S3496" i="1"/>
  <c r="T1191" i="1"/>
  <c r="S1419" i="1"/>
  <c r="U322" i="1"/>
  <c r="U3513" i="1"/>
  <c r="U2138" i="1"/>
  <c r="Q2102" i="1"/>
  <c r="U2102" i="1" s="1"/>
  <c r="U1097" i="1"/>
  <c r="U825" i="1"/>
  <c r="U874" i="1"/>
  <c r="U816" i="1"/>
  <c r="R543" i="1"/>
  <c r="U3440" i="1"/>
  <c r="U1703" i="1"/>
  <c r="U3030" i="1"/>
  <c r="U1219" i="1"/>
  <c r="U844" i="1"/>
  <c r="U918" i="1"/>
  <c r="U3185" i="1"/>
  <c r="R2655" i="1"/>
  <c r="U2626" i="1"/>
  <c r="U2179" i="1"/>
  <c r="U1161" i="1"/>
  <c r="U2379" i="1"/>
  <c r="U539" i="1"/>
  <c r="U603" i="1"/>
  <c r="U2948" i="1"/>
  <c r="U852" i="1"/>
  <c r="U1584" i="1"/>
  <c r="U1944" i="1"/>
  <c r="Q1665" i="1"/>
  <c r="U1071" i="1"/>
  <c r="U2077" i="1"/>
  <c r="U1678" i="1"/>
  <c r="U2123" i="1"/>
  <c r="U2535" i="1"/>
  <c r="U902" i="1"/>
  <c r="U228" i="1"/>
  <c r="U3304" i="1"/>
  <c r="U3062" i="1"/>
  <c r="U3069" i="1"/>
  <c r="U2930" i="1"/>
  <c r="U1173" i="1"/>
  <c r="U223" i="1"/>
  <c r="U3131" i="1"/>
  <c r="U3443" i="1"/>
  <c r="U338" i="1"/>
  <c r="U3420" i="1"/>
  <c r="U477" i="1"/>
  <c r="U612" i="1"/>
  <c r="U2032" i="1"/>
  <c r="U1522" i="1"/>
  <c r="U319" i="1"/>
  <c r="U506" i="1"/>
  <c r="Q1972" i="1"/>
  <c r="U2647" i="1"/>
  <c r="T2655" i="1"/>
  <c r="U1473" i="1"/>
  <c r="U764" i="1"/>
  <c r="U835" i="1"/>
  <c r="U3461" i="1"/>
  <c r="U3301" i="1"/>
  <c r="U3388" i="1"/>
  <c r="U1308" i="1"/>
  <c r="U1202" i="1"/>
  <c r="U2432" i="1"/>
  <c r="U1096" i="1"/>
  <c r="U3298" i="1"/>
  <c r="L1975" i="4"/>
  <c r="U1903" i="1"/>
  <c r="U1179" i="1"/>
  <c r="U3424" i="1"/>
  <c r="U456" i="1"/>
  <c r="T2863" i="1"/>
  <c r="R2863" i="1"/>
  <c r="U557" i="1"/>
  <c r="T3457" i="1"/>
  <c r="R2751" i="1"/>
  <c r="R3448" i="1"/>
  <c r="U3226" i="1"/>
  <c r="T2263" i="1"/>
  <c r="U1871" i="1"/>
  <c r="T1645" i="1"/>
  <c r="J1092" i="1"/>
  <c r="S1092" i="1" s="1"/>
  <c r="U134" i="1"/>
  <c r="U867" i="1"/>
  <c r="Q2555" i="1"/>
  <c r="U257" i="1"/>
  <c r="U1113" i="1"/>
  <c r="U1010" i="1"/>
  <c r="U934" i="1"/>
  <c r="U2698" i="1"/>
  <c r="U2485" i="1"/>
  <c r="U2197" i="1"/>
  <c r="U2214" i="1"/>
  <c r="U1571" i="1"/>
  <c r="U2727" i="1"/>
  <c r="U598" i="1"/>
  <c r="U362" i="1"/>
  <c r="U136" i="1"/>
  <c r="U3477" i="1"/>
  <c r="T3448" i="1"/>
  <c r="U2124" i="1"/>
  <c r="Q1645" i="1"/>
  <c r="U2862" i="1"/>
  <c r="U2534" i="1"/>
  <c r="U2429" i="1"/>
  <c r="U2419" i="1"/>
  <c r="U2573" i="1"/>
  <c r="U2140" i="1"/>
  <c r="U2112" i="1"/>
  <c r="U1660" i="1"/>
  <c r="U690" i="1"/>
  <c r="U2057" i="1"/>
  <c r="U1280" i="1"/>
  <c r="U410" i="1"/>
  <c r="U3203" i="1"/>
  <c r="U2795" i="1"/>
  <c r="U3529" i="1"/>
  <c r="U3306" i="1"/>
  <c r="U2468" i="1"/>
  <c r="U1508" i="1"/>
  <c r="U946" i="1"/>
  <c r="U472" i="1"/>
  <c r="U106" i="1"/>
  <c r="R3476" i="1"/>
  <c r="T2555" i="1"/>
  <c r="U2486" i="1"/>
  <c r="U243" i="1"/>
  <c r="Q2258" i="1"/>
  <c r="T3438" i="1"/>
  <c r="T3000" i="1"/>
  <c r="T2751" i="1"/>
  <c r="R2555" i="1"/>
  <c r="U2072" i="1"/>
  <c r="U1935" i="1"/>
  <c r="U1330" i="1"/>
  <c r="U1020" i="1"/>
  <c r="U790" i="1"/>
  <c r="U181" i="1"/>
  <c r="K51" i="1"/>
  <c r="Q51" i="1" s="1"/>
  <c r="U2166" i="1"/>
  <c r="T2258" i="1"/>
  <c r="L1949" i="4"/>
  <c r="U1661" i="1"/>
  <c r="R1698" i="1"/>
  <c r="U1022" i="1"/>
  <c r="U1184" i="1"/>
  <c r="U1126" i="1"/>
  <c r="U3208" i="1"/>
  <c r="U3029" i="1"/>
  <c r="R1370" i="1"/>
  <c r="J1377" i="1"/>
  <c r="Q3448" i="1"/>
  <c r="U2518" i="1"/>
  <c r="U1897" i="1"/>
  <c r="U1420" i="1"/>
  <c r="U485" i="1"/>
  <c r="J2558" i="1"/>
  <c r="R2558" i="1" s="1"/>
  <c r="R2258" i="1"/>
  <c r="U2251" i="1"/>
  <c r="T1972" i="1"/>
  <c r="U1254" i="1"/>
  <c r="U1554" i="1"/>
  <c r="U2075" i="1"/>
  <c r="J3201" i="1"/>
  <c r="S3191" i="1"/>
  <c r="R569" i="1"/>
  <c r="S569" i="1"/>
  <c r="Q569" i="1"/>
  <c r="U2864" i="1"/>
  <c r="R2946" i="1"/>
  <c r="U583" i="1"/>
  <c r="Q1191" i="1"/>
  <c r="Q3457" i="1"/>
  <c r="U1629" i="1"/>
  <c r="U327" i="1"/>
  <c r="U617" i="1"/>
  <c r="U2706" i="1"/>
  <c r="U298" i="1"/>
  <c r="U1156" i="1"/>
  <c r="U3386" i="1"/>
  <c r="U3188" i="1"/>
  <c r="U2605" i="1"/>
  <c r="U3209" i="1"/>
  <c r="Q3438" i="1"/>
  <c r="S3448" i="1"/>
  <c r="R3438" i="1"/>
  <c r="U3288" i="1"/>
  <c r="S3438" i="1"/>
  <c r="U2995" i="1"/>
  <c r="U1796" i="1"/>
  <c r="U337" i="1"/>
  <c r="U565" i="1"/>
  <c r="R1191" i="1"/>
  <c r="U3421" i="1"/>
  <c r="U2953" i="1"/>
  <c r="U2556" i="1"/>
  <c r="U2120" i="1"/>
  <c r="U2089" i="1"/>
  <c r="U1536" i="1"/>
  <c r="U2246" i="1"/>
  <c r="R1972" i="1"/>
  <c r="U1127" i="1"/>
  <c r="U1039" i="1"/>
  <c r="U361" i="1"/>
  <c r="U581" i="1"/>
  <c r="U117" i="1"/>
  <c r="Y117" i="1" s="1"/>
  <c r="U1386" i="1"/>
  <c r="U3098" i="1"/>
  <c r="U2586" i="1"/>
  <c r="U3336" i="1"/>
  <c r="U292" i="1"/>
  <c r="U3389" i="1"/>
  <c r="U947" i="1"/>
  <c r="U2515" i="1"/>
  <c r="U1634" i="1"/>
  <c r="U1883" i="1"/>
  <c r="U1468" i="1"/>
  <c r="U1402" i="1"/>
  <c r="U2499" i="1"/>
  <c r="U560" i="1"/>
  <c r="U435" i="1"/>
  <c r="J2817" i="1"/>
  <c r="Q2817" i="1" s="1"/>
  <c r="R2036" i="1"/>
  <c r="Q1270" i="1"/>
  <c r="U1774" i="1"/>
  <c r="U1662" i="1"/>
  <c r="U3514" i="1"/>
  <c r="U2520" i="1"/>
  <c r="U1234" i="1"/>
  <c r="U2470" i="1"/>
  <c r="U2788" i="1"/>
  <c r="U1227" i="1"/>
  <c r="U1525" i="1"/>
  <c r="U2827" i="1"/>
  <c r="R2769" i="1"/>
  <c r="T2769" i="1"/>
  <c r="T2321" i="1"/>
  <c r="Q2321" i="1"/>
  <c r="T2208" i="1"/>
  <c r="R2208" i="1"/>
  <c r="S2208" i="1"/>
  <c r="S1624" i="1"/>
  <c r="R1624" i="1"/>
  <c r="T2785" i="1"/>
  <c r="R2785" i="1"/>
  <c r="S2785" i="1"/>
  <c r="Q2785" i="1"/>
  <c r="U2318" i="1"/>
  <c r="U1398" i="1"/>
  <c r="U1987" i="1"/>
  <c r="U67" i="1"/>
  <c r="U3044" i="1"/>
  <c r="U1015" i="1"/>
  <c r="J3467" i="1"/>
  <c r="T3458" i="1"/>
  <c r="U3511" i="1"/>
  <c r="U3024" i="1"/>
  <c r="R1106" i="1"/>
  <c r="Q3270" i="1"/>
  <c r="U3259" i="1"/>
  <c r="U3043" i="1"/>
  <c r="U2992" i="1"/>
  <c r="Q2208" i="1"/>
  <c r="U1599" i="1"/>
  <c r="U3460" i="1"/>
  <c r="U2991" i="1"/>
  <c r="U3171" i="1"/>
  <c r="R1811" i="1"/>
  <c r="U1148" i="1"/>
  <c r="J2792" i="1"/>
  <c r="S2792" i="1" s="1"/>
  <c r="Q3458" i="1"/>
  <c r="U2743" i="1"/>
  <c r="U2627" i="1"/>
  <c r="S939" i="1"/>
  <c r="T939" i="1"/>
  <c r="T2844" i="1"/>
  <c r="J2851" i="1"/>
  <c r="T2851" i="1" s="1"/>
  <c r="U3315" i="1"/>
  <c r="Q440" i="1"/>
  <c r="S440" i="1"/>
  <c r="J442" i="1"/>
  <c r="Q442" i="1" s="1"/>
  <c r="U3419" i="1"/>
  <c r="U2735" i="1"/>
  <c r="S2321" i="1"/>
  <c r="T1027" i="1"/>
  <c r="U430" i="1"/>
  <c r="U840" i="1"/>
  <c r="T1005" i="1"/>
  <c r="R1005" i="1"/>
  <c r="U374" i="1"/>
  <c r="U2466" i="1"/>
  <c r="U928" i="1"/>
  <c r="T1170" i="1"/>
  <c r="S1170" i="1"/>
  <c r="U2483" i="1"/>
  <c r="U2164" i="1"/>
  <c r="U2269" i="1"/>
  <c r="J2927" i="1"/>
  <c r="T2919" i="1"/>
  <c r="Q2919" i="1"/>
  <c r="U149" i="1"/>
  <c r="U3475" i="1"/>
  <c r="R2500" i="1"/>
  <c r="U2344" i="1"/>
  <c r="U1877" i="1"/>
  <c r="U1146" i="1"/>
  <c r="U408" i="1"/>
  <c r="U35" i="1"/>
  <c r="U389" i="1"/>
  <c r="U574" i="1"/>
  <c r="K110" i="1"/>
  <c r="Q110" i="1" s="1"/>
  <c r="U110" i="1" s="1"/>
  <c r="U3442" i="1"/>
  <c r="U3481" i="1"/>
  <c r="U2335" i="1"/>
  <c r="U1724" i="1"/>
  <c r="U2004" i="1"/>
  <c r="U859" i="1"/>
  <c r="U434" i="1"/>
  <c r="U568" i="1"/>
  <c r="U343" i="1"/>
  <c r="U210" i="1"/>
  <c r="U83" i="1"/>
  <c r="U2053" i="1"/>
  <c r="U2502" i="1"/>
  <c r="U2187" i="1"/>
  <c r="U2121" i="1"/>
  <c r="U1258" i="1"/>
  <c r="U1087" i="1"/>
  <c r="U2278" i="1"/>
  <c r="U1693" i="1"/>
  <c r="U1644" i="1"/>
  <c r="U2682" i="1"/>
  <c r="U2260" i="1"/>
  <c r="U3371" i="1"/>
  <c r="U2311" i="1"/>
  <c r="U1746" i="1"/>
  <c r="U1401" i="1"/>
  <c r="U1311" i="1"/>
  <c r="U1383" i="1"/>
  <c r="U1369" i="1"/>
  <c r="U1021" i="1"/>
  <c r="U163" i="1"/>
  <c r="U353" i="1"/>
  <c r="U554" i="1"/>
  <c r="U3027" i="1"/>
  <c r="U2125" i="1"/>
  <c r="U1347" i="1"/>
  <c r="U2448" i="1"/>
  <c r="U1609" i="1"/>
  <c r="U2589" i="1"/>
  <c r="U2034" i="1"/>
  <c r="U1601" i="1"/>
  <c r="U1521" i="1"/>
  <c r="U2022" i="1"/>
  <c r="U1000" i="1"/>
  <c r="U3334" i="1"/>
  <c r="U3206" i="1"/>
  <c r="U2551" i="1"/>
  <c r="U2451" i="1"/>
  <c r="U1165" i="1"/>
  <c r="U1856" i="1"/>
  <c r="U3531" i="1"/>
  <c r="U1164" i="1"/>
  <c r="S604" i="1"/>
  <c r="Q604" i="1"/>
  <c r="U2434" i="1"/>
  <c r="U1784" i="1"/>
  <c r="U1329" i="1"/>
  <c r="U1125" i="1"/>
  <c r="U151" i="1"/>
  <c r="U1682" i="1"/>
  <c r="U971" i="1"/>
  <c r="U579" i="1"/>
  <c r="U3247" i="1"/>
  <c r="U3111" i="1"/>
  <c r="U2592" i="1"/>
  <c r="U2316" i="1"/>
  <c r="U1559" i="1"/>
  <c r="U1602" i="1"/>
  <c r="U1249" i="1"/>
  <c r="U973" i="1"/>
  <c r="U545" i="1"/>
  <c r="U500" i="1"/>
  <c r="U2317" i="1"/>
  <c r="U1500" i="1"/>
  <c r="U60" i="1"/>
  <c r="U309" i="1"/>
  <c r="U1162" i="1"/>
  <c r="U457" i="1"/>
  <c r="Q165" i="1"/>
  <c r="U165" i="1" s="1"/>
  <c r="K168" i="1"/>
  <c r="Q168" i="1" s="1"/>
  <c r="U168" i="1" s="1"/>
  <c r="U3441" i="1"/>
  <c r="S3393" i="1"/>
  <c r="U3205" i="1"/>
  <c r="U2812" i="1"/>
  <c r="U2624" i="1"/>
  <c r="U2430" i="1"/>
  <c r="U2161" i="1"/>
  <c r="U2035" i="1"/>
  <c r="U2064" i="1"/>
  <c r="U1939" i="1"/>
  <c r="U1898" i="1"/>
  <c r="U2118" i="1"/>
  <c r="U1537" i="1"/>
  <c r="U1200" i="1"/>
  <c r="Q1281" i="1"/>
  <c r="U1213" i="1"/>
  <c r="U195" i="1"/>
  <c r="U102" i="1"/>
  <c r="U504" i="1"/>
  <c r="U2625" i="1"/>
  <c r="U2571" i="1"/>
  <c r="U2205" i="1"/>
  <c r="U2139" i="1"/>
  <c r="U1945" i="1"/>
  <c r="R1604" i="1"/>
  <c r="U1687" i="1"/>
  <c r="Q1070" i="1"/>
  <c r="T3476" i="1"/>
  <c r="Q3476" i="1"/>
  <c r="U3407" i="1"/>
  <c r="U2779" i="1"/>
  <c r="Q1698" i="1"/>
  <c r="U1472" i="1"/>
  <c r="S3296" i="1"/>
  <c r="T3296" i="1"/>
  <c r="T3393" i="1"/>
  <c r="U3333" i="1"/>
  <c r="U3244" i="1"/>
  <c r="K3402" i="1"/>
  <c r="Q3402" i="1" s="1"/>
  <c r="U2776" i="1"/>
  <c r="U2570" i="1"/>
  <c r="U2519" i="1"/>
  <c r="U2452" i="1"/>
  <c r="Q1811" i="1"/>
  <c r="S1281" i="1"/>
  <c r="U974" i="1"/>
  <c r="U87" i="1"/>
  <c r="Q98" i="1"/>
  <c r="U98" i="1" s="1"/>
  <c r="T3223" i="1"/>
  <c r="U3092" i="1"/>
  <c r="U2554" i="1"/>
  <c r="Q1951" i="1"/>
  <c r="U1884" i="1"/>
  <c r="U654" i="1"/>
  <c r="Q3168" i="1"/>
  <c r="R3168" i="1"/>
  <c r="T3168" i="1"/>
  <c r="S3168" i="1"/>
  <c r="S1264" i="1"/>
  <c r="R1264" i="1"/>
  <c r="Q1264" i="1"/>
  <c r="T1264" i="1"/>
  <c r="J2267" i="1"/>
  <c r="S2267" i="1" s="1"/>
  <c r="R2263" i="1"/>
  <c r="U1236" i="1"/>
  <c r="U3351" i="1"/>
  <c r="U3010" i="1"/>
  <c r="U2097" i="1"/>
  <c r="U1915" i="1"/>
  <c r="U1619" i="1"/>
  <c r="U1708" i="1"/>
  <c r="T1281" i="1"/>
  <c r="U1001" i="1"/>
  <c r="U519" i="1"/>
  <c r="J3233" i="1"/>
  <c r="S3223" i="1"/>
  <c r="U3227" i="1"/>
  <c r="K939" i="1"/>
  <c r="Q939" i="1" s="1"/>
  <c r="U935" i="1"/>
  <c r="U212" i="1"/>
  <c r="S3458" i="1"/>
  <c r="R3458" i="1"/>
  <c r="Q3224" i="1"/>
  <c r="R3224" i="1"/>
  <c r="T3224" i="1"/>
  <c r="S3224" i="1"/>
  <c r="U3484" i="1"/>
  <c r="U3264" i="1"/>
  <c r="U2957" i="1"/>
  <c r="U2778" i="1"/>
  <c r="U2559" i="1"/>
  <c r="Q2403" i="1"/>
  <c r="U2122" i="1"/>
  <c r="U2055" i="1"/>
  <c r="Q2225" i="1"/>
  <c r="U2005" i="1"/>
  <c r="U1803" i="1"/>
  <c r="S1334" i="1"/>
  <c r="U1822" i="1"/>
  <c r="U1116" i="1"/>
  <c r="U1085" i="1"/>
  <c r="J1288" i="1"/>
  <c r="T1288" i="1" s="1"/>
  <c r="U656" i="1"/>
  <c r="U514" i="1"/>
  <c r="U3497" i="1"/>
  <c r="U2646" i="1"/>
  <c r="U1908" i="1"/>
  <c r="U1343" i="1"/>
  <c r="U3133" i="1"/>
  <c r="T2399" i="1"/>
  <c r="R2399" i="1"/>
  <c r="S2399" i="1"/>
  <c r="Q2263" i="1"/>
  <c r="K2267" i="1"/>
  <c r="T1086" i="1"/>
  <c r="S1086" i="1"/>
  <c r="S956" i="1"/>
  <c r="R956" i="1"/>
  <c r="U2255" i="1"/>
  <c r="U3405" i="1"/>
  <c r="Q3223" i="1"/>
  <c r="Q3296" i="1"/>
  <c r="U3028" i="1"/>
  <c r="U2374" i="1"/>
  <c r="U2092" i="1"/>
  <c r="U2030" i="1"/>
  <c r="U2105" i="1"/>
  <c r="U1345" i="1"/>
  <c r="U987" i="1"/>
  <c r="U540" i="1"/>
  <c r="U314" i="1"/>
  <c r="U787" i="1"/>
  <c r="U150" i="1"/>
  <c r="U238" i="1"/>
  <c r="R541" i="1"/>
  <c r="U3387" i="1"/>
  <c r="U3071" i="1"/>
  <c r="S2769" i="1"/>
  <c r="Q2769" i="1"/>
  <c r="U2149" i="1"/>
  <c r="S1604" i="1"/>
  <c r="U1492" i="1"/>
  <c r="U962" i="1"/>
  <c r="U1099" i="1"/>
  <c r="Q2399" i="1"/>
  <c r="U2141" i="1"/>
  <c r="U739" i="1"/>
  <c r="T159" i="1"/>
  <c r="S159" i="1"/>
  <c r="Q159" i="1"/>
  <c r="R1419" i="1"/>
  <c r="T1419" i="1"/>
  <c r="U2893" i="1"/>
  <c r="U2172" i="1"/>
  <c r="Q2036" i="1"/>
  <c r="U1762" i="1"/>
  <c r="Q1119" i="1"/>
  <c r="U358" i="1"/>
  <c r="U493" i="1"/>
  <c r="U1141" i="1"/>
  <c r="R3457" i="1"/>
  <c r="S3457" i="1"/>
  <c r="U3406" i="1"/>
  <c r="U3367" i="1"/>
  <c r="R3000" i="1"/>
  <c r="J3009" i="1"/>
  <c r="Q3000" i="1"/>
  <c r="U1978" i="1"/>
  <c r="R1665" i="1"/>
  <c r="S1665" i="1"/>
  <c r="Q3411" i="1"/>
  <c r="R3340" i="1"/>
  <c r="U3169" i="1"/>
  <c r="U2143" i="1"/>
  <c r="U2183" i="1"/>
  <c r="Q2059" i="1"/>
  <c r="U1985" i="1"/>
  <c r="T2457" i="1"/>
  <c r="U1866" i="1"/>
  <c r="T2067" i="1"/>
  <c r="U1755" i="1"/>
  <c r="U1674" i="1"/>
  <c r="U1134" i="1"/>
  <c r="U1100" i="1"/>
  <c r="Q1730" i="1"/>
  <c r="U1128" i="1"/>
  <c r="U391" i="1"/>
  <c r="U580" i="1"/>
  <c r="U561" i="1"/>
  <c r="U138" i="1"/>
  <c r="U2955" i="1"/>
  <c r="R2892" i="1"/>
  <c r="J2900" i="1"/>
  <c r="U2763" i="1"/>
  <c r="R2810" i="1"/>
  <c r="T2810" i="1"/>
  <c r="S2810" i="1"/>
  <c r="U2383" i="1"/>
  <c r="U2252" i="1"/>
  <c r="S2203" i="1"/>
  <c r="T2203" i="1"/>
  <c r="R2203" i="1"/>
  <c r="Q1624" i="1"/>
  <c r="U1185" i="1"/>
  <c r="T1624" i="1"/>
  <c r="U1510" i="1"/>
  <c r="R1070" i="1"/>
  <c r="S1070" i="1"/>
  <c r="T1070" i="1"/>
  <c r="U3241" i="1"/>
  <c r="U2911" i="1"/>
  <c r="U2342" i="1"/>
  <c r="U2128" i="1"/>
  <c r="U3478" i="1"/>
  <c r="S2946" i="1"/>
  <c r="J2952" i="1"/>
  <c r="S2343" i="1"/>
  <c r="T2343" i="1"/>
  <c r="R2343" i="1"/>
  <c r="U2219" i="1"/>
  <c r="P2272" i="1"/>
  <c r="T1879" i="1"/>
  <c r="R1879" i="1"/>
  <c r="Q1879" i="1"/>
  <c r="U1655" i="1"/>
  <c r="S1512" i="1"/>
  <c r="Q1512" i="1"/>
  <c r="R1512" i="1"/>
  <c r="R1352" i="1"/>
  <c r="Q1352" i="1"/>
  <c r="J1357" i="1"/>
  <c r="S1357" i="1" s="1"/>
  <c r="U1149" i="1"/>
  <c r="R1052" i="1"/>
  <c r="T1052" i="1"/>
  <c r="S1052" i="1"/>
  <c r="Q1052" i="1"/>
  <c r="J1061" i="1"/>
  <c r="Q1061" i="1" s="1"/>
  <c r="U211" i="1"/>
  <c r="T2036" i="1"/>
  <c r="U1769" i="1"/>
  <c r="U2947" i="1"/>
  <c r="U2142" i="1"/>
  <c r="T1496" i="1"/>
  <c r="S1496" i="1"/>
  <c r="R1496" i="1"/>
  <c r="U772" i="1"/>
  <c r="T1512" i="1"/>
  <c r="T51" i="1"/>
  <c r="R51" i="1"/>
  <c r="S51" i="1"/>
  <c r="U3075" i="1"/>
  <c r="U3095" i="1"/>
  <c r="U2762" i="1"/>
  <c r="J2411" i="1"/>
  <c r="Q2411" i="1" s="1"/>
  <c r="U2345" i="1"/>
  <c r="U1872" i="1"/>
  <c r="U1793" i="1"/>
  <c r="U1737" i="1"/>
  <c r="U1709" i="1"/>
  <c r="U1725" i="1"/>
  <c r="U1538" i="1"/>
  <c r="U1400" i="1"/>
  <c r="U3261" i="1"/>
  <c r="R3402" i="1"/>
  <c r="S3402" i="1"/>
  <c r="Q2793" i="1"/>
  <c r="R2793" i="1"/>
  <c r="S2793" i="1"/>
  <c r="J2800" i="1"/>
  <c r="U2744" i="1"/>
  <c r="U2119" i="1"/>
  <c r="U1855" i="1"/>
  <c r="T1927" i="1"/>
  <c r="R1927" i="1"/>
  <c r="U291" i="1"/>
  <c r="U48" i="1"/>
  <c r="Y48" i="1" s="1"/>
  <c r="S1106" i="1"/>
  <c r="Q1106" i="1"/>
  <c r="U3186" i="1"/>
  <c r="U3262" i="1"/>
  <c r="U3113" i="1"/>
  <c r="U2667" i="1"/>
  <c r="U2591" i="1"/>
  <c r="U2449" i="1"/>
  <c r="R2403" i="1"/>
  <c r="U2137" i="1"/>
  <c r="U2076" i="1"/>
  <c r="U1098" i="1"/>
  <c r="U1133" i="1"/>
  <c r="U1474" i="1"/>
  <c r="U1310" i="1"/>
  <c r="U1201" i="1"/>
  <c r="U1293" i="1"/>
  <c r="U949" i="1"/>
  <c r="U1038" i="1"/>
  <c r="U416" i="1"/>
  <c r="U922" i="1"/>
  <c r="U582" i="1"/>
  <c r="U587" i="1"/>
  <c r="U709" i="1"/>
  <c r="U200" i="1"/>
  <c r="S1027" i="1"/>
  <c r="U586" i="1"/>
  <c r="U436" i="1"/>
  <c r="U3394" i="1"/>
  <c r="T3402" i="1"/>
  <c r="U3070" i="1"/>
  <c r="U2721" i="1"/>
  <c r="U2794" i="1"/>
  <c r="U2685" i="1"/>
  <c r="U2315" i="1"/>
  <c r="S2388" i="1"/>
  <c r="R2388" i="1"/>
  <c r="T2388" i="1"/>
  <c r="R2321" i="1"/>
  <c r="S1927" i="1"/>
  <c r="S1844" i="1"/>
  <c r="Q1844" i="1"/>
  <c r="T1844" i="1"/>
  <c r="R1844" i="1"/>
  <c r="U1923" i="1"/>
  <c r="T1309" i="1"/>
  <c r="R1309" i="1"/>
  <c r="U1642" i="1"/>
  <c r="U1750" i="1"/>
  <c r="R1399" i="1"/>
  <c r="S1399" i="1"/>
  <c r="T1399" i="1"/>
  <c r="U1037" i="1"/>
  <c r="U592" i="1"/>
  <c r="U993" i="1"/>
  <c r="U438" i="1"/>
  <c r="J3258" i="1"/>
  <c r="T3250" i="1"/>
  <c r="S3250" i="1"/>
  <c r="Q3250" i="1"/>
  <c r="R3250" i="1"/>
  <c r="T2577" i="1"/>
  <c r="R2577" i="1"/>
  <c r="Q2577" i="1"/>
  <c r="S2577" i="1"/>
  <c r="S2168" i="1"/>
  <c r="T2168" i="1"/>
  <c r="Q2168" i="1"/>
  <c r="P1837" i="1"/>
  <c r="K2307" i="1"/>
  <c r="N1327" i="1"/>
  <c r="S657" i="1"/>
  <c r="R657" i="1"/>
  <c r="Q657" i="1"/>
  <c r="Q2291" i="1"/>
  <c r="R2291" i="1"/>
  <c r="T2291" i="1"/>
  <c r="J2295" i="1"/>
  <c r="S2291" i="1"/>
  <c r="O2303" i="1"/>
  <c r="U1114" i="1"/>
  <c r="S419" i="1"/>
  <c r="T419" i="1"/>
  <c r="T3428" i="1"/>
  <c r="R3428" i="1"/>
  <c r="S3340" i="1"/>
  <c r="T3340" i="1"/>
  <c r="S3270" i="1"/>
  <c r="T3270" i="1"/>
  <c r="J3090" i="1"/>
  <c r="Q3080" i="1"/>
  <c r="T3080" i="1"/>
  <c r="S3080" i="1"/>
  <c r="R3080" i="1"/>
  <c r="U2845" i="1"/>
  <c r="U3049" i="1"/>
  <c r="R2980" i="1"/>
  <c r="J2990" i="1"/>
  <c r="T2990" i="1" s="1"/>
  <c r="S2980" i="1"/>
  <c r="Q2980" i="1"/>
  <c r="U2572" i="1"/>
  <c r="U2931" i="1"/>
  <c r="S2689" i="1"/>
  <c r="Q2689" i="1"/>
  <c r="R2689" i="1"/>
  <c r="J2533" i="1"/>
  <c r="S2524" i="1"/>
  <c r="Q2524" i="1"/>
  <c r="T2524" i="1"/>
  <c r="U2501" i="1"/>
  <c r="Q2541" i="1"/>
  <c r="U2200" i="1"/>
  <c r="U2373" i="1"/>
  <c r="U2173" i="1"/>
  <c r="S2131" i="1"/>
  <c r="U2167" i="1"/>
  <c r="U2062" i="1"/>
  <c r="U2165" i="1"/>
  <c r="U2222" i="1"/>
  <c r="U2003" i="1"/>
  <c r="R1902" i="1"/>
  <c r="T1902" i="1"/>
  <c r="Q1902" i="1"/>
  <c r="U2074" i="1"/>
  <c r="Q1541" i="1"/>
  <c r="S1567" i="1"/>
  <c r="R1567" i="1"/>
  <c r="Q1567" i="1"/>
  <c r="R1334" i="1"/>
  <c r="J1338" i="1"/>
  <c r="Q1338" i="1" s="1"/>
  <c r="Q1334" i="1"/>
  <c r="U1257" i="1"/>
  <c r="R1541" i="1"/>
  <c r="R1479" i="1"/>
  <c r="S1479" i="1"/>
  <c r="Q1479" i="1"/>
  <c r="T1567" i="1"/>
  <c r="U1204" i="1"/>
  <c r="U1295" i="1"/>
  <c r="U1023" i="1"/>
  <c r="R296" i="1"/>
  <c r="T296" i="1"/>
  <c r="Q296" i="1"/>
  <c r="U1441" i="1"/>
  <c r="U1454" i="1"/>
  <c r="U1579" i="1"/>
  <c r="S1243" i="1"/>
  <c r="R1243" i="1"/>
  <c r="T1243" i="1"/>
  <c r="U268" i="1"/>
  <c r="U356" i="1"/>
  <c r="T334" i="1"/>
  <c r="R334" i="1"/>
  <c r="S334" i="1"/>
  <c r="Q334" i="1"/>
  <c r="S1270" i="1"/>
  <c r="T1270" i="1"/>
  <c r="U124" i="1"/>
  <c r="U355" i="1"/>
  <c r="U286" i="1"/>
  <c r="U141" i="1"/>
  <c r="Y141" i="1" s="1"/>
  <c r="U25" i="1"/>
  <c r="U699" i="1"/>
  <c r="U597" i="1"/>
  <c r="U556" i="1"/>
  <c r="U536" i="1"/>
  <c r="J3365" i="1"/>
  <c r="S3357" i="1"/>
  <c r="Q3357" i="1"/>
  <c r="R3357" i="1"/>
  <c r="S3519" i="1"/>
  <c r="R3519" i="1"/>
  <c r="T3176" i="1"/>
  <c r="S3176" i="1"/>
  <c r="Q3176" i="1"/>
  <c r="R3176" i="1"/>
  <c r="T3138" i="1"/>
  <c r="S3138" i="1"/>
  <c r="Q3138" i="1"/>
  <c r="R3138" i="1"/>
  <c r="R1131" i="1"/>
  <c r="T1131" i="1"/>
  <c r="Q1131" i="1"/>
  <c r="S1131" i="1"/>
  <c r="Q377" i="1"/>
  <c r="R377" i="1"/>
  <c r="S377" i="1"/>
  <c r="T377" i="1"/>
  <c r="U3300" i="1"/>
  <c r="U2484" i="1"/>
  <c r="T2439" i="1"/>
  <c r="S2439" i="1"/>
  <c r="N2281" i="1"/>
  <c r="R2067" i="1"/>
  <c r="U1545" i="1"/>
  <c r="Q1210" i="1"/>
  <c r="R1210" i="1"/>
  <c r="U454" i="1"/>
  <c r="U537" i="1"/>
  <c r="U1265" i="1"/>
  <c r="U3544" i="1"/>
  <c r="T3357" i="1"/>
  <c r="U3204" i="1"/>
  <c r="S3376" i="1"/>
  <c r="U3245" i="1"/>
  <c r="U3025" i="1"/>
  <c r="U3153" i="1"/>
  <c r="U3170" i="1"/>
  <c r="U3072" i="1"/>
  <c r="U2745" i="1"/>
  <c r="U2846" i="1"/>
  <c r="U3012" i="1"/>
  <c r="R2671" i="1"/>
  <c r="S2671" i="1"/>
  <c r="T2671" i="1"/>
  <c r="R2491" i="1"/>
  <c r="R2457" i="1"/>
  <c r="S2457" i="1"/>
  <c r="T2403" i="1"/>
  <c r="N2303" i="1"/>
  <c r="U1986" i="1"/>
  <c r="U2241" i="1"/>
  <c r="U2007" i="1"/>
  <c r="U1757" i="1"/>
  <c r="S2225" i="1"/>
  <c r="R2225" i="1"/>
  <c r="S2491" i="1"/>
  <c r="Q2439" i="1"/>
  <c r="S1874" i="1"/>
  <c r="R1874" i="1"/>
  <c r="Q1874" i="1"/>
  <c r="U2287" i="1"/>
  <c r="U1741" i="1"/>
  <c r="U2052" i="1"/>
  <c r="U1650" i="1"/>
  <c r="R1586" i="1"/>
  <c r="T1586" i="1"/>
  <c r="S1586" i="1"/>
  <c r="U1186" i="1"/>
  <c r="U1504" i="1"/>
  <c r="U1464" i="1"/>
  <c r="S1119" i="1"/>
  <c r="U1561" i="1"/>
  <c r="T1119" i="1"/>
  <c r="U381" i="1"/>
  <c r="R415" i="1"/>
  <c r="T415" i="1"/>
  <c r="S415" i="1"/>
  <c r="U11" i="1"/>
  <c r="U418" i="1"/>
  <c r="T657" i="1"/>
  <c r="U510" i="1"/>
  <c r="S139" i="1"/>
  <c r="T139" i="1"/>
  <c r="R139" i="1"/>
  <c r="T980" i="1"/>
  <c r="Q512" i="1"/>
  <c r="T512" i="1"/>
  <c r="R512" i="1"/>
  <c r="S512" i="1"/>
  <c r="T3519" i="1"/>
  <c r="S3017" i="1"/>
  <c r="R3017" i="1"/>
  <c r="T3017" i="1"/>
  <c r="N2360" i="1"/>
  <c r="S2378" i="1"/>
  <c r="T2378" i="1"/>
  <c r="L2356" i="1"/>
  <c r="S1541" i="1"/>
  <c r="U544" i="1"/>
  <c r="U206" i="1"/>
  <c r="Q3428" i="1"/>
  <c r="U3480" i="1"/>
  <c r="U3302" i="1"/>
  <c r="U3150" i="1"/>
  <c r="T3053" i="1"/>
  <c r="R3053" i="1"/>
  <c r="S3053" i="1"/>
  <c r="U3115" i="1"/>
  <c r="Q3017" i="1"/>
  <c r="U2929" i="1"/>
  <c r="U3047" i="1"/>
  <c r="U2389" i="1"/>
  <c r="U3132" i="1"/>
  <c r="R2595" i="1"/>
  <c r="T2595" i="1"/>
  <c r="Q2595" i="1"/>
  <c r="U2811" i="1"/>
  <c r="R2439" i="1"/>
  <c r="U2433" i="1"/>
  <c r="Q2378" i="1"/>
  <c r="S2231" i="1"/>
  <c r="T2231" i="1"/>
  <c r="Q2231" i="1"/>
  <c r="R2231" i="1"/>
  <c r="U2058" i="1"/>
  <c r="T2059" i="1"/>
  <c r="S2059" i="1"/>
  <c r="S1889" i="1"/>
  <c r="T1889" i="1"/>
  <c r="U2029" i="1"/>
  <c r="R1889" i="1"/>
  <c r="Q2079" i="1"/>
  <c r="U1763" i="1"/>
  <c r="U2471" i="1"/>
  <c r="R2079" i="1"/>
  <c r="U2031" i="1"/>
  <c r="Q2067" i="1"/>
  <c r="U1580" i="1"/>
  <c r="U1564" i="1"/>
  <c r="U1818" i="1"/>
  <c r="U1804" i="1"/>
  <c r="U1147" i="1"/>
  <c r="U1516" i="1"/>
  <c r="U1205" i="1"/>
  <c r="U446" i="1"/>
  <c r="Q1434" i="1"/>
  <c r="R1434" i="1"/>
  <c r="Q980" i="1"/>
  <c r="U1235" i="1"/>
  <c r="U585" i="1"/>
  <c r="S1391" i="1"/>
  <c r="R1391" i="1"/>
  <c r="T1391" i="1"/>
  <c r="U252" i="1"/>
  <c r="T1210" i="1"/>
  <c r="U492" i="1"/>
  <c r="S541" i="1"/>
  <c r="T541" i="1"/>
  <c r="U464" i="1"/>
  <c r="U330" i="1"/>
  <c r="U276" i="1"/>
  <c r="R144" i="1"/>
  <c r="T144" i="1"/>
  <c r="S144" i="1"/>
  <c r="S563" i="1"/>
  <c r="T563" i="1"/>
  <c r="R563" i="1"/>
  <c r="Q120" i="1"/>
  <c r="R120" i="1"/>
  <c r="T120" i="1"/>
  <c r="S120" i="1"/>
  <c r="S296" i="1"/>
  <c r="U3045" i="1"/>
  <c r="J2970" i="1"/>
  <c r="T2962" i="1"/>
  <c r="Q2962" i="1"/>
  <c r="R2962" i="1"/>
  <c r="U3167" i="1"/>
  <c r="U2536" i="1"/>
  <c r="U2008" i="1"/>
  <c r="P2364" i="1"/>
  <c r="U1163" i="1"/>
  <c r="R1076" i="1"/>
  <c r="S1076" i="1"/>
  <c r="T1076" i="1"/>
  <c r="U413" i="1"/>
  <c r="S382" i="1"/>
  <c r="R382" i="1"/>
  <c r="T382" i="1"/>
  <c r="U570" i="1"/>
  <c r="R980" i="1"/>
  <c r="U564" i="1"/>
  <c r="T523" i="1"/>
  <c r="S523" i="1"/>
  <c r="Q523" i="1"/>
  <c r="Q419" i="1"/>
  <c r="U119" i="1"/>
  <c r="R3376" i="1"/>
  <c r="T3376" i="1"/>
  <c r="U3530" i="1"/>
  <c r="S3411" i="1"/>
  <c r="T3411" i="1"/>
  <c r="T3307" i="1"/>
  <c r="S3307" i="1"/>
  <c r="R3307" i="1"/>
  <c r="J3042" i="1"/>
  <c r="Q3042" i="1" s="1"/>
  <c r="S3034" i="1"/>
  <c r="T3034" i="1"/>
  <c r="Q3519" i="1"/>
  <c r="J2883" i="1"/>
  <c r="T2883" i="1" s="1"/>
  <c r="Q2871" i="1"/>
  <c r="R2871" i="1"/>
  <c r="U2914" i="1"/>
  <c r="Q3034" i="1"/>
  <c r="U2973" i="1"/>
  <c r="R2936" i="1"/>
  <c r="T2936" i="1"/>
  <c r="Q2936" i="1"/>
  <c r="U2683" i="1"/>
  <c r="T2541" i="1"/>
  <c r="R2541" i="1"/>
  <c r="S2871" i="1"/>
  <c r="U2588" i="1"/>
  <c r="R2507" i="1"/>
  <c r="T2507" i="1"/>
  <c r="Q2507" i="1"/>
  <c r="O2356" i="1"/>
  <c r="U2253" i="1"/>
  <c r="U2226" i="1"/>
  <c r="R2131" i="1"/>
  <c r="T2131" i="1"/>
  <c r="U2009" i="1"/>
  <c r="Q2491" i="1"/>
  <c r="U2328" i="1"/>
  <c r="U1994" i="1"/>
  <c r="O2272" i="1"/>
  <c r="R2168" i="1"/>
  <c r="U2174" i="1"/>
  <c r="T2079" i="1"/>
  <c r="U1823" i="1"/>
  <c r="U2108" i="1"/>
  <c r="U1581" i="1"/>
  <c r="U1328" i="1"/>
  <c r="S1811" i="1"/>
  <c r="S1263" i="1"/>
  <c r="Q1263" i="1"/>
  <c r="T1263" i="1"/>
  <c r="U1183" i="1"/>
  <c r="R1730" i="1"/>
  <c r="T1730" i="1"/>
  <c r="U1221" i="1"/>
  <c r="U375" i="1"/>
  <c r="S1449" i="1"/>
  <c r="T1449" i="1"/>
  <c r="R1449" i="1"/>
  <c r="Q1076" i="1"/>
  <c r="Q1027" i="1"/>
  <c r="U524" i="1"/>
  <c r="Q528" i="1"/>
  <c r="R528" i="1"/>
  <c r="T528" i="1"/>
  <c r="S528" i="1"/>
  <c r="U507" i="1"/>
  <c r="U534" i="1"/>
  <c r="U376" i="1"/>
  <c r="R523" i="1"/>
  <c r="T3158" i="1" l="1"/>
  <c r="U3562" i="1"/>
  <c r="Q3158" i="1"/>
  <c r="S3158" i="1"/>
  <c r="Q3214" i="1"/>
  <c r="R3214" i="1"/>
  <c r="Q1833" i="1"/>
  <c r="S3214" i="1"/>
  <c r="J1302" i="1"/>
  <c r="Q1302" i="1" s="1"/>
  <c r="U2010" i="1"/>
  <c r="T1301" i="1"/>
  <c r="R1301" i="1"/>
  <c r="S1301" i="1"/>
  <c r="S1837" i="1"/>
  <c r="R2633" i="1"/>
  <c r="T2011" i="1"/>
  <c r="S2011" i="1"/>
  <c r="R547" i="1"/>
  <c r="R2475" i="1"/>
  <c r="U1526" i="1"/>
  <c r="T1837" i="1"/>
  <c r="S1833" i="1"/>
  <c r="R1833" i="1"/>
  <c r="U1714" i="1"/>
  <c r="U271" i="1"/>
  <c r="R571" i="1"/>
  <c r="T571" i="1"/>
  <c r="S571" i="1"/>
  <c r="Q1837" i="1"/>
  <c r="T1833" i="1"/>
  <c r="U589" i="1"/>
  <c r="Q2011" i="1"/>
  <c r="U1828" i="1"/>
  <c r="S547" i="1"/>
  <c r="U346" i="1"/>
  <c r="T547" i="1"/>
  <c r="Q1460" i="1"/>
  <c r="U496" i="1"/>
  <c r="S2633" i="1"/>
  <c r="T1460" i="1"/>
  <c r="Q2633" i="1"/>
  <c r="R1460" i="1"/>
  <c r="S1153" i="1"/>
  <c r="T2475" i="1"/>
  <c r="U2398" i="1"/>
  <c r="U3091" i="1"/>
  <c r="Q2475" i="1"/>
  <c r="T2611" i="1"/>
  <c r="U301" i="1"/>
  <c r="U3512" i="1"/>
  <c r="U1151" i="1"/>
  <c r="U423" i="1"/>
  <c r="U3191" i="1"/>
  <c r="U3202" i="1"/>
  <c r="U2568" i="1"/>
  <c r="T1153" i="1"/>
  <c r="S3119" i="1"/>
  <c r="U1370" i="1"/>
  <c r="T2348" i="1"/>
  <c r="J2352" i="1"/>
  <c r="T2352" i="1" s="1"/>
  <c r="S2348" i="1"/>
  <c r="R1153" i="1"/>
  <c r="S2611" i="1"/>
  <c r="U1989" i="1"/>
  <c r="U1850" i="1"/>
  <c r="Q2611" i="1"/>
  <c r="U1951" i="1"/>
  <c r="U341" i="1"/>
  <c r="U2467" i="1"/>
  <c r="U396" i="1"/>
  <c r="U1435" i="1"/>
  <c r="U459" i="1"/>
  <c r="U3110" i="1"/>
  <c r="R3487" i="1"/>
  <c r="U1455" i="1"/>
  <c r="U411" i="1"/>
  <c r="S3487" i="1"/>
  <c r="Q3487" i="1"/>
  <c r="U2623" i="1"/>
  <c r="U1294" i="1"/>
  <c r="U393" i="1"/>
  <c r="U1789" i="1"/>
  <c r="U1532" i="1"/>
  <c r="U1861" i="1"/>
  <c r="U2144" i="1"/>
  <c r="U1957" i="1"/>
  <c r="J1323" i="1"/>
  <c r="R1323" i="1" s="1"/>
  <c r="T1407" i="1"/>
  <c r="U972" i="1"/>
  <c r="U2606" i="1"/>
  <c r="U58" i="1"/>
  <c r="U1138" i="1"/>
  <c r="Q3101" i="1"/>
  <c r="R1440" i="1"/>
  <c r="T3101" i="1"/>
  <c r="Q1440" i="1"/>
  <c r="J3109" i="1"/>
  <c r="S3109" i="1" s="1"/>
  <c r="T1440" i="1"/>
  <c r="R3101" i="1"/>
  <c r="U1045" i="1"/>
  <c r="U2175" i="1"/>
  <c r="Q3119" i="1"/>
  <c r="U1967" i="1"/>
  <c r="R3119" i="1"/>
  <c r="R2348" i="1"/>
  <c r="U2126" i="1"/>
  <c r="U363" i="1"/>
  <c r="T3534" i="1"/>
  <c r="R3534" i="1"/>
  <c r="Q3503" i="1"/>
  <c r="U154" i="1"/>
  <c r="U2826" i="1"/>
  <c r="S2817" i="1"/>
  <c r="S3534" i="1"/>
  <c r="U1384" i="1"/>
  <c r="R1407" i="1"/>
  <c r="U2892" i="1"/>
  <c r="Q1317" i="1"/>
  <c r="Q1407" i="1"/>
  <c r="R1317" i="1"/>
  <c r="S1317" i="1"/>
  <c r="Q2833" i="1"/>
  <c r="U1645" i="1"/>
  <c r="T2833" i="1"/>
  <c r="S2833" i="1"/>
  <c r="U1191" i="1"/>
  <c r="U359" i="1"/>
  <c r="U1996" i="1"/>
  <c r="S3503" i="1"/>
  <c r="U543" i="1"/>
  <c r="R3503" i="1"/>
  <c r="U2863" i="1"/>
  <c r="U2655" i="1"/>
  <c r="U3527" i="1"/>
  <c r="U533" i="1"/>
  <c r="T2817" i="1"/>
  <c r="U63" i="1"/>
  <c r="U584" i="1"/>
  <c r="R2817" i="1"/>
  <c r="U2258" i="1"/>
  <c r="U3448" i="1"/>
  <c r="U1922" i="1"/>
  <c r="U3149" i="1"/>
  <c r="S2851" i="1"/>
  <c r="U2500" i="1"/>
  <c r="U2844" i="1"/>
  <c r="U3496" i="1"/>
  <c r="Q397" i="1"/>
  <c r="S397" i="1"/>
  <c r="T397" i="1"/>
  <c r="R397" i="1"/>
  <c r="U2946" i="1"/>
  <c r="Q2851" i="1"/>
  <c r="U1180" i="1"/>
  <c r="R2851" i="1"/>
  <c r="U1352" i="1"/>
  <c r="U3438" i="1"/>
  <c r="U2555" i="1"/>
  <c r="U1604" i="1"/>
  <c r="Q1288" i="1"/>
  <c r="U2751" i="1"/>
  <c r="U980" i="1"/>
  <c r="U3476" i="1"/>
  <c r="T2558" i="1"/>
  <c r="U569" i="1"/>
  <c r="R1288" i="1"/>
  <c r="U1698" i="1"/>
  <c r="U1972" i="1"/>
  <c r="S1288" i="1"/>
  <c r="T442" i="1"/>
  <c r="R2792" i="1"/>
  <c r="T1092" i="1"/>
  <c r="Q2558" i="1"/>
  <c r="U3457" i="1"/>
  <c r="U1281" i="1"/>
  <c r="U2919" i="1"/>
  <c r="U1170" i="1"/>
  <c r="U440" i="1"/>
  <c r="S2558" i="1"/>
  <c r="U1624" i="1"/>
  <c r="U3458" i="1"/>
  <c r="U2785" i="1"/>
  <c r="R1377" i="1"/>
  <c r="T1377" i="1"/>
  <c r="Q1377" i="1"/>
  <c r="S1377" i="1"/>
  <c r="Q1092" i="1"/>
  <c r="T2792" i="1"/>
  <c r="U1665" i="1"/>
  <c r="R1092" i="1"/>
  <c r="Q2792" i="1"/>
  <c r="T3201" i="1"/>
  <c r="Q3201" i="1"/>
  <c r="R3201" i="1"/>
  <c r="S3201" i="1"/>
  <c r="S442" i="1"/>
  <c r="T2267" i="1"/>
  <c r="R442" i="1"/>
  <c r="U3000" i="1"/>
  <c r="U2208" i="1"/>
  <c r="U604" i="1"/>
  <c r="U1005" i="1"/>
  <c r="U3340" i="1"/>
  <c r="U1106" i="1"/>
  <c r="U939" i="1"/>
  <c r="U1419" i="1"/>
  <c r="U956" i="1"/>
  <c r="U2524" i="1"/>
  <c r="U2036" i="1"/>
  <c r="U1086" i="1"/>
  <c r="R2927" i="1"/>
  <c r="S2927" i="1"/>
  <c r="T2927" i="1"/>
  <c r="Q2927" i="1"/>
  <c r="U1027" i="1"/>
  <c r="U1541" i="1"/>
  <c r="U2321" i="1"/>
  <c r="U3223" i="1"/>
  <c r="U3224" i="1"/>
  <c r="U3393" i="1"/>
  <c r="S3467" i="1"/>
  <c r="R3467" i="1"/>
  <c r="T3467" i="1"/>
  <c r="Q3467" i="1"/>
  <c r="U2263" i="1"/>
  <c r="U2399" i="1"/>
  <c r="U1264" i="1"/>
  <c r="U1399" i="1"/>
  <c r="U159" i="1"/>
  <c r="U3168" i="1"/>
  <c r="U2079" i="1"/>
  <c r="U1334" i="1"/>
  <c r="U3411" i="1"/>
  <c r="U2595" i="1"/>
  <c r="U1586" i="1"/>
  <c r="U2769" i="1"/>
  <c r="U3296" i="1"/>
  <c r="Q3233" i="1"/>
  <c r="J3240" i="1"/>
  <c r="T3233" i="1"/>
  <c r="R3233" i="1"/>
  <c r="S3233" i="1"/>
  <c r="J2272" i="1"/>
  <c r="T2272" i="1" s="1"/>
  <c r="R2267" i="1"/>
  <c r="U296" i="1"/>
  <c r="U2793" i="1"/>
  <c r="U1496" i="1"/>
  <c r="U1879" i="1"/>
  <c r="U2343" i="1"/>
  <c r="K2272" i="1"/>
  <c r="Q2267" i="1"/>
  <c r="U1811" i="1"/>
  <c r="U2059" i="1"/>
  <c r="U1309" i="1"/>
  <c r="U2388" i="1"/>
  <c r="T2411" i="1"/>
  <c r="U2067" i="1"/>
  <c r="U3428" i="1"/>
  <c r="U1874" i="1"/>
  <c r="S1061" i="1"/>
  <c r="T1061" i="1"/>
  <c r="R1061" i="1"/>
  <c r="Q1357" i="1"/>
  <c r="T1357" i="1"/>
  <c r="R1357" i="1"/>
  <c r="S2900" i="1"/>
  <c r="R2900" i="1"/>
  <c r="J2909" i="1"/>
  <c r="Q2900" i="1"/>
  <c r="T2900" i="1"/>
  <c r="U2962" i="1"/>
  <c r="U144" i="1"/>
  <c r="U2403" i="1"/>
  <c r="U1210" i="1"/>
  <c r="U3138" i="1"/>
  <c r="U1243" i="1"/>
  <c r="U2689" i="1"/>
  <c r="U3270" i="1"/>
  <c r="U1844" i="1"/>
  <c r="U3402" i="1"/>
  <c r="R3009" i="1"/>
  <c r="T3009" i="1"/>
  <c r="Q3009" i="1"/>
  <c r="S3009" i="1"/>
  <c r="R2411" i="1"/>
  <c r="U1449" i="1"/>
  <c r="U2541" i="1"/>
  <c r="U2936" i="1"/>
  <c r="U1730" i="1"/>
  <c r="U2491" i="1"/>
  <c r="U2457" i="1"/>
  <c r="U1052" i="1"/>
  <c r="U1070" i="1"/>
  <c r="U2810" i="1"/>
  <c r="R2800" i="1"/>
  <c r="T2800" i="1"/>
  <c r="S2800" i="1"/>
  <c r="Q2800" i="1"/>
  <c r="T2952" i="1"/>
  <c r="R2952" i="1"/>
  <c r="S2952" i="1"/>
  <c r="Q2952" i="1"/>
  <c r="U1902" i="1"/>
  <c r="U2507" i="1"/>
  <c r="S2411" i="1"/>
  <c r="U1391" i="1"/>
  <c r="U1889" i="1"/>
  <c r="U2378" i="1"/>
  <c r="U2225" i="1"/>
  <c r="U657" i="1"/>
  <c r="U1927" i="1"/>
  <c r="U51" i="1"/>
  <c r="U1512" i="1"/>
  <c r="P2276" i="1"/>
  <c r="U2203" i="1"/>
  <c r="U3034" i="1"/>
  <c r="U3376" i="1"/>
  <c r="S3090" i="1"/>
  <c r="R3090" i="1"/>
  <c r="T3090" i="1"/>
  <c r="Q3090" i="1"/>
  <c r="J2299" i="1"/>
  <c r="S2295" i="1"/>
  <c r="R2295" i="1"/>
  <c r="T2295" i="1"/>
  <c r="Q2295" i="1"/>
  <c r="U528" i="1"/>
  <c r="T3042" i="1"/>
  <c r="S3042" i="1"/>
  <c r="U3307" i="1"/>
  <c r="U523" i="1"/>
  <c r="U541" i="1"/>
  <c r="L2360" i="1"/>
  <c r="U1131" i="1"/>
  <c r="U334" i="1"/>
  <c r="U1567" i="1"/>
  <c r="U1263" i="1"/>
  <c r="S2883" i="1"/>
  <c r="R2883" i="1"/>
  <c r="Q2883" i="1"/>
  <c r="U382" i="1"/>
  <c r="U3017" i="1"/>
  <c r="U415" i="1"/>
  <c r="U1119" i="1"/>
  <c r="U1479" i="1"/>
  <c r="R1338" i="1"/>
  <c r="T1338" i="1"/>
  <c r="S1338" i="1"/>
  <c r="U2131" i="1"/>
  <c r="U419" i="1"/>
  <c r="O2307" i="1"/>
  <c r="O2276" i="1"/>
  <c r="U2439" i="1"/>
  <c r="U3519" i="1"/>
  <c r="P2368" i="1"/>
  <c r="U2231" i="1"/>
  <c r="U2671" i="1"/>
  <c r="T2533" i="1"/>
  <c r="R2533" i="1"/>
  <c r="S2533" i="1"/>
  <c r="Q2533" i="1"/>
  <c r="U2577" i="1"/>
  <c r="U3250" i="1"/>
  <c r="Q2970" i="1"/>
  <c r="T2970" i="1"/>
  <c r="S2970" i="1"/>
  <c r="R2970" i="1"/>
  <c r="R3042" i="1"/>
  <c r="U139" i="1"/>
  <c r="U377" i="1"/>
  <c r="U3176" i="1"/>
  <c r="U3357" i="1"/>
  <c r="U2980" i="1"/>
  <c r="U3080" i="1"/>
  <c r="Q3258" i="1"/>
  <c r="T3258" i="1"/>
  <c r="S3258" i="1"/>
  <c r="R3258" i="1"/>
  <c r="R2990" i="1"/>
  <c r="Q2990" i="1"/>
  <c r="S2990" i="1"/>
  <c r="U3053" i="1"/>
  <c r="U512" i="1"/>
  <c r="S3365" i="1"/>
  <c r="R3365" i="1"/>
  <c r="Q3365" i="1"/>
  <c r="O2360" i="1"/>
  <c r="U2871" i="1"/>
  <c r="U1076" i="1"/>
  <c r="U120" i="1"/>
  <c r="U563" i="1"/>
  <c r="T3365" i="1"/>
  <c r="N2364" i="1"/>
  <c r="N2307" i="1"/>
  <c r="N2285" i="1"/>
  <c r="U1270" i="1"/>
  <c r="U2291" i="1"/>
  <c r="U2168" i="1"/>
  <c r="U3158" i="1" l="1"/>
  <c r="U3214" i="1"/>
  <c r="R1302" i="1"/>
  <c r="S1302" i="1"/>
  <c r="T1302" i="1"/>
  <c r="U1301" i="1"/>
  <c r="U2011" i="1"/>
  <c r="U1837" i="1"/>
  <c r="U1833" i="1"/>
  <c r="U547" i="1"/>
  <c r="U571" i="1"/>
  <c r="U2633" i="1"/>
  <c r="U1460" i="1"/>
  <c r="U2475" i="1"/>
  <c r="U1153" i="1"/>
  <c r="R2352" i="1"/>
  <c r="J2356" i="1"/>
  <c r="J2360" i="1" s="1"/>
  <c r="Q2360" i="1" s="1"/>
  <c r="R3109" i="1"/>
  <c r="S2352" i="1"/>
  <c r="Q3109" i="1"/>
  <c r="T1323" i="1"/>
  <c r="U2348" i="1"/>
  <c r="Q2352" i="1"/>
  <c r="U2611" i="1"/>
  <c r="S1323" i="1"/>
  <c r="U3487" i="1"/>
  <c r="T3109" i="1"/>
  <c r="U3119" i="1"/>
  <c r="U3534" i="1"/>
  <c r="J1327" i="1"/>
  <c r="R1327" i="1" s="1"/>
  <c r="Q1323" i="1"/>
  <c r="U1440" i="1"/>
  <c r="U3101" i="1"/>
  <c r="U1407" i="1"/>
  <c r="U1317" i="1"/>
  <c r="U2833" i="1"/>
  <c r="U3503" i="1"/>
  <c r="U2851" i="1"/>
  <c r="U2817" i="1"/>
  <c r="U397" i="1"/>
  <c r="U2558" i="1"/>
  <c r="U1092" i="1"/>
  <c r="U1288" i="1"/>
  <c r="U2792" i="1"/>
  <c r="U442" i="1"/>
  <c r="U3201" i="1"/>
  <c r="U1357" i="1"/>
  <c r="U1377" i="1"/>
  <c r="U3467" i="1"/>
  <c r="U2927" i="1"/>
  <c r="J2276" i="1"/>
  <c r="S2276" i="1" s="1"/>
  <c r="R2272" i="1"/>
  <c r="U3233" i="1"/>
  <c r="U2411" i="1"/>
  <c r="S2272" i="1"/>
  <c r="S3240" i="1"/>
  <c r="R3240" i="1"/>
  <c r="Q3240" i="1"/>
  <c r="T3240" i="1"/>
  <c r="K2276" i="1"/>
  <c r="Q2272" i="1"/>
  <c r="U2267" i="1"/>
  <c r="S2909" i="1"/>
  <c r="R2909" i="1"/>
  <c r="Q2909" i="1"/>
  <c r="T2909" i="1"/>
  <c r="U1061" i="1"/>
  <c r="P2281" i="1"/>
  <c r="U2800" i="1"/>
  <c r="U2952" i="1"/>
  <c r="U2900" i="1"/>
  <c r="U3009" i="1"/>
  <c r="P2372" i="1"/>
  <c r="U3258" i="1"/>
  <c r="N2368" i="1"/>
  <c r="U3365" i="1"/>
  <c r="O2281" i="1"/>
  <c r="U3090" i="1"/>
  <c r="U2990" i="1"/>
  <c r="U2970" i="1"/>
  <c r="U2883" i="1"/>
  <c r="U3042" i="1"/>
  <c r="U2295" i="1"/>
  <c r="O2364" i="1"/>
  <c r="U2533" i="1"/>
  <c r="U1338" i="1"/>
  <c r="J2303" i="1"/>
  <c r="S2299" i="1"/>
  <c r="Q2299" i="1"/>
  <c r="R2299" i="1"/>
  <c r="T2299" i="1"/>
  <c r="L2364" i="1"/>
  <c r="U1302" i="1" l="1"/>
  <c r="T2356" i="1"/>
  <c r="Q2356" i="1"/>
  <c r="R2356" i="1"/>
  <c r="S2356" i="1"/>
  <c r="U3109" i="1"/>
  <c r="U1323" i="1"/>
  <c r="U2352" i="1"/>
  <c r="Q1327" i="1"/>
  <c r="T1327" i="1"/>
  <c r="S1327" i="1"/>
  <c r="U2272" i="1"/>
  <c r="U3240" i="1"/>
  <c r="J2281" i="1"/>
  <c r="S2281" i="1" s="1"/>
  <c r="R2276" i="1"/>
  <c r="T2276" i="1"/>
  <c r="Q2276" i="1"/>
  <c r="K2281" i="1"/>
  <c r="U2909" i="1"/>
  <c r="T2360" i="1"/>
  <c r="P2285" i="1"/>
  <c r="L2368" i="1"/>
  <c r="J2307" i="1"/>
  <c r="S2303" i="1"/>
  <c r="Q2303" i="1"/>
  <c r="R2303" i="1"/>
  <c r="T2303" i="1"/>
  <c r="J2364" i="1"/>
  <c r="T2364" i="1" s="1"/>
  <c r="S2360" i="1"/>
  <c r="R2360" i="1"/>
  <c r="O2285" i="1"/>
  <c r="N2372" i="1"/>
  <c r="U2299" i="1"/>
  <c r="O2368" i="1"/>
  <c r="U2356" i="1" l="1"/>
  <c r="U1327" i="1"/>
  <c r="T2281" i="1"/>
  <c r="U2276" i="1"/>
  <c r="Q2281" i="1"/>
  <c r="K2285" i="1"/>
  <c r="J2285" i="1"/>
  <c r="R2285" i="1" s="1"/>
  <c r="R2281" i="1"/>
  <c r="U2360" i="1"/>
  <c r="O2372" i="1"/>
  <c r="U2303" i="1"/>
  <c r="S2307" i="1"/>
  <c r="Q2307" i="1"/>
  <c r="R2307" i="1"/>
  <c r="T2307" i="1"/>
  <c r="J2368" i="1"/>
  <c r="Q2368" i="1" s="1"/>
  <c r="S2364" i="1"/>
  <c r="R2364" i="1"/>
  <c r="Q2364" i="1"/>
  <c r="L2372" i="1"/>
  <c r="U2281" i="1" l="1"/>
  <c r="S2285" i="1"/>
  <c r="Q2285" i="1"/>
  <c r="T2285" i="1"/>
  <c r="U2307" i="1"/>
  <c r="U2364" i="1"/>
  <c r="J2372" i="1"/>
  <c r="T2372" i="1" s="1"/>
  <c r="S2368" i="1"/>
  <c r="R2368" i="1"/>
  <c r="T2368" i="1"/>
  <c r="U2285" i="1" l="1"/>
  <c r="U2368" i="1"/>
  <c r="S2372" i="1"/>
  <c r="R2372" i="1"/>
  <c r="Q2372" i="1"/>
  <c r="U2372" i="1" l="1"/>
  <c r="K3553" i="1" l="1"/>
  <c r="J3553" i="1"/>
  <c r="S3553" i="1" s="1"/>
  <c r="S3545" i="1"/>
  <c r="T3545" i="1"/>
  <c r="Q3545" i="1"/>
  <c r="R3545" i="1"/>
  <c r="Q3553" i="1" l="1"/>
  <c r="U3545" i="1"/>
  <c r="R3553" i="1"/>
  <c r="T3553" i="1"/>
  <c r="U3553" i="1" l="1"/>
  <c r="S3564" i="1" l="1"/>
  <c r="T3564" i="1"/>
  <c r="K3564" i="1"/>
  <c r="K3570" i="1" s="1"/>
  <c r="Q3570" i="1" s="1"/>
  <c r="U3570" i="1" s="1"/>
  <c r="R3564" i="1"/>
  <c r="Q3564" i="1" l="1"/>
  <c r="U3564" i="1" s="1"/>
  <c r="S3624" i="1" l="1"/>
  <c r="R3624" i="1"/>
  <c r="K3624" i="1"/>
  <c r="Q3624" i="1" s="1"/>
  <c r="T3624" i="1"/>
  <c r="S3625" i="1"/>
  <c r="R3625" i="1"/>
  <c r="T3625" i="1"/>
  <c r="K3625" i="1"/>
  <c r="U3624" i="1" l="1"/>
  <c r="Q3625" i="1"/>
  <c r="U3625" i="1" s="1"/>
  <c r="T3628" i="1"/>
  <c r="S3626" i="1"/>
  <c r="T3626" i="1"/>
  <c r="K3626" i="1"/>
  <c r="Q3626" i="1" s="1"/>
  <c r="R3626" i="1"/>
  <c r="K3628" i="1" l="1"/>
  <c r="Q3628" i="1" s="1"/>
  <c r="U3626" i="1"/>
  <c r="S3628" i="1"/>
  <c r="R3628" i="1"/>
  <c r="U3628" i="1" l="1"/>
  <c r="S3645" i="1" l="1"/>
  <c r="R3645" i="1"/>
  <c r="Q3645" i="1"/>
  <c r="T3645" i="1"/>
  <c r="S3644" i="1"/>
  <c r="T3644" i="1"/>
  <c r="R3644" i="1"/>
  <c r="Q3644" i="1"/>
  <c r="R3647" i="1"/>
  <c r="R3646" i="1"/>
  <c r="T3646" i="1"/>
  <c r="K3647" i="1"/>
  <c r="S3646" i="1"/>
  <c r="Q3647" i="1" l="1"/>
  <c r="U3645" i="1"/>
  <c r="S3647" i="1"/>
  <c r="U3644" i="1"/>
  <c r="Q3646" i="1"/>
  <c r="U3646" i="1" s="1"/>
  <c r="T3647" i="1"/>
  <c r="U3647" i="1" l="1"/>
</calcChain>
</file>

<file path=xl/sharedStrings.xml><?xml version="1.0" encoding="utf-8"?>
<sst xmlns="http://schemas.openxmlformats.org/spreadsheetml/2006/main" count="26707" uniqueCount="227">
  <si>
    <t>Ngày</t>
  </si>
  <si>
    <t>Ca</t>
  </si>
  <si>
    <t>TL</t>
  </si>
  <si>
    <t>KHSX</t>
  </si>
  <si>
    <t>Xe</t>
  </si>
  <si>
    <t>Ca SX</t>
  </si>
  <si>
    <t>Order</t>
  </si>
  <si>
    <t>Pending</t>
  </si>
  <si>
    <t>Hết tồn</t>
  </si>
  <si>
    <t>Tỷ lệ 
cấp</t>
  </si>
  <si>
    <t>Tổng
tỷ lệ</t>
  </si>
  <si>
    <t>Ghi chú</t>
  </si>
  <si>
    <t>S2</t>
  </si>
  <si>
    <t>Thắng</t>
  </si>
  <si>
    <t>VF5</t>
  </si>
  <si>
    <t>S1/S2</t>
  </si>
  <si>
    <t>Limo</t>
  </si>
  <si>
    <t>VF6</t>
  </si>
  <si>
    <t>S3</t>
  </si>
  <si>
    <t>Total</t>
  </si>
  <si>
    <t>Công</t>
  </si>
  <si>
    <t>Pending hàng thùng</t>
  </si>
  <si>
    <t>S1</t>
  </si>
  <si>
    <t>Tuyến</t>
  </si>
  <si>
    <t xml:space="preserve">Limo </t>
  </si>
  <si>
    <t>VF7</t>
  </si>
  <si>
    <t>VF3</t>
  </si>
  <si>
    <t>S2/S3</t>
  </si>
  <si>
    <t xml:space="preserve">* nhận hàng hủy </t>
  </si>
  <si>
    <t xml:space="preserve">* nhặt 17 mã hàng cấp đi kho TP </t>
  </si>
  <si>
    <t xml:space="preserve">* cấp hàng SAC lọc hàng </t>
  </si>
  <si>
    <t>Pending hàng thùng 
( đã cấp gối hàng thùng VF6 mỗi loại 1 thùng)</t>
  </si>
  <si>
    <t>VF9</t>
  </si>
  <si>
    <t>Hoàn
thành</t>
  </si>
  <si>
    <t>1 phần</t>
  </si>
  <si>
    <t>Tập kết</t>
  </si>
  <si>
    <t>Cấp
 theo giờ</t>
  </si>
  <si>
    <t>Tỷ lệ
tập kết</t>
  </si>
  <si>
    <t>Tỷ lệ
hết tồn</t>
  </si>
  <si>
    <t>Tỷ lệ
 cấp theo giờ</t>
  </si>
  <si>
    <t>TOTAL</t>
  </si>
  <si>
    <t>Tổng</t>
  </si>
  <si>
    <t>VF7N</t>
  </si>
  <si>
    <t>HC</t>
  </si>
  <si>
    <t xml:space="preserve">* HT VF7 : 23 mã cấp 1 phần , đã cấp gối ca sau 1 thùng, 
* 4 mã hàng giao lên sx không nhận do hàng còn nhiều trên line </t>
  </si>
  <si>
    <t>26 Mã tập kết</t>
  </si>
  <si>
    <t>Tỷ lệ cấp NVL 
trước 1 ca</t>
  </si>
  <si>
    <t>NHẬP DỮ LIỆU ĐỂ PHỤC VỤ LỌC THEO NGÀY/CA/TL  ĐỂ TÍNH CHỈ SỐ KPI
=&gt; KHI BÁO CÁO THÌ CHE PHẦN NÀY ĐI</t>
  </si>
  <si>
    <t>KPI</t>
  </si>
  <si>
    <t xml:space="preserve">* HT VF5  : 9 mã cấp 1 phần , đã cấp gối ca sau 1 thùng , </t>
  </si>
  <si>
    <t xml:space="preserve">* HT Limo : 18 mã cấp gối , 4 mã đã cấp,  đủ 14 mã cấp 1 phần  </t>
  </si>
  <si>
    <t>Pending mail ODBS cho ca S3 87 mã</t>
  </si>
  <si>
    <t>\</t>
  </si>
  <si>
    <t>* 19 mã ht limo cấp 1 phần đã cấp gối ca 1 thùng
* Pending 10 mã hàng rack line báo , đầu ca 2 giao lên</t>
  </si>
  <si>
    <t>* 28 mã ht VF6 cấp 1 phần 25 mã đã cấp gối ca sau 1 thùng,
* 7 mã hàng mới về đã ra đơn bàn giao ca sau cấp lên line</t>
  </si>
  <si>
    <t>Pending 16 mã order cho ca S2</t>
  </si>
  <si>
    <t xml:space="preserve">Pending 2 mã hàng thùng do trên line còn hàng , tổng 28 mã hàng thùng đã cấp gối 26 mã </t>
  </si>
  <si>
    <t xml:space="preserve">* 18 mã hàng thùng đã cấp gối 1 phần 
* 21 mã hàng nhặt bằng 0 ra đơn cấp lại , 10 mã pending </t>
  </si>
  <si>
    <t>ODBS 12 cho ca S3</t>
  </si>
  <si>
    <t>* Hàng tập kết S3 pick hàng , không đúng so với BBBG , Bàn giao lại S3 xử lý</t>
  </si>
  <si>
    <t>* Pending đơn nhặt bằng không , ra đơn bàn giao ca sau cấp tiếp
* Hàng thùng limo 19 mã đã gối ca sau</t>
  </si>
  <si>
    <t>* Hàng thùng 12 mã đã cấp gối ca sau</t>
  </si>
  <si>
    <t>* 8 mã nhặt bằng không ra đơn cấp lại ,
* 14 mã hàng thùng đã cấp gối 1 phần</t>
  </si>
  <si>
    <t>* Đã cấp gối hàng thùng ca sau 1 phần</t>
  </si>
  <si>
    <t>ODBS 38 mã cho ca S3</t>
  </si>
  <si>
    <t>Ca S1 và S3 tập kết hết VF5 rồi</t>
  </si>
  <si>
    <t xml:space="preserve">Đã cấp gối 18 mã hàng thùng </t>
  </si>
  <si>
    <t xml:space="preserve">Đã cấp gối 10 mã hàng thùng </t>
  </si>
  <si>
    <t>ODBS cho ca S3 18 mã</t>
  </si>
  <si>
    <t xml:space="preserve"> 22 mã hàng thùng cấp gối mỗi mã 1 thùng</t>
  </si>
  <si>
    <t>Đơn pending nhặt bằng không , ra đơn lại BG ca sau , đã gối 7 mã hàng thùng</t>
  </si>
  <si>
    <t xml:space="preserve">Đã gối 12 mã hàng thùng </t>
  </si>
  <si>
    <t xml:space="preserve"> 23 mã hàng thùng cấp gối mỗi mã 1 thùng</t>
  </si>
  <si>
    <t>2 mã pending nhặt bằng 0 ra đơn cấp bù , 8 mã hàng thùng đã cấp gối</t>
  </si>
  <si>
    <t>Đã cấp gối 8 mã hàng thùng</t>
  </si>
  <si>
    <t>LIMO</t>
  </si>
  <si>
    <t>24 mã hàng thùng cấp gối mỗi mã 1 thùng cho ca sau</t>
  </si>
  <si>
    <t>pending 15 mã do chưa có đơn về từ s3</t>
  </si>
  <si>
    <t xml:space="preserve">Đã cấp gối 8 mã hàng thùng </t>
  </si>
  <si>
    <t xml:space="preserve">Đã cấp gối 19 mã hàng thùng </t>
  </si>
  <si>
    <t>Kế hoạch hủy chạy VF6 S3</t>
  </si>
  <si>
    <t>Đã cấp gối 7 mã thùng giấy cho ca sau
Pending 7 mã thùng giấy cấp theo giờ
Pending 11 mã cấp bằng 0 ra đơn cấp lại</t>
  </si>
  <si>
    <t>9 mã hàng thùng đã cấp gối mỗi mã 1 thùng cho ca sau</t>
  </si>
  <si>
    <t>S1/S2/S3</t>
  </si>
  <si>
    <t>VF8</t>
  </si>
  <si>
    <t>Cấp gối ca sau mỗi mã 1 thùng</t>
  </si>
  <si>
    <t>All</t>
  </si>
  <si>
    <t>VF7 N</t>
  </si>
  <si>
    <t>ODBS 9 mã COGI</t>
  </si>
  <si>
    <t>30/31.03.2026</t>
  </si>
  <si>
    <t>31.03.2026</t>
  </si>
  <si>
    <t>VF9 LH</t>
  </si>
  <si>
    <t>31/03-&gt;01/04</t>
  </si>
  <si>
    <t xml:space="preserve">Pending 8 mã STD chưa pick ,4 mã line báo tồn nhiều không lấy , </t>
  </si>
  <si>
    <t>01,02/04/26</t>
  </si>
  <si>
    <t>02,03/04/26</t>
  </si>
  <si>
    <t>ODBS 6 mã chưa ra đơn</t>
  </si>
  <si>
    <t>03,04/04/26</t>
  </si>
  <si>
    <t>Pending 5 mã hàng thùng do line còn nhiều không nhận</t>
  </si>
  <si>
    <t>05,06,2026</t>
  </si>
  <si>
    <t>S1/S3</t>
  </si>
  <si>
    <t xml:space="preserve">Pending hàng thùng 
</t>
  </si>
  <si>
    <t>05,06.2026</t>
  </si>
  <si>
    <t>S1/S2-S3</t>
  </si>
  <si>
    <t xml:space="preserve"> </t>
  </si>
  <si>
    <t>S7</t>
  </si>
  <si>
    <t>S6</t>
  </si>
  <si>
    <t xml:space="preserve">Pending hàng thay đổi vị trí ra đơn cấp lại </t>
  </si>
  <si>
    <t xml:space="preserve">Pending hàng thùng , hàng cấp theo rack </t>
  </si>
  <si>
    <t>VF34</t>
  </si>
  <si>
    <t>S1/S7</t>
  </si>
  <si>
    <t>Công/Tuyến/Thắng</t>
  </si>
  <si>
    <t>S6/S7</t>
  </si>
  <si>
    <t>Pending STD</t>
  </si>
  <si>
    <t>S1/S23S3</t>
  </si>
  <si>
    <t>11 mã order thêm, 14 mã HTK SW không nhận trong ca S3</t>
  </si>
  <si>
    <t xml:space="preserve">pending hàng thùng </t>
  </si>
  <si>
    <t>VF7NP</t>
  </si>
  <si>
    <t>VF8NP</t>
  </si>
  <si>
    <t xml:space="preserve">Pending hàng thùng </t>
  </si>
  <si>
    <t>VF6NP</t>
  </si>
  <si>
    <t>Autox</t>
  </si>
  <si>
    <t>VF6/VF7</t>
  </si>
  <si>
    <t>AUTOX</t>
  </si>
  <si>
    <t>Pending hàng rack , hàng thùng</t>
  </si>
  <si>
    <t>ALL</t>
  </si>
  <si>
    <t>Pending hàng thùng giấy</t>
  </si>
  <si>
    <t>S6/S3</t>
  </si>
  <si>
    <t>S1/S6</t>
  </si>
  <si>
    <t>Công/Huỳnh</t>
  </si>
  <si>
    <t>AUTO-X</t>
  </si>
  <si>
    <t>Thắng/Tuyến</t>
  </si>
  <si>
    <t>Peding hàng thùng , STD ( VF6 chuyển chạy sang S6 ngày 14 )</t>
  </si>
  <si>
    <t>Tuyến/Thắng</t>
  </si>
  <si>
    <t>Thắng Tuyến</t>
  </si>
  <si>
    <t>Pending hàng thùng , STD</t>
  </si>
  <si>
    <t>Limmo</t>
  </si>
  <si>
    <t>Thắng/tuyến</t>
  </si>
  <si>
    <t xml:space="preserve">Penđing hàng thùng , hàng line không nhận trả về </t>
  </si>
  <si>
    <t>VF6N</t>
  </si>
  <si>
    <t xml:space="preserve">Pending hàng thùng , hàng rack </t>
  </si>
  <si>
    <t>Pending hàng thùng , hàng MA02 chưa kéo về</t>
  </si>
  <si>
    <t>VF8VP</t>
  </si>
  <si>
    <t xml:space="preserve">Pending hàng thùng , SW không nhận hàng </t>
  </si>
  <si>
    <t>Pennding hàng thùng , hàng tập kết</t>
  </si>
  <si>
    <t>VF5NP</t>
  </si>
  <si>
    <t>pending  hàng thùng , hàng tập kết</t>
  </si>
  <si>
    <t>z</t>
  </si>
  <si>
    <t>VF6 NP</t>
  </si>
  <si>
    <t>S6/HC</t>
  </si>
  <si>
    <t>Thắng/ Tuyến</t>
  </si>
  <si>
    <t>S1-S2</t>
  </si>
  <si>
    <t>Pending hàng thùng ,</t>
  </si>
  <si>
    <t>S6/S2</t>
  </si>
  <si>
    <t>S6/S1</t>
  </si>
  <si>
    <t>Auto-X</t>
  </si>
  <si>
    <t>S1+S2</t>
  </si>
  <si>
    <t>26+27</t>
  </si>
  <si>
    <t>27/06/2026</t>
  </si>
  <si>
    <t>29/06/2026</t>
  </si>
  <si>
    <t>S1-S3</t>
  </si>
  <si>
    <t>AUTO_X</t>
  </si>
  <si>
    <t>BIW74104676AA SX không lấy</t>
  </si>
  <si>
    <t>Tâm</t>
  </si>
  <si>
    <t>18 mã cogi</t>
  </si>
  <si>
    <t>8 mã cogi</t>
  </si>
  <si>
    <t>30+01</t>
  </si>
  <si>
    <t>S1+S3</t>
  </si>
  <si>
    <t>S4</t>
  </si>
  <si>
    <t>S5</t>
  </si>
  <si>
    <t>02+03</t>
  </si>
  <si>
    <t>Cogi lấy vật lý 33 mã</t>
  </si>
  <si>
    <t>cogi lấy vật lý 5 mã</t>
  </si>
  <si>
    <t>03+04</t>
  </si>
  <si>
    <t>cấp 13 mã cogi</t>
  </si>
  <si>
    <t>cấp 10 mã cogi</t>
  </si>
  <si>
    <t>cấp 9 mã cogi</t>
  </si>
  <si>
    <t>pending 5 mã chạy S3</t>
  </si>
  <si>
    <t>44 mã đợi đổi đuôi chưa ra đơn</t>
  </si>
  <si>
    <t xml:space="preserve">VF9NP_VFWILD </t>
  </si>
  <si>
    <t>VF9NP</t>
  </si>
  <si>
    <t>S1S2</t>
  </si>
  <si>
    <t>VF67</t>
  </si>
  <si>
    <t>AutoX</t>
  </si>
  <si>
    <t>VF9NP VFWILD</t>
  </si>
  <si>
    <t>Line dừng đang không nhận hàng</t>
  </si>
  <si>
    <t>VF9NP_VFWILD</t>
  </si>
  <si>
    <t>20/07/2026</t>
  </si>
  <si>
    <t>Quang</t>
  </si>
  <si>
    <t>Huỳnh</t>
  </si>
  <si>
    <t xml:space="preserve"> S1</t>
  </si>
  <si>
    <t xml:space="preserve">Tuyến </t>
  </si>
  <si>
    <t>Tâm/Huỳnh</t>
  </si>
  <si>
    <t xml:space="preserve">S7 </t>
  </si>
  <si>
    <t>AUTO X</t>
  </si>
  <si>
    <t>s</t>
  </si>
  <si>
    <t>13 mã SX Thành/ Nam không nhận</t>
  </si>
  <si>
    <t>XE</t>
  </si>
  <si>
    <t>Hoàn Thành</t>
  </si>
  <si>
    <t>1 Phần</t>
  </si>
  <si>
    <t>Tập Kết</t>
  </si>
  <si>
    <t xml:space="preserve">Thắng </t>
  </si>
  <si>
    <t>Oder thêm SL 155 mã</t>
  </si>
  <si>
    <t>25/8</t>
  </si>
  <si>
    <t>V5</t>
  </si>
  <si>
    <t>COGI</t>
  </si>
  <si>
    <t>Clear COGI</t>
  </si>
  <si>
    <t>Order VF6 chạy bù KHSX 29+30</t>
  </si>
  <si>
    <t>VF8 NP</t>
  </si>
  <si>
    <t>VF9NP - WILD</t>
  </si>
  <si>
    <t>VF9NP-PTO</t>
  </si>
  <si>
    <t xml:space="preserve">VF9NP – PTO </t>
  </si>
  <si>
    <t>VF9 WILD</t>
  </si>
  <si>
    <t>VF9-WILD</t>
  </si>
  <si>
    <t>VF9NP/WILD</t>
  </si>
  <si>
    <t>VF9WILD</t>
  </si>
  <si>
    <t xml:space="preserve">VF9 </t>
  </si>
  <si>
    <t xml:space="preserve">S2 </t>
  </si>
  <si>
    <t>S6S/3</t>
  </si>
  <si>
    <t>Đơn cấp 1 phần ra đơn cấp bù tập kết 58 mã</t>
  </si>
  <si>
    <t>VF8/9</t>
  </si>
  <si>
    <t>Tập kết 16 mã cấp bù</t>
  </si>
  <si>
    <t xml:space="preserve"> WILD</t>
  </si>
  <si>
    <t>VF WILD</t>
  </si>
  <si>
    <t xml:space="preserve"> VF6</t>
  </si>
  <si>
    <t>Vf7</t>
  </si>
  <si>
    <t xml:space="preserve"> TÌNH TRẠNG CẤP NVL _Ca S6 Nguyễn Đăng Thắng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</si>
</sst>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;\-#.##0;\-"/>
    <numFmt numFmtId="165" formatCode="[$-409]d\-mmm;@"/>
  </numFmts>
  <fonts count="44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alibri Light"/>
      <family val="1"/>
      <scheme val="major"/>
    </font>
    <font>
      <b/>
      <sz val="10"/>
      <color rgb="FF0070C0"/>
      <name val="Calibri Light"/>
      <family val="1"/>
      <scheme val="major"/>
    </font>
    <font>
      <b/>
      <sz val="10"/>
      <color rgb="FFFF0000"/>
      <name val="Calibri Light"/>
      <family val="1"/>
      <scheme val="major"/>
    </font>
    <font>
      <b/>
      <sz val="18"/>
      <color rgb="FFFF0000"/>
      <name val="Calibri Light"/>
      <family val="1"/>
      <scheme val="major"/>
    </font>
    <font>
      <b/>
      <sz val="12"/>
      <color theme="2" tint="-0.749992370372631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2"/>
      <name val="Calibri Light"/>
      <family val="1"/>
      <scheme val="major"/>
    </font>
    <font>
      <b/>
      <sz val="10"/>
      <color rgb="FF004F88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0"/>
      <name val="Calibri Light"/>
      <family val="2"/>
      <scheme val="major"/>
    </font>
    <font>
      <sz val="9"/>
      <name val="Calibri Light"/>
      <family val="1"/>
      <scheme val="major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1" tint="4.9989318521683403E-2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2"/>
      <color theme="2" tint="-0.74999237037263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theme="1" tint="4.9989318521683403E-2"/>
      <name val="Times New Roman"/>
      <family val="1"/>
    </font>
    <font>
      <sz val="12"/>
      <color rgb="FF0070C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Calibri Light"/>
      <family val="2"/>
      <scheme val="major"/>
    </font>
    <font>
      <sz val="12"/>
      <color rgb="FFFF0000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6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double">
        <color rgb="FFFF0000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double">
        <color rgb="FFFF0000"/>
      </top>
      <bottom/>
      <diagonal/>
    </border>
    <border>
      <left style="thin">
        <color indexed="64"/>
      </left>
      <right style="thin">
        <color indexed="64"/>
      </right>
      <top style="double">
        <color rgb="FFFF0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rgb="FFFF0000"/>
      </bottom>
      <diagonal/>
    </border>
    <border>
      <left style="thin">
        <color theme="1"/>
      </left>
      <right style="thin">
        <color theme="1"/>
      </right>
      <top style="double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uble">
        <color rgb="FFFF0000"/>
      </top>
      <bottom/>
      <diagonal/>
    </border>
    <border>
      <left style="thin">
        <color theme="1"/>
      </left>
      <right style="thin">
        <color theme="1"/>
      </right>
      <top/>
      <bottom style="double">
        <color rgb="FFFF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9" fontId="6" fillId="5" borderId="1" xfId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16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vertical="center"/>
    </xf>
    <xf numFmtId="16" fontId="10" fillId="4" borderId="6" xfId="0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vertical="center"/>
    </xf>
    <xf numFmtId="16" fontId="10" fillId="4" borderId="5" xfId="0" applyNumberFormat="1" applyFont="1" applyFill="1" applyBorder="1" applyAlignment="1">
      <alignment horizontal="center" vertical="center"/>
    </xf>
    <xf numFmtId="16" fontId="10" fillId="4" borderId="8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left" vertical="center"/>
    </xf>
    <xf numFmtId="16" fontId="10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16" fontId="10" fillId="4" borderId="1" xfId="0" applyNumberFormat="1" applyFont="1" applyFill="1" applyBorder="1" applyAlignment="1">
      <alignment vertical="center"/>
    </xf>
    <xf numFmtId="16" fontId="10" fillId="7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/>
    <xf numFmtId="165" fontId="10" fillId="7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0" borderId="8" xfId="0" applyFont="1" applyBorder="1"/>
    <xf numFmtId="0" fontId="10" fillId="4" borderId="14" xfId="0" applyFont="1" applyFill="1" applyBorder="1" applyAlignment="1">
      <alignment horizontal="center" vertical="center"/>
    </xf>
    <xf numFmtId="0" fontId="10" fillId="0" borderId="14" xfId="0" applyFont="1" applyBorder="1"/>
    <xf numFmtId="16" fontId="10" fillId="8" borderId="1" xfId="0" applyNumberFormat="1" applyFont="1" applyFill="1" applyBorder="1" applyAlignment="1">
      <alignment horizontal="center" vertical="center"/>
    </xf>
    <xf numFmtId="16" fontId="10" fillId="5" borderId="7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3" fillId="0" borderId="0" xfId="0" applyFont="1"/>
    <xf numFmtId="14" fontId="3" fillId="0" borderId="1" xfId="0" applyNumberFormat="1" applyFont="1" applyBorder="1" applyAlignment="1">
      <alignment horizontal="center"/>
    </xf>
    <xf numFmtId="16" fontId="14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" fontId="14" fillId="10" borderId="1" xfId="0" applyNumberFormat="1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" fontId="14" fillId="4" borderId="8" xfId="0" applyNumberFormat="1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Border="1"/>
    <xf numFmtId="0" fontId="15" fillId="4" borderId="8" xfId="0" applyFont="1" applyFill="1" applyBorder="1" applyAlignment="1">
      <alignment horizontal="center" vertical="center"/>
    </xf>
    <xf numFmtId="0" fontId="15" fillId="0" borderId="8" xfId="0" applyFont="1" applyBorder="1"/>
    <xf numFmtId="0" fontId="8" fillId="3" borderId="0" xfId="0" applyFont="1" applyFill="1" applyAlignment="1">
      <alignment horizontal="center" vertical="center"/>
    </xf>
    <xf numFmtId="0" fontId="8" fillId="3" borderId="8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16" fontId="14" fillId="12" borderId="1" xfId="0" applyNumberFormat="1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16" fontId="10" fillId="4" borderId="1" xfId="0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4" borderId="31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0" borderId="7" xfId="0" applyFont="1" applyBorder="1"/>
    <xf numFmtId="16" fontId="14" fillId="4" borderId="9" xfId="0" applyNumberFormat="1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9" fillId="4" borderId="0" xfId="0" applyFont="1" applyFill="1"/>
    <xf numFmtId="0" fontId="19" fillId="0" borderId="0" xfId="0" applyFont="1" applyAlignment="1">
      <alignment horizontal="center" vertical="center"/>
    </xf>
    <xf numFmtId="9" fontId="24" fillId="5" borderId="1" xfId="1" applyFont="1" applyFill="1" applyBorder="1" applyAlignment="1">
      <alignment horizontal="center" vertical="center"/>
    </xf>
    <xf numFmtId="0" fontId="25" fillId="6" borderId="8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6" fillId="6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9" fontId="31" fillId="4" borderId="5" xfId="1" applyFont="1" applyFill="1" applyBorder="1" applyAlignment="1">
      <alignment horizontal="center" vertical="center"/>
    </xf>
    <xf numFmtId="9" fontId="15" fillId="4" borderId="5" xfId="1" applyFont="1" applyFill="1" applyBorder="1" applyAlignment="1">
      <alignment horizontal="center" vertical="center"/>
    </xf>
    <xf numFmtId="9" fontId="32" fillId="4" borderId="5" xfId="1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vertical="center"/>
    </xf>
    <xf numFmtId="9" fontId="30" fillId="4" borderId="5" xfId="1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9" fontId="28" fillId="2" borderId="4" xfId="1" applyFont="1" applyFill="1" applyBorder="1" applyAlignment="1">
      <alignment horizontal="center" vertical="center"/>
    </xf>
    <xf numFmtId="9" fontId="26" fillId="2" borderId="4" xfId="1" applyFont="1" applyFill="1" applyBorder="1" applyAlignment="1">
      <alignment horizontal="center" vertical="center"/>
    </xf>
    <xf numFmtId="9" fontId="29" fillId="2" borderId="4" xfId="1" applyFont="1" applyFill="1" applyBorder="1" applyAlignment="1">
      <alignment horizontal="center" vertical="center"/>
    </xf>
    <xf numFmtId="9" fontId="27" fillId="2" borderId="4" xfId="1" applyFont="1" applyFill="1" applyBorder="1" applyAlignment="1">
      <alignment horizontal="center" vertical="center"/>
    </xf>
    <xf numFmtId="9" fontId="27" fillId="5" borderId="5" xfId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9" fontId="31" fillId="4" borderId="3" xfId="1" applyFont="1" applyFill="1" applyBorder="1" applyAlignment="1">
      <alignment horizontal="center" vertical="center"/>
    </xf>
    <xf numFmtId="9" fontId="15" fillId="4" borderId="3" xfId="1" applyFont="1" applyFill="1" applyBorder="1" applyAlignment="1">
      <alignment horizontal="center" vertical="center"/>
    </xf>
    <xf numFmtId="9" fontId="32" fillId="4" borderId="3" xfId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vertical="center"/>
    </xf>
    <xf numFmtId="9" fontId="30" fillId="4" borderId="3" xfId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9" fontId="27" fillId="5" borderId="3" xfId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vertical="center"/>
    </xf>
    <xf numFmtId="0" fontId="33" fillId="6" borderId="1" xfId="0" applyFont="1" applyFill="1" applyBorder="1" applyAlignment="1">
      <alignment horizontal="center" vertical="center"/>
    </xf>
    <xf numFmtId="164" fontId="34" fillId="4" borderId="5" xfId="0" applyNumberFormat="1" applyFont="1" applyFill="1" applyBorder="1" applyAlignment="1">
      <alignment horizontal="center" vertical="center"/>
    </xf>
    <xf numFmtId="164" fontId="35" fillId="4" borderId="5" xfId="0" applyNumberFormat="1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vertical="center"/>
    </xf>
    <xf numFmtId="164" fontId="34" fillId="4" borderId="3" xfId="0" applyNumberFormat="1" applyFont="1" applyFill="1" applyBorder="1" applyAlignment="1">
      <alignment horizontal="center" vertical="center"/>
    </xf>
    <xf numFmtId="164" fontId="35" fillId="4" borderId="3" xfId="0" applyNumberFormat="1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vertical="center"/>
    </xf>
    <xf numFmtId="0" fontId="26" fillId="2" borderId="4" xfId="0" applyFont="1" applyFill="1" applyBorder="1" applyAlignment="1">
      <alignment vertical="center"/>
    </xf>
    <xf numFmtId="0" fontId="26" fillId="2" borderId="3" xfId="0" applyFont="1" applyFill="1" applyBorder="1" applyAlignment="1">
      <alignment vertical="center"/>
    </xf>
    <xf numFmtId="9" fontId="29" fillId="4" borderId="5" xfId="1" applyFont="1" applyFill="1" applyBorder="1" applyAlignment="1">
      <alignment horizontal="center" vertical="center"/>
    </xf>
    <xf numFmtId="9" fontId="29" fillId="4" borderId="3" xfId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vertical="center" wrapText="1"/>
    </xf>
    <xf numFmtId="0" fontId="15" fillId="5" borderId="3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/>
    </xf>
    <xf numFmtId="9" fontId="31" fillId="5" borderId="3" xfId="1" applyFont="1" applyFill="1" applyBorder="1" applyAlignment="1">
      <alignment horizontal="center" vertical="center"/>
    </xf>
    <xf numFmtId="9" fontId="15" fillId="5" borderId="3" xfId="1" applyFont="1" applyFill="1" applyBorder="1" applyAlignment="1">
      <alignment horizontal="center" vertical="center"/>
    </xf>
    <xf numFmtId="9" fontId="32" fillId="5" borderId="3" xfId="1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30" fillId="5" borderId="5" xfId="0" applyFont="1" applyFill="1" applyBorder="1" applyAlignment="1">
      <alignment horizontal="center" vertical="center"/>
    </xf>
    <xf numFmtId="9" fontId="31" fillId="5" borderId="5" xfId="1" applyFont="1" applyFill="1" applyBorder="1" applyAlignment="1">
      <alignment horizontal="center" vertical="center"/>
    </xf>
    <xf numFmtId="9" fontId="15" fillId="5" borderId="5" xfId="1" applyFont="1" applyFill="1" applyBorder="1" applyAlignment="1">
      <alignment horizontal="center" vertical="center"/>
    </xf>
    <xf numFmtId="9" fontId="32" fillId="5" borderId="5" xfId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vertical="center"/>
    </xf>
    <xf numFmtId="0" fontId="15" fillId="5" borderId="3" xfId="0" applyFont="1" applyFill="1" applyBorder="1" applyAlignment="1">
      <alignment vertical="center" wrapText="1"/>
    </xf>
    <xf numFmtId="0" fontId="15" fillId="8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vertical="center" wrapText="1"/>
    </xf>
    <xf numFmtId="0" fontId="19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vertical="center"/>
    </xf>
    <xf numFmtId="16" fontId="15" fillId="6" borderId="1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9" fontId="31" fillId="4" borderId="5" xfId="1" applyFont="1" applyFill="1" applyBorder="1" applyAlignment="1">
      <alignment horizontal="center" vertical="center" wrapText="1"/>
    </xf>
    <xf numFmtId="9" fontId="15" fillId="4" borderId="5" xfId="1" applyFont="1" applyFill="1" applyBorder="1" applyAlignment="1">
      <alignment horizontal="center" vertical="center" wrapText="1"/>
    </xf>
    <xf numFmtId="9" fontId="32" fillId="4" borderId="5" xfId="1" applyFont="1" applyFill="1" applyBorder="1" applyAlignment="1">
      <alignment horizontal="center" vertical="center" wrapText="1"/>
    </xf>
    <xf numFmtId="0" fontId="19" fillId="4" borderId="0" xfId="0" applyFont="1" applyFill="1" applyAlignment="1">
      <alignment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5" fillId="9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/>
    </xf>
    <xf numFmtId="16" fontId="15" fillId="4" borderId="1" xfId="0" applyNumberFormat="1" applyFont="1" applyFill="1" applyBorder="1" applyAlignment="1">
      <alignment vertical="center"/>
    </xf>
    <xf numFmtId="16" fontId="15" fillId="4" borderId="9" xfId="0" applyNumberFormat="1" applyFont="1" applyFill="1" applyBorder="1" applyAlignment="1">
      <alignment vertical="center"/>
    </xf>
    <xf numFmtId="0" fontId="15" fillId="2" borderId="7" xfId="0" applyFont="1" applyFill="1" applyBorder="1" applyAlignment="1">
      <alignment vertical="center"/>
    </xf>
    <xf numFmtId="0" fontId="26" fillId="2" borderId="6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9" fontId="31" fillId="4" borderId="1" xfId="1" applyFont="1" applyFill="1" applyBorder="1" applyAlignment="1">
      <alignment horizontal="center" vertical="center"/>
    </xf>
    <xf numFmtId="9" fontId="15" fillId="4" borderId="1" xfId="1" applyFont="1" applyFill="1" applyBorder="1" applyAlignment="1">
      <alignment horizontal="center" vertical="center"/>
    </xf>
    <xf numFmtId="9" fontId="32" fillId="4" borderId="1" xfId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vertical="center"/>
    </xf>
    <xf numFmtId="0" fontId="15" fillId="4" borderId="15" xfId="0" applyFont="1" applyFill="1" applyBorder="1" applyAlignment="1">
      <alignment horizontal="center" vertical="center"/>
    </xf>
    <xf numFmtId="9" fontId="31" fillId="4" borderId="15" xfId="1" applyFont="1" applyFill="1" applyBorder="1" applyAlignment="1">
      <alignment horizontal="center" vertical="center"/>
    </xf>
    <xf numFmtId="9" fontId="15" fillId="4" borderId="15" xfId="1" applyFont="1" applyFill="1" applyBorder="1" applyAlignment="1">
      <alignment horizontal="center" vertical="center"/>
    </xf>
    <xf numFmtId="9" fontId="32" fillId="4" borderId="15" xfId="1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9" fontId="28" fillId="2" borderId="9" xfId="1" applyFont="1" applyFill="1" applyBorder="1" applyAlignment="1">
      <alignment horizontal="center" vertical="center"/>
    </xf>
    <xf numFmtId="9" fontId="26" fillId="2" borderId="9" xfId="1" applyFont="1" applyFill="1" applyBorder="1" applyAlignment="1">
      <alignment horizontal="center" vertical="center"/>
    </xf>
    <xf numFmtId="9" fontId="29" fillId="2" borderId="9" xfId="1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9" fontId="31" fillId="4" borderId="9" xfId="1" applyFont="1" applyFill="1" applyBorder="1" applyAlignment="1">
      <alignment horizontal="center" vertical="center"/>
    </xf>
    <xf numFmtId="9" fontId="15" fillId="4" borderId="9" xfId="1" applyFont="1" applyFill="1" applyBorder="1" applyAlignment="1">
      <alignment horizontal="center" vertical="center"/>
    </xf>
    <xf numFmtId="9" fontId="32" fillId="4" borderId="9" xfId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9" fontId="31" fillId="4" borderId="2" xfId="1" applyFont="1" applyFill="1" applyBorder="1" applyAlignment="1">
      <alignment horizontal="center" vertical="center"/>
    </xf>
    <xf numFmtId="9" fontId="15" fillId="4" borderId="2" xfId="1" applyFont="1" applyFill="1" applyBorder="1" applyAlignment="1">
      <alignment horizontal="center" vertical="center"/>
    </xf>
    <xf numFmtId="9" fontId="32" fillId="4" borderId="2" xfId="1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9" fontId="28" fillId="2" borderId="17" xfId="1" applyFont="1" applyFill="1" applyBorder="1" applyAlignment="1">
      <alignment horizontal="center" vertical="center"/>
    </xf>
    <xf numFmtId="9" fontId="26" fillId="2" borderId="17" xfId="1" applyFont="1" applyFill="1" applyBorder="1" applyAlignment="1">
      <alignment horizontal="center" vertical="center"/>
    </xf>
    <xf numFmtId="9" fontId="29" fillId="2" borderId="17" xfId="1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vertical="center"/>
    </xf>
    <xf numFmtId="0" fontId="15" fillId="2" borderId="6" xfId="0" applyFont="1" applyFill="1" applyBorder="1" applyAlignment="1">
      <alignment vertical="center"/>
    </xf>
    <xf numFmtId="0" fontId="15" fillId="4" borderId="22" xfId="0" applyFont="1" applyFill="1" applyBorder="1" applyAlignment="1">
      <alignment vertical="center"/>
    </xf>
    <xf numFmtId="0" fontId="15" fillId="4" borderId="23" xfId="0" applyFont="1" applyFill="1" applyBorder="1" applyAlignment="1">
      <alignment vertical="center"/>
    </xf>
    <xf numFmtId="0" fontId="15" fillId="4" borderId="24" xfId="0" applyFont="1" applyFill="1" applyBorder="1" applyAlignment="1">
      <alignment vertical="center"/>
    </xf>
    <xf numFmtId="0" fontId="15" fillId="2" borderId="9" xfId="0" applyFont="1" applyFill="1" applyBorder="1" applyAlignment="1">
      <alignment vertical="center"/>
    </xf>
    <xf numFmtId="9" fontId="27" fillId="2" borderId="0" xfId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9" fontId="32" fillId="4" borderId="26" xfId="1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vertical="center"/>
    </xf>
    <xf numFmtId="0" fontId="15" fillId="4" borderId="25" xfId="0" applyFont="1" applyFill="1" applyBorder="1" applyAlignment="1">
      <alignment vertical="center"/>
    </xf>
    <xf numFmtId="0" fontId="15" fillId="4" borderId="8" xfId="0" applyFont="1" applyFill="1" applyBorder="1" applyAlignment="1">
      <alignment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9" fontId="31" fillId="4" borderId="16" xfId="1" applyFont="1" applyFill="1" applyBorder="1" applyAlignment="1">
      <alignment horizontal="center" vertical="center"/>
    </xf>
    <xf numFmtId="9" fontId="15" fillId="4" borderId="16" xfId="1" applyFont="1" applyFill="1" applyBorder="1" applyAlignment="1">
      <alignment horizontal="center" vertical="center"/>
    </xf>
    <xf numFmtId="9" fontId="32" fillId="4" borderId="16" xfId="1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9" fontId="31" fillId="7" borderId="5" xfId="1" applyFont="1" applyFill="1" applyBorder="1" applyAlignment="1">
      <alignment horizontal="center" vertical="center"/>
    </xf>
    <xf numFmtId="9" fontId="15" fillId="7" borderId="5" xfId="1" applyFont="1" applyFill="1" applyBorder="1" applyAlignment="1">
      <alignment horizontal="center" vertical="center"/>
    </xf>
    <xf numFmtId="9" fontId="32" fillId="7" borderId="5" xfId="1" applyFont="1" applyFill="1" applyBorder="1" applyAlignment="1">
      <alignment horizontal="center" vertical="center"/>
    </xf>
    <xf numFmtId="9" fontId="28" fillId="2" borderId="6" xfId="1" applyFont="1" applyFill="1" applyBorder="1" applyAlignment="1">
      <alignment horizontal="center" vertical="center"/>
    </xf>
    <xf numFmtId="9" fontId="26" fillId="2" borderId="6" xfId="1" applyFont="1" applyFill="1" applyBorder="1" applyAlignment="1">
      <alignment horizontal="center" vertical="center"/>
    </xf>
    <xf numFmtId="9" fontId="29" fillId="2" borderId="6" xfId="1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9" fontId="31" fillId="4" borderId="22" xfId="1" applyFont="1" applyFill="1" applyBorder="1" applyAlignment="1">
      <alignment horizontal="center" vertical="center"/>
    </xf>
    <xf numFmtId="9" fontId="15" fillId="4" borderId="22" xfId="1" applyFont="1" applyFill="1" applyBorder="1" applyAlignment="1">
      <alignment horizontal="center" vertical="center"/>
    </xf>
    <xf numFmtId="9" fontId="32" fillId="4" borderId="22" xfId="1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vertical="center"/>
    </xf>
    <xf numFmtId="0" fontId="15" fillId="4" borderId="29" xfId="0" applyFont="1" applyFill="1" applyBorder="1" applyAlignment="1">
      <alignment horizontal="center" vertical="center"/>
    </xf>
    <xf numFmtId="9" fontId="31" fillId="4" borderId="29" xfId="1" applyFont="1" applyFill="1" applyBorder="1" applyAlignment="1">
      <alignment horizontal="center" vertical="center"/>
    </xf>
    <xf numFmtId="9" fontId="15" fillId="4" borderId="29" xfId="1" applyFont="1" applyFill="1" applyBorder="1" applyAlignment="1">
      <alignment horizontal="center" vertical="center"/>
    </xf>
    <xf numFmtId="9" fontId="32" fillId="4" borderId="29" xfId="1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9" fontId="31" fillId="4" borderId="30" xfId="1" applyFont="1" applyFill="1" applyBorder="1" applyAlignment="1">
      <alignment horizontal="center" vertical="center"/>
    </xf>
    <xf numFmtId="9" fontId="15" fillId="4" borderId="30" xfId="1" applyFont="1" applyFill="1" applyBorder="1" applyAlignment="1">
      <alignment horizontal="center" vertical="center"/>
    </xf>
    <xf numFmtId="9" fontId="32" fillId="4" borderId="30" xfId="1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9" fontId="31" fillId="4" borderId="23" xfId="1" applyFont="1" applyFill="1" applyBorder="1" applyAlignment="1">
      <alignment horizontal="center" vertical="center"/>
    </xf>
    <xf numFmtId="9" fontId="15" fillId="4" borderId="23" xfId="1" applyFont="1" applyFill="1" applyBorder="1" applyAlignment="1">
      <alignment horizontal="center" vertical="center"/>
    </xf>
    <xf numFmtId="9" fontId="32" fillId="4" borderId="23" xfId="1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9" fontId="31" fillId="4" borderId="24" xfId="1" applyFont="1" applyFill="1" applyBorder="1" applyAlignment="1">
      <alignment horizontal="center" vertical="center"/>
    </xf>
    <xf numFmtId="9" fontId="15" fillId="4" borderId="24" xfId="1" applyFont="1" applyFill="1" applyBorder="1" applyAlignment="1">
      <alignment horizontal="center" vertical="center"/>
    </xf>
    <xf numFmtId="9" fontId="32" fillId="4" borderId="24" xfId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9" fontId="31" fillId="4" borderId="7" xfId="1" applyFont="1" applyFill="1" applyBorder="1" applyAlignment="1">
      <alignment horizontal="center" vertical="center"/>
    </xf>
    <xf numFmtId="9" fontId="15" fillId="4" borderId="7" xfId="1" applyFont="1" applyFill="1" applyBorder="1" applyAlignment="1">
      <alignment horizontal="center" vertical="center"/>
    </xf>
    <xf numFmtId="9" fontId="32" fillId="4" borderId="7" xfId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5" fillId="4" borderId="4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5" fillId="2" borderId="1" xfId="0" applyNumberFormat="1" applyFont="1" applyFill="1" applyBorder="1" applyAlignment="1">
      <alignment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4" borderId="8" xfId="0" applyNumberFormat="1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9" fontId="31" fillId="4" borderId="35" xfId="1" applyFont="1" applyFill="1" applyBorder="1" applyAlignment="1">
      <alignment horizontal="center" vertical="center"/>
    </xf>
    <xf numFmtId="9" fontId="15" fillId="4" borderId="35" xfId="1" applyFont="1" applyFill="1" applyBorder="1" applyAlignment="1">
      <alignment horizontal="center" vertical="center"/>
    </xf>
    <xf numFmtId="9" fontId="32" fillId="4" borderId="35" xfId="1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vertical="center"/>
    </xf>
    <xf numFmtId="0" fontId="15" fillId="4" borderId="27" xfId="0" applyFont="1" applyFill="1" applyBorder="1" applyAlignment="1">
      <alignment horizontal="center" vertical="center"/>
    </xf>
    <xf numFmtId="9" fontId="31" fillId="4" borderId="27" xfId="1" applyFont="1" applyFill="1" applyBorder="1" applyAlignment="1">
      <alignment horizontal="center" vertical="center"/>
    </xf>
    <xf numFmtId="9" fontId="15" fillId="4" borderId="27" xfId="1" applyFont="1" applyFill="1" applyBorder="1" applyAlignment="1">
      <alignment horizontal="center" vertical="center"/>
    </xf>
    <xf numFmtId="9" fontId="32" fillId="4" borderId="27" xfId="1" applyFont="1" applyFill="1" applyBorder="1" applyAlignment="1">
      <alignment horizontal="center" vertical="center"/>
    </xf>
    <xf numFmtId="0" fontId="15" fillId="4" borderId="37" xfId="0" applyFont="1" applyFill="1" applyBorder="1" applyAlignment="1">
      <alignment vertical="center"/>
    </xf>
    <xf numFmtId="16" fontId="15" fillId="2" borderId="38" xfId="0" applyNumberFormat="1" applyFont="1" applyFill="1" applyBorder="1" applyAlignment="1">
      <alignment vertical="center"/>
    </xf>
    <xf numFmtId="0" fontId="0" fillId="2" borderId="39" xfId="0" applyFill="1" applyBorder="1"/>
    <xf numFmtId="0" fontId="26" fillId="2" borderId="39" xfId="0" applyFont="1" applyFill="1" applyBorder="1" applyAlignment="1">
      <alignment horizontal="center" vertical="center"/>
    </xf>
    <xf numFmtId="9" fontId="28" fillId="2" borderId="39" xfId="1" applyFont="1" applyFill="1" applyBorder="1" applyAlignment="1">
      <alignment horizontal="center" vertical="center"/>
    </xf>
    <xf numFmtId="9" fontId="26" fillId="2" borderId="39" xfId="1" applyFont="1" applyFill="1" applyBorder="1" applyAlignment="1">
      <alignment horizontal="center" vertical="center"/>
    </xf>
    <xf numFmtId="9" fontId="29" fillId="2" borderId="39" xfId="1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vertical="center"/>
    </xf>
    <xf numFmtId="16" fontId="15" fillId="2" borderId="41" xfId="0" applyNumberFormat="1" applyFont="1" applyFill="1" applyBorder="1" applyAlignment="1">
      <alignment vertical="center"/>
    </xf>
    <xf numFmtId="0" fontId="0" fillId="2" borderId="42" xfId="0" applyFill="1" applyBorder="1"/>
    <xf numFmtId="0" fontId="26" fillId="2" borderId="42" xfId="0" applyFont="1" applyFill="1" applyBorder="1" applyAlignment="1">
      <alignment horizontal="center" vertical="center"/>
    </xf>
    <xf numFmtId="9" fontId="28" fillId="2" borderId="42" xfId="1" applyFont="1" applyFill="1" applyBorder="1" applyAlignment="1">
      <alignment horizontal="center" vertical="center"/>
    </xf>
    <xf numFmtId="9" fontId="26" fillId="2" borderId="42" xfId="1" applyFont="1" applyFill="1" applyBorder="1" applyAlignment="1">
      <alignment horizontal="center" vertical="center"/>
    </xf>
    <xf numFmtId="9" fontId="29" fillId="2" borderId="42" xfId="1" applyFont="1" applyFill="1" applyBorder="1" applyAlignment="1">
      <alignment horizontal="center" vertical="center"/>
    </xf>
    <xf numFmtId="0" fontId="15" fillId="2" borderId="43" xfId="0" applyFont="1" applyFill="1" applyBorder="1" applyAlignment="1">
      <alignment vertical="center"/>
    </xf>
    <xf numFmtId="16" fontId="14" fillId="5" borderId="7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0" fillId="5" borderId="1" xfId="0" applyNumberFormat="1" applyFont="1" applyFill="1" applyBorder="1" applyAlignment="1">
      <alignment horizontal="center" vertic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5" fillId="5" borderId="1" xfId="0" applyNumberFormat="1" applyFont="1" applyFill="1" applyBorder="1" applyAlignment="1">
      <alignment horizontal="center" vertical="center" wrapText="1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4" borderId="7" xfId="0" applyNumberFormat="1" applyFont="1" applyFill="1" applyBorder="1" applyAlignment="1">
      <alignment horizontal="center" vertical="center"/>
    </xf>
    <xf numFmtId="16" fontId="14" fillId="4" borderId="7" xfId="0" applyNumberFormat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16" fontId="14" fillId="5" borderId="1" xfId="0" applyNumberFormat="1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5" fillId="14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vertical="center"/>
    </xf>
    <xf numFmtId="0" fontId="15" fillId="4" borderId="45" xfId="0" applyFont="1" applyFill="1" applyBorder="1" applyAlignment="1">
      <alignment horizontal="center" vertical="center"/>
    </xf>
    <xf numFmtId="16" fontId="14" fillId="13" borderId="1" xfId="0" applyNumberFormat="1" applyFont="1" applyFill="1" applyBorder="1" applyAlignment="1">
      <alignment horizontal="center" vertical="center"/>
    </xf>
    <xf numFmtId="16" fontId="15" fillId="7" borderId="1" xfId="0" applyNumberFormat="1" applyFont="1" applyFill="1" applyBorder="1" applyAlignment="1">
      <alignment horizontal="center" vertical="center"/>
    </xf>
    <xf numFmtId="16" fontId="14" fillId="5" borderId="9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9" fontId="31" fillId="13" borderId="5" xfId="1" applyFont="1" applyFill="1" applyBorder="1" applyAlignment="1">
      <alignment horizontal="center" vertical="center"/>
    </xf>
    <xf numFmtId="9" fontId="15" fillId="13" borderId="5" xfId="1" applyFont="1" applyFill="1" applyBorder="1" applyAlignment="1">
      <alignment horizontal="center" vertical="center"/>
    </xf>
    <xf numFmtId="9" fontId="32" fillId="13" borderId="5" xfId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0" fontId="15" fillId="4" borderId="48" xfId="0" applyFont="1" applyFill="1" applyBorder="1" applyAlignment="1">
      <alignment horizontal="center" vertical="center"/>
    </xf>
    <xf numFmtId="9" fontId="31" fillId="4" borderId="48" xfId="1" applyFont="1" applyFill="1" applyBorder="1" applyAlignment="1">
      <alignment horizontal="center" vertical="center"/>
    </xf>
    <xf numFmtId="9" fontId="15" fillId="4" borderId="48" xfId="1" applyFont="1" applyFill="1" applyBorder="1" applyAlignment="1">
      <alignment horizontal="center" vertical="center"/>
    </xf>
    <xf numFmtId="0" fontId="15" fillId="4" borderId="49" xfId="0" applyFont="1" applyFill="1" applyBorder="1" applyAlignment="1">
      <alignment horizontal="center" vertical="center"/>
    </xf>
    <xf numFmtId="0" fontId="15" fillId="4" borderId="50" xfId="0" applyFont="1" applyFill="1" applyBorder="1" applyAlignment="1">
      <alignment horizontal="center" vertical="center"/>
    </xf>
    <xf numFmtId="9" fontId="31" fillId="4" borderId="50" xfId="1" applyFont="1" applyFill="1" applyBorder="1" applyAlignment="1">
      <alignment horizontal="center" vertical="center"/>
    </xf>
    <xf numFmtId="9" fontId="15" fillId="4" borderId="50" xfId="1" applyFont="1" applyFill="1" applyBorder="1" applyAlignment="1">
      <alignment horizontal="center" vertical="center"/>
    </xf>
    <xf numFmtId="9" fontId="32" fillId="4" borderId="51" xfId="1" applyFont="1" applyFill="1" applyBorder="1" applyAlignment="1">
      <alignment horizontal="center" vertical="center"/>
    </xf>
    <xf numFmtId="0" fontId="15" fillId="4" borderId="52" xfId="0" applyFont="1" applyFill="1" applyBorder="1" applyAlignment="1">
      <alignment horizontal="center" vertical="center"/>
    </xf>
    <xf numFmtId="9" fontId="32" fillId="4" borderId="53" xfId="1" applyFont="1" applyFill="1" applyBorder="1" applyAlignment="1">
      <alignment horizontal="center" vertical="center"/>
    </xf>
    <xf numFmtId="0" fontId="15" fillId="4" borderId="54" xfId="0" applyFont="1" applyFill="1" applyBorder="1" applyAlignment="1">
      <alignment horizontal="center" vertical="center"/>
    </xf>
    <xf numFmtId="0" fontId="15" fillId="4" borderId="55" xfId="0" applyFont="1" applyFill="1" applyBorder="1" applyAlignment="1">
      <alignment horizontal="center" vertical="center"/>
    </xf>
    <xf numFmtId="9" fontId="31" fillId="4" borderId="55" xfId="1" applyFont="1" applyFill="1" applyBorder="1" applyAlignment="1">
      <alignment horizontal="center" vertical="center"/>
    </xf>
    <xf numFmtId="9" fontId="15" fillId="4" borderId="55" xfId="1" applyFont="1" applyFill="1" applyBorder="1" applyAlignment="1">
      <alignment horizontal="center" vertical="center"/>
    </xf>
    <xf numFmtId="9" fontId="32" fillId="4" borderId="56" xfId="1" applyFont="1" applyFill="1" applyBorder="1" applyAlignment="1">
      <alignment horizontal="center" vertical="center"/>
    </xf>
    <xf numFmtId="0" fontId="15" fillId="4" borderId="57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9" fontId="31" fillId="4" borderId="58" xfId="1" applyFont="1" applyFill="1" applyBorder="1" applyAlignment="1">
      <alignment horizontal="center" vertical="center"/>
    </xf>
    <xf numFmtId="9" fontId="15" fillId="4" borderId="58" xfId="1" applyFont="1" applyFill="1" applyBorder="1" applyAlignment="1">
      <alignment horizontal="center" vertical="center"/>
    </xf>
    <xf numFmtId="9" fontId="32" fillId="4" borderId="59" xfId="1" applyFont="1" applyFill="1" applyBorder="1" applyAlignment="1">
      <alignment horizontal="center" vertical="center"/>
    </xf>
    <xf numFmtId="0" fontId="30" fillId="4" borderId="7" xfId="0" applyFont="1" applyFill="1" applyBorder="1" applyAlignment="1">
      <alignment horizontal="center" vertical="center"/>
    </xf>
    <xf numFmtId="0" fontId="30" fillId="4" borderId="50" xfId="0" applyFont="1" applyFill="1" applyBorder="1" applyAlignment="1">
      <alignment horizontal="center" vertical="center"/>
    </xf>
    <xf numFmtId="0" fontId="30" fillId="4" borderId="58" xfId="0" applyFont="1" applyFill="1" applyBorder="1" applyAlignment="1">
      <alignment horizontal="center" vertical="center"/>
    </xf>
    <xf numFmtId="0" fontId="30" fillId="4" borderId="48" xfId="0" applyFont="1" applyFill="1" applyBorder="1" applyAlignment="1">
      <alignment horizontal="center" vertical="center"/>
    </xf>
    <xf numFmtId="0" fontId="30" fillId="4" borderId="55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7" fillId="4" borderId="8" xfId="0" applyFont="1" applyFill="1" applyBorder="1" applyAlignment="1">
      <alignment horizontal="center" vertical="center"/>
    </xf>
    <xf numFmtId="16" fontId="14" fillId="4" borderId="8" xfId="0" applyNumberFormat="1" applyFont="1" applyFill="1" applyBorder="1" applyAlignment="1">
      <alignment horizontal="center" vertical="center"/>
    </xf>
    <xf numFmtId="16" fontId="14" fillId="4" borderId="8" xfId="0" applyNumberFormat="1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vertical="center"/>
    </xf>
    <xf numFmtId="0" fontId="19" fillId="0" borderId="1" xfId="0" applyFont="1" applyBorder="1"/>
    <xf numFmtId="0" fontId="19" fillId="4" borderId="1" xfId="0" applyFont="1" applyFill="1" applyBorder="1"/>
    <xf numFmtId="0" fontId="33" fillId="2" borderId="8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vertical="center" wrapText="1"/>
    </xf>
    <xf numFmtId="0" fontId="39" fillId="4" borderId="1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vertical="center" wrapText="1"/>
    </xf>
    <xf numFmtId="0" fontId="36" fillId="14" borderId="1" xfId="0" applyFont="1" applyFill="1" applyBorder="1" applyAlignment="1">
      <alignment horizontal="center" vertical="center" wrapText="1"/>
    </xf>
    <xf numFmtId="0" fontId="40" fillId="14" borderId="8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5" fillId="5" borderId="7" xfId="0" applyNumberFormat="1" applyFont="1" applyFill="1" applyBorder="1" applyAlignment="1">
      <alignment vertical="center"/>
    </xf>
    <xf numFmtId="0" fontId="19" fillId="2" borderId="1" xfId="0" applyFont="1" applyFill="1" applyBorder="1" applyAlignment="1">
      <alignment horizont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8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7" xfId="0" applyNumberFormat="1" applyFont="1" applyFill="1" applyBorder="1" applyAlignment="1">
      <alignment horizontal="center" vertical="center"/>
    </xf>
    <xf numFmtId="16" fontId="14" fillId="4" borderId="8" xfId="0" applyNumberFormat="1" applyFont="1" applyFill="1" applyBorder="1" applyAlignment="1">
      <alignment horizontal="center" vertical="center"/>
    </xf>
    <xf numFmtId="16" fontId="14" fillId="4" borderId="8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4" borderId="7" xfId="0" applyNumberFormat="1" applyFont="1" applyFill="1" applyBorder="1" applyAlignment="1">
      <alignment horizontal="center" vertical="center"/>
    </xf>
    <xf numFmtId="0" fontId="19" fillId="0" borderId="13" xfId="0" applyFont="1" applyBorder="1"/>
    <xf numFmtId="0" fontId="26" fillId="2" borderId="7" xfId="0" applyFont="1" applyFill="1" applyBorder="1" applyAlignment="1">
      <alignment horizontal="center" vertical="center"/>
    </xf>
    <xf numFmtId="9" fontId="26" fillId="2" borderId="7" xfId="1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30" fillId="4" borderId="24" xfId="0" applyFont="1" applyFill="1" applyBorder="1" applyAlignment="1">
      <alignment horizontal="center" vertical="center"/>
    </xf>
    <xf numFmtId="0" fontId="15" fillId="4" borderId="65" xfId="0" applyFont="1" applyFill="1" applyBorder="1" applyAlignment="1">
      <alignment horizontal="center" vertical="center"/>
    </xf>
    <xf numFmtId="0" fontId="15" fillId="4" borderId="66" xfId="0" applyFont="1" applyFill="1" applyBorder="1" applyAlignment="1">
      <alignment horizontal="center" vertical="center"/>
    </xf>
    <xf numFmtId="0" fontId="15" fillId="4" borderId="47" xfId="0" applyFont="1" applyFill="1" applyBorder="1" applyAlignment="1">
      <alignment horizontal="center" vertical="center"/>
    </xf>
    <xf numFmtId="0" fontId="30" fillId="4" borderId="67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9" fontId="28" fillId="2" borderId="8" xfId="1" applyFont="1" applyFill="1" applyBorder="1" applyAlignment="1">
      <alignment horizontal="center" vertical="center"/>
    </xf>
    <xf numFmtId="9" fontId="26" fillId="2" borderId="8" xfId="1" applyFont="1" applyFill="1" applyBorder="1" applyAlignment="1">
      <alignment horizontal="center" vertical="center"/>
    </xf>
    <xf numFmtId="9" fontId="29" fillId="2" borderId="8" xfId="1" applyFont="1" applyFill="1" applyBorder="1" applyAlignment="1">
      <alignment horizontal="center" vertical="center"/>
    </xf>
    <xf numFmtId="0" fontId="15" fillId="4" borderId="60" xfId="0" applyFont="1" applyFill="1" applyBorder="1" applyAlignment="1">
      <alignment horizontal="center" vertical="center"/>
    </xf>
    <xf numFmtId="0" fontId="30" fillId="4" borderId="60" xfId="0" applyFont="1" applyFill="1" applyBorder="1" applyAlignment="1">
      <alignment horizontal="center" vertical="center"/>
    </xf>
    <xf numFmtId="9" fontId="31" fillId="4" borderId="60" xfId="1" applyFont="1" applyFill="1" applyBorder="1" applyAlignment="1">
      <alignment horizontal="center" vertical="center"/>
    </xf>
    <xf numFmtId="9" fontId="15" fillId="4" borderId="60" xfId="1" applyFont="1" applyFill="1" applyBorder="1" applyAlignment="1">
      <alignment horizontal="center" vertical="center"/>
    </xf>
    <xf numFmtId="9" fontId="32" fillId="4" borderId="10" xfId="1" applyFont="1" applyFill="1" applyBorder="1" applyAlignment="1">
      <alignment horizontal="center" vertical="center"/>
    </xf>
    <xf numFmtId="9" fontId="29" fillId="2" borderId="33" xfId="1" applyFont="1" applyFill="1" applyBorder="1" applyAlignment="1">
      <alignment horizontal="center" vertical="center"/>
    </xf>
    <xf numFmtId="0" fontId="19" fillId="0" borderId="8" xfId="0" applyFont="1" applyBorder="1"/>
    <xf numFmtId="0" fontId="19" fillId="0" borderId="63" xfId="0" applyFont="1" applyBorder="1"/>
    <xf numFmtId="9" fontId="32" fillId="4" borderId="62" xfId="1" applyFont="1" applyFill="1" applyBorder="1" applyAlignment="1">
      <alignment horizontal="center" vertical="center"/>
    </xf>
    <xf numFmtId="0" fontId="15" fillId="4" borderId="72" xfId="0" applyFont="1" applyFill="1" applyBorder="1" applyAlignment="1">
      <alignment horizontal="center" vertical="center"/>
    </xf>
    <xf numFmtId="0" fontId="30" fillId="4" borderId="72" xfId="0" applyFont="1" applyFill="1" applyBorder="1" applyAlignment="1">
      <alignment horizontal="center" vertical="center"/>
    </xf>
    <xf numFmtId="9" fontId="31" fillId="4" borderId="72" xfId="1" applyFont="1" applyFill="1" applyBorder="1" applyAlignment="1">
      <alignment horizontal="center" vertical="center"/>
    </xf>
    <xf numFmtId="9" fontId="15" fillId="4" borderId="72" xfId="1" applyFont="1" applyFill="1" applyBorder="1" applyAlignment="1">
      <alignment horizontal="center" vertical="center"/>
    </xf>
    <xf numFmtId="9" fontId="32" fillId="4" borderId="64" xfId="1" applyFont="1" applyFill="1" applyBorder="1" applyAlignment="1">
      <alignment horizontal="center" vertical="center"/>
    </xf>
    <xf numFmtId="0" fontId="15" fillId="4" borderId="61" xfId="0" applyFont="1" applyFill="1" applyBorder="1" applyAlignment="1">
      <alignment horizontal="center" vertical="center"/>
    </xf>
    <xf numFmtId="0" fontId="15" fillId="4" borderId="74" xfId="0" applyFont="1" applyFill="1" applyBorder="1" applyAlignment="1">
      <alignment horizontal="center" vertical="center"/>
    </xf>
    <xf numFmtId="0" fontId="30" fillId="4" borderId="74" xfId="0" applyFont="1" applyFill="1" applyBorder="1" applyAlignment="1">
      <alignment horizontal="center" vertical="center"/>
    </xf>
    <xf numFmtId="9" fontId="31" fillId="4" borderId="74" xfId="1" applyFont="1" applyFill="1" applyBorder="1" applyAlignment="1">
      <alignment horizontal="center" vertical="center"/>
    </xf>
    <xf numFmtId="9" fontId="15" fillId="4" borderId="74" xfId="1" applyFont="1" applyFill="1" applyBorder="1" applyAlignment="1">
      <alignment horizontal="center" vertical="center"/>
    </xf>
    <xf numFmtId="9" fontId="32" fillId="4" borderId="68" xfId="1" applyFont="1" applyFill="1" applyBorder="1" applyAlignment="1">
      <alignment horizontal="center" vertical="center"/>
    </xf>
    <xf numFmtId="0" fontId="15" fillId="4" borderId="69" xfId="0" applyFont="1" applyFill="1" applyBorder="1" applyAlignment="1">
      <alignment horizontal="center" vertical="center"/>
    </xf>
    <xf numFmtId="0" fontId="15" fillId="4" borderId="75" xfId="0" applyFont="1" applyFill="1" applyBorder="1" applyAlignment="1">
      <alignment horizontal="center" vertical="center"/>
    </xf>
    <xf numFmtId="0" fontId="15" fillId="4" borderId="34" xfId="0" applyFont="1" applyFill="1" applyBorder="1" applyAlignment="1">
      <alignment horizontal="center" vertical="center"/>
    </xf>
    <xf numFmtId="0" fontId="15" fillId="4" borderId="71" xfId="0" applyFont="1" applyFill="1" applyBorder="1" applyAlignment="1">
      <alignment horizontal="center" vertical="center"/>
    </xf>
    <xf numFmtId="0" fontId="15" fillId="4" borderId="76" xfId="0" applyFont="1" applyFill="1" applyBorder="1" applyAlignment="1">
      <alignment horizontal="center" vertical="center"/>
    </xf>
    <xf numFmtId="0" fontId="15" fillId="4" borderId="77" xfId="0" applyFont="1" applyFill="1" applyBorder="1" applyAlignment="1">
      <alignment horizontal="center" vertical="center"/>
    </xf>
    <xf numFmtId="0" fontId="30" fillId="4" borderId="64" xfId="0" applyFont="1" applyFill="1" applyBorder="1" applyAlignment="1">
      <alignment horizontal="center" vertical="center"/>
    </xf>
    <xf numFmtId="0" fontId="15" fillId="4" borderId="78" xfId="0" applyFont="1" applyFill="1" applyBorder="1" applyAlignment="1">
      <alignment horizontal="center" vertical="center"/>
    </xf>
    <xf numFmtId="0" fontId="15" fillId="4" borderId="79" xfId="0" applyFont="1" applyFill="1" applyBorder="1" applyAlignment="1">
      <alignment horizontal="center" vertical="center"/>
    </xf>
    <xf numFmtId="0" fontId="30" fillId="4" borderId="75" xfId="0" applyFont="1" applyFill="1" applyBorder="1" applyAlignment="1">
      <alignment horizontal="center" vertical="center"/>
    </xf>
    <xf numFmtId="9" fontId="31" fillId="4" borderId="80" xfId="1" applyFont="1" applyFill="1" applyBorder="1" applyAlignment="1">
      <alignment horizontal="center" vertical="center"/>
    </xf>
    <xf numFmtId="0" fontId="30" fillId="4" borderId="76" xfId="0" applyFont="1" applyFill="1" applyBorder="1" applyAlignment="1">
      <alignment horizontal="center" vertical="center"/>
    </xf>
    <xf numFmtId="9" fontId="15" fillId="4" borderId="75" xfId="1" applyFont="1" applyFill="1" applyBorder="1" applyAlignment="1">
      <alignment horizontal="center" vertical="center"/>
    </xf>
    <xf numFmtId="9" fontId="15" fillId="4" borderId="76" xfId="1" applyFont="1" applyFill="1" applyBorder="1" applyAlignment="1">
      <alignment horizontal="center" vertical="center"/>
    </xf>
    <xf numFmtId="0" fontId="30" fillId="4" borderId="71" xfId="0" applyFont="1" applyFill="1" applyBorder="1" applyAlignment="1">
      <alignment horizontal="center" vertical="center"/>
    </xf>
    <xf numFmtId="9" fontId="15" fillId="4" borderId="73" xfId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9" fontId="32" fillId="4" borderId="75" xfId="1" applyFont="1" applyFill="1" applyBorder="1" applyAlignment="1">
      <alignment horizontal="center" vertical="center"/>
    </xf>
    <xf numFmtId="9" fontId="32" fillId="4" borderId="81" xfId="1" applyFont="1" applyFill="1" applyBorder="1" applyAlignment="1">
      <alignment horizontal="center" vertical="center"/>
    </xf>
    <xf numFmtId="9" fontId="32" fillId="4" borderId="76" xfId="1" applyFont="1" applyFill="1" applyBorder="1" applyAlignment="1">
      <alignment horizontal="center" vertical="center"/>
    </xf>
    <xf numFmtId="9" fontId="32" fillId="4" borderId="11" xfId="1" applyFont="1" applyFill="1" applyBorder="1" applyAlignment="1">
      <alignment horizontal="center" vertical="center"/>
    </xf>
    <xf numFmtId="0" fontId="15" fillId="4" borderId="82" xfId="0" applyFont="1" applyFill="1" applyBorder="1" applyAlignment="1">
      <alignment horizontal="center" vertical="center"/>
    </xf>
    <xf numFmtId="9" fontId="31" fillId="4" borderId="83" xfId="1" applyFont="1" applyFill="1" applyBorder="1" applyAlignment="1">
      <alignment horizontal="center" vertical="center"/>
    </xf>
    <xf numFmtId="9" fontId="15" fillId="4" borderId="82" xfId="1" applyFont="1" applyFill="1" applyBorder="1" applyAlignment="1">
      <alignment horizontal="center" vertical="center"/>
    </xf>
    <xf numFmtId="9" fontId="32" fillId="4" borderId="82" xfId="1" applyFont="1" applyFill="1" applyBorder="1" applyAlignment="1">
      <alignment horizontal="center" vertical="center"/>
    </xf>
    <xf numFmtId="0" fontId="15" fillId="4" borderId="83" xfId="0" applyFont="1" applyFill="1" applyBorder="1" applyAlignment="1">
      <alignment horizontal="center" vertical="center"/>
    </xf>
    <xf numFmtId="9" fontId="15" fillId="4" borderId="84" xfId="1" applyFont="1" applyFill="1" applyBorder="1" applyAlignment="1">
      <alignment horizontal="center" vertical="center"/>
    </xf>
    <xf numFmtId="0" fontId="15" fillId="4" borderId="85" xfId="0" applyFont="1" applyFill="1" applyBorder="1" applyAlignment="1">
      <alignment horizontal="center" vertical="center"/>
    </xf>
    <xf numFmtId="0" fontId="15" fillId="4" borderId="87" xfId="0" applyFont="1" applyFill="1" applyBorder="1" applyAlignment="1">
      <alignment horizontal="center" vertical="center"/>
    </xf>
    <xf numFmtId="0" fontId="15" fillId="4" borderId="81" xfId="0" applyFont="1" applyFill="1" applyBorder="1" applyAlignment="1">
      <alignment horizontal="center" vertical="center"/>
    </xf>
    <xf numFmtId="0" fontId="15" fillId="4" borderId="88" xfId="0" applyFont="1" applyFill="1" applyBorder="1" applyAlignment="1">
      <alignment horizontal="center" vertical="center"/>
    </xf>
    <xf numFmtId="9" fontId="15" fillId="4" borderId="87" xfId="1" applyFont="1" applyFill="1" applyBorder="1" applyAlignment="1">
      <alignment horizontal="center" vertical="center"/>
    </xf>
    <xf numFmtId="9" fontId="15" fillId="4" borderId="86" xfId="1" applyFont="1" applyFill="1" applyBorder="1" applyAlignment="1">
      <alignment horizontal="center" vertic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/>
    <xf numFmtId="0" fontId="33" fillId="4" borderId="1" xfId="0" applyFont="1" applyFill="1" applyBorder="1" applyAlignment="1">
      <alignment horizontal="center" vertical="center"/>
    </xf>
    <xf numFmtId="9" fontId="31" fillId="2" borderId="1" xfId="1" applyFont="1" applyFill="1" applyBorder="1" applyAlignment="1">
      <alignment horizontal="center" vertical="center"/>
    </xf>
    <xf numFmtId="9" fontId="15" fillId="2" borderId="1" xfId="1" applyFont="1" applyFill="1" applyBorder="1" applyAlignment="1">
      <alignment horizontal="center" vertical="center"/>
    </xf>
    <xf numFmtId="9" fontId="32" fillId="2" borderId="1" xfId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9" fontId="31" fillId="10" borderId="1" xfId="1" applyFont="1" applyFill="1" applyBorder="1" applyAlignment="1">
      <alignment horizontal="center" vertical="center"/>
    </xf>
    <xf numFmtId="9" fontId="15" fillId="10" borderId="1" xfId="1" applyFont="1" applyFill="1" applyBorder="1" applyAlignment="1">
      <alignment horizontal="center" vertical="center"/>
    </xf>
    <xf numFmtId="9" fontId="32" fillId="10" borderId="1" xfId="1" applyFont="1" applyFill="1" applyBorder="1" applyAlignment="1">
      <alignment horizontal="center" vertical="center"/>
    </xf>
    <xf numFmtId="0" fontId="19" fillId="10" borderId="1" xfId="0" applyFont="1" applyFill="1" applyBorder="1"/>
    <xf numFmtId="16" fontId="14" fillId="5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16" fontId="18" fillId="11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16" fontId="14" fillId="5" borderId="1" xfId="0" applyNumberFormat="1" applyFont="1" applyFill="1" applyBorder="1" applyAlignment="1">
      <alignment horizontal="center" vertical="center"/>
    </xf>
    <xf numFmtId="16" fontId="14" fillId="11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vertical="center" wrapText="1"/>
    </xf>
    <xf numFmtId="0" fontId="41" fillId="4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" fontId="14" fillId="11" borderId="8" xfId="0" applyNumberFormat="1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16" fontId="14" fillId="11" borderId="8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6" fontId="14" fillId="11" borderId="1" xfId="0" applyNumberFormat="1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15" fillId="3" borderId="1" xfId="0" applyFont="1" applyFill="1" applyBorder="1"/>
    <xf numFmtId="0" fontId="26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9" fontId="31" fillId="11" borderId="1" xfId="1" applyFont="1" applyFill="1" applyBorder="1" applyAlignment="1">
      <alignment horizontal="center" vertical="center"/>
    </xf>
    <xf numFmtId="9" fontId="15" fillId="11" borderId="1" xfId="1" applyFont="1" applyFill="1" applyBorder="1" applyAlignment="1">
      <alignment horizontal="center" vertical="center"/>
    </xf>
    <xf numFmtId="9" fontId="32" fillId="11" borderId="1" xfId="1" applyFont="1" applyFill="1" applyBorder="1" applyAlignment="1">
      <alignment horizontal="center" vertical="center"/>
    </xf>
    <xf numFmtId="16" fontId="15" fillId="11" borderId="1" xfId="0" applyNumberFormat="1" applyFont="1" applyFill="1" applyBorder="1" applyAlignment="1">
      <alignment horizontal="center" vertical="center"/>
    </xf>
    <xf numFmtId="16" fontId="15" fillId="10" borderId="1" xfId="0" applyNumberFormat="1" applyFont="1" applyFill="1" applyBorder="1" applyAlignment="1">
      <alignment horizontal="center" vertical="center"/>
    </xf>
    <xf numFmtId="165" fontId="19" fillId="11" borderId="1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13" borderId="9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5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5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1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16" fontId="15" fillId="11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4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5" borderId="7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26" fillId="4" borderId="9" xfId="0" applyFont="1" applyFill="1" applyBorder="1" applyAlignment="1">
      <alignment horizontal="center" vertical="center"/>
    </xf>
    <xf numFmtId="0" fontId="15" fillId="4" borderId="32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0" fontId="15" fillId="0" borderId="9" xfId="0" applyFont="1" applyBorder="1"/>
    <xf numFmtId="0" fontId="15" fillId="4" borderId="95" xfId="0" applyFont="1" applyFill="1" applyBorder="1" applyAlignment="1">
      <alignment horizontal="center" vertical="center"/>
    </xf>
    <xf numFmtId="0" fontId="30" fillId="4" borderId="95" xfId="0" applyFont="1" applyFill="1" applyBorder="1" applyAlignment="1">
      <alignment horizontal="center" vertical="center"/>
    </xf>
    <xf numFmtId="0" fontId="26" fillId="4" borderId="95" xfId="0" applyFont="1" applyFill="1" applyBorder="1" applyAlignment="1">
      <alignment horizontal="center" vertical="center"/>
    </xf>
    <xf numFmtId="0" fontId="15" fillId="0" borderId="95" xfId="0" applyFont="1" applyBorder="1"/>
    <xf numFmtId="0" fontId="15" fillId="4" borderId="99" xfId="0" applyFont="1" applyFill="1" applyBorder="1" applyAlignment="1">
      <alignment horizontal="center" vertical="center"/>
    </xf>
    <xf numFmtId="0" fontId="15" fillId="4" borderId="98" xfId="0" applyFont="1" applyFill="1" applyBorder="1" applyAlignment="1">
      <alignment horizontal="center" vertical="center"/>
    </xf>
    <xf numFmtId="0" fontId="30" fillId="4" borderId="99" xfId="0" applyFont="1" applyFill="1" applyBorder="1" applyAlignment="1">
      <alignment horizontal="center" vertical="center"/>
    </xf>
    <xf numFmtId="0" fontId="26" fillId="4" borderId="99" xfId="0" applyFont="1" applyFill="1" applyBorder="1" applyAlignment="1">
      <alignment horizontal="center" vertical="center"/>
    </xf>
    <xf numFmtId="0" fontId="15" fillId="0" borderId="99" xfId="0" applyFont="1" applyBorder="1"/>
    <xf numFmtId="165" fontId="19" fillId="4" borderId="97" xfId="0" applyNumberFormat="1" applyFont="1" applyFill="1" applyBorder="1" applyAlignment="1">
      <alignment horizontal="center" vertical="center"/>
    </xf>
    <xf numFmtId="0" fontId="15" fillId="4" borderId="97" xfId="0" applyFont="1" applyFill="1" applyBorder="1" applyAlignment="1">
      <alignment horizontal="center" vertical="center"/>
    </xf>
    <xf numFmtId="0" fontId="30" fillId="4" borderId="97" xfId="0" applyFont="1" applyFill="1" applyBorder="1" applyAlignment="1">
      <alignment horizontal="center" vertical="center"/>
    </xf>
    <xf numFmtId="0" fontId="26" fillId="4" borderId="97" xfId="0" applyFont="1" applyFill="1" applyBorder="1" applyAlignment="1">
      <alignment horizontal="center" vertical="center"/>
    </xf>
    <xf numFmtId="0" fontId="15" fillId="0" borderId="97" xfId="0" applyFont="1" applyBorder="1"/>
    <xf numFmtId="9" fontId="31" fillId="2" borderId="8" xfId="1" applyFont="1" applyFill="1" applyBorder="1" applyAlignment="1">
      <alignment horizontal="center" vertical="center"/>
    </xf>
    <xf numFmtId="9" fontId="15" fillId="2" borderId="8" xfId="1" applyFont="1" applyFill="1" applyBorder="1" applyAlignment="1">
      <alignment horizontal="center" vertical="center"/>
    </xf>
    <xf numFmtId="9" fontId="32" fillId="2" borderId="8" xfId="1" applyFont="1" applyFill="1" applyBorder="1" applyAlignment="1">
      <alignment horizontal="center" vertical="center"/>
    </xf>
    <xf numFmtId="0" fontId="27" fillId="4" borderId="99" xfId="0" applyFont="1" applyFill="1" applyBorder="1" applyAlignment="1">
      <alignment horizontal="center" vertical="center"/>
    </xf>
    <xf numFmtId="9" fontId="31" fillId="4" borderId="99" xfId="1" applyFont="1" applyFill="1" applyBorder="1" applyAlignment="1">
      <alignment horizontal="center" vertical="center"/>
    </xf>
    <xf numFmtId="9" fontId="15" fillId="4" borderId="99" xfId="1" applyFont="1" applyFill="1" applyBorder="1" applyAlignment="1">
      <alignment horizontal="center" vertical="center"/>
    </xf>
    <xf numFmtId="9" fontId="32" fillId="4" borderId="99" xfId="1" applyFont="1" applyFill="1" applyBorder="1" applyAlignment="1">
      <alignment horizontal="center" vertical="center"/>
    </xf>
    <xf numFmtId="0" fontId="27" fillId="4" borderId="95" xfId="0" applyFont="1" applyFill="1" applyBorder="1" applyAlignment="1">
      <alignment horizontal="center" vertical="center"/>
    </xf>
    <xf numFmtId="9" fontId="31" fillId="4" borderId="95" xfId="1" applyFont="1" applyFill="1" applyBorder="1" applyAlignment="1">
      <alignment horizontal="center" vertical="center"/>
    </xf>
    <xf numFmtId="9" fontId="15" fillId="4" borderId="95" xfId="1" applyFont="1" applyFill="1" applyBorder="1" applyAlignment="1">
      <alignment horizontal="center" vertical="center"/>
    </xf>
    <xf numFmtId="9" fontId="32" fillId="4" borderId="95" xfId="1" applyFont="1" applyFill="1" applyBorder="1" applyAlignment="1">
      <alignment horizontal="center" vertical="center"/>
    </xf>
    <xf numFmtId="0" fontId="15" fillId="4" borderId="96" xfId="0" applyFont="1" applyFill="1" applyBorder="1" applyAlignment="1">
      <alignment horizontal="center" vertical="center"/>
    </xf>
    <xf numFmtId="0" fontId="27" fillId="4" borderId="96" xfId="0" applyFont="1" applyFill="1" applyBorder="1" applyAlignment="1">
      <alignment horizontal="center" vertical="center"/>
    </xf>
    <xf numFmtId="0" fontId="27" fillId="4" borderId="97" xfId="0" applyFont="1" applyFill="1" applyBorder="1" applyAlignment="1">
      <alignment horizontal="center" vertical="center"/>
    </xf>
    <xf numFmtId="9" fontId="31" fillId="4" borderId="97" xfId="1" applyFont="1" applyFill="1" applyBorder="1" applyAlignment="1">
      <alignment horizontal="center" vertical="center"/>
    </xf>
    <xf numFmtId="9" fontId="15" fillId="4" borderId="97" xfId="1" applyFont="1" applyFill="1" applyBorder="1" applyAlignment="1">
      <alignment horizontal="center" vertical="center"/>
    </xf>
    <xf numFmtId="9" fontId="32" fillId="4" borderId="97" xfId="1" applyFont="1" applyFill="1" applyBorder="1" applyAlignment="1">
      <alignment horizontal="center" vertical="center"/>
    </xf>
    <xf numFmtId="165" fontId="41" fillId="4" borderId="97" xfId="0" applyNumberFormat="1" applyFont="1" applyFill="1" applyBorder="1" applyAlignment="1">
      <alignment horizontal="center" vertical="center"/>
    </xf>
    <xf numFmtId="165" fontId="41" fillId="4" borderId="9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15" fillId="0" borderId="7" xfId="0" applyFont="1" applyBorder="1"/>
    <xf numFmtId="0" fontId="26" fillId="4" borderId="96" xfId="0" applyFont="1" applyFill="1" applyBorder="1" applyAlignment="1">
      <alignment horizontal="center" vertical="center"/>
    </xf>
    <xf numFmtId="0" fontId="19" fillId="4" borderId="13" xfId="0" applyFont="1" applyFill="1" applyBorder="1"/>
    <xf numFmtId="0" fontId="26" fillId="4" borderId="100" xfId="0" applyFont="1" applyFill="1" applyBorder="1" applyAlignment="1">
      <alignment horizontal="center" vertical="center"/>
    </xf>
    <xf numFmtId="0" fontId="15" fillId="4" borderId="100" xfId="0" applyFont="1" applyFill="1" applyBorder="1" applyAlignment="1">
      <alignment horizontal="center" vertical="center"/>
    </xf>
    <xf numFmtId="0" fontId="27" fillId="4" borderId="100" xfId="0" applyFont="1" applyFill="1" applyBorder="1" applyAlignment="1">
      <alignment horizontal="center" vertical="center"/>
    </xf>
    <xf numFmtId="9" fontId="31" fillId="4" borderId="100" xfId="1" applyFont="1" applyFill="1" applyBorder="1" applyAlignment="1">
      <alignment horizontal="center" vertical="center"/>
    </xf>
    <xf numFmtId="9" fontId="15" fillId="4" borderId="100" xfId="1" applyFont="1" applyFill="1" applyBorder="1" applyAlignment="1">
      <alignment horizontal="center" vertical="center"/>
    </xf>
    <xf numFmtId="9" fontId="32" fillId="4" borderId="100" xfId="1" applyFont="1" applyFill="1" applyBorder="1" applyAlignment="1">
      <alignment horizontal="center" vertical="center"/>
    </xf>
    <xf numFmtId="9" fontId="31" fillId="2" borderId="9" xfId="1" applyFont="1" applyFill="1" applyBorder="1" applyAlignment="1">
      <alignment horizontal="center" vertical="center"/>
    </xf>
    <xf numFmtId="9" fontId="15" fillId="2" borderId="9" xfId="1" applyFont="1" applyFill="1" applyBorder="1" applyAlignment="1">
      <alignment horizontal="center" vertical="center"/>
    </xf>
    <xf numFmtId="9" fontId="32" fillId="2" borderId="9" xfId="1" applyFont="1" applyFill="1" applyBorder="1" applyAlignment="1">
      <alignment horizontal="center" vertical="center"/>
    </xf>
    <xf numFmtId="0" fontId="26" fillId="4" borderId="101" xfId="0" applyFont="1" applyFill="1" applyBorder="1" applyAlignment="1">
      <alignment horizontal="center" vertical="center"/>
    </xf>
    <xf numFmtId="0" fontId="15" fillId="4" borderId="101" xfId="0" applyFont="1" applyFill="1" applyBorder="1" applyAlignment="1">
      <alignment horizontal="center" vertical="center"/>
    </xf>
    <xf numFmtId="0" fontId="27" fillId="4" borderId="101" xfId="0" applyFont="1" applyFill="1" applyBorder="1" applyAlignment="1">
      <alignment horizontal="center" vertical="center"/>
    </xf>
    <xf numFmtId="9" fontId="31" fillId="4" borderId="101" xfId="1" applyFont="1" applyFill="1" applyBorder="1" applyAlignment="1">
      <alignment horizontal="center" vertical="center"/>
    </xf>
    <xf numFmtId="9" fontId="15" fillId="4" borderId="101" xfId="1" applyFont="1" applyFill="1" applyBorder="1" applyAlignment="1">
      <alignment horizontal="center" vertical="center"/>
    </xf>
    <xf numFmtId="9" fontId="32" fillId="4" borderId="101" xfId="1" applyFont="1" applyFill="1" applyBorder="1" applyAlignment="1">
      <alignment horizontal="center" vertical="center"/>
    </xf>
    <xf numFmtId="0" fontId="30" fillId="4" borderId="96" xfId="0" applyFont="1" applyFill="1" applyBorder="1" applyAlignment="1">
      <alignment horizontal="center" vertical="center"/>
    </xf>
    <xf numFmtId="0" fontId="15" fillId="0" borderId="96" xfId="0" applyFont="1" applyBorder="1"/>
    <xf numFmtId="0" fontId="26" fillId="4" borderId="33" xfId="0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4" borderId="9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5" fontId="19" fillId="4" borderId="31" xfId="0" applyNumberFormat="1" applyFont="1" applyFill="1" applyBorder="1" applyAlignment="1">
      <alignment horizontal="center" vertical="center"/>
    </xf>
    <xf numFmtId="0" fontId="26" fillId="4" borderId="31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27" fillId="4" borderId="31" xfId="0" applyFont="1" applyFill="1" applyBorder="1" applyAlignment="1">
      <alignment horizontal="center" vertical="center"/>
    </xf>
    <xf numFmtId="9" fontId="31" fillId="4" borderId="31" xfId="1" applyFont="1" applyFill="1" applyBorder="1" applyAlignment="1">
      <alignment horizontal="center" vertical="center"/>
    </xf>
    <xf numFmtId="9" fontId="15" fillId="4" borderId="31" xfId="1" applyFont="1" applyFill="1" applyBorder="1" applyAlignment="1">
      <alignment horizontal="center" vertical="center"/>
    </xf>
    <xf numFmtId="9" fontId="32" fillId="4" borderId="31" xfId="1" applyFont="1" applyFill="1" applyBorder="1" applyAlignment="1">
      <alignment horizontal="center" vertical="center"/>
    </xf>
    <xf numFmtId="0" fontId="26" fillId="4" borderId="14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27" fillId="4" borderId="14" xfId="0" applyFont="1" applyFill="1" applyBorder="1" applyAlignment="1">
      <alignment horizontal="center" vertical="center"/>
    </xf>
    <xf numFmtId="9" fontId="31" fillId="4" borderId="14" xfId="1" applyFont="1" applyFill="1" applyBorder="1" applyAlignment="1">
      <alignment horizontal="center" vertical="center"/>
    </xf>
    <xf numFmtId="9" fontId="15" fillId="4" borderId="14" xfId="1" applyFont="1" applyFill="1" applyBorder="1" applyAlignment="1">
      <alignment horizontal="center" vertical="center"/>
    </xf>
    <xf numFmtId="9" fontId="32" fillId="4" borderId="14" xfId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/>
    </xf>
    <xf numFmtId="9" fontId="31" fillId="18" borderId="1" xfId="1" applyFont="1" applyFill="1" applyBorder="1" applyAlignment="1">
      <alignment horizontal="center" vertical="center"/>
    </xf>
    <xf numFmtId="9" fontId="15" fillId="18" borderId="1" xfId="1" applyFont="1" applyFill="1" applyBorder="1" applyAlignment="1">
      <alignment horizontal="center" vertical="center"/>
    </xf>
    <xf numFmtId="9" fontId="32" fillId="18" borderId="1" xfId="1" applyFont="1" applyFill="1" applyBorder="1" applyAlignment="1">
      <alignment horizontal="center" vertical="center"/>
    </xf>
    <xf numFmtId="0" fontId="19" fillId="18" borderId="1" xfId="0" applyFont="1" applyFill="1" applyBorder="1"/>
    <xf numFmtId="0" fontId="26" fillId="18" borderId="1" xfId="0" applyFont="1" applyFill="1" applyBorder="1" applyAlignment="1">
      <alignment horizontal="center" vertical="center"/>
    </xf>
    <xf numFmtId="0" fontId="15" fillId="18" borderId="1" xfId="0" applyFont="1" applyFill="1" applyBorder="1"/>
    <xf numFmtId="16" fontId="15" fillId="6" borderId="1" xfId="0" applyNumberFormat="1" applyFont="1" applyFill="1" applyBorder="1" applyAlignment="1">
      <alignment horizontal="center" vertical="center"/>
    </xf>
    <xf numFmtId="16" fontId="15" fillId="13" borderId="9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8" borderId="9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7" borderId="8" xfId="0" applyFont="1" applyFill="1" applyBorder="1" applyAlignment="1">
      <alignment horizontal="center" vertical="center"/>
    </xf>
    <xf numFmtId="0" fontId="15" fillId="4" borderId="1" xfId="0" applyFont="1" applyFill="1" applyBorder="1"/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5" fontId="19" fillId="10" borderId="1" xfId="0" applyNumberFormat="1" applyFont="1" applyFill="1" applyBorder="1" applyAlignment="1">
      <alignment horizontal="center" vertical="center"/>
    </xf>
    <xf numFmtId="165" fontId="19" fillId="13" borderId="9" xfId="0" applyNumberFormat="1" applyFont="1" applyFill="1" applyBorder="1" applyAlignment="1">
      <alignment horizontal="center" vertical="center"/>
    </xf>
    <xf numFmtId="165" fontId="19" fillId="4" borderId="1" xfId="0" applyNumberFormat="1" applyFont="1" applyFill="1" applyBorder="1" applyAlignment="1">
      <alignment horizontal="center" vertical="center"/>
    </xf>
    <xf numFmtId="165" fontId="19" fillId="13" borderId="1" xfId="0" applyNumberFormat="1" applyFont="1" applyFill="1" applyBorder="1" applyAlignment="1">
      <alignment horizontal="center" vertical="center"/>
    </xf>
    <xf numFmtId="165" fontId="19" fillId="4" borderId="9" xfId="0" applyNumberFormat="1" applyFont="1" applyFill="1" applyBorder="1" applyAlignment="1">
      <alignment horizontal="center" vertical="center"/>
    </xf>
    <xf numFmtId="165" fontId="19" fillId="5" borderId="8" xfId="0" applyNumberFormat="1" applyFont="1" applyFill="1" applyBorder="1" applyAlignment="1">
      <alignment horizontal="center" vertical="center"/>
    </xf>
    <xf numFmtId="165" fontId="19" fillId="10" borderId="8" xfId="0" applyNumberFormat="1" applyFont="1" applyFill="1" applyBorder="1" applyAlignment="1">
      <alignment horizontal="center" vertical="center"/>
    </xf>
    <xf numFmtId="165" fontId="19" fillId="10" borderId="7" xfId="0" applyNumberFormat="1" applyFont="1" applyFill="1" applyBorder="1" applyAlignment="1">
      <alignment horizontal="center" vertical="center"/>
    </xf>
    <xf numFmtId="165" fontId="19" fillId="10" borderId="9" xfId="0" applyNumberFormat="1" applyFont="1" applyFill="1" applyBorder="1" applyAlignment="1">
      <alignment horizontal="center" vertical="center"/>
    </xf>
    <xf numFmtId="165" fontId="19" fillId="5" borderId="9" xfId="0" applyNumberFormat="1" applyFont="1" applyFill="1" applyBorder="1" applyAlignment="1">
      <alignment horizontal="center" vertical="center"/>
    </xf>
    <xf numFmtId="165" fontId="19" fillId="15" borderId="1" xfId="0" applyNumberFormat="1" applyFont="1" applyFill="1" applyBorder="1" applyAlignment="1">
      <alignment horizontal="center" vertical="center"/>
    </xf>
    <xf numFmtId="165" fontId="19" fillId="5" borderId="1" xfId="0" applyNumberFormat="1" applyFont="1" applyFill="1" applyBorder="1" applyAlignment="1">
      <alignment horizontal="center" vertical="center"/>
    </xf>
    <xf numFmtId="16" fontId="15" fillId="4" borderId="8" xfId="0" applyNumberFormat="1" applyFont="1" applyFill="1" applyBorder="1" applyAlignment="1">
      <alignment horizontal="center" vertical="center"/>
    </xf>
    <xf numFmtId="16" fontId="15" fillId="4" borderId="7" xfId="0" applyNumberFormat="1" applyFont="1" applyFill="1" applyBorder="1" applyAlignment="1">
      <alignment horizontal="center" vertical="center"/>
    </xf>
    <xf numFmtId="16" fontId="15" fillId="4" borderId="9" xfId="0" applyNumberFormat="1" applyFont="1" applyFill="1" applyBorder="1" applyAlignment="1">
      <alignment horizontal="center" vertical="center"/>
    </xf>
    <xf numFmtId="16" fontId="15" fillId="5" borderId="8" xfId="0" applyNumberFormat="1" applyFont="1" applyFill="1" applyBorder="1" applyAlignment="1">
      <alignment horizontal="center" vertical="center"/>
    </xf>
    <xf numFmtId="16" fontId="15" fillId="5" borderId="7" xfId="0" applyNumberFormat="1" applyFont="1" applyFill="1" applyBorder="1" applyAlignment="1">
      <alignment horizontal="center" vertical="center"/>
    </xf>
    <xf numFmtId="16" fontId="15" fillId="5" borderId="9" xfId="0" applyNumberFormat="1" applyFont="1" applyFill="1" applyBorder="1" applyAlignment="1">
      <alignment horizontal="center" vertical="center"/>
    </xf>
    <xf numFmtId="16" fontId="15" fillId="0" borderId="7" xfId="0" applyNumberFormat="1" applyFont="1" applyFill="1" applyBorder="1" applyAlignment="1">
      <alignment horizontal="center" vertical="center"/>
    </xf>
    <xf numFmtId="16" fontId="15" fillId="13" borderId="8" xfId="0" applyNumberFormat="1" applyFont="1" applyFill="1" applyBorder="1" applyAlignment="1">
      <alignment horizontal="center" vertical="center"/>
    </xf>
    <xf numFmtId="16" fontId="15" fillId="5" borderId="8" xfId="0" applyNumberFormat="1" applyFont="1" applyFill="1" applyBorder="1" applyAlignment="1">
      <alignment horizontal="center" vertical="center" wrapText="1"/>
    </xf>
    <xf numFmtId="16" fontId="15" fillId="13" borderId="9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6" fontId="15" fillId="5" borderId="1" xfId="0" applyNumberFormat="1" applyFont="1" applyFill="1" applyBorder="1" applyAlignment="1">
      <alignment horizontal="center" vertical="center"/>
    </xf>
    <xf numFmtId="16" fontId="15" fillId="4" borderId="1" xfId="0" applyNumberFormat="1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/>
    </xf>
    <xf numFmtId="165" fontId="15" fillId="15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13" borderId="9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5" fontId="19" fillId="8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6" fontId="15" fillId="10" borderId="7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65" fontId="19" fillId="4" borderId="1" xfId="0" applyNumberFormat="1" applyFont="1" applyFill="1" applyBorder="1" applyAlignment="1">
      <alignment horizontal="center" vertical="center"/>
    </xf>
    <xf numFmtId="16" fontId="15" fillId="4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13" borderId="8" xfId="0" applyNumberFormat="1" applyFont="1" applyFill="1" applyBorder="1" applyAlignment="1">
      <alignment horizontal="center" vertical="center" wrapText="1"/>
    </xf>
    <xf numFmtId="16" fontId="15" fillId="6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5" fontId="19" fillId="13" borderId="1" xfId="0" applyNumberFormat="1" applyFont="1" applyFill="1" applyBorder="1" applyAlignment="1">
      <alignment horizontal="center" vertical="center"/>
    </xf>
    <xf numFmtId="16" fontId="15" fillId="8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165" fontId="19" fillId="8" borderId="7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19" fillId="4" borderId="9" xfId="0" applyFont="1" applyFill="1" applyBorder="1"/>
    <xf numFmtId="0" fontId="19" fillId="4" borderId="31" xfId="0" applyFont="1" applyFill="1" applyBorder="1"/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8" borderId="9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165" fontId="19" fillId="5" borderId="8" xfId="0" applyNumberFormat="1" applyFont="1" applyFill="1" applyBorder="1" applyAlignment="1">
      <alignment horizontal="center" vertical="center"/>
    </xf>
    <xf numFmtId="165" fontId="19" fillId="5" borderId="7" xfId="0" applyNumberFormat="1" applyFont="1" applyFill="1" applyBorder="1" applyAlignment="1">
      <alignment horizontal="center" vertical="center"/>
    </xf>
    <xf numFmtId="165" fontId="19" fillId="5" borderId="9" xfId="0" applyNumberFormat="1" applyFont="1" applyFill="1" applyBorder="1" applyAlignment="1">
      <alignment horizontal="center" vertical="center"/>
    </xf>
    <xf numFmtId="165" fontId="19" fillId="13" borderId="8" xfId="0" applyNumberFormat="1" applyFont="1" applyFill="1" applyBorder="1" applyAlignment="1">
      <alignment horizontal="center" vertical="center"/>
    </xf>
    <xf numFmtId="165" fontId="19" fillId="13" borderId="9" xfId="0" applyNumberFormat="1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165" fontId="19" fillId="4" borderId="8" xfId="0" applyNumberFormat="1" applyFont="1" applyFill="1" applyBorder="1" applyAlignment="1">
      <alignment horizontal="center" vertical="center"/>
    </xf>
    <xf numFmtId="165" fontId="19" fillId="4" borderId="9" xfId="0" applyNumberFormat="1" applyFont="1" applyFill="1" applyBorder="1" applyAlignment="1">
      <alignment horizontal="center" vertical="center"/>
    </xf>
    <xf numFmtId="165" fontId="19" fillId="13" borderId="7" xfId="0" applyNumberFormat="1" applyFont="1" applyFill="1" applyBorder="1" applyAlignment="1">
      <alignment horizontal="center" vertical="center"/>
    </xf>
    <xf numFmtId="165" fontId="19" fillId="10" borderId="1" xfId="0" applyNumberFormat="1" applyFont="1" applyFill="1" applyBorder="1" applyAlignment="1">
      <alignment horizontal="center" vertical="center"/>
    </xf>
    <xf numFmtId="165" fontId="19" fillId="6" borderId="8" xfId="0" applyNumberFormat="1" applyFont="1" applyFill="1" applyBorder="1" applyAlignment="1">
      <alignment horizontal="center" vertical="center"/>
    </xf>
    <xf numFmtId="165" fontId="19" fillId="6" borderId="7" xfId="0" applyNumberFormat="1" applyFont="1" applyFill="1" applyBorder="1" applyAlignment="1">
      <alignment horizontal="center" vertical="center"/>
    </xf>
    <xf numFmtId="165" fontId="19" fillId="8" borderId="8" xfId="0" applyNumberFormat="1" applyFont="1" applyFill="1" applyBorder="1" applyAlignment="1">
      <alignment horizontal="center" vertical="center"/>
    </xf>
    <xf numFmtId="165" fontId="19" fillId="8" borderId="9" xfId="0" applyNumberFormat="1" applyFont="1" applyFill="1" applyBorder="1" applyAlignment="1">
      <alignment horizontal="center" vertical="center"/>
    </xf>
    <xf numFmtId="165" fontId="19" fillId="4" borderId="7" xfId="0" applyNumberFormat="1" applyFont="1" applyFill="1" applyBorder="1" applyAlignment="1">
      <alignment horizontal="center" vertical="center"/>
    </xf>
    <xf numFmtId="165" fontId="15" fillId="10" borderId="8" xfId="0" applyNumberFormat="1" applyFont="1" applyFill="1" applyBorder="1" applyAlignment="1">
      <alignment horizontal="center" vertical="center"/>
    </xf>
    <xf numFmtId="165" fontId="15" fillId="10" borderId="7" xfId="0" applyNumberFormat="1" applyFont="1" applyFill="1" applyBorder="1" applyAlignment="1">
      <alignment horizontal="center" vertical="center"/>
    </xf>
    <xf numFmtId="165" fontId="15" fillId="10" borderId="9" xfId="0" applyNumberFormat="1" applyFont="1" applyFill="1" applyBorder="1" applyAlignment="1">
      <alignment horizontal="center" vertical="center"/>
    </xf>
    <xf numFmtId="165" fontId="19" fillId="6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18" borderId="11" xfId="0" applyFont="1" applyFill="1" applyBorder="1" applyAlignment="1">
      <alignment horizontal="center" vertical="center"/>
    </xf>
    <xf numFmtId="0" fontId="26" fillId="18" borderId="12" xfId="0" applyFont="1" applyFill="1" applyBorder="1" applyAlignment="1">
      <alignment horizontal="center" vertical="center"/>
    </xf>
    <xf numFmtId="0" fontId="26" fillId="18" borderId="13" xfId="0" applyFont="1" applyFill="1" applyBorder="1" applyAlignment="1">
      <alignment horizontal="center" vertical="center"/>
    </xf>
    <xf numFmtId="165" fontId="15" fillId="17" borderId="8" xfId="0" applyNumberFormat="1" applyFont="1" applyFill="1" applyBorder="1" applyAlignment="1">
      <alignment horizontal="center" vertical="center"/>
    </xf>
    <xf numFmtId="165" fontId="15" fillId="17" borderId="9" xfId="0" applyNumberFormat="1" applyFont="1" applyFill="1" applyBorder="1" applyAlignment="1">
      <alignment horizontal="center" vertical="center"/>
    </xf>
    <xf numFmtId="165" fontId="15" fillId="11" borderId="8" xfId="0" applyNumberFormat="1" applyFont="1" applyFill="1" applyBorder="1" applyAlignment="1">
      <alignment horizontal="center" vertical="center"/>
    </xf>
    <xf numFmtId="165" fontId="15" fillId="11" borderId="9" xfId="0" applyNumberFormat="1" applyFont="1" applyFill="1" applyBorder="1" applyAlignment="1">
      <alignment horizontal="center" vertical="center"/>
    </xf>
    <xf numFmtId="165" fontId="19" fillId="4" borderId="96" xfId="0" applyNumberFormat="1" applyFont="1" applyFill="1" applyBorder="1" applyAlignment="1">
      <alignment horizontal="center" vertical="center"/>
    </xf>
    <xf numFmtId="165" fontId="19" fillId="4" borderId="102" xfId="0" applyNumberFormat="1" applyFont="1" applyFill="1" applyBorder="1" applyAlignment="1">
      <alignment horizontal="center" vertical="center"/>
    </xf>
    <xf numFmtId="165" fontId="19" fillId="4" borderId="103" xfId="0" applyNumberFormat="1" applyFont="1" applyFill="1" applyBorder="1" applyAlignment="1">
      <alignment horizontal="center" vertical="center"/>
    </xf>
    <xf numFmtId="165" fontId="19" fillId="4" borderId="98" xfId="0" applyNumberFormat="1" applyFont="1" applyFill="1" applyBorder="1" applyAlignment="1">
      <alignment horizontal="center" vertical="center"/>
    </xf>
    <xf numFmtId="165" fontId="15" fillId="13" borderId="8" xfId="0" applyNumberFormat="1" applyFont="1" applyFill="1" applyBorder="1" applyAlignment="1">
      <alignment horizontal="center" vertical="center"/>
    </xf>
    <xf numFmtId="165" fontId="15" fillId="13" borderId="7" xfId="0" applyNumberFormat="1" applyFont="1" applyFill="1" applyBorder="1" applyAlignment="1">
      <alignment horizontal="center" vertical="center"/>
    </xf>
    <xf numFmtId="165" fontId="15" fillId="13" borderId="9" xfId="0" applyNumberFormat="1" applyFont="1" applyFill="1" applyBorder="1" applyAlignment="1">
      <alignment horizontal="center" vertical="center"/>
    </xf>
    <xf numFmtId="165" fontId="15" fillId="8" borderId="8" xfId="0" applyNumberFormat="1" applyFont="1" applyFill="1" applyBorder="1" applyAlignment="1">
      <alignment horizontal="center" vertical="center"/>
    </xf>
    <xf numFmtId="165" fontId="15" fillId="8" borderId="9" xfId="0" applyNumberFormat="1" applyFont="1" applyFill="1" applyBorder="1" applyAlignment="1">
      <alignment horizontal="center" vertical="center"/>
    </xf>
    <xf numFmtId="165" fontId="15" fillId="11" borderId="7" xfId="0" applyNumberFormat="1" applyFont="1" applyFill="1" applyBorder="1" applyAlignment="1">
      <alignment horizontal="center" vertical="center"/>
    </xf>
    <xf numFmtId="165" fontId="19" fillId="10" borderId="8" xfId="0" applyNumberFormat="1" applyFont="1" applyFill="1" applyBorder="1" applyAlignment="1">
      <alignment horizontal="center" vertical="center"/>
    </xf>
    <xf numFmtId="165" fontId="19" fillId="10" borderId="7" xfId="0" applyNumberFormat="1" applyFont="1" applyFill="1" applyBorder="1" applyAlignment="1">
      <alignment horizontal="center" vertical="center"/>
    </xf>
    <xf numFmtId="165" fontId="19" fillId="10" borderId="9" xfId="0" applyNumberFormat="1" applyFont="1" applyFill="1" applyBorder="1" applyAlignment="1">
      <alignment horizontal="center" vertical="center"/>
    </xf>
    <xf numFmtId="165" fontId="19" fillId="4" borderId="90" xfId="0" applyNumberFormat="1" applyFont="1" applyFill="1" applyBorder="1" applyAlignment="1">
      <alignment horizontal="center" vertical="center"/>
    </xf>
    <xf numFmtId="165" fontId="19" fillId="15" borderId="8" xfId="0" applyNumberFormat="1" applyFont="1" applyFill="1" applyBorder="1" applyAlignment="1">
      <alignment horizontal="center" vertical="center"/>
    </xf>
    <xf numFmtId="165" fontId="19" fillId="15" borderId="7" xfId="0" applyNumberFormat="1" applyFont="1" applyFill="1" applyBorder="1" applyAlignment="1">
      <alignment horizontal="center" vertical="center"/>
    </xf>
    <xf numFmtId="165" fontId="19" fillId="15" borderId="9" xfId="0" applyNumberFormat="1" applyFont="1" applyFill="1" applyBorder="1" applyAlignment="1">
      <alignment horizontal="center" vertical="center"/>
    </xf>
    <xf numFmtId="165" fontId="19" fillId="11" borderId="8" xfId="0" applyNumberFormat="1" applyFont="1" applyFill="1" applyBorder="1" applyAlignment="1">
      <alignment horizontal="center" vertical="center"/>
    </xf>
    <xf numFmtId="165" fontId="19" fillId="11" borderId="9" xfId="0" applyNumberFormat="1" applyFont="1" applyFill="1" applyBorder="1" applyAlignment="1">
      <alignment horizontal="center" vertical="center"/>
    </xf>
    <xf numFmtId="165" fontId="19" fillId="6" borderId="9" xfId="0" applyNumberFormat="1" applyFont="1" applyFill="1" applyBorder="1" applyAlignment="1">
      <alignment horizontal="center" vertical="center"/>
    </xf>
    <xf numFmtId="165" fontId="19" fillId="11" borderId="7" xfId="0" applyNumberFormat="1" applyFont="1" applyFill="1" applyBorder="1" applyAlignment="1">
      <alignment horizontal="center" vertical="center"/>
    </xf>
    <xf numFmtId="0" fontId="26" fillId="2" borderId="46" xfId="0" applyFont="1" applyFill="1" applyBorder="1" applyAlignment="1">
      <alignment horizontal="center" vertical="center"/>
    </xf>
    <xf numFmtId="0" fontId="26" fillId="2" borderId="70" xfId="0" applyFont="1" applyFill="1" applyBorder="1" applyAlignment="1">
      <alignment horizontal="center" vertical="center"/>
    </xf>
    <xf numFmtId="0" fontId="26" fillId="2" borderId="69" xfId="0" applyFont="1" applyFill="1" applyBorder="1" applyAlignment="1">
      <alignment horizontal="center" vertical="center"/>
    </xf>
    <xf numFmtId="0" fontId="26" fillId="2" borderId="94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165" fontId="19" fillId="0" borderId="8" xfId="0" applyNumberFormat="1" applyFont="1" applyBorder="1" applyAlignment="1">
      <alignment horizontal="center" vertical="center"/>
    </xf>
    <xf numFmtId="165" fontId="19" fillId="0" borderId="7" xfId="0" applyNumberFormat="1" applyFont="1" applyBorder="1" applyAlignment="1">
      <alignment horizontal="center" vertical="center"/>
    </xf>
    <xf numFmtId="165" fontId="19" fillId="0" borderId="9" xfId="0" applyNumberFormat="1" applyFont="1" applyBorder="1" applyAlignment="1">
      <alignment horizontal="center" vertical="center"/>
    </xf>
    <xf numFmtId="16" fontId="15" fillId="5" borderId="8" xfId="0" applyNumberFormat="1" applyFont="1" applyFill="1" applyBorder="1" applyAlignment="1">
      <alignment horizontal="center" vertical="center"/>
    </xf>
    <xf numFmtId="16" fontId="15" fillId="5" borderId="7" xfId="0" applyNumberFormat="1" applyFont="1" applyFill="1" applyBorder="1" applyAlignment="1">
      <alignment horizontal="center" vertical="center"/>
    </xf>
    <xf numFmtId="16" fontId="15" fillId="5" borderId="9" xfId="0" applyNumberFormat="1" applyFont="1" applyFill="1" applyBorder="1" applyAlignment="1">
      <alignment horizontal="center" vertical="center"/>
    </xf>
    <xf numFmtId="16" fontId="15" fillId="4" borderId="8" xfId="0" applyNumberFormat="1" applyFont="1" applyFill="1" applyBorder="1" applyAlignment="1">
      <alignment horizontal="center" vertical="center"/>
    </xf>
    <xf numFmtId="16" fontId="15" fillId="4" borderId="7" xfId="0" applyNumberFormat="1" applyFont="1" applyFill="1" applyBorder="1" applyAlignment="1">
      <alignment horizontal="center" vertical="center"/>
    </xf>
    <xf numFmtId="16" fontId="15" fillId="4" borderId="9" xfId="0" applyNumberFormat="1" applyFont="1" applyFill="1" applyBorder="1" applyAlignment="1">
      <alignment horizontal="center" vertical="center"/>
    </xf>
    <xf numFmtId="16" fontId="15" fillId="0" borderId="8" xfId="0" applyNumberFormat="1" applyFont="1" applyFill="1" applyBorder="1" applyAlignment="1">
      <alignment horizontal="center" vertical="center"/>
    </xf>
    <xf numFmtId="16" fontId="15" fillId="0" borderId="7" xfId="0" applyNumberFormat="1" applyFont="1" applyFill="1" applyBorder="1" applyAlignment="1">
      <alignment horizontal="center" vertical="center"/>
    </xf>
    <xf numFmtId="16" fontId="15" fillId="13" borderId="8" xfId="0" applyNumberFormat="1" applyFont="1" applyFill="1" applyBorder="1" applyAlignment="1">
      <alignment horizontal="center" vertical="center"/>
    </xf>
    <xf numFmtId="16" fontId="15" fillId="13" borderId="7" xfId="0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16" fontId="15" fillId="4" borderId="8" xfId="0" applyNumberFormat="1" applyFont="1" applyFill="1" applyBorder="1" applyAlignment="1">
      <alignment horizontal="center" vertical="center" wrapText="1"/>
    </xf>
    <xf numFmtId="16" fontId="15" fillId="4" borderId="7" xfId="0" applyNumberFormat="1" applyFont="1" applyFill="1" applyBorder="1" applyAlignment="1">
      <alignment horizontal="center" vertical="center" wrapText="1"/>
    </xf>
    <xf numFmtId="16" fontId="15" fillId="4" borderId="9" xfId="0" applyNumberFormat="1" applyFont="1" applyFill="1" applyBorder="1" applyAlignment="1">
      <alignment horizontal="center" vertical="center" wrapText="1"/>
    </xf>
    <xf numFmtId="16" fontId="15" fillId="5" borderId="8" xfId="0" applyNumberFormat="1" applyFont="1" applyFill="1" applyBorder="1" applyAlignment="1">
      <alignment horizontal="center" vertical="center" wrapText="1"/>
    </xf>
    <xf numFmtId="16" fontId="15" fillId="5" borderId="7" xfId="0" applyNumberFormat="1" applyFont="1" applyFill="1" applyBorder="1" applyAlignment="1">
      <alignment horizontal="center" vertical="center" wrapText="1"/>
    </xf>
    <xf numFmtId="16" fontId="15" fillId="5" borderId="9" xfId="0" applyNumberFormat="1" applyFont="1" applyFill="1" applyBorder="1" applyAlignment="1">
      <alignment horizontal="center" vertical="center" wrapText="1"/>
    </xf>
    <xf numFmtId="16" fontId="15" fillId="13" borderId="9" xfId="0" applyNumberFormat="1" applyFont="1" applyFill="1" applyBorder="1" applyAlignment="1">
      <alignment horizontal="center" vertical="center"/>
    </xf>
    <xf numFmtId="16" fontId="15" fillId="4" borderId="91" xfId="0" applyNumberFormat="1" applyFont="1" applyFill="1" applyBorder="1" applyAlignment="1">
      <alignment horizontal="center" vertical="center"/>
    </xf>
    <xf numFmtId="16" fontId="15" fillId="4" borderId="93" xfId="0" applyNumberFormat="1" applyFont="1" applyFill="1" applyBorder="1" applyAlignment="1">
      <alignment horizontal="center" vertical="center"/>
    </xf>
    <xf numFmtId="16" fontId="15" fillId="4" borderId="92" xfId="0" applyNumberFormat="1" applyFont="1" applyFill="1" applyBorder="1" applyAlignment="1">
      <alignment horizontal="center" vertical="center"/>
    </xf>
    <xf numFmtId="16" fontId="15" fillId="5" borderId="5" xfId="0" applyNumberFormat="1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/>
    </xf>
    <xf numFmtId="16" fontId="33" fillId="13" borderId="8" xfId="0" applyNumberFormat="1" applyFont="1" applyFill="1" applyBorder="1" applyAlignment="1">
      <alignment horizontal="center" vertical="center"/>
    </xf>
    <xf numFmtId="16" fontId="33" fillId="13" borderId="7" xfId="0" applyNumberFormat="1" applyFont="1" applyFill="1" applyBorder="1" applyAlignment="1">
      <alignment horizontal="center" vertical="center"/>
    </xf>
    <xf numFmtId="16" fontId="33" fillId="13" borderId="9" xfId="0" applyNumberFormat="1" applyFont="1" applyFill="1" applyBorder="1" applyAlignment="1">
      <alignment horizontal="center" vertical="center"/>
    </xf>
    <xf numFmtId="16" fontId="15" fillId="4" borderId="5" xfId="0" applyNumberFormat="1" applyFont="1" applyFill="1" applyBorder="1" applyAlignment="1">
      <alignment horizontal="center" vertical="center"/>
    </xf>
    <xf numFmtId="16" fontId="15" fillId="13" borderId="5" xfId="0" applyNumberFormat="1" applyFont="1" applyFill="1" applyBorder="1" applyAlignment="1">
      <alignment horizontal="center" vertical="center"/>
    </xf>
    <xf numFmtId="16" fontId="15" fillId="7" borderId="8" xfId="0" applyNumberFormat="1" applyFont="1" applyFill="1" applyBorder="1" applyAlignment="1">
      <alignment horizontal="center" vertical="center"/>
    </xf>
    <xf numFmtId="16" fontId="15" fillId="7" borderId="7" xfId="0" applyNumberFormat="1" applyFont="1" applyFill="1" applyBorder="1" applyAlignment="1">
      <alignment horizontal="center" vertical="center"/>
    </xf>
    <xf numFmtId="16" fontId="15" fillId="7" borderId="5" xfId="0" applyNumberFormat="1" applyFont="1" applyFill="1" applyBorder="1" applyAlignment="1">
      <alignment horizontal="center" vertical="center"/>
    </xf>
    <xf numFmtId="16" fontId="15" fillId="4" borderId="16" xfId="0" applyNumberFormat="1" applyFont="1" applyFill="1" applyBorder="1" applyAlignment="1">
      <alignment horizontal="center" vertical="center"/>
    </xf>
    <xf numFmtId="16" fontId="15" fillId="4" borderId="89" xfId="0" applyNumberFormat="1" applyFont="1" applyFill="1" applyBorder="1" applyAlignment="1">
      <alignment horizontal="center" vertical="center"/>
    </xf>
    <xf numFmtId="16" fontId="15" fillId="11" borderId="8" xfId="0" applyNumberFormat="1" applyFont="1" applyFill="1" applyBorder="1" applyAlignment="1">
      <alignment horizontal="center" vertical="center"/>
    </xf>
    <xf numFmtId="16" fontId="15" fillId="11" borderId="7" xfId="0" applyNumberFormat="1" applyFont="1" applyFill="1" applyBorder="1" applyAlignment="1">
      <alignment horizontal="center" vertical="center"/>
    </xf>
    <xf numFmtId="16" fontId="15" fillId="11" borderId="9" xfId="0" applyNumberFormat="1" applyFont="1" applyFill="1" applyBorder="1" applyAlignment="1">
      <alignment horizontal="center" vertical="center"/>
    </xf>
    <xf numFmtId="16" fontId="15" fillId="4" borderId="90" xfId="0" applyNumberFormat="1" applyFont="1" applyFill="1" applyBorder="1" applyAlignment="1">
      <alignment horizontal="center" vertical="center"/>
    </xf>
    <xf numFmtId="16" fontId="15" fillId="4" borderId="32" xfId="0" applyNumberFormat="1" applyFont="1" applyFill="1" applyBorder="1" applyAlignment="1">
      <alignment horizontal="center" vertical="center"/>
    </xf>
    <xf numFmtId="16" fontId="15" fillId="11" borderId="16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/>
    </xf>
    <xf numFmtId="0" fontId="43" fillId="19" borderId="1" xfId="0" applyFont="1" applyFill="1" applyBorder="1" applyAlignment="1">
      <alignment horizontal="left" vertical="center"/>
    </xf>
    <xf numFmtId="0" fontId="26" fillId="2" borderId="20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165" fontId="42" fillId="10" borderId="8" xfId="0" applyNumberFormat="1" applyFont="1" applyFill="1" applyBorder="1" applyAlignment="1">
      <alignment horizontal="center" vertical="center"/>
    </xf>
    <xf numFmtId="165" fontId="42" fillId="10" borderId="7" xfId="0" applyNumberFormat="1" applyFont="1" applyFill="1" applyBorder="1" applyAlignment="1">
      <alignment horizontal="center" vertical="center"/>
    </xf>
    <xf numFmtId="165" fontId="42" fillId="10" borderId="9" xfId="0" applyNumberFormat="1" applyFont="1" applyFill="1" applyBorder="1" applyAlignment="1">
      <alignment horizontal="center" vertical="center"/>
    </xf>
    <xf numFmtId="165" fontId="19" fillId="4" borderId="1" xfId="0" applyNumberFormat="1" applyFont="1" applyFill="1" applyBorder="1" applyAlignment="1">
      <alignment horizontal="center" vertical="center"/>
    </xf>
    <xf numFmtId="165" fontId="19" fillId="13" borderId="1" xfId="0" applyNumberFormat="1" applyFont="1" applyFill="1" applyBorder="1" applyAlignment="1">
      <alignment horizontal="center" vertical="center"/>
    </xf>
    <xf numFmtId="165" fontId="19" fillId="8" borderId="7" xfId="0" applyNumberFormat="1" applyFont="1" applyFill="1" applyBorder="1" applyAlignment="1">
      <alignment horizontal="center" vertical="center"/>
    </xf>
    <xf numFmtId="165" fontId="19" fillId="4" borderId="32" xfId="0" applyNumberFormat="1" applyFont="1" applyFill="1" applyBorder="1" applyAlignment="1">
      <alignment horizontal="center" vertical="center"/>
    </xf>
    <xf numFmtId="165" fontId="19" fillId="5" borderId="46" xfId="0" applyNumberFormat="1" applyFont="1" applyFill="1" applyBorder="1" applyAlignment="1">
      <alignment horizontal="center" vertical="center" wrapText="1"/>
    </xf>
    <xf numFmtId="165" fontId="19" fillId="5" borderId="33" xfId="0" applyNumberFormat="1" applyFont="1" applyFill="1" applyBorder="1" applyAlignment="1">
      <alignment horizontal="center" vertical="center" wrapText="1"/>
    </xf>
    <xf numFmtId="165" fontId="19" fillId="13" borderId="46" xfId="0" applyNumberFormat="1" applyFont="1" applyFill="1" applyBorder="1" applyAlignment="1">
      <alignment horizontal="center" vertical="center" wrapText="1"/>
    </xf>
    <xf numFmtId="165" fontId="19" fillId="13" borderId="47" xfId="0" applyNumberFormat="1" applyFont="1" applyFill="1" applyBorder="1" applyAlignment="1">
      <alignment horizontal="center" vertical="center" wrapText="1"/>
    </xf>
    <xf numFmtId="165" fontId="19" fillId="13" borderId="33" xfId="0" applyNumberFormat="1" applyFont="1" applyFill="1" applyBorder="1" applyAlignment="1">
      <alignment horizontal="center" vertical="center" wrapText="1"/>
    </xf>
    <xf numFmtId="165" fontId="19" fillId="5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16" fontId="15" fillId="8" borderId="8" xfId="0" applyNumberFormat="1" applyFont="1" applyFill="1" applyBorder="1" applyAlignment="1">
      <alignment horizontal="center" vertical="center"/>
    </xf>
    <xf numFmtId="16" fontId="15" fillId="8" borderId="9" xfId="0" applyNumberFormat="1" applyFont="1" applyFill="1" applyBorder="1" applyAlignment="1">
      <alignment horizontal="center" vertical="center"/>
    </xf>
    <xf numFmtId="16" fontId="15" fillId="5" borderId="1" xfId="0" applyNumberFormat="1" applyFont="1" applyFill="1" applyBorder="1" applyAlignment="1">
      <alignment horizontal="center" vertical="center"/>
    </xf>
    <xf numFmtId="16" fontId="15" fillId="8" borderId="1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6" fontId="15" fillId="8" borderId="7" xfId="0" applyNumberFormat="1" applyFont="1" applyFill="1" applyBorder="1" applyAlignment="1">
      <alignment horizontal="center" vertical="center"/>
    </xf>
    <xf numFmtId="16" fontId="15" fillId="10" borderId="8" xfId="0" applyNumberFormat="1" applyFont="1" applyFill="1" applyBorder="1" applyAlignment="1">
      <alignment horizontal="center" vertical="center"/>
    </xf>
    <xf numFmtId="16" fontId="15" fillId="10" borderId="7" xfId="0" applyNumberFormat="1" applyFont="1" applyFill="1" applyBorder="1" applyAlignment="1">
      <alignment horizontal="center" vertical="center"/>
    </xf>
    <xf numFmtId="16" fontId="15" fillId="4" borderId="1" xfId="0" applyNumberFormat="1" applyFont="1" applyFill="1" applyBorder="1" applyAlignment="1">
      <alignment horizontal="center" vertical="center"/>
    </xf>
    <xf numFmtId="16" fontId="15" fillId="6" borderId="8" xfId="0" applyNumberFormat="1" applyFont="1" applyFill="1" applyBorder="1" applyAlignment="1">
      <alignment horizontal="center" vertical="center"/>
    </xf>
    <xf numFmtId="16" fontId="15" fillId="6" borderId="7" xfId="0" applyNumberFormat="1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16" fontId="33" fillId="10" borderId="8" xfId="0" applyNumberFormat="1" applyFont="1" applyFill="1" applyBorder="1" applyAlignment="1">
      <alignment horizontal="center" vertical="center"/>
    </xf>
    <xf numFmtId="16" fontId="33" fillId="10" borderId="7" xfId="0" applyNumberFormat="1" applyFont="1" applyFill="1" applyBorder="1" applyAlignment="1">
      <alignment horizontal="center" vertical="center"/>
    </xf>
    <xf numFmtId="16" fontId="33" fillId="10" borderId="9" xfId="0" applyNumberFormat="1" applyFont="1" applyFill="1" applyBorder="1" applyAlignment="1">
      <alignment horizontal="center" vertical="center"/>
    </xf>
    <xf numFmtId="16" fontId="15" fillId="10" borderId="1" xfId="0" applyNumberFormat="1" applyFont="1" applyFill="1" applyBorder="1" applyAlignment="1">
      <alignment horizontal="center" vertical="center"/>
    </xf>
    <xf numFmtId="16" fontId="15" fillId="15" borderId="8" xfId="0" applyNumberFormat="1" applyFont="1" applyFill="1" applyBorder="1" applyAlignment="1">
      <alignment horizontal="center" vertical="center"/>
    </xf>
    <xf numFmtId="16" fontId="15" fillId="15" borderId="7" xfId="0" applyNumberFormat="1" applyFont="1" applyFill="1" applyBorder="1" applyAlignment="1">
      <alignment horizontal="center" vertical="center"/>
    </xf>
    <xf numFmtId="16" fontId="15" fillId="15" borderId="9" xfId="0" applyNumberFormat="1" applyFont="1" applyFill="1" applyBorder="1" applyAlignment="1">
      <alignment horizontal="center" vertical="center"/>
    </xf>
    <xf numFmtId="16" fontId="15" fillId="10" borderId="9" xfId="0" applyNumberFormat="1" applyFont="1" applyFill="1" applyBorder="1" applyAlignment="1">
      <alignment horizontal="center" vertical="center"/>
    </xf>
    <xf numFmtId="16" fontId="15" fillId="7" borderId="9" xfId="0" applyNumberFormat="1" applyFont="1" applyFill="1" applyBorder="1" applyAlignment="1">
      <alignment horizontal="center" vertical="center"/>
    </xf>
    <xf numFmtId="16" fontId="15" fillId="11" borderId="1" xfId="0" applyNumberFormat="1" applyFont="1" applyFill="1" applyBorder="1" applyAlignment="1">
      <alignment horizontal="center" vertical="center"/>
    </xf>
    <xf numFmtId="16" fontId="15" fillId="15" borderId="1" xfId="0" applyNumberFormat="1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 wrapText="1"/>
    </xf>
    <xf numFmtId="16" fontId="15" fillId="17" borderId="8" xfId="0" applyNumberFormat="1" applyFont="1" applyFill="1" applyBorder="1" applyAlignment="1">
      <alignment horizontal="center" vertical="center"/>
    </xf>
    <xf numFmtId="16" fontId="15" fillId="17" borderId="9" xfId="0" applyNumberFormat="1" applyFont="1" applyFill="1" applyBorder="1" applyAlignment="1">
      <alignment horizontal="center" vertical="center"/>
    </xf>
    <xf numFmtId="165" fontId="41" fillId="4" borderId="98" xfId="0" applyNumberFormat="1" applyFont="1" applyFill="1" applyBorder="1" applyAlignment="1">
      <alignment horizontal="center" vertical="center"/>
    </xf>
    <xf numFmtId="165" fontId="41" fillId="4" borderId="7" xfId="0" applyNumberFormat="1" applyFont="1" applyFill="1" applyBorder="1" applyAlignment="1">
      <alignment horizontal="center" vertical="center"/>
    </xf>
    <xf numFmtId="165" fontId="41" fillId="4" borderId="96" xfId="0" applyNumberFormat="1" applyFont="1" applyFill="1" applyBorder="1" applyAlignment="1">
      <alignment horizontal="center" vertical="center"/>
    </xf>
    <xf numFmtId="165" fontId="41" fillId="4" borderId="9" xfId="0" applyNumberFormat="1" applyFont="1" applyFill="1" applyBorder="1" applyAlignment="1">
      <alignment horizontal="center" vertical="center"/>
    </xf>
    <xf numFmtId="165" fontId="41" fillId="4" borderId="95" xfId="0" applyNumberFormat="1" applyFont="1" applyFill="1" applyBorder="1" applyAlignment="1">
      <alignment horizontal="center" vertical="center"/>
    </xf>
    <xf numFmtId="165" fontId="41" fillId="4" borderId="8" xfId="0" applyNumberFormat="1" applyFont="1" applyFill="1" applyBorder="1" applyAlignment="1">
      <alignment horizontal="center" vertical="center"/>
    </xf>
    <xf numFmtId="16" fontId="33" fillId="8" borderId="8" xfId="0" applyNumberFormat="1" applyFont="1" applyFill="1" applyBorder="1" applyAlignment="1">
      <alignment horizontal="center" vertical="center"/>
    </xf>
    <xf numFmtId="16" fontId="33" fillId="8" borderId="7" xfId="0" applyNumberFormat="1" applyFont="1" applyFill="1" applyBorder="1" applyAlignment="1">
      <alignment horizontal="center" vertical="center"/>
    </xf>
    <xf numFmtId="16" fontId="33" fillId="8" borderId="9" xfId="0" applyNumberFormat="1" applyFont="1" applyFill="1" applyBorder="1" applyAlignment="1">
      <alignment horizontal="center" vertical="center"/>
    </xf>
    <xf numFmtId="16" fontId="15" fillId="6" borderId="9" xfId="0" applyNumberFormat="1" applyFont="1" applyFill="1" applyBorder="1" applyAlignment="1">
      <alignment horizontal="center" vertical="center"/>
    </xf>
    <xf numFmtId="16" fontId="33" fillId="10" borderId="1" xfId="0" applyNumberFormat="1" applyFont="1" applyFill="1" applyBorder="1" applyAlignment="1">
      <alignment horizontal="center" vertical="center"/>
    </xf>
    <xf numFmtId="16" fontId="33" fillId="5" borderId="8" xfId="0" applyNumberFormat="1" applyFont="1" applyFill="1" applyBorder="1" applyAlignment="1">
      <alignment horizontal="center" vertical="center"/>
    </xf>
    <xf numFmtId="16" fontId="33" fillId="5" borderId="7" xfId="0" applyNumberFormat="1" applyFont="1" applyFill="1" applyBorder="1" applyAlignment="1">
      <alignment horizontal="center" vertical="center"/>
    </xf>
    <xf numFmtId="16" fontId="33" fillId="5" borderId="9" xfId="0" applyNumberFormat="1" applyFont="1" applyFill="1" applyBorder="1" applyAlignment="1">
      <alignment horizontal="center" vertical="center"/>
    </xf>
    <xf numFmtId="16" fontId="14" fillId="11" borderId="8" xfId="0" applyNumberFormat="1" applyFont="1" applyFill="1" applyBorder="1" applyAlignment="1">
      <alignment horizontal="center" vertical="center"/>
    </xf>
    <xf numFmtId="16" fontId="14" fillId="11" borderId="7" xfId="0" applyNumberFormat="1" applyFont="1" applyFill="1" applyBorder="1" applyAlignment="1">
      <alignment horizontal="center" vertical="center"/>
    </xf>
    <xf numFmtId="16" fontId="14" fillId="11" borderId="9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6" fontId="14" fillId="11" borderId="1" xfId="0" applyNumberFormat="1" applyFont="1" applyFill="1" applyBorder="1" applyAlignment="1">
      <alignment horizontal="center" vertical="center"/>
    </xf>
    <xf numFmtId="16" fontId="14" fillId="4" borderId="8" xfId="0" applyNumberFormat="1" applyFont="1" applyFill="1" applyBorder="1" applyAlignment="1">
      <alignment horizontal="center" vertical="center"/>
    </xf>
    <xf numFmtId="16" fontId="14" fillId="4" borderId="7" xfId="0" applyNumberFormat="1" applyFont="1" applyFill="1" applyBorder="1" applyAlignment="1">
      <alignment horizontal="center" vertical="center"/>
    </xf>
    <xf numFmtId="16" fontId="14" fillId="4" borderId="9" xfId="0" applyNumberFormat="1" applyFont="1" applyFill="1" applyBorder="1" applyAlignment="1">
      <alignment horizontal="center" vertical="center"/>
    </xf>
    <xf numFmtId="16" fontId="14" fillId="4" borderId="1" xfId="0" applyNumberFormat="1" applyFont="1" applyFill="1" applyBorder="1" applyAlignment="1">
      <alignment horizontal="center" vertical="center"/>
    </xf>
    <xf numFmtId="16" fontId="14" fillId="5" borderId="8" xfId="0" applyNumberFormat="1" applyFont="1" applyFill="1" applyBorder="1" applyAlignment="1">
      <alignment horizontal="center" vertical="center"/>
    </xf>
    <xf numFmtId="16" fontId="14" fillId="5" borderId="7" xfId="0" applyNumberFormat="1" applyFont="1" applyFill="1" applyBorder="1" applyAlignment="1">
      <alignment horizontal="center" vertical="center"/>
    </xf>
    <xf numFmtId="16" fontId="14" fillId="5" borderId="9" xfId="0" applyNumberFormat="1" applyFont="1" applyFill="1" applyBorder="1" applyAlignment="1">
      <alignment horizontal="center" vertical="center"/>
    </xf>
    <xf numFmtId="16" fontId="18" fillId="11" borderId="8" xfId="0" applyNumberFormat="1" applyFont="1" applyFill="1" applyBorder="1" applyAlignment="1">
      <alignment horizontal="center" vertical="center"/>
    </xf>
    <xf numFmtId="16" fontId="18" fillId="11" borderId="9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10" borderId="8" xfId="0" applyNumberFormat="1" applyFont="1" applyFill="1" applyBorder="1" applyAlignment="1">
      <alignment horizontal="center" vertical="center"/>
    </xf>
    <xf numFmtId="16" fontId="14" fillId="10" borderId="7" xfId="0" applyNumberFormat="1" applyFont="1" applyFill="1" applyBorder="1" applyAlignment="1">
      <alignment horizontal="center" vertical="center"/>
    </xf>
    <xf numFmtId="16" fontId="10" fillId="4" borderId="8" xfId="0" applyNumberFormat="1" applyFont="1" applyFill="1" applyBorder="1" applyAlignment="1">
      <alignment horizontal="center" vertical="center"/>
    </xf>
    <xf numFmtId="16" fontId="10" fillId="4" borderId="7" xfId="0" applyNumberFormat="1" applyFont="1" applyFill="1" applyBorder="1" applyAlignment="1">
      <alignment horizontal="center" vertical="center"/>
    </xf>
    <xf numFmtId="16" fontId="10" fillId="8" borderId="8" xfId="0" applyNumberFormat="1" applyFont="1" applyFill="1" applyBorder="1" applyAlignment="1">
      <alignment horizontal="center" vertical="center"/>
    </xf>
    <xf numFmtId="16" fontId="10" fillId="8" borderId="9" xfId="0" applyNumberFormat="1" applyFont="1" applyFill="1" applyBorder="1" applyAlignment="1">
      <alignment horizontal="center" vertical="center"/>
    </xf>
    <xf numFmtId="16" fontId="10" fillId="4" borderId="1" xfId="0" applyNumberFormat="1" applyFont="1" applyFill="1" applyBorder="1" applyAlignment="1">
      <alignment horizontal="center" vertical="center"/>
    </xf>
    <xf numFmtId="165" fontId="10" fillId="7" borderId="8" xfId="0" applyNumberFormat="1" applyFont="1" applyFill="1" applyBorder="1" applyAlignment="1">
      <alignment horizontal="center" vertical="center"/>
    </xf>
    <xf numFmtId="165" fontId="10" fillId="7" borderId="9" xfId="0" applyNumberFormat="1" applyFont="1" applyFill="1" applyBorder="1" applyAlignment="1">
      <alignment horizontal="center" vertical="center"/>
    </xf>
    <xf numFmtId="16" fontId="10" fillId="8" borderId="1" xfId="0" applyNumberFormat="1" applyFont="1" applyFill="1" applyBorder="1" applyAlignment="1">
      <alignment horizontal="center" vertical="center"/>
    </xf>
    <xf numFmtId="16" fontId="10" fillId="4" borderId="9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" fontId="10" fillId="4" borderId="2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6" fontId="10" fillId="4" borderId="5" xfId="0" applyNumberFormat="1" applyFont="1" applyFill="1" applyBorder="1" applyAlignment="1">
      <alignment horizontal="center" vertical="center"/>
    </xf>
    <xf numFmtId="16" fontId="10" fillId="4" borderId="6" xfId="0" applyNumberFormat="1" applyFont="1" applyFill="1" applyBorder="1" applyAlignment="1">
      <alignment horizontal="center" vertical="center"/>
    </xf>
    <xf numFmtId="16" fontId="10" fillId="4" borderId="3" xfId="0" applyNumberFormat="1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left" vertical="center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16" fontId="10" fillId="8" borderId="7" xfId="0" applyNumberFormat="1" applyFont="1" applyFill="1" applyBorder="1" applyAlignment="1">
      <alignment horizontal="center" vertical="center"/>
    </xf>
    <xf numFmtId="16" fontId="14" fillId="10" borderId="9" xfId="0" applyNumberFormat="1" applyFont="1" applyFill="1" applyBorder="1" applyAlignment="1">
      <alignment horizontal="center" vertical="center"/>
    </xf>
    <xf numFmtId="14" fontId="10" fillId="8" borderId="7" xfId="0" applyNumberFormat="1" applyFont="1" applyFill="1" applyBorder="1" applyAlignment="1">
      <alignment horizontal="center" vertical="center"/>
    </xf>
    <xf numFmtId="16" fontId="14" fillId="4" borderId="32" xfId="0" applyNumberFormat="1" applyFont="1" applyFill="1" applyBorder="1" applyAlignment="1">
      <alignment horizontal="center" vertical="center"/>
    </xf>
    <xf numFmtId="16" fontId="18" fillId="4" borderId="8" xfId="0" applyNumberFormat="1" applyFont="1" applyFill="1" applyBorder="1" applyAlignment="1">
      <alignment horizontal="center" vertical="center"/>
    </xf>
    <xf numFmtId="16" fontId="18" fillId="4" borderId="7" xfId="0" applyNumberFormat="1" applyFont="1" applyFill="1" applyBorder="1" applyAlignment="1">
      <alignment horizontal="center" vertical="center"/>
    </xf>
    <xf numFmtId="16" fontId="18" fillId="4" borderId="9" xfId="0" applyNumberFormat="1" applyFont="1" applyFill="1" applyBorder="1" applyAlignment="1">
      <alignment horizontal="center" vertical="center"/>
    </xf>
    <xf numFmtId="16" fontId="14" fillId="4" borderId="31" xfId="0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16" fontId="10" fillId="5" borderId="8" xfId="0" applyNumberFormat="1" applyFont="1" applyFill="1" applyBorder="1" applyAlignment="1">
      <alignment horizontal="center" vertical="center"/>
    </xf>
    <xf numFmtId="16" fontId="10" fillId="5" borderId="9" xfId="0" applyNumberFormat="1" applyFont="1" applyFill="1" applyBorder="1" applyAlignment="1">
      <alignment horizontal="center" vertical="center"/>
    </xf>
    <xf numFmtId="16" fontId="14" fillId="13" borderId="8" xfId="0" applyNumberFormat="1" applyFont="1" applyFill="1" applyBorder="1" applyAlignment="1">
      <alignment horizontal="center" vertical="center"/>
    </xf>
    <xf numFmtId="16" fontId="14" fillId="13" borderId="7" xfId="0" applyNumberFormat="1" applyFont="1" applyFill="1" applyBorder="1" applyAlignment="1">
      <alignment horizontal="center" vertical="center"/>
    </xf>
    <xf numFmtId="16" fontId="18" fillId="4" borderId="1" xfId="0" applyNumberFormat="1" applyFont="1" applyFill="1" applyBorder="1" applyAlignment="1">
      <alignment horizontal="center" vertical="center"/>
    </xf>
    <xf numFmtId="16" fontId="18" fillId="10" borderId="8" xfId="0" applyNumberFormat="1" applyFont="1" applyFill="1" applyBorder="1" applyAlignment="1">
      <alignment horizontal="center" vertical="center"/>
    </xf>
    <xf numFmtId="16" fontId="18" fillId="10" borderId="7" xfId="0" applyNumberFormat="1" applyFont="1" applyFill="1" applyBorder="1" applyAlignment="1">
      <alignment horizontal="center" vertical="center"/>
    </xf>
    <xf numFmtId="16" fontId="18" fillId="10" borderId="9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57D3FF"/>
      <color rgb="FFFFFFCC"/>
      <color rgb="FF862088"/>
      <color rgb="FF00FF00"/>
      <color rgb="FFFFFFFF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AUTOMOBILE/02.Manufacturing/12.Metal_Assembly_shop/5.LOGISTIC/III.%20Kho%20P%20part/2.%20Theo%20Doi%20order%20NVL/3.%20ORDER%20Thang%203/260324_THEO%20DOI%20ODER%20NVL_P_S3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.AUTOMOBILE/02.Manufacturing/12.Metal_Assembly_shop/5.LOGISTIC/III.%20Kho%20P%20part/2.%20Theo%20Doi%20order%20NVL/3.%20ORDER%20Thang%203/260323_THEO%20DOI%20ODER%20NVL_P_S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0"/>
      <sheetName val="Sheet11"/>
      <sheetName val="BC"/>
      <sheetName val="Order"/>
      <sheetName val="Sheet9"/>
      <sheetName val="Packing.BOM"/>
    </sheetNames>
    <sheetDataSet>
      <sheetData sheetId="0"/>
      <sheetData sheetId="1"/>
      <sheetData sheetId="2">
        <row r="3">
          <cell r="A3" t="str">
            <v>Count of Mã NVL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"/>
      <sheetName val="Order"/>
      <sheetName val="Packing.BOM"/>
    </sheetNames>
    <sheetDataSet>
      <sheetData sheetId="0">
        <row r="3">
          <cell r="A3" t="str">
            <v>Count of Mã NVL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65F4-C913-4BC2-ABAF-31B973EAD98C}">
  <sheetPr codeName="Sheet1" filterMode="1">
    <tabColor rgb="FF00FF00"/>
    <pageSetUpPr autoPageBreaks="0"/>
  </sheetPr>
  <dimension ref="B1:Y3687"/>
  <sheetViews>
    <sheetView showGridLines="0" tabSelected="1" topLeftCell="B1" zoomScale="85" zoomScaleNormal="85" zoomScaleSheetLayoutView="100" workbookViewId="0">
      <pane ySplit="5" topLeftCell="A6" activePane="bottomLeft" state="frozen"/>
      <selection activeCell="N12" sqref="N12"/>
      <selection pane="bottomLeft" activeCell="J3695" sqref="J3695"/>
    </sheetView>
  </sheetViews>
  <sheetFormatPr defaultColWidth="9.28515625" defaultRowHeight="12.75" outlineLevelCol="1" x14ac:dyDescent="0.2"/>
  <cols>
    <col min="1" max="1" width="9.28515625" style="83"/>
    <col min="2" max="2" width="9.7109375" style="264" customWidth="1" outlineLevel="1"/>
    <col min="3" max="3" width="9.28515625" style="264" customWidth="1" outlineLevel="1"/>
    <col min="4" max="4" width="13.42578125" style="264" customWidth="1" outlineLevel="1"/>
    <col min="5" max="5" width="9.42578125" style="264" customWidth="1" outlineLevel="1"/>
    <col min="6" max="6" width="3.42578125" style="89" customWidth="1"/>
    <col min="7" max="7" width="16.28515625" style="84" customWidth="1"/>
    <col min="8" max="8" width="18" style="84" bestFit="1" customWidth="1"/>
    <col min="9" max="9" width="10.28515625" style="84" customWidth="1"/>
    <col min="10" max="10" width="13.85546875" style="84" customWidth="1"/>
    <col min="11" max="12" width="9.28515625" style="84" customWidth="1"/>
    <col min="13" max="13" width="12.7109375" style="85" customWidth="1"/>
    <col min="14" max="14" width="11.85546875" style="84" customWidth="1"/>
    <col min="15" max="15" width="9.28515625" style="84" customWidth="1"/>
    <col min="16" max="16" width="9.28515625" style="85" customWidth="1"/>
    <col min="17" max="17" width="9.28515625" style="86" customWidth="1"/>
    <col min="18" max="20" width="9.28515625" style="84" customWidth="1"/>
    <col min="21" max="21" width="11.7109375" style="87" customWidth="1"/>
    <col min="22" max="22" width="42.42578125" style="83" customWidth="1"/>
    <col min="23" max="24" width="7.28515625" style="88" customWidth="1"/>
    <col min="25" max="25" width="10.7109375" style="85" bestFit="1" customWidth="1"/>
    <col min="26" max="16384" width="9.28515625" style="83"/>
  </cols>
  <sheetData>
    <row r="1" spans="2:25" x14ac:dyDescent="0.2">
      <c r="B1" s="83"/>
      <c r="C1" s="83"/>
      <c r="D1" s="83"/>
      <c r="E1" s="83"/>
      <c r="F1" s="83"/>
      <c r="G1" s="83"/>
      <c r="Y1" s="84"/>
    </row>
    <row r="2" spans="2:25" ht="21" customHeight="1" x14ac:dyDescent="0.2">
      <c r="B2" s="872" t="s">
        <v>47</v>
      </c>
      <c r="C2" s="873"/>
      <c r="D2" s="873"/>
      <c r="E2" s="873"/>
      <c r="G2" s="874" t="s">
        <v>226</v>
      </c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874"/>
    </row>
    <row r="3" spans="2:25" ht="8.25" customHeight="1" x14ac:dyDescent="0.2">
      <c r="B3" s="873"/>
      <c r="C3" s="873"/>
      <c r="D3" s="873"/>
      <c r="E3" s="873"/>
      <c r="G3" s="874"/>
      <c r="H3" s="874"/>
      <c r="I3" s="874"/>
      <c r="J3" s="874"/>
      <c r="K3" s="874"/>
      <c r="L3" s="874"/>
      <c r="M3" s="874"/>
      <c r="N3" s="874"/>
      <c r="O3" s="874"/>
      <c r="P3" s="874"/>
      <c r="Q3" s="874"/>
      <c r="R3" s="874"/>
      <c r="S3" s="874"/>
      <c r="T3" s="874"/>
      <c r="U3" s="874"/>
      <c r="V3" s="874"/>
      <c r="Y3" s="90" t="s">
        <v>48</v>
      </c>
    </row>
    <row r="4" spans="2:25" s="97" customFormat="1" ht="55.5" customHeight="1" x14ac:dyDescent="0.2">
      <c r="B4" s="91" t="s">
        <v>0</v>
      </c>
      <c r="C4" s="91" t="s">
        <v>1</v>
      </c>
      <c r="D4" s="91" t="s">
        <v>2</v>
      </c>
      <c r="E4" s="91" t="s">
        <v>3</v>
      </c>
      <c r="F4" s="89"/>
      <c r="G4" s="92" t="s">
        <v>3</v>
      </c>
      <c r="H4" s="93" t="s">
        <v>4</v>
      </c>
      <c r="I4" s="93" t="s">
        <v>5</v>
      </c>
      <c r="J4" s="93" t="s">
        <v>6</v>
      </c>
      <c r="K4" s="93" t="s">
        <v>33</v>
      </c>
      <c r="L4" s="59" t="s">
        <v>34</v>
      </c>
      <c r="M4" s="93" t="s">
        <v>7</v>
      </c>
      <c r="N4" s="94" t="s">
        <v>35</v>
      </c>
      <c r="O4" s="59" t="s">
        <v>36</v>
      </c>
      <c r="P4" s="94" t="s">
        <v>8</v>
      </c>
      <c r="Q4" s="95" t="s">
        <v>9</v>
      </c>
      <c r="R4" s="59" t="s">
        <v>37</v>
      </c>
      <c r="S4" s="59" t="s">
        <v>38</v>
      </c>
      <c r="T4" s="59" t="s">
        <v>39</v>
      </c>
      <c r="U4" s="96" t="s">
        <v>10</v>
      </c>
      <c r="V4" s="93" t="s">
        <v>11</v>
      </c>
      <c r="W4" s="88"/>
      <c r="X4" s="88"/>
      <c r="Y4" s="94" t="s">
        <v>46</v>
      </c>
    </row>
    <row r="5" spans="2:25" s="97" customFormat="1" ht="7.5" customHeight="1" x14ac:dyDescent="0.2">
      <c r="B5" s="98"/>
      <c r="C5" s="98"/>
      <c r="D5" s="98"/>
      <c r="E5" s="98"/>
      <c r="F5" s="89"/>
      <c r="G5" s="99"/>
      <c r="H5" s="99"/>
      <c r="I5" s="99"/>
      <c r="J5" s="99"/>
      <c r="K5" s="99"/>
      <c r="L5" s="99"/>
      <c r="M5" s="100"/>
      <c r="N5" s="99"/>
      <c r="O5" s="99"/>
      <c r="P5" s="100"/>
      <c r="Q5" s="101"/>
      <c r="R5" s="99"/>
      <c r="S5" s="99"/>
      <c r="T5" s="99"/>
      <c r="U5" s="102"/>
      <c r="V5" s="103"/>
      <c r="W5" s="88"/>
      <c r="X5" s="88"/>
      <c r="Y5" s="100"/>
    </row>
    <row r="6" spans="2:25" s="97" customFormat="1" ht="22.5" hidden="1" customHeight="1" x14ac:dyDescent="0.2">
      <c r="B6" s="711">
        <v>46093</v>
      </c>
      <c r="C6" s="105" t="s">
        <v>18</v>
      </c>
      <c r="D6" s="105" t="s">
        <v>20</v>
      </c>
      <c r="E6" s="711">
        <v>46093</v>
      </c>
      <c r="F6" s="89"/>
      <c r="G6" s="833">
        <v>46093</v>
      </c>
      <c r="H6" s="106" t="s">
        <v>17</v>
      </c>
      <c r="I6" s="106" t="s">
        <v>18</v>
      </c>
      <c r="J6" s="106">
        <v>61</v>
      </c>
      <c r="K6" s="106">
        <v>47</v>
      </c>
      <c r="L6" s="106">
        <v>14</v>
      </c>
      <c r="M6" s="107"/>
      <c r="N6" s="106">
        <v>0</v>
      </c>
      <c r="O6" s="106"/>
      <c r="P6" s="107"/>
      <c r="Q6" s="108">
        <f t="shared" ref="Q6:Q37" si="0">(K6+L6)/J6</f>
        <v>1</v>
      </c>
      <c r="R6" s="109">
        <f t="shared" ref="R6:R37" si="1">N6/J6</f>
        <v>0</v>
      </c>
      <c r="S6" s="109">
        <f t="shared" ref="S6:S37" si="2">P6/J6</f>
        <v>0</v>
      </c>
      <c r="T6" s="109">
        <f t="shared" ref="T6:T69" si="3">O6/J6</f>
        <v>0</v>
      </c>
      <c r="U6" s="110">
        <f t="shared" ref="U6:U37" si="4">S6+R6+Q6+T6</f>
        <v>1</v>
      </c>
      <c r="V6" s="111" t="s">
        <v>21</v>
      </c>
      <c r="W6" s="88"/>
      <c r="X6" s="88"/>
      <c r="Y6" s="112"/>
    </row>
    <row r="7" spans="2:25" s="97" customFormat="1" ht="16.5" hidden="1" customHeight="1" x14ac:dyDescent="0.2">
      <c r="B7" s="711">
        <v>46093</v>
      </c>
      <c r="C7" s="105" t="s">
        <v>18</v>
      </c>
      <c r="D7" s="105" t="s">
        <v>20</v>
      </c>
      <c r="E7" s="711">
        <v>46093</v>
      </c>
      <c r="F7" s="89"/>
      <c r="G7" s="835"/>
      <c r="H7" s="113" t="s">
        <v>19</v>
      </c>
      <c r="I7" s="113"/>
      <c r="J7" s="113">
        <f>SUM(J4:J6)</f>
        <v>61</v>
      </c>
      <c r="K7" s="113">
        <f>SUM(K4:K6)</f>
        <v>47</v>
      </c>
      <c r="L7" s="113">
        <f>SUM(L4:L6)</f>
        <v>14</v>
      </c>
      <c r="M7" s="114">
        <f>SUM(M4:M6)</f>
        <v>0</v>
      </c>
      <c r="N7" s="113">
        <f>SUM(N4:N6)</f>
        <v>0</v>
      </c>
      <c r="O7" s="113"/>
      <c r="P7" s="114">
        <f>SUM(P4:P6)</f>
        <v>0</v>
      </c>
      <c r="Q7" s="115">
        <f t="shared" si="0"/>
        <v>1</v>
      </c>
      <c r="R7" s="116">
        <f t="shared" si="1"/>
        <v>0</v>
      </c>
      <c r="S7" s="116">
        <f t="shared" si="2"/>
        <v>0</v>
      </c>
      <c r="T7" s="116">
        <f t="shared" si="3"/>
        <v>0</v>
      </c>
      <c r="U7" s="117">
        <f t="shared" si="4"/>
        <v>1</v>
      </c>
      <c r="V7" s="111" t="s">
        <v>21</v>
      </c>
      <c r="W7" s="88"/>
      <c r="X7" s="88"/>
      <c r="Y7" s="118"/>
    </row>
    <row r="8" spans="2:25" s="97" customFormat="1" ht="16.5" hidden="1" customHeight="1" x14ac:dyDescent="0.2">
      <c r="B8" s="711">
        <v>46093</v>
      </c>
      <c r="C8" s="105" t="s">
        <v>18</v>
      </c>
      <c r="D8" s="105" t="s">
        <v>20</v>
      </c>
      <c r="E8" s="711">
        <v>46094</v>
      </c>
      <c r="F8" s="89"/>
      <c r="G8" s="833">
        <v>46094</v>
      </c>
      <c r="H8" s="106" t="s">
        <v>14</v>
      </c>
      <c r="I8" s="106" t="s">
        <v>15</v>
      </c>
      <c r="J8" s="106">
        <v>209</v>
      </c>
      <c r="K8" s="106">
        <f>(J8)-(L8+M8+N8+P8)</f>
        <v>143</v>
      </c>
      <c r="L8" s="106">
        <v>25</v>
      </c>
      <c r="M8" s="107">
        <v>36</v>
      </c>
      <c r="N8" s="106">
        <v>0</v>
      </c>
      <c r="O8" s="106"/>
      <c r="P8" s="107">
        <v>5</v>
      </c>
      <c r="Q8" s="108">
        <f t="shared" si="0"/>
        <v>0.80382775119617222</v>
      </c>
      <c r="R8" s="109">
        <f t="shared" si="1"/>
        <v>0</v>
      </c>
      <c r="S8" s="109">
        <f t="shared" si="2"/>
        <v>2.3923444976076555E-2</v>
      </c>
      <c r="T8" s="109">
        <f t="shared" si="3"/>
        <v>0</v>
      </c>
      <c r="U8" s="110">
        <f t="shared" si="4"/>
        <v>0.82775119617224879</v>
      </c>
      <c r="V8" s="111" t="s">
        <v>21</v>
      </c>
      <c r="W8" s="88"/>
      <c r="X8" s="88"/>
      <c r="Y8" s="119">
        <f>U8</f>
        <v>0.82775119617224879</v>
      </c>
    </row>
    <row r="9" spans="2:25" s="97" customFormat="1" ht="16.5" hidden="1" customHeight="1" x14ac:dyDescent="0.2">
      <c r="B9" s="711">
        <v>46093</v>
      </c>
      <c r="C9" s="105" t="s">
        <v>18</v>
      </c>
      <c r="D9" s="105" t="s">
        <v>20</v>
      </c>
      <c r="E9" s="711">
        <v>46094</v>
      </c>
      <c r="F9" s="89"/>
      <c r="G9" s="834"/>
      <c r="H9" s="120" t="s">
        <v>16</v>
      </c>
      <c r="I9" s="120" t="s">
        <v>12</v>
      </c>
      <c r="J9" s="120">
        <v>211</v>
      </c>
      <c r="K9" s="120">
        <f>(J9)-(L9+M9+N9+P9)</f>
        <v>0</v>
      </c>
      <c r="L9" s="120">
        <v>0</v>
      </c>
      <c r="M9" s="121">
        <v>193</v>
      </c>
      <c r="N9" s="120">
        <v>12</v>
      </c>
      <c r="O9" s="120"/>
      <c r="P9" s="121">
        <v>6</v>
      </c>
      <c r="Q9" s="122">
        <f t="shared" si="0"/>
        <v>0</v>
      </c>
      <c r="R9" s="123">
        <f t="shared" si="1"/>
        <v>5.6872037914691941E-2</v>
      </c>
      <c r="S9" s="123">
        <f t="shared" si="2"/>
        <v>2.843601895734597E-2</v>
      </c>
      <c r="T9" s="123">
        <f t="shared" si="3"/>
        <v>0</v>
      </c>
      <c r="U9" s="124">
        <f t="shared" si="4"/>
        <v>8.5308056872037907E-2</v>
      </c>
      <c r="V9" s="125"/>
      <c r="W9" s="88"/>
      <c r="X9" s="88"/>
      <c r="Y9" s="126"/>
    </row>
    <row r="10" spans="2:25" s="97" customFormat="1" ht="16.5" hidden="1" customHeight="1" x14ac:dyDescent="0.2">
      <c r="B10" s="711">
        <v>46093</v>
      </c>
      <c r="C10" s="105" t="s">
        <v>18</v>
      </c>
      <c r="D10" s="105" t="s">
        <v>20</v>
      </c>
      <c r="E10" s="711">
        <v>46094</v>
      </c>
      <c r="F10" s="89"/>
      <c r="G10" s="834"/>
      <c r="H10" s="120" t="s">
        <v>17</v>
      </c>
      <c r="I10" s="120" t="s">
        <v>18</v>
      </c>
      <c r="J10" s="120">
        <v>147</v>
      </c>
      <c r="K10" s="120">
        <f>(J10)-(L10+M10+N10+P10)</f>
        <v>4</v>
      </c>
      <c r="L10" s="120">
        <v>6</v>
      </c>
      <c r="M10" s="121">
        <v>132</v>
      </c>
      <c r="N10" s="120">
        <v>0</v>
      </c>
      <c r="O10" s="120"/>
      <c r="P10" s="121">
        <v>5</v>
      </c>
      <c r="Q10" s="122">
        <f t="shared" si="0"/>
        <v>6.8027210884353748E-2</v>
      </c>
      <c r="R10" s="123">
        <f t="shared" si="1"/>
        <v>0</v>
      </c>
      <c r="S10" s="123">
        <f t="shared" si="2"/>
        <v>3.4013605442176874E-2</v>
      </c>
      <c r="T10" s="123">
        <f t="shared" si="3"/>
        <v>0</v>
      </c>
      <c r="U10" s="124">
        <f t="shared" si="4"/>
        <v>0.10204081632653061</v>
      </c>
      <c r="V10" s="125"/>
      <c r="W10" s="88"/>
      <c r="X10" s="88"/>
      <c r="Y10" s="126"/>
    </row>
    <row r="11" spans="2:25" s="97" customFormat="1" ht="16.5" hidden="1" customHeight="1" x14ac:dyDescent="0.2">
      <c r="B11" s="711">
        <v>46093</v>
      </c>
      <c r="C11" s="105" t="s">
        <v>18</v>
      </c>
      <c r="D11" s="105" t="s">
        <v>20</v>
      </c>
      <c r="E11" s="711">
        <v>46094</v>
      </c>
      <c r="F11" s="89"/>
      <c r="G11" s="835"/>
      <c r="H11" s="113" t="s">
        <v>19</v>
      </c>
      <c r="I11" s="113"/>
      <c r="J11" s="113">
        <f>SUM(J8:J10)</f>
        <v>567</v>
      </c>
      <c r="K11" s="113">
        <f>SUM(K8:K10)</f>
        <v>147</v>
      </c>
      <c r="L11" s="113">
        <f>SUM(L8:L10)</f>
        <v>31</v>
      </c>
      <c r="M11" s="114">
        <f>SUM(M8:M10)</f>
        <v>361</v>
      </c>
      <c r="N11" s="113">
        <f>SUM(N8:N10)</f>
        <v>12</v>
      </c>
      <c r="O11" s="113"/>
      <c r="P11" s="114">
        <f>SUM(P8:P10)</f>
        <v>16</v>
      </c>
      <c r="Q11" s="115">
        <f t="shared" si="0"/>
        <v>0.31393298059964725</v>
      </c>
      <c r="R11" s="116">
        <f t="shared" si="1"/>
        <v>2.1164021164021163E-2</v>
      </c>
      <c r="S11" s="116">
        <f t="shared" si="2"/>
        <v>2.821869488536155E-2</v>
      </c>
      <c r="T11" s="116">
        <f t="shared" si="3"/>
        <v>0</v>
      </c>
      <c r="U11" s="117">
        <f t="shared" si="4"/>
        <v>0.36331569664902996</v>
      </c>
      <c r="V11" s="127"/>
      <c r="W11" s="88"/>
      <c r="X11" s="88"/>
      <c r="Y11" s="118"/>
    </row>
    <row r="12" spans="2:25" ht="16.5" hidden="1" customHeight="1" x14ac:dyDescent="0.2">
      <c r="B12" s="711">
        <v>46094</v>
      </c>
      <c r="C12" s="105" t="s">
        <v>22</v>
      </c>
      <c r="D12" s="105" t="s">
        <v>23</v>
      </c>
      <c r="E12" s="711">
        <v>46094</v>
      </c>
      <c r="G12" s="833">
        <v>46094</v>
      </c>
      <c r="H12" s="106" t="s">
        <v>14</v>
      </c>
      <c r="I12" s="106" t="s">
        <v>15</v>
      </c>
      <c r="J12" s="106">
        <v>209</v>
      </c>
      <c r="K12" s="106">
        <f>(J12)-(L12+M12+N12+P12)</f>
        <v>164</v>
      </c>
      <c r="L12" s="106">
        <v>30</v>
      </c>
      <c r="M12" s="107">
        <v>10</v>
      </c>
      <c r="N12" s="106">
        <v>0</v>
      </c>
      <c r="O12" s="106"/>
      <c r="P12" s="107">
        <v>5</v>
      </c>
      <c r="Q12" s="108">
        <f t="shared" si="0"/>
        <v>0.92822966507177029</v>
      </c>
      <c r="R12" s="109">
        <f t="shared" si="1"/>
        <v>0</v>
      </c>
      <c r="S12" s="109">
        <f t="shared" si="2"/>
        <v>2.3923444976076555E-2</v>
      </c>
      <c r="T12" s="109">
        <f t="shared" si="3"/>
        <v>0</v>
      </c>
      <c r="U12" s="110">
        <f t="shared" si="4"/>
        <v>0.95215311004784686</v>
      </c>
      <c r="V12" s="111" t="s">
        <v>21</v>
      </c>
      <c r="Y12" s="119">
        <f>U12</f>
        <v>0.95215311004784686</v>
      </c>
    </row>
    <row r="13" spans="2:25" ht="16.5" hidden="1" customHeight="1" x14ac:dyDescent="0.2">
      <c r="B13" s="711">
        <v>46094</v>
      </c>
      <c r="C13" s="105" t="s">
        <v>22</v>
      </c>
      <c r="D13" s="105" t="s">
        <v>23</v>
      </c>
      <c r="E13" s="711">
        <v>46094</v>
      </c>
      <c r="G13" s="834"/>
      <c r="H13" s="120" t="s">
        <v>16</v>
      </c>
      <c r="I13" s="120" t="s">
        <v>12</v>
      </c>
      <c r="J13" s="120">
        <v>211</v>
      </c>
      <c r="K13" s="120">
        <f>(J13)-(L13+M13+N13+P13)</f>
        <v>155</v>
      </c>
      <c r="L13" s="120">
        <v>18</v>
      </c>
      <c r="M13" s="121">
        <v>20</v>
      </c>
      <c r="N13" s="120">
        <v>12</v>
      </c>
      <c r="O13" s="120"/>
      <c r="P13" s="121">
        <v>6</v>
      </c>
      <c r="Q13" s="122">
        <f t="shared" si="0"/>
        <v>0.81990521327014221</v>
      </c>
      <c r="R13" s="123">
        <f t="shared" si="1"/>
        <v>5.6872037914691941E-2</v>
      </c>
      <c r="S13" s="123">
        <f t="shared" si="2"/>
        <v>2.843601895734597E-2</v>
      </c>
      <c r="T13" s="123">
        <f t="shared" si="3"/>
        <v>0</v>
      </c>
      <c r="U13" s="124">
        <f t="shared" si="4"/>
        <v>0.90521327014218012</v>
      </c>
      <c r="V13" s="125" t="s">
        <v>21</v>
      </c>
      <c r="Y13" s="128">
        <f>U13</f>
        <v>0.90521327014218012</v>
      </c>
    </row>
    <row r="14" spans="2:25" ht="16.5" hidden="1" customHeight="1" x14ac:dyDescent="0.2">
      <c r="B14" s="711">
        <v>46094</v>
      </c>
      <c r="C14" s="105" t="s">
        <v>22</v>
      </c>
      <c r="D14" s="105" t="s">
        <v>23</v>
      </c>
      <c r="E14" s="711">
        <v>46094</v>
      </c>
      <c r="G14" s="834"/>
      <c r="H14" s="120" t="s">
        <v>17</v>
      </c>
      <c r="I14" s="120" t="s">
        <v>18</v>
      </c>
      <c r="J14" s="120">
        <v>137</v>
      </c>
      <c r="K14" s="120">
        <f>(J14)-(L14+M14+N14+P14)</f>
        <v>17</v>
      </c>
      <c r="L14" s="120">
        <v>0</v>
      </c>
      <c r="M14" s="121">
        <v>74</v>
      </c>
      <c r="N14" s="120">
        <v>41</v>
      </c>
      <c r="O14" s="120"/>
      <c r="P14" s="121">
        <v>5</v>
      </c>
      <c r="Q14" s="122">
        <f t="shared" si="0"/>
        <v>0.12408759124087591</v>
      </c>
      <c r="R14" s="123">
        <f t="shared" si="1"/>
        <v>0.29927007299270075</v>
      </c>
      <c r="S14" s="123">
        <f t="shared" si="2"/>
        <v>3.6496350364963501E-2</v>
      </c>
      <c r="T14" s="123">
        <f t="shared" si="3"/>
        <v>0</v>
      </c>
      <c r="U14" s="124">
        <f t="shared" si="4"/>
        <v>0.4598540145985402</v>
      </c>
      <c r="V14" s="125"/>
      <c r="Y14" s="126"/>
    </row>
    <row r="15" spans="2:25" ht="16.5" hidden="1" customHeight="1" x14ac:dyDescent="0.2">
      <c r="B15" s="711">
        <v>46094</v>
      </c>
      <c r="C15" s="105" t="s">
        <v>22</v>
      </c>
      <c r="D15" s="105" t="s">
        <v>23</v>
      </c>
      <c r="E15" s="711">
        <v>46094</v>
      </c>
      <c r="G15" s="835"/>
      <c r="H15" s="113" t="s">
        <v>19</v>
      </c>
      <c r="I15" s="113"/>
      <c r="J15" s="113">
        <f>SUM(J12:J14)</f>
        <v>557</v>
      </c>
      <c r="K15" s="113">
        <f>SUM(K12:K14)</f>
        <v>336</v>
      </c>
      <c r="L15" s="113">
        <f>SUM(L12:L14)</f>
        <v>48</v>
      </c>
      <c r="M15" s="114">
        <f>SUM(M12:M14)</f>
        <v>104</v>
      </c>
      <c r="N15" s="113">
        <f>SUM(N12:N14)</f>
        <v>53</v>
      </c>
      <c r="O15" s="113"/>
      <c r="P15" s="114">
        <f>SUM(P12:P14)</f>
        <v>16</v>
      </c>
      <c r="Q15" s="115">
        <f t="shared" si="0"/>
        <v>0.6894075403949731</v>
      </c>
      <c r="R15" s="116">
        <f t="shared" si="1"/>
        <v>9.515260323159784E-2</v>
      </c>
      <c r="S15" s="116">
        <f t="shared" si="2"/>
        <v>2.8725314183123879E-2</v>
      </c>
      <c r="T15" s="116">
        <f t="shared" si="3"/>
        <v>0</v>
      </c>
      <c r="U15" s="117">
        <f t="shared" si="4"/>
        <v>0.81328545780969486</v>
      </c>
      <c r="V15" s="129"/>
      <c r="Y15" s="118"/>
    </row>
    <row r="16" spans="2:25" ht="16.5" hidden="1" customHeight="1" x14ac:dyDescent="0.2">
      <c r="B16" s="711">
        <v>46094</v>
      </c>
      <c r="C16" s="105" t="s">
        <v>12</v>
      </c>
      <c r="D16" s="130" t="s">
        <v>13</v>
      </c>
      <c r="E16" s="711">
        <v>46094</v>
      </c>
      <c r="G16" s="833">
        <v>46094</v>
      </c>
      <c r="H16" s="106" t="s">
        <v>14</v>
      </c>
      <c r="I16" s="106" t="s">
        <v>15</v>
      </c>
      <c r="J16" s="106">
        <v>209</v>
      </c>
      <c r="K16" s="106">
        <f>(J16)-(L16+M16+N16+P16)</f>
        <v>170</v>
      </c>
      <c r="L16" s="131">
        <v>36</v>
      </c>
      <c r="M16" s="132">
        <v>0</v>
      </c>
      <c r="N16" s="131">
        <v>0</v>
      </c>
      <c r="O16" s="131"/>
      <c r="P16" s="132">
        <v>3</v>
      </c>
      <c r="Q16" s="108">
        <f t="shared" si="0"/>
        <v>0.9856459330143541</v>
      </c>
      <c r="R16" s="109">
        <f t="shared" si="1"/>
        <v>0</v>
      </c>
      <c r="S16" s="109">
        <f t="shared" si="2"/>
        <v>1.4354066985645933E-2</v>
      </c>
      <c r="T16" s="109">
        <f t="shared" si="3"/>
        <v>0</v>
      </c>
      <c r="U16" s="110">
        <f t="shared" si="4"/>
        <v>1</v>
      </c>
      <c r="V16" s="133" t="s">
        <v>28</v>
      </c>
      <c r="Y16" s="112"/>
    </row>
    <row r="17" spans="2:25" ht="16.5" hidden="1" customHeight="1" x14ac:dyDescent="0.2">
      <c r="B17" s="711">
        <v>46094</v>
      </c>
      <c r="C17" s="105" t="s">
        <v>12</v>
      </c>
      <c r="D17" s="130" t="s">
        <v>13</v>
      </c>
      <c r="E17" s="711">
        <v>46094</v>
      </c>
      <c r="G17" s="834"/>
      <c r="H17" s="120" t="s">
        <v>26</v>
      </c>
      <c r="I17" s="120" t="s">
        <v>12</v>
      </c>
      <c r="J17" s="120">
        <v>3</v>
      </c>
      <c r="K17" s="120">
        <f>(J17)-(L17+M17+N17+P17)</f>
        <v>3</v>
      </c>
      <c r="L17" s="134">
        <v>0</v>
      </c>
      <c r="M17" s="135">
        <v>0</v>
      </c>
      <c r="N17" s="134">
        <v>0</v>
      </c>
      <c r="O17" s="134"/>
      <c r="P17" s="135">
        <v>0</v>
      </c>
      <c r="Q17" s="122">
        <f t="shared" si="0"/>
        <v>1</v>
      </c>
      <c r="R17" s="123">
        <f t="shared" si="1"/>
        <v>0</v>
      </c>
      <c r="S17" s="123">
        <f t="shared" si="2"/>
        <v>0</v>
      </c>
      <c r="T17" s="123">
        <f t="shared" si="3"/>
        <v>0</v>
      </c>
      <c r="U17" s="124">
        <f t="shared" si="4"/>
        <v>1</v>
      </c>
      <c r="V17" s="136" t="s">
        <v>29</v>
      </c>
      <c r="Y17" s="126"/>
    </row>
    <row r="18" spans="2:25" ht="16.5" hidden="1" customHeight="1" x14ac:dyDescent="0.2">
      <c r="B18" s="711">
        <v>46094</v>
      </c>
      <c r="C18" s="105" t="s">
        <v>12</v>
      </c>
      <c r="D18" s="130" t="s">
        <v>13</v>
      </c>
      <c r="E18" s="711">
        <v>46094</v>
      </c>
      <c r="G18" s="834"/>
      <c r="H18" s="120" t="s">
        <v>16</v>
      </c>
      <c r="I18" s="120" t="s">
        <v>12</v>
      </c>
      <c r="J18" s="120">
        <v>211</v>
      </c>
      <c r="K18" s="120">
        <f>(J18)-(L18+M18+N18+P18)</f>
        <v>172</v>
      </c>
      <c r="L18" s="134">
        <f>18+15</f>
        <v>33</v>
      </c>
      <c r="M18" s="135">
        <v>0</v>
      </c>
      <c r="N18" s="134">
        <v>0</v>
      </c>
      <c r="O18" s="134"/>
      <c r="P18" s="135">
        <v>6</v>
      </c>
      <c r="Q18" s="122">
        <f t="shared" si="0"/>
        <v>0.97156398104265407</v>
      </c>
      <c r="R18" s="123">
        <f t="shared" si="1"/>
        <v>0</v>
      </c>
      <c r="S18" s="123">
        <f t="shared" si="2"/>
        <v>2.843601895734597E-2</v>
      </c>
      <c r="T18" s="123">
        <f t="shared" si="3"/>
        <v>0</v>
      </c>
      <c r="U18" s="124">
        <f t="shared" si="4"/>
        <v>1</v>
      </c>
      <c r="V18" s="111" t="s">
        <v>30</v>
      </c>
      <c r="Y18" s="126"/>
    </row>
    <row r="19" spans="2:25" ht="16.5" hidden="1" customHeight="1" x14ac:dyDescent="0.2">
      <c r="B19" s="711">
        <v>46094</v>
      </c>
      <c r="C19" s="105" t="s">
        <v>12</v>
      </c>
      <c r="D19" s="130" t="s">
        <v>13</v>
      </c>
      <c r="E19" s="711">
        <v>46094</v>
      </c>
      <c r="G19" s="834"/>
      <c r="H19" s="120" t="s">
        <v>17</v>
      </c>
      <c r="I19" s="120" t="s">
        <v>18</v>
      </c>
      <c r="J19" s="120">
        <v>137</v>
      </c>
      <c r="K19" s="120">
        <f>(J19)-(L19+M19+N19+P19)</f>
        <v>91</v>
      </c>
      <c r="L19" s="120">
        <v>17</v>
      </c>
      <c r="M19" s="121">
        <v>24</v>
      </c>
      <c r="N19" s="120">
        <v>0</v>
      </c>
      <c r="O19" s="120"/>
      <c r="P19" s="121">
        <v>5</v>
      </c>
      <c r="Q19" s="122">
        <f t="shared" si="0"/>
        <v>0.78832116788321172</v>
      </c>
      <c r="R19" s="123">
        <f t="shared" si="1"/>
        <v>0</v>
      </c>
      <c r="S19" s="123">
        <f t="shared" si="2"/>
        <v>3.6496350364963501E-2</v>
      </c>
      <c r="T19" s="123">
        <f t="shared" si="3"/>
        <v>0</v>
      </c>
      <c r="U19" s="124">
        <f t="shared" si="4"/>
        <v>0.82481751824817517</v>
      </c>
      <c r="V19" s="125" t="s">
        <v>31</v>
      </c>
      <c r="Y19" s="128">
        <f>U19</f>
        <v>0.82481751824817517</v>
      </c>
    </row>
    <row r="20" spans="2:25" ht="16.5" hidden="1" customHeight="1" x14ac:dyDescent="0.2">
      <c r="B20" s="711">
        <v>46094</v>
      </c>
      <c r="C20" s="105" t="s">
        <v>12</v>
      </c>
      <c r="D20" s="130" t="s">
        <v>13</v>
      </c>
      <c r="E20" s="711">
        <v>46094</v>
      </c>
      <c r="G20" s="835"/>
      <c r="H20" s="113" t="s">
        <v>19</v>
      </c>
      <c r="I20" s="113"/>
      <c r="J20" s="113">
        <f>SUM(J16:J19)</f>
        <v>560</v>
      </c>
      <c r="K20" s="113">
        <f>SUM(K16:K19)</f>
        <v>436</v>
      </c>
      <c r="L20" s="113">
        <f>SUM(L16:L19)</f>
        <v>86</v>
      </c>
      <c r="M20" s="114">
        <f>SUM(M16:M19)</f>
        <v>24</v>
      </c>
      <c r="N20" s="113">
        <f>SUM(N16:N19)</f>
        <v>0</v>
      </c>
      <c r="O20" s="113"/>
      <c r="P20" s="114">
        <f>SUM(P16:P19)</f>
        <v>14</v>
      </c>
      <c r="Q20" s="115">
        <f t="shared" si="0"/>
        <v>0.93214285714285716</v>
      </c>
      <c r="R20" s="116">
        <f t="shared" si="1"/>
        <v>0</v>
      </c>
      <c r="S20" s="116">
        <f t="shared" si="2"/>
        <v>2.5000000000000001E-2</v>
      </c>
      <c r="T20" s="116">
        <f t="shared" si="3"/>
        <v>0</v>
      </c>
      <c r="U20" s="117">
        <f t="shared" si="4"/>
        <v>0.95714285714285718</v>
      </c>
      <c r="V20" s="129"/>
      <c r="Y20" s="118"/>
    </row>
    <row r="21" spans="2:25" ht="16.5" hidden="1" customHeight="1" x14ac:dyDescent="0.2">
      <c r="B21" s="711">
        <v>46094</v>
      </c>
      <c r="C21" s="105" t="s">
        <v>12</v>
      </c>
      <c r="D21" s="130" t="s">
        <v>13</v>
      </c>
      <c r="E21" s="711">
        <v>46095</v>
      </c>
      <c r="G21" s="833">
        <v>46095</v>
      </c>
      <c r="H21" s="131" t="s">
        <v>24</v>
      </c>
      <c r="I21" s="131" t="s">
        <v>12</v>
      </c>
      <c r="J21" s="131">
        <v>182</v>
      </c>
      <c r="K21" s="106">
        <f>(J21)-(L21+M21+N21+P21)</f>
        <v>0</v>
      </c>
      <c r="L21" s="131">
        <v>0</v>
      </c>
      <c r="M21" s="132">
        <v>174</v>
      </c>
      <c r="N21" s="131">
        <v>0</v>
      </c>
      <c r="O21" s="131"/>
      <c r="P21" s="132">
        <v>8</v>
      </c>
      <c r="Q21" s="108">
        <f t="shared" si="0"/>
        <v>0</v>
      </c>
      <c r="R21" s="109">
        <f t="shared" si="1"/>
        <v>0</v>
      </c>
      <c r="S21" s="109">
        <f t="shared" si="2"/>
        <v>4.3956043956043959E-2</v>
      </c>
      <c r="T21" s="109">
        <f t="shared" si="3"/>
        <v>0</v>
      </c>
      <c r="U21" s="110">
        <f t="shared" si="4"/>
        <v>4.3956043956043959E-2</v>
      </c>
      <c r="V21" s="125"/>
      <c r="Y21" s="112"/>
    </row>
    <row r="22" spans="2:25" ht="16.5" hidden="1" customHeight="1" x14ac:dyDescent="0.2">
      <c r="B22" s="711">
        <v>46094</v>
      </c>
      <c r="C22" s="105" t="s">
        <v>12</v>
      </c>
      <c r="D22" s="130" t="s">
        <v>13</v>
      </c>
      <c r="E22" s="711">
        <v>46095</v>
      </c>
      <c r="G22" s="834"/>
      <c r="H22" s="134" t="s">
        <v>14</v>
      </c>
      <c r="I22" s="134" t="s">
        <v>22</v>
      </c>
      <c r="J22" s="134">
        <v>202</v>
      </c>
      <c r="K22" s="120">
        <f>(J22)-(L22+M22+N22+P22)</f>
        <v>82</v>
      </c>
      <c r="L22" s="134">
        <v>18</v>
      </c>
      <c r="M22" s="135">
        <v>69</v>
      </c>
      <c r="N22" s="134">
        <v>24</v>
      </c>
      <c r="O22" s="134"/>
      <c r="P22" s="135">
        <v>9</v>
      </c>
      <c r="Q22" s="122">
        <f t="shared" si="0"/>
        <v>0.49504950495049505</v>
      </c>
      <c r="R22" s="123">
        <f t="shared" si="1"/>
        <v>0.11881188118811881</v>
      </c>
      <c r="S22" s="123">
        <f t="shared" si="2"/>
        <v>4.4554455445544552E-2</v>
      </c>
      <c r="T22" s="123">
        <f t="shared" si="3"/>
        <v>0</v>
      </c>
      <c r="U22" s="124">
        <f t="shared" si="4"/>
        <v>0.65841584158415833</v>
      </c>
      <c r="V22" s="125"/>
      <c r="Y22" s="126"/>
    </row>
    <row r="23" spans="2:25" ht="16.5" hidden="1" customHeight="1" x14ac:dyDescent="0.2">
      <c r="B23" s="711">
        <v>46094</v>
      </c>
      <c r="C23" s="105" t="s">
        <v>12</v>
      </c>
      <c r="D23" s="130" t="s">
        <v>13</v>
      </c>
      <c r="E23" s="711">
        <v>46095</v>
      </c>
      <c r="G23" s="834"/>
      <c r="H23" s="134" t="s">
        <v>25</v>
      </c>
      <c r="I23" s="134" t="s">
        <v>27</v>
      </c>
      <c r="J23" s="134">
        <v>204</v>
      </c>
      <c r="K23" s="120">
        <f>(J23)-(L23+M23+N23+P23)</f>
        <v>3</v>
      </c>
      <c r="L23" s="134">
        <v>0</v>
      </c>
      <c r="M23" s="135">
        <v>194</v>
      </c>
      <c r="N23" s="134">
        <v>0</v>
      </c>
      <c r="O23" s="134"/>
      <c r="P23" s="135">
        <v>7</v>
      </c>
      <c r="Q23" s="122">
        <f t="shared" si="0"/>
        <v>1.4705882352941176E-2</v>
      </c>
      <c r="R23" s="123">
        <f t="shared" si="1"/>
        <v>0</v>
      </c>
      <c r="S23" s="123">
        <f t="shared" si="2"/>
        <v>3.4313725490196081E-2</v>
      </c>
      <c r="T23" s="123">
        <f t="shared" si="3"/>
        <v>0</v>
      </c>
      <c r="U23" s="124">
        <f t="shared" si="4"/>
        <v>4.9019607843137261E-2</v>
      </c>
      <c r="V23" s="125"/>
      <c r="Y23" s="126"/>
    </row>
    <row r="24" spans="2:25" ht="16.5" hidden="1" customHeight="1" x14ac:dyDescent="0.2">
      <c r="B24" s="711">
        <v>46094</v>
      </c>
      <c r="C24" s="105" t="s">
        <v>12</v>
      </c>
      <c r="D24" s="130" t="s">
        <v>13</v>
      </c>
      <c r="E24" s="711">
        <v>46095</v>
      </c>
      <c r="G24" s="834"/>
      <c r="H24" s="134" t="s">
        <v>26</v>
      </c>
      <c r="I24" s="134" t="s">
        <v>12</v>
      </c>
      <c r="J24" s="134">
        <v>6</v>
      </c>
      <c r="K24" s="120">
        <f>(J24)-(L24+M24+N24+P24)</f>
        <v>0</v>
      </c>
      <c r="L24" s="134">
        <v>0</v>
      </c>
      <c r="M24" s="135">
        <v>6</v>
      </c>
      <c r="N24" s="134">
        <v>0</v>
      </c>
      <c r="O24" s="134"/>
      <c r="P24" s="135">
        <v>0</v>
      </c>
      <c r="Q24" s="122">
        <f t="shared" si="0"/>
        <v>0</v>
      </c>
      <c r="R24" s="123">
        <f t="shared" si="1"/>
        <v>0</v>
      </c>
      <c r="S24" s="123">
        <f t="shared" si="2"/>
        <v>0</v>
      </c>
      <c r="T24" s="123">
        <f t="shared" si="3"/>
        <v>0</v>
      </c>
      <c r="U24" s="124">
        <f t="shared" si="4"/>
        <v>0</v>
      </c>
      <c r="V24" s="125"/>
      <c r="Y24" s="126"/>
    </row>
    <row r="25" spans="2:25" ht="16.5" hidden="1" customHeight="1" x14ac:dyDescent="0.2">
      <c r="B25" s="711">
        <v>46094</v>
      </c>
      <c r="C25" s="105" t="s">
        <v>12</v>
      </c>
      <c r="D25" s="130" t="s">
        <v>13</v>
      </c>
      <c r="E25" s="711">
        <v>46095</v>
      </c>
      <c r="G25" s="835"/>
      <c r="H25" s="113" t="s">
        <v>19</v>
      </c>
      <c r="I25" s="113"/>
      <c r="J25" s="113">
        <f>SUM(J21:J24)</f>
        <v>594</v>
      </c>
      <c r="K25" s="113">
        <f>SUM(K21:K24)</f>
        <v>85</v>
      </c>
      <c r="L25" s="113">
        <f>SUM(L21:L24)</f>
        <v>18</v>
      </c>
      <c r="M25" s="114">
        <f>SUM(M21:M24)</f>
        <v>443</v>
      </c>
      <c r="N25" s="113">
        <f>SUM(N21:N24)</f>
        <v>24</v>
      </c>
      <c r="O25" s="113"/>
      <c r="P25" s="114">
        <f>SUM(P21:P24)</f>
        <v>24</v>
      </c>
      <c r="Q25" s="115">
        <f t="shared" si="0"/>
        <v>0.17340067340067339</v>
      </c>
      <c r="R25" s="116">
        <f t="shared" si="1"/>
        <v>4.0404040404040407E-2</v>
      </c>
      <c r="S25" s="116">
        <f t="shared" si="2"/>
        <v>4.0404040404040407E-2</v>
      </c>
      <c r="T25" s="116">
        <f t="shared" si="3"/>
        <v>0</v>
      </c>
      <c r="U25" s="117">
        <f t="shared" si="4"/>
        <v>0.25420875420875422</v>
      </c>
      <c r="V25" s="137"/>
      <c r="Y25" s="118"/>
    </row>
    <row r="26" spans="2:25" s="97" customFormat="1" ht="16.5" hidden="1" customHeight="1" x14ac:dyDescent="0.2">
      <c r="B26" s="711">
        <v>46094</v>
      </c>
      <c r="C26" s="105" t="s">
        <v>18</v>
      </c>
      <c r="D26" s="105" t="s">
        <v>20</v>
      </c>
      <c r="E26" s="711">
        <v>46094</v>
      </c>
      <c r="F26" s="89"/>
      <c r="G26" s="833">
        <v>46094</v>
      </c>
      <c r="H26" s="120" t="s">
        <v>17</v>
      </c>
      <c r="I26" s="120" t="s">
        <v>18</v>
      </c>
      <c r="J26" s="120">
        <v>38</v>
      </c>
      <c r="K26" s="120">
        <f>(J26)-(L26+M26+N26+P26)</f>
        <v>11</v>
      </c>
      <c r="L26" s="120">
        <v>27</v>
      </c>
      <c r="M26" s="121">
        <v>0</v>
      </c>
      <c r="N26" s="120">
        <v>0</v>
      </c>
      <c r="O26" s="120"/>
      <c r="P26" s="121">
        <v>0</v>
      </c>
      <c r="Q26" s="122">
        <f t="shared" si="0"/>
        <v>1</v>
      </c>
      <c r="R26" s="123">
        <f t="shared" si="1"/>
        <v>0</v>
      </c>
      <c r="S26" s="123">
        <f t="shared" si="2"/>
        <v>0</v>
      </c>
      <c r="T26" s="123">
        <f t="shared" si="3"/>
        <v>0</v>
      </c>
      <c r="U26" s="124">
        <f t="shared" si="4"/>
        <v>1</v>
      </c>
      <c r="V26" s="125"/>
      <c r="W26" s="88"/>
      <c r="X26" s="88"/>
      <c r="Y26" s="126"/>
    </row>
    <row r="27" spans="2:25" s="97" customFormat="1" ht="16.5" hidden="1" customHeight="1" x14ac:dyDescent="0.2">
      <c r="B27" s="711">
        <v>46094</v>
      </c>
      <c r="C27" s="105" t="s">
        <v>18</v>
      </c>
      <c r="D27" s="105" t="s">
        <v>20</v>
      </c>
      <c r="E27" s="711">
        <v>46094</v>
      </c>
      <c r="F27" s="89"/>
      <c r="G27" s="835"/>
      <c r="H27" s="113" t="s">
        <v>19</v>
      </c>
      <c r="I27" s="113"/>
      <c r="J27" s="113">
        <f>SUM(J26:J26)</f>
        <v>38</v>
      </c>
      <c r="K27" s="113">
        <f>SUM(K26:K26)</f>
        <v>11</v>
      </c>
      <c r="L27" s="113">
        <f>SUM(L26:L26)</f>
        <v>27</v>
      </c>
      <c r="M27" s="114">
        <f>SUM(M26:M26)</f>
        <v>0</v>
      </c>
      <c r="N27" s="113">
        <f>SUM(N26:N26)</f>
        <v>0</v>
      </c>
      <c r="O27" s="113"/>
      <c r="P27" s="114">
        <f>SUM(P26:P26)</f>
        <v>0</v>
      </c>
      <c r="Q27" s="115">
        <f t="shared" si="0"/>
        <v>1</v>
      </c>
      <c r="R27" s="116">
        <f t="shared" si="1"/>
        <v>0</v>
      </c>
      <c r="S27" s="116">
        <f t="shared" si="2"/>
        <v>0</v>
      </c>
      <c r="T27" s="116">
        <f t="shared" si="3"/>
        <v>0</v>
      </c>
      <c r="U27" s="117">
        <f t="shared" si="4"/>
        <v>1</v>
      </c>
      <c r="V27" s="137"/>
      <c r="W27" s="88"/>
      <c r="X27" s="88"/>
      <c r="Y27" s="118"/>
    </row>
    <row r="28" spans="2:25" ht="16.5" hidden="1" customHeight="1" x14ac:dyDescent="0.2">
      <c r="B28" s="711">
        <v>46094</v>
      </c>
      <c r="C28" s="105" t="s">
        <v>18</v>
      </c>
      <c r="D28" s="105" t="s">
        <v>20</v>
      </c>
      <c r="E28" s="711">
        <v>46095</v>
      </c>
      <c r="G28" s="833">
        <v>46095</v>
      </c>
      <c r="H28" s="120" t="s">
        <v>14</v>
      </c>
      <c r="I28" s="120" t="s">
        <v>22</v>
      </c>
      <c r="J28" s="120">
        <v>120</v>
      </c>
      <c r="K28" s="120">
        <f>(J28)-(L28+M28+N28+P28)</f>
        <v>50</v>
      </c>
      <c r="L28" s="120">
        <v>47</v>
      </c>
      <c r="M28" s="121">
        <v>14</v>
      </c>
      <c r="N28" s="120">
        <v>0</v>
      </c>
      <c r="O28" s="120"/>
      <c r="P28" s="121">
        <v>9</v>
      </c>
      <c r="Q28" s="122">
        <f t="shared" si="0"/>
        <v>0.80833333333333335</v>
      </c>
      <c r="R28" s="123">
        <f t="shared" si="1"/>
        <v>0</v>
      </c>
      <c r="S28" s="123">
        <f t="shared" si="2"/>
        <v>7.4999999999999997E-2</v>
      </c>
      <c r="T28" s="123">
        <f t="shared" si="3"/>
        <v>0</v>
      </c>
      <c r="U28" s="124">
        <f t="shared" si="4"/>
        <v>0.8833333333333333</v>
      </c>
      <c r="V28" s="125"/>
      <c r="Y28" s="119">
        <f>U28</f>
        <v>0.8833333333333333</v>
      </c>
    </row>
    <row r="29" spans="2:25" ht="16.5" hidden="1" customHeight="1" x14ac:dyDescent="0.2">
      <c r="B29" s="711">
        <v>46094</v>
      </c>
      <c r="C29" s="105" t="s">
        <v>18</v>
      </c>
      <c r="D29" s="105" t="s">
        <v>20</v>
      </c>
      <c r="E29" s="711">
        <v>46095</v>
      </c>
      <c r="G29" s="834"/>
      <c r="H29" s="120" t="s">
        <v>16</v>
      </c>
      <c r="I29" s="120" t="s">
        <v>12</v>
      </c>
      <c r="J29" s="120">
        <v>182</v>
      </c>
      <c r="K29" s="120">
        <f>(J29)-(L29+M29+N29+P29)</f>
        <v>0</v>
      </c>
      <c r="L29" s="120">
        <v>0</v>
      </c>
      <c r="M29" s="121">
        <v>33</v>
      </c>
      <c r="N29" s="120">
        <v>143</v>
      </c>
      <c r="O29" s="120"/>
      <c r="P29" s="121">
        <v>6</v>
      </c>
      <c r="Q29" s="122">
        <f t="shared" si="0"/>
        <v>0</v>
      </c>
      <c r="R29" s="123">
        <f t="shared" si="1"/>
        <v>0.7857142857142857</v>
      </c>
      <c r="S29" s="123">
        <f t="shared" si="2"/>
        <v>3.2967032967032968E-2</v>
      </c>
      <c r="T29" s="123">
        <f t="shared" si="3"/>
        <v>0</v>
      </c>
      <c r="U29" s="124">
        <f t="shared" si="4"/>
        <v>0.81868131868131866</v>
      </c>
      <c r="V29" s="125"/>
      <c r="Y29" s="126"/>
    </row>
    <row r="30" spans="2:25" ht="16.5" hidden="1" customHeight="1" x14ac:dyDescent="0.2">
      <c r="B30" s="711">
        <v>46094</v>
      </c>
      <c r="C30" s="105" t="s">
        <v>18</v>
      </c>
      <c r="D30" s="105" t="s">
        <v>20</v>
      </c>
      <c r="E30" s="711">
        <v>46095</v>
      </c>
      <c r="G30" s="834"/>
      <c r="H30" s="120" t="s">
        <v>25</v>
      </c>
      <c r="I30" s="120" t="s">
        <v>27</v>
      </c>
      <c r="J30" s="120">
        <v>243</v>
      </c>
      <c r="K30" s="120">
        <f>(J30)-(L30+M30+N30+P30)</f>
        <v>3</v>
      </c>
      <c r="L30" s="120">
        <v>12</v>
      </c>
      <c r="M30" s="121">
        <v>198</v>
      </c>
      <c r="N30" s="120">
        <v>20</v>
      </c>
      <c r="O30" s="120"/>
      <c r="P30" s="121">
        <v>10</v>
      </c>
      <c r="Q30" s="122">
        <f t="shared" si="0"/>
        <v>6.1728395061728392E-2</v>
      </c>
      <c r="R30" s="123">
        <f t="shared" si="1"/>
        <v>8.2304526748971193E-2</v>
      </c>
      <c r="S30" s="123">
        <f t="shared" si="2"/>
        <v>4.1152263374485597E-2</v>
      </c>
      <c r="T30" s="123">
        <f t="shared" si="3"/>
        <v>0</v>
      </c>
      <c r="U30" s="124">
        <f t="shared" si="4"/>
        <v>0.18518518518518517</v>
      </c>
      <c r="V30" s="125"/>
      <c r="Y30" s="126"/>
    </row>
    <row r="31" spans="2:25" ht="16.5" hidden="1" customHeight="1" x14ac:dyDescent="0.2">
      <c r="B31" s="711">
        <v>46094</v>
      </c>
      <c r="C31" s="105" t="s">
        <v>18</v>
      </c>
      <c r="D31" s="105" t="s">
        <v>20</v>
      </c>
      <c r="E31" s="711">
        <v>46095</v>
      </c>
      <c r="G31" s="835"/>
      <c r="H31" s="113" t="s">
        <v>19</v>
      </c>
      <c r="I31" s="113"/>
      <c r="J31" s="113">
        <f>SUM(J28:J30)</f>
        <v>545</v>
      </c>
      <c r="K31" s="113">
        <f>SUM(K28:K30)</f>
        <v>53</v>
      </c>
      <c r="L31" s="113">
        <f>SUM(L28:L30)</f>
        <v>59</v>
      </c>
      <c r="M31" s="114">
        <f>SUM(M28:M30)</f>
        <v>245</v>
      </c>
      <c r="N31" s="113">
        <f>SUM(N28:N30)</f>
        <v>163</v>
      </c>
      <c r="O31" s="113"/>
      <c r="P31" s="114">
        <f>SUM(P28:P30)</f>
        <v>25</v>
      </c>
      <c r="Q31" s="115">
        <f t="shared" si="0"/>
        <v>0.20550458715596331</v>
      </c>
      <c r="R31" s="116">
        <f t="shared" si="1"/>
        <v>0.29908256880733947</v>
      </c>
      <c r="S31" s="116">
        <f t="shared" si="2"/>
        <v>4.5871559633027525E-2</v>
      </c>
      <c r="T31" s="116">
        <f t="shared" si="3"/>
        <v>0</v>
      </c>
      <c r="U31" s="117">
        <f t="shared" si="4"/>
        <v>0.55045871559633031</v>
      </c>
      <c r="V31" s="138"/>
      <c r="Y31" s="118"/>
    </row>
    <row r="32" spans="2:25" ht="16.5" hidden="1" customHeight="1" x14ac:dyDescent="0.2">
      <c r="B32" s="711">
        <v>46095</v>
      </c>
      <c r="C32" s="105" t="s">
        <v>22</v>
      </c>
      <c r="D32" s="105" t="s">
        <v>23</v>
      </c>
      <c r="E32" s="711">
        <v>46095</v>
      </c>
      <c r="G32" s="833">
        <v>46095</v>
      </c>
      <c r="H32" s="106" t="s">
        <v>14</v>
      </c>
      <c r="I32" s="106" t="s">
        <v>22</v>
      </c>
      <c r="J32" s="106">
        <v>120</v>
      </c>
      <c r="K32" s="106">
        <f>(J32)-(L32+M32+N32+P32)</f>
        <v>112</v>
      </c>
      <c r="L32" s="106">
        <v>4</v>
      </c>
      <c r="M32" s="107">
        <v>0</v>
      </c>
      <c r="N32" s="106">
        <v>0</v>
      </c>
      <c r="O32" s="106"/>
      <c r="P32" s="107">
        <v>4</v>
      </c>
      <c r="Q32" s="108">
        <f t="shared" si="0"/>
        <v>0.96666666666666667</v>
      </c>
      <c r="R32" s="109">
        <f t="shared" si="1"/>
        <v>0</v>
      </c>
      <c r="S32" s="109">
        <f t="shared" si="2"/>
        <v>3.3333333333333333E-2</v>
      </c>
      <c r="T32" s="109">
        <f t="shared" si="3"/>
        <v>0</v>
      </c>
      <c r="U32" s="139">
        <f t="shared" si="4"/>
        <v>1</v>
      </c>
      <c r="V32" s="125"/>
      <c r="Y32" s="112"/>
    </row>
    <row r="33" spans="2:25" ht="16.5" hidden="1" customHeight="1" x14ac:dyDescent="0.2">
      <c r="B33" s="711">
        <v>46095</v>
      </c>
      <c r="C33" s="105" t="s">
        <v>22</v>
      </c>
      <c r="D33" s="105" t="s">
        <v>23</v>
      </c>
      <c r="E33" s="711">
        <v>46095</v>
      </c>
      <c r="G33" s="834"/>
      <c r="H33" s="120" t="s">
        <v>16</v>
      </c>
      <c r="I33" s="120" t="s">
        <v>12</v>
      </c>
      <c r="J33" s="120">
        <v>182</v>
      </c>
      <c r="K33" s="120">
        <f>(J33)-(L33+M33+N33+P33)</f>
        <v>109</v>
      </c>
      <c r="L33" s="120">
        <v>48</v>
      </c>
      <c r="M33" s="121">
        <v>19</v>
      </c>
      <c r="N33" s="120">
        <v>0</v>
      </c>
      <c r="O33" s="120"/>
      <c r="P33" s="121">
        <v>6</v>
      </c>
      <c r="Q33" s="122">
        <f t="shared" si="0"/>
        <v>0.86263736263736268</v>
      </c>
      <c r="R33" s="123">
        <f t="shared" si="1"/>
        <v>0</v>
      </c>
      <c r="S33" s="123">
        <f t="shared" si="2"/>
        <v>3.2967032967032968E-2</v>
      </c>
      <c r="T33" s="123">
        <f t="shared" si="3"/>
        <v>0</v>
      </c>
      <c r="U33" s="124">
        <f t="shared" si="4"/>
        <v>0.89560439560439564</v>
      </c>
      <c r="V33" s="125"/>
      <c r="Y33" s="128">
        <f>U33</f>
        <v>0.89560439560439564</v>
      </c>
    </row>
    <row r="34" spans="2:25" ht="16.5" hidden="1" customHeight="1" x14ac:dyDescent="0.2">
      <c r="B34" s="711">
        <v>46095</v>
      </c>
      <c r="C34" s="105" t="s">
        <v>22</v>
      </c>
      <c r="D34" s="105" t="s">
        <v>23</v>
      </c>
      <c r="E34" s="711">
        <v>46095</v>
      </c>
      <c r="G34" s="834"/>
      <c r="H34" s="120" t="s">
        <v>25</v>
      </c>
      <c r="I34" s="120" t="s">
        <v>27</v>
      </c>
      <c r="J34" s="120">
        <v>243</v>
      </c>
      <c r="K34" s="120">
        <f>(J34)-(L34+M34+N34+P34)</f>
        <v>124</v>
      </c>
      <c r="L34" s="120">
        <v>41</v>
      </c>
      <c r="M34" s="121">
        <v>57</v>
      </c>
      <c r="N34" s="120">
        <v>12</v>
      </c>
      <c r="O34" s="120"/>
      <c r="P34" s="121">
        <v>9</v>
      </c>
      <c r="Q34" s="122">
        <f t="shared" si="0"/>
        <v>0.67901234567901236</v>
      </c>
      <c r="R34" s="123">
        <f t="shared" si="1"/>
        <v>4.9382716049382713E-2</v>
      </c>
      <c r="S34" s="123">
        <f t="shared" si="2"/>
        <v>3.7037037037037035E-2</v>
      </c>
      <c r="T34" s="123">
        <f t="shared" si="3"/>
        <v>0</v>
      </c>
      <c r="U34" s="140">
        <f t="shared" si="4"/>
        <v>0.76543209876543217</v>
      </c>
      <c r="V34" s="125"/>
      <c r="Y34" s="126"/>
    </row>
    <row r="35" spans="2:25" ht="16.5" hidden="1" customHeight="1" x14ac:dyDescent="0.2">
      <c r="B35" s="711">
        <v>46095</v>
      </c>
      <c r="C35" s="105" t="s">
        <v>22</v>
      </c>
      <c r="D35" s="105" t="s">
        <v>23</v>
      </c>
      <c r="E35" s="711">
        <v>46095</v>
      </c>
      <c r="G35" s="835"/>
      <c r="H35" s="113" t="s">
        <v>19</v>
      </c>
      <c r="I35" s="113"/>
      <c r="J35" s="113">
        <f>SUM(J32:J34)</f>
        <v>545</v>
      </c>
      <c r="K35" s="113">
        <f>SUM(K32:K34)</f>
        <v>345</v>
      </c>
      <c r="L35" s="113">
        <f>SUM(L32:L34)</f>
        <v>93</v>
      </c>
      <c r="M35" s="114">
        <f>SUM(M32:M34)</f>
        <v>76</v>
      </c>
      <c r="N35" s="113">
        <f>SUM(N32:N34)</f>
        <v>12</v>
      </c>
      <c r="O35" s="113"/>
      <c r="P35" s="114">
        <f>SUM(P32:P34)</f>
        <v>19</v>
      </c>
      <c r="Q35" s="115">
        <f t="shared" si="0"/>
        <v>0.80366972477064225</v>
      </c>
      <c r="R35" s="116">
        <f t="shared" si="1"/>
        <v>2.2018348623853212E-2</v>
      </c>
      <c r="S35" s="116">
        <f t="shared" si="2"/>
        <v>3.4862385321100919E-2</v>
      </c>
      <c r="T35" s="116">
        <f t="shared" si="3"/>
        <v>0</v>
      </c>
      <c r="U35" s="117">
        <f t="shared" si="4"/>
        <v>0.86055045871559632</v>
      </c>
      <c r="V35" s="137"/>
      <c r="Y35" s="118"/>
    </row>
    <row r="36" spans="2:25" ht="16.5" hidden="1" customHeight="1" x14ac:dyDescent="0.2">
      <c r="B36" s="711">
        <v>46095</v>
      </c>
      <c r="C36" s="105" t="s">
        <v>12</v>
      </c>
      <c r="D36" s="105" t="s">
        <v>13</v>
      </c>
      <c r="E36" s="711">
        <v>46095</v>
      </c>
      <c r="G36" s="833">
        <v>46095</v>
      </c>
      <c r="H36" s="106" t="s">
        <v>16</v>
      </c>
      <c r="I36" s="106" t="s">
        <v>12</v>
      </c>
      <c r="J36" s="106">
        <v>182</v>
      </c>
      <c r="K36" s="106">
        <f>(J36)-(L36+M36+N36+P36)</f>
        <v>111</v>
      </c>
      <c r="L36" s="106">
        <f>48+17</f>
        <v>65</v>
      </c>
      <c r="M36" s="107">
        <v>0</v>
      </c>
      <c r="N36" s="106">
        <v>0</v>
      </c>
      <c r="O36" s="106">
        <v>18</v>
      </c>
      <c r="P36" s="107">
        <v>6</v>
      </c>
      <c r="Q36" s="108">
        <f t="shared" si="0"/>
        <v>0.96703296703296704</v>
      </c>
      <c r="R36" s="109">
        <f t="shared" si="1"/>
        <v>0</v>
      </c>
      <c r="S36" s="109">
        <f t="shared" si="2"/>
        <v>3.2967032967032968E-2</v>
      </c>
      <c r="T36" s="109">
        <f t="shared" si="3"/>
        <v>9.8901098901098897E-2</v>
      </c>
      <c r="U36" s="110">
        <f t="shared" si="4"/>
        <v>1.098901098901099</v>
      </c>
      <c r="V36" s="111"/>
      <c r="Y36" s="112"/>
    </row>
    <row r="37" spans="2:25" ht="16.5" hidden="1" customHeight="1" x14ac:dyDescent="0.2">
      <c r="B37" s="711">
        <v>46095</v>
      </c>
      <c r="C37" s="105" t="s">
        <v>12</v>
      </c>
      <c r="D37" s="105" t="s">
        <v>13</v>
      </c>
      <c r="E37" s="711">
        <v>46095</v>
      </c>
      <c r="G37" s="834"/>
      <c r="H37" s="120" t="s">
        <v>25</v>
      </c>
      <c r="I37" s="120" t="s">
        <v>27</v>
      </c>
      <c r="J37" s="120">
        <v>243</v>
      </c>
      <c r="K37" s="120">
        <f>(J37)-(L37+M37+N37+P37)</f>
        <v>229</v>
      </c>
      <c r="L37" s="120">
        <v>0</v>
      </c>
      <c r="M37" s="121">
        <v>4</v>
      </c>
      <c r="N37" s="120">
        <v>0</v>
      </c>
      <c r="O37" s="120">
        <v>23</v>
      </c>
      <c r="P37" s="121">
        <v>10</v>
      </c>
      <c r="Q37" s="122">
        <f t="shared" si="0"/>
        <v>0.9423868312757202</v>
      </c>
      <c r="R37" s="123">
        <f t="shared" si="1"/>
        <v>0</v>
      </c>
      <c r="S37" s="123">
        <f t="shared" si="2"/>
        <v>4.1152263374485597E-2</v>
      </c>
      <c r="T37" s="123">
        <f t="shared" si="3"/>
        <v>9.4650205761316872E-2</v>
      </c>
      <c r="U37" s="124">
        <f t="shared" si="4"/>
        <v>1.0781893004115226</v>
      </c>
      <c r="V37" s="125" t="s">
        <v>44</v>
      </c>
      <c r="Y37" s="128">
        <f>U37</f>
        <v>1.0781893004115226</v>
      </c>
    </row>
    <row r="38" spans="2:25" ht="16.5" hidden="1" customHeight="1" x14ac:dyDescent="0.2">
      <c r="B38" s="711">
        <v>46095</v>
      </c>
      <c r="C38" s="105" t="s">
        <v>12</v>
      </c>
      <c r="D38" s="105" t="s">
        <v>13</v>
      </c>
      <c r="E38" s="711">
        <v>46095</v>
      </c>
      <c r="G38" s="835"/>
      <c r="H38" s="113" t="s">
        <v>19</v>
      </c>
      <c r="I38" s="113"/>
      <c r="J38" s="113">
        <f>SUM(J36:J37)</f>
        <v>425</v>
      </c>
      <c r="K38" s="113">
        <f>SUM(K36:K37)</f>
        <v>340</v>
      </c>
      <c r="L38" s="113">
        <f>SUM(L36:L37)</f>
        <v>65</v>
      </c>
      <c r="M38" s="114">
        <f>SUM(M36:M37)</f>
        <v>4</v>
      </c>
      <c r="N38" s="113">
        <f>SUM(N36:N37)</f>
        <v>0</v>
      </c>
      <c r="O38" s="113"/>
      <c r="P38" s="114">
        <f>SUM(P36:P37)</f>
        <v>16</v>
      </c>
      <c r="Q38" s="115">
        <f t="shared" ref="Q38:Q69" si="5">(K38+L38)/J38</f>
        <v>0.95294117647058818</v>
      </c>
      <c r="R38" s="116">
        <f t="shared" ref="R38:R69" si="6">N38/J38</f>
        <v>0</v>
      </c>
      <c r="S38" s="116">
        <f t="shared" ref="S38:S69" si="7">P38/J38</f>
        <v>3.7647058823529408E-2</v>
      </c>
      <c r="T38" s="116">
        <f t="shared" si="3"/>
        <v>0</v>
      </c>
      <c r="U38" s="117">
        <f t="shared" ref="U38:U69" si="8">S38+R38+Q38+T38</f>
        <v>0.99058823529411755</v>
      </c>
      <c r="V38" s="137"/>
      <c r="Y38" s="118"/>
    </row>
    <row r="39" spans="2:25" ht="16.5" hidden="1" customHeight="1" x14ac:dyDescent="0.2">
      <c r="B39" s="711">
        <v>46095</v>
      </c>
      <c r="C39" s="105" t="s">
        <v>12</v>
      </c>
      <c r="D39" s="105" t="s">
        <v>13</v>
      </c>
      <c r="E39" s="711">
        <v>46097</v>
      </c>
      <c r="G39" s="833">
        <v>46097</v>
      </c>
      <c r="H39" s="106" t="s">
        <v>32</v>
      </c>
      <c r="I39" s="106" t="s">
        <v>22</v>
      </c>
      <c r="J39" s="106">
        <v>205</v>
      </c>
      <c r="K39" s="106">
        <f>(J39)-(L39+M39+N39+P39)</f>
        <v>127</v>
      </c>
      <c r="L39" s="106">
        <v>13</v>
      </c>
      <c r="M39" s="107">
        <v>54</v>
      </c>
      <c r="N39" s="106">
        <v>11</v>
      </c>
      <c r="O39" s="106"/>
      <c r="P39" s="107">
        <v>0</v>
      </c>
      <c r="Q39" s="108">
        <f t="shared" si="5"/>
        <v>0.68292682926829273</v>
      </c>
      <c r="R39" s="109">
        <f t="shared" si="6"/>
        <v>5.3658536585365853E-2</v>
      </c>
      <c r="S39" s="109">
        <f t="shared" si="7"/>
        <v>0</v>
      </c>
      <c r="T39" s="109">
        <f t="shared" si="3"/>
        <v>0</v>
      </c>
      <c r="U39" s="110">
        <f t="shared" si="8"/>
        <v>0.73658536585365864</v>
      </c>
      <c r="V39" s="111"/>
      <c r="Y39" s="112"/>
    </row>
    <row r="40" spans="2:25" ht="16.5" hidden="1" customHeight="1" x14ac:dyDescent="0.2">
      <c r="B40" s="711">
        <v>46095</v>
      </c>
      <c r="C40" s="105" t="s">
        <v>12</v>
      </c>
      <c r="D40" s="105" t="s">
        <v>13</v>
      </c>
      <c r="E40" s="711">
        <v>46097</v>
      </c>
      <c r="G40" s="834"/>
      <c r="H40" s="120" t="s">
        <v>17</v>
      </c>
      <c r="I40" s="120" t="s">
        <v>22</v>
      </c>
      <c r="J40" s="120">
        <v>154</v>
      </c>
      <c r="K40" s="120">
        <f>(J40)-(L40+M40+N40+P40)</f>
        <v>0</v>
      </c>
      <c r="L40" s="120">
        <v>0</v>
      </c>
      <c r="M40" s="121">
        <v>154</v>
      </c>
      <c r="N40" s="120">
        <v>0</v>
      </c>
      <c r="O40" s="120"/>
      <c r="P40" s="121">
        <v>0</v>
      </c>
      <c r="Q40" s="122">
        <f t="shared" si="5"/>
        <v>0</v>
      </c>
      <c r="R40" s="123">
        <f t="shared" si="6"/>
        <v>0</v>
      </c>
      <c r="S40" s="123">
        <f t="shared" si="7"/>
        <v>0</v>
      </c>
      <c r="T40" s="123">
        <f t="shared" si="3"/>
        <v>0</v>
      </c>
      <c r="U40" s="124">
        <f t="shared" si="8"/>
        <v>0</v>
      </c>
      <c r="V40" s="125"/>
      <c r="Y40" s="126"/>
    </row>
    <row r="41" spans="2:25" ht="16.5" hidden="1" customHeight="1" x14ac:dyDescent="0.2">
      <c r="B41" s="711">
        <v>46095</v>
      </c>
      <c r="C41" s="105" t="s">
        <v>12</v>
      </c>
      <c r="D41" s="105" t="s">
        <v>13</v>
      </c>
      <c r="E41" s="711">
        <v>46097</v>
      </c>
      <c r="G41" s="834"/>
      <c r="H41" s="120" t="s">
        <v>16</v>
      </c>
      <c r="I41" s="120" t="s">
        <v>27</v>
      </c>
      <c r="J41" s="120">
        <v>87</v>
      </c>
      <c r="K41" s="120">
        <f>(J41)-(L41+M41+N41+P41)</f>
        <v>0</v>
      </c>
      <c r="L41" s="120">
        <v>0</v>
      </c>
      <c r="M41" s="121">
        <v>87</v>
      </c>
      <c r="N41" s="120">
        <v>0</v>
      </c>
      <c r="O41" s="120"/>
      <c r="P41" s="121">
        <v>0</v>
      </c>
      <c r="Q41" s="122">
        <f t="shared" si="5"/>
        <v>0</v>
      </c>
      <c r="R41" s="123">
        <f t="shared" si="6"/>
        <v>0</v>
      </c>
      <c r="S41" s="123">
        <f t="shared" si="7"/>
        <v>0</v>
      </c>
      <c r="T41" s="123">
        <f t="shared" si="3"/>
        <v>0</v>
      </c>
      <c r="U41" s="124">
        <f t="shared" si="8"/>
        <v>0</v>
      </c>
      <c r="V41" s="125"/>
      <c r="Y41" s="126"/>
    </row>
    <row r="42" spans="2:25" ht="16.5" hidden="1" customHeight="1" x14ac:dyDescent="0.2">
      <c r="B42" s="711">
        <v>46095</v>
      </c>
      <c r="C42" s="105" t="s">
        <v>12</v>
      </c>
      <c r="D42" s="105" t="s">
        <v>13</v>
      </c>
      <c r="E42" s="711">
        <v>46097</v>
      </c>
      <c r="G42" s="834"/>
      <c r="H42" s="120" t="s">
        <v>14</v>
      </c>
      <c r="I42" s="120" t="s">
        <v>27</v>
      </c>
      <c r="J42" s="120">
        <v>180</v>
      </c>
      <c r="K42" s="120">
        <f>(J42)-(L42+M42+N42+P42)</f>
        <v>0</v>
      </c>
      <c r="L42" s="120">
        <v>0</v>
      </c>
      <c r="M42" s="121">
        <v>180</v>
      </c>
      <c r="N42" s="120">
        <v>0</v>
      </c>
      <c r="O42" s="120"/>
      <c r="P42" s="121">
        <v>0</v>
      </c>
      <c r="Q42" s="122">
        <f t="shared" si="5"/>
        <v>0</v>
      </c>
      <c r="R42" s="123">
        <f t="shared" si="6"/>
        <v>0</v>
      </c>
      <c r="S42" s="123">
        <f t="shared" si="7"/>
        <v>0</v>
      </c>
      <c r="T42" s="123">
        <f t="shared" si="3"/>
        <v>0</v>
      </c>
      <c r="U42" s="124">
        <f t="shared" si="8"/>
        <v>0</v>
      </c>
      <c r="V42" s="125"/>
      <c r="Y42" s="126"/>
    </row>
    <row r="43" spans="2:25" ht="16.5" hidden="1" customHeight="1" x14ac:dyDescent="0.2">
      <c r="B43" s="711">
        <v>46095</v>
      </c>
      <c r="C43" s="105" t="s">
        <v>12</v>
      </c>
      <c r="D43" s="105" t="s">
        <v>13</v>
      </c>
      <c r="E43" s="711">
        <v>46097</v>
      </c>
      <c r="G43" s="835"/>
      <c r="H43" s="113" t="s">
        <v>19</v>
      </c>
      <c r="I43" s="113"/>
      <c r="J43" s="113">
        <f>SUM(J39:J42)</f>
        <v>626</v>
      </c>
      <c r="K43" s="113">
        <f>SUM(K39:K42)</f>
        <v>127</v>
      </c>
      <c r="L43" s="113">
        <f>SUM(L39:L42)</f>
        <v>13</v>
      </c>
      <c r="M43" s="114">
        <f>SUM(M39:M42)</f>
        <v>475</v>
      </c>
      <c r="N43" s="113">
        <f>SUM(N39:N42)</f>
        <v>11</v>
      </c>
      <c r="O43" s="113"/>
      <c r="P43" s="114">
        <f>SUM(P39:P42)</f>
        <v>0</v>
      </c>
      <c r="Q43" s="115">
        <f t="shared" si="5"/>
        <v>0.22364217252396165</v>
      </c>
      <c r="R43" s="116">
        <f t="shared" si="6"/>
        <v>1.7571884984025558E-2</v>
      </c>
      <c r="S43" s="116">
        <f t="shared" si="7"/>
        <v>0</v>
      </c>
      <c r="T43" s="116">
        <f t="shared" si="3"/>
        <v>0</v>
      </c>
      <c r="U43" s="117">
        <f t="shared" si="8"/>
        <v>0.24121405750798722</v>
      </c>
      <c r="V43" s="137"/>
      <c r="Y43" s="118"/>
    </row>
    <row r="44" spans="2:25" ht="16.5" hidden="1" customHeight="1" x14ac:dyDescent="0.2">
      <c r="B44" s="711">
        <v>46095</v>
      </c>
      <c r="C44" s="105" t="s">
        <v>18</v>
      </c>
      <c r="D44" s="105" t="s">
        <v>20</v>
      </c>
      <c r="E44" s="711">
        <v>46095</v>
      </c>
      <c r="G44" s="833">
        <v>46095</v>
      </c>
      <c r="H44" s="106" t="s">
        <v>16</v>
      </c>
      <c r="I44" s="106" t="s">
        <v>12</v>
      </c>
      <c r="J44" s="106">
        <v>182</v>
      </c>
      <c r="K44" s="106">
        <f>(J44)-(L44+M44+N44+P44)</f>
        <v>176</v>
      </c>
      <c r="L44" s="106">
        <v>0</v>
      </c>
      <c r="M44" s="107">
        <v>0</v>
      </c>
      <c r="N44" s="106">
        <v>0</v>
      </c>
      <c r="O44" s="106"/>
      <c r="P44" s="107">
        <v>6</v>
      </c>
      <c r="Q44" s="108">
        <f t="shared" si="5"/>
        <v>0.96703296703296704</v>
      </c>
      <c r="R44" s="109">
        <f t="shared" si="6"/>
        <v>0</v>
      </c>
      <c r="S44" s="109">
        <f t="shared" si="7"/>
        <v>3.2967032967032968E-2</v>
      </c>
      <c r="T44" s="109">
        <f t="shared" si="3"/>
        <v>0</v>
      </c>
      <c r="U44" s="110">
        <f t="shared" si="8"/>
        <v>1</v>
      </c>
      <c r="V44" s="111"/>
      <c r="Y44" s="112"/>
    </row>
    <row r="45" spans="2:25" ht="16.5" hidden="1" customHeight="1" x14ac:dyDescent="0.2">
      <c r="B45" s="711">
        <v>46095</v>
      </c>
      <c r="C45" s="105" t="s">
        <v>18</v>
      </c>
      <c r="D45" s="105" t="s">
        <v>20</v>
      </c>
      <c r="E45" s="711">
        <v>46095</v>
      </c>
      <c r="G45" s="834"/>
      <c r="H45" s="120" t="s">
        <v>25</v>
      </c>
      <c r="I45" s="120" t="s">
        <v>27</v>
      </c>
      <c r="J45" s="120">
        <v>239</v>
      </c>
      <c r="K45" s="120">
        <f>(J45)-(L45+M45+N45+P45)</f>
        <v>229</v>
      </c>
      <c r="L45" s="120">
        <v>3</v>
      </c>
      <c r="M45" s="121">
        <v>0</v>
      </c>
      <c r="N45" s="106">
        <v>0</v>
      </c>
      <c r="O45" s="120"/>
      <c r="P45" s="121">
        <v>7</v>
      </c>
      <c r="Q45" s="122">
        <f t="shared" si="5"/>
        <v>0.97071129707112969</v>
      </c>
      <c r="R45" s="123">
        <f t="shared" si="6"/>
        <v>0</v>
      </c>
      <c r="S45" s="123">
        <f t="shared" si="7"/>
        <v>2.9288702928870293E-2</v>
      </c>
      <c r="T45" s="123">
        <f t="shared" si="3"/>
        <v>0</v>
      </c>
      <c r="U45" s="124">
        <f t="shared" si="8"/>
        <v>1</v>
      </c>
      <c r="V45" s="141"/>
      <c r="Y45" s="126"/>
    </row>
    <row r="46" spans="2:25" ht="16.5" hidden="1" customHeight="1" x14ac:dyDescent="0.2">
      <c r="B46" s="711">
        <v>46095</v>
      </c>
      <c r="C46" s="105" t="s">
        <v>18</v>
      </c>
      <c r="D46" s="105" t="s">
        <v>20</v>
      </c>
      <c r="E46" s="711">
        <v>46095</v>
      </c>
      <c r="G46" s="835"/>
      <c r="H46" s="113" t="s">
        <v>19</v>
      </c>
      <c r="I46" s="113"/>
      <c r="J46" s="113">
        <f>SUM(J44:J45)</f>
        <v>421</v>
      </c>
      <c r="K46" s="113">
        <f>SUM(K44:K45)</f>
        <v>405</v>
      </c>
      <c r="L46" s="113">
        <f>SUM(L44:L45)</f>
        <v>3</v>
      </c>
      <c r="M46" s="114">
        <f>SUM(M44:M45)</f>
        <v>0</v>
      </c>
      <c r="N46" s="113">
        <f>SUM(N44:N45)</f>
        <v>0</v>
      </c>
      <c r="O46" s="113"/>
      <c r="P46" s="114">
        <f>SUM(P44:P45)</f>
        <v>13</v>
      </c>
      <c r="Q46" s="115">
        <f t="shared" si="5"/>
        <v>0.96912114014251782</v>
      </c>
      <c r="R46" s="116">
        <f t="shared" si="6"/>
        <v>0</v>
      </c>
      <c r="S46" s="116">
        <f t="shared" si="7"/>
        <v>3.0878859857482184E-2</v>
      </c>
      <c r="T46" s="116">
        <f t="shared" si="3"/>
        <v>0</v>
      </c>
      <c r="U46" s="117">
        <f t="shared" si="8"/>
        <v>1</v>
      </c>
      <c r="V46" s="137"/>
      <c r="Y46" s="118"/>
    </row>
    <row r="47" spans="2:25" ht="16.5" hidden="1" customHeight="1" x14ac:dyDescent="0.2">
      <c r="B47" s="711">
        <v>46095</v>
      </c>
      <c r="C47" s="105" t="s">
        <v>18</v>
      </c>
      <c r="D47" s="105" t="s">
        <v>20</v>
      </c>
      <c r="E47" s="711">
        <v>46097</v>
      </c>
      <c r="G47" s="833">
        <v>46097</v>
      </c>
      <c r="H47" s="142" t="s">
        <v>32</v>
      </c>
      <c r="I47" s="142" t="s">
        <v>22</v>
      </c>
      <c r="J47" s="142">
        <v>203</v>
      </c>
      <c r="K47" s="142">
        <f>(J47)-(L47+M47+N47+P47)</f>
        <v>188</v>
      </c>
      <c r="L47" s="142">
        <v>5</v>
      </c>
      <c r="M47" s="143">
        <v>9</v>
      </c>
      <c r="N47" s="142">
        <v>0</v>
      </c>
      <c r="O47" s="142"/>
      <c r="P47" s="143">
        <v>1</v>
      </c>
      <c r="Q47" s="144">
        <f t="shared" si="5"/>
        <v>0.95073891625615758</v>
      </c>
      <c r="R47" s="145">
        <f t="shared" si="6"/>
        <v>0</v>
      </c>
      <c r="S47" s="145">
        <f t="shared" si="7"/>
        <v>4.9261083743842365E-3</v>
      </c>
      <c r="T47" s="145">
        <f t="shared" si="3"/>
        <v>0</v>
      </c>
      <c r="U47" s="146">
        <f t="shared" si="8"/>
        <v>0.95566502463054182</v>
      </c>
      <c r="V47" s="147"/>
      <c r="Y47" s="119">
        <f>U47</f>
        <v>0.95566502463054182</v>
      </c>
    </row>
    <row r="48" spans="2:25" ht="16.5" hidden="1" customHeight="1" x14ac:dyDescent="0.2">
      <c r="B48" s="711">
        <v>46095</v>
      </c>
      <c r="C48" s="105" t="s">
        <v>18</v>
      </c>
      <c r="D48" s="105" t="s">
        <v>20</v>
      </c>
      <c r="E48" s="711">
        <v>46097</v>
      </c>
      <c r="G48" s="834"/>
      <c r="H48" s="120" t="s">
        <v>17</v>
      </c>
      <c r="I48" s="120" t="s">
        <v>22</v>
      </c>
      <c r="J48" s="120">
        <f>168+3</f>
        <v>171</v>
      </c>
      <c r="K48" s="120">
        <f>(J48)-(L48+M48+N48+P48)</f>
        <v>119</v>
      </c>
      <c r="L48" s="120">
        <v>30</v>
      </c>
      <c r="M48" s="121">
        <v>19</v>
      </c>
      <c r="N48" s="120">
        <v>0</v>
      </c>
      <c r="O48" s="120">
        <v>16</v>
      </c>
      <c r="P48" s="121">
        <v>3</v>
      </c>
      <c r="Q48" s="122">
        <f t="shared" si="5"/>
        <v>0.87134502923976609</v>
      </c>
      <c r="R48" s="123">
        <f t="shared" si="6"/>
        <v>0</v>
      </c>
      <c r="S48" s="123">
        <f t="shared" si="7"/>
        <v>1.7543859649122806E-2</v>
      </c>
      <c r="T48" s="123">
        <f t="shared" si="3"/>
        <v>9.3567251461988299E-2</v>
      </c>
      <c r="U48" s="124">
        <f t="shared" si="8"/>
        <v>0.98245614035087714</v>
      </c>
      <c r="V48" s="125"/>
      <c r="Y48" s="128">
        <f>U48</f>
        <v>0.98245614035087714</v>
      </c>
    </row>
    <row r="49" spans="2:25" ht="16.5" hidden="1" customHeight="1" x14ac:dyDescent="0.2">
      <c r="B49" s="711">
        <v>46095</v>
      </c>
      <c r="C49" s="105" t="s">
        <v>18</v>
      </c>
      <c r="D49" s="105" t="s">
        <v>20</v>
      </c>
      <c r="E49" s="711">
        <v>46097</v>
      </c>
      <c r="G49" s="834"/>
      <c r="H49" s="120" t="s">
        <v>16</v>
      </c>
      <c r="I49" s="120" t="s">
        <v>27</v>
      </c>
      <c r="J49" s="120">
        <v>87</v>
      </c>
      <c r="K49" s="106">
        <f>(J49)-(L49+M49+N49+P49)</f>
        <v>0</v>
      </c>
      <c r="L49" s="106">
        <v>0</v>
      </c>
      <c r="M49" s="121">
        <f>66+18</f>
        <v>84</v>
      </c>
      <c r="N49" s="120">
        <v>0</v>
      </c>
      <c r="O49" s="120"/>
      <c r="P49" s="121">
        <v>3</v>
      </c>
      <c r="Q49" s="122">
        <f t="shared" si="5"/>
        <v>0</v>
      </c>
      <c r="R49" s="123">
        <f t="shared" si="6"/>
        <v>0</v>
      </c>
      <c r="S49" s="123">
        <f t="shared" si="7"/>
        <v>3.4482758620689655E-2</v>
      </c>
      <c r="T49" s="123">
        <f t="shared" si="3"/>
        <v>0</v>
      </c>
      <c r="U49" s="124">
        <f t="shared" si="8"/>
        <v>3.4482758620689655E-2</v>
      </c>
      <c r="V49" s="125"/>
      <c r="Y49" s="126"/>
    </row>
    <row r="50" spans="2:25" ht="16.5" hidden="1" customHeight="1" x14ac:dyDescent="0.2">
      <c r="B50" s="711">
        <v>46095</v>
      </c>
      <c r="C50" s="105" t="s">
        <v>18</v>
      </c>
      <c r="D50" s="105" t="s">
        <v>20</v>
      </c>
      <c r="E50" s="711">
        <v>46097</v>
      </c>
      <c r="G50" s="834"/>
      <c r="H50" s="120" t="s">
        <v>14</v>
      </c>
      <c r="I50" s="120" t="s">
        <v>27</v>
      </c>
      <c r="J50" s="120">
        <v>192</v>
      </c>
      <c r="K50" s="106">
        <f>(J50)-(L50+M50+N50+P50)</f>
        <v>0</v>
      </c>
      <c r="L50" s="106">
        <v>0</v>
      </c>
      <c r="M50" s="121">
        <f>192-26</f>
        <v>166</v>
      </c>
      <c r="N50" s="120">
        <v>26</v>
      </c>
      <c r="O50" s="120"/>
      <c r="P50" s="121">
        <v>0</v>
      </c>
      <c r="Q50" s="122">
        <f t="shared" si="5"/>
        <v>0</v>
      </c>
      <c r="R50" s="123">
        <f t="shared" si="6"/>
        <v>0.13541666666666666</v>
      </c>
      <c r="S50" s="123">
        <f t="shared" si="7"/>
        <v>0</v>
      </c>
      <c r="T50" s="123">
        <f t="shared" si="3"/>
        <v>0</v>
      </c>
      <c r="U50" s="124">
        <f t="shared" si="8"/>
        <v>0.13541666666666666</v>
      </c>
      <c r="V50" s="125" t="s">
        <v>45</v>
      </c>
      <c r="Y50" s="126"/>
    </row>
    <row r="51" spans="2:25" ht="16.5" hidden="1" customHeight="1" x14ac:dyDescent="0.2">
      <c r="B51" s="711">
        <v>46095</v>
      </c>
      <c r="C51" s="105" t="s">
        <v>18</v>
      </c>
      <c r="D51" s="105" t="s">
        <v>20</v>
      </c>
      <c r="E51" s="711">
        <v>46097</v>
      </c>
      <c r="G51" s="835"/>
      <c r="H51" s="113" t="s">
        <v>19</v>
      </c>
      <c r="I51" s="113"/>
      <c r="J51" s="113">
        <f>SUM(J47:J50)</f>
        <v>653</v>
      </c>
      <c r="K51" s="113">
        <f>SUM(K47:K50)</f>
        <v>307</v>
      </c>
      <c r="L51" s="113">
        <f>SUM(L47:L50)</f>
        <v>35</v>
      </c>
      <c r="M51" s="114">
        <f>SUM(M47:M50)</f>
        <v>278</v>
      </c>
      <c r="N51" s="113">
        <f>SUM(N47:N50)</f>
        <v>26</v>
      </c>
      <c r="O51" s="113"/>
      <c r="P51" s="114">
        <f>SUM(P47:P50)</f>
        <v>7</v>
      </c>
      <c r="Q51" s="115">
        <f t="shared" si="5"/>
        <v>0.52373660030627867</v>
      </c>
      <c r="R51" s="116">
        <f t="shared" si="6"/>
        <v>3.9816232771822356E-2</v>
      </c>
      <c r="S51" s="116">
        <f t="shared" si="7"/>
        <v>1.0719754977029096E-2</v>
      </c>
      <c r="T51" s="116">
        <f t="shared" si="3"/>
        <v>0</v>
      </c>
      <c r="U51" s="117">
        <f t="shared" si="8"/>
        <v>0.57427258805513015</v>
      </c>
      <c r="V51" s="137"/>
      <c r="Y51" s="118"/>
    </row>
    <row r="52" spans="2:25" ht="15.75" hidden="1" customHeight="1" x14ac:dyDescent="0.2">
      <c r="B52" s="711">
        <v>46097</v>
      </c>
      <c r="C52" s="105" t="s">
        <v>22</v>
      </c>
      <c r="D52" s="105" t="s">
        <v>13</v>
      </c>
      <c r="E52" s="711">
        <v>46097</v>
      </c>
      <c r="G52" s="833">
        <v>46097</v>
      </c>
      <c r="H52" s="120" t="s">
        <v>32</v>
      </c>
      <c r="I52" s="120" t="s">
        <v>22</v>
      </c>
      <c r="J52" s="120">
        <v>203</v>
      </c>
      <c r="K52" s="120">
        <f t="shared" ref="K52:K57" si="9">(J52)-(L52+M52+N52+P52)</f>
        <v>197</v>
      </c>
      <c r="L52" s="120">
        <v>0</v>
      </c>
      <c r="M52" s="121">
        <v>5</v>
      </c>
      <c r="N52" s="120">
        <v>0</v>
      </c>
      <c r="O52" s="120"/>
      <c r="P52" s="121">
        <v>1</v>
      </c>
      <c r="Q52" s="122">
        <f t="shared" si="5"/>
        <v>0.97044334975369462</v>
      </c>
      <c r="R52" s="123">
        <f t="shared" si="6"/>
        <v>0</v>
      </c>
      <c r="S52" s="123">
        <f t="shared" si="7"/>
        <v>4.9261083743842365E-3</v>
      </c>
      <c r="T52" s="123">
        <f t="shared" si="3"/>
        <v>0</v>
      </c>
      <c r="U52" s="124">
        <f t="shared" si="8"/>
        <v>0.97536945812807885</v>
      </c>
      <c r="V52" s="125"/>
      <c r="Y52" s="119">
        <f>U52</f>
        <v>0.97536945812807885</v>
      </c>
    </row>
    <row r="53" spans="2:25" ht="15" hidden="1" customHeight="1" x14ac:dyDescent="0.2">
      <c r="B53" s="711">
        <v>46097</v>
      </c>
      <c r="C53" s="105" t="s">
        <v>22</v>
      </c>
      <c r="D53" s="105" t="s">
        <v>13</v>
      </c>
      <c r="E53" s="711">
        <v>46097</v>
      </c>
      <c r="G53" s="834"/>
      <c r="H53" s="120" t="s">
        <v>17</v>
      </c>
      <c r="I53" s="120" t="s">
        <v>22</v>
      </c>
      <c r="J53" s="120">
        <f>168+3</f>
        <v>171</v>
      </c>
      <c r="K53" s="120">
        <f t="shared" si="9"/>
        <v>168</v>
      </c>
      <c r="L53" s="120">
        <v>0</v>
      </c>
      <c r="M53" s="121">
        <v>0</v>
      </c>
      <c r="N53" s="120">
        <v>0</v>
      </c>
      <c r="O53" s="120"/>
      <c r="P53" s="121">
        <v>3</v>
      </c>
      <c r="Q53" s="122">
        <f t="shared" si="5"/>
        <v>0.98245614035087714</v>
      </c>
      <c r="R53" s="123">
        <f t="shared" si="6"/>
        <v>0</v>
      </c>
      <c r="S53" s="123">
        <f t="shared" si="7"/>
        <v>1.7543859649122806E-2</v>
      </c>
      <c r="T53" s="123">
        <f t="shared" si="3"/>
        <v>0</v>
      </c>
      <c r="U53" s="124">
        <f t="shared" si="8"/>
        <v>1</v>
      </c>
      <c r="V53" s="125"/>
      <c r="Y53" s="126"/>
    </row>
    <row r="54" spans="2:25" ht="15" hidden="1" customHeight="1" x14ac:dyDescent="0.2">
      <c r="B54" s="711">
        <v>46097</v>
      </c>
      <c r="C54" s="105" t="s">
        <v>22</v>
      </c>
      <c r="D54" s="105" t="s">
        <v>13</v>
      </c>
      <c r="E54" s="711">
        <v>46097</v>
      </c>
      <c r="G54" s="834"/>
      <c r="H54" s="142" t="s">
        <v>16</v>
      </c>
      <c r="I54" s="142" t="s">
        <v>27</v>
      </c>
      <c r="J54" s="142">
        <v>87</v>
      </c>
      <c r="K54" s="148">
        <f t="shared" si="9"/>
        <v>64</v>
      </c>
      <c r="L54" s="142">
        <v>20</v>
      </c>
      <c r="M54" s="143">
        <v>0</v>
      </c>
      <c r="N54" s="142">
        <v>0</v>
      </c>
      <c r="O54" s="142"/>
      <c r="P54" s="143">
        <v>3</v>
      </c>
      <c r="Q54" s="144">
        <f t="shared" si="5"/>
        <v>0.96551724137931039</v>
      </c>
      <c r="R54" s="145">
        <f t="shared" si="6"/>
        <v>0</v>
      </c>
      <c r="S54" s="145">
        <f t="shared" si="7"/>
        <v>3.4482758620689655E-2</v>
      </c>
      <c r="T54" s="145">
        <f t="shared" si="3"/>
        <v>0</v>
      </c>
      <c r="U54" s="146">
        <f t="shared" si="8"/>
        <v>1</v>
      </c>
      <c r="V54" s="147" t="s">
        <v>50</v>
      </c>
      <c r="Y54" s="126"/>
    </row>
    <row r="55" spans="2:25" ht="15" hidden="1" customHeight="1" x14ac:dyDescent="0.2">
      <c r="B55" s="711">
        <v>46097</v>
      </c>
      <c r="C55" s="105" t="s">
        <v>22</v>
      </c>
      <c r="D55" s="105" t="s">
        <v>13</v>
      </c>
      <c r="E55" s="711">
        <v>46097</v>
      </c>
      <c r="G55" s="834"/>
      <c r="H55" s="120" t="s">
        <v>26</v>
      </c>
      <c r="I55" s="120" t="s">
        <v>12</v>
      </c>
      <c r="J55" s="120">
        <v>6</v>
      </c>
      <c r="K55" s="106">
        <f t="shared" si="9"/>
        <v>6</v>
      </c>
      <c r="L55" s="120">
        <v>0</v>
      </c>
      <c r="M55" s="121">
        <v>0</v>
      </c>
      <c r="N55" s="120">
        <v>0</v>
      </c>
      <c r="O55" s="120"/>
      <c r="P55" s="121">
        <v>0</v>
      </c>
      <c r="Q55" s="122">
        <f t="shared" si="5"/>
        <v>1</v>
      </c>
      <c r="R55" s="123">
        <f t="shared" si="6"/>
        <v>0</v>
      </c>
      <c r="S55" s="123">
        <f t="shared" si="7"/>
        <v>0</v>
      </c>
      <c r="T55" s="123">
        <f t="shared" si="3"/>
        <v>0</v>
      </c>
      <c r="U55" s="124">
        <f t="shared" si="8"/>
        <v>1</v>
      </c>
      <c r="V55" s="125"/>
      <c r="Y55" s="126"/>
    </row>
    <row r="56" spans="2:25" ht="15" hidden="1" customHeight="1" x14ac:dyDescent="0.2">
      <c r="B56" s="711">
        <v>46097</v>
      </c>
      <c r="C56" s="105" t="s">
        <v>22</v>
      </c>
      <c r="D56" s="105" t="s">
        <v>13</v>
      </c>
      <c r="E56" s="711">
        <v>46097</v>
      </c>
      <c r="G56" s="834"/>
      <c r="H56" s="120" t="s">
        <v>42</v>
      </c>
      <c r="I56" s="120" t="s">
        <v>43</v>
      </c>
      <c r="J56" s="120">
        <v>16</v>
      </c>
      <c r="K56" s="106">
        <f t="shared" si="9"/>
        <v>5</v>
      </c>
      <c r="L56" s="120">
        <v>1</v>
      </c>
      <c r="M56" s="121">
        <v>10</v>
      </c>
      <c r="N56" s="120">
        <v>0</v>
      </c>
      <c r="O56" s="120"/>
      <c r="P56" s="121">
        <v>0</v>
      </c>
      <c r="Q56" s="122">
        <f t="shared" si="5"/>
        <v>0.375</v>
      </c>
      <c r="R56" s="123">
        <f t="shared" si="6"/>
        <v>0</v>
      </c>
      <c r="S56" s="123">
        <f t="shared" si="7"/>
        <v>0</v>
      </c>
      <c r="T56" s="123">
        <f t="shared" si="3"/>
        <v>0</v>
      </c>
      <c r="U56" s="124">
        <f t="shared" si="8"/>
        <v>0.375</v>
      </c>
      <c r="V56" s="125"/>
      <c r="Y56" s="126"/>
    </row>
    <row r="57" spans="2:25" ht="15" hidden="1" customHeight="1" x14ac:dyDescent="0.2">
      <c r="B57" s="711">
        <v>46097</v>
      </c>
      <c r="C57" s="105" t="s">
        <v>22</v>
      </c>
      <c r="D57" s="105" t="s">
        <v>13</v>
      </c>
      <c r="E57" s="711">
        <v>46097</v>
      </c>
      <c r="G57" s="834"/>
      <c r="H57" s="120" t="s">
        <v>14</v>
      </c>
      <c r="I57" s="120" t="s">
        <v>27</v>
      </c>
      <c r="J57" s="120">
        <v>192</v>
      </c>
      <c r="K57" s="106">
        <f t="shared" si="9"/>
        <v>122</v>
      </c>
      <c r="L57" s="120">
        <v>20</v>
      </c>
      <c r="M57" s="121">
        <v>45</v>
      </c>
      <c r="N57" s="120">
        <v>0</v>
      </c>
      <c r="O57" s="120">
        <v>9</v>
      </c>
      <c r="P57" s="121">
        <v>5</v>
      </c>
      <c r="Q57" s="122">
        <f t="shared" si="5"/>
        <v>0.73958333333333337</v>
      </c>
      <c r="R57" s="123">
        <f t="shared" si="6"/>
        <v>0</v>
      </c>
      <c r="S57" s="123">
        <f t="shared" si="7"/>
        <v>2.6041666666666668E-2</v>
      </c>
      <c r="T57" s="123">
        <f t="shared" si="3"/>
        <v>4.6875E-2</v>
      </c>
      <c r="U57" s="124">
        <f t="shared" si="8"/>
        <v>0.8125</v>
      </c>
      <c r="V57" s="125" t="s">
        <v>49</v>
      </c>
      <c r="Y57" s="126"/>
    </row>
    <row r="58" spans="2:25" ht="15.75" hidden="1" customHeight="1" x14ac:dyDescent="0.2">
      <c r="B58" s="711">
        <v>46097</v>
      </c>
      <c r="C58" s="105" t="s">
        <v>22</v>
      </c>
      <c r="D58" s="105" t="s">
        <v>13</v>
      </c>
      <c r="E58" s="711">
        <v>46097</v>
      </c>
      <c r="G58" s="835"/>
      <c r="H58" s="113" t="s">
        <v>19</v>
      </c>
      <c r="I58" s="113"/>
      <c r="J58" s="113">
        <f>SUM(J52:J57)</f>
        <v>675</v>
      </c>
      <c r="K58" s="113">
        <f>SUM(K52:K57)</f>
        <v>562</v>
      </c>
      <c r="L58" s="113">
        <f>SUM(L52:L57)</f>
        <v>41</v>
      </c>
      <c r="M58" s="114">
        <f>SUM(M52:M57)</f>
        <v>60</v>
      </c>
      <c r="N58" s="113">
        <f>SUM(N52:N57)</f>
        <v>0</v>
      </c>
      <c r="O58" s="113"/>
      <c r="P58" s="114">
        <f>SUM(P52:P57)</f>
        <v>12</v>
      </c>
      <c r="Q58" s="115">
        <f t="shared" si="5"/>
        <v>0.89333333333333331</v>
      </c>
      <c r="R58" s="116">
        <f t="shared" si="6"/>
        <v>0</v>
      </c>
      <c r="S58" s="116">
        <f t="shared" si="7"/>
        <v>1.7777777777777778E-2</v>
      </c>
      <c r="T58" s="116">
        <f t="shared" si="3"/>
        <v>0</v>
      </c>
      <c r="U58" s="117">
        <f t="shared" si="8"/>
        <v>0.91111111111111109</v>
      </c>
      <c r="V58" s="137"/>
      <c r="Y58" s="118"/>
    </row>
    <row r="59" spans="2:25" s="97" customFormat="1" ht="16.5" hidden="1" customHeight="1" x14ac:dyDescent="0.2">
      <c r="B59" s="711">
        <v>46097</v>
      </c>
      <c r="C59" s="105" t="s">
        <v>12</v>
      </c>
      <c r="D59" s="105" t="s">
        <v>20</v>
      </c>
      <c r="E59" s="711">
        <v>46097</v>
      </c>
      <c r="F59" s="89"/>
      <c r="G59" s="833">
        <v>46097</v>
      </c>
      <c r="H59" s="106" t="s">
        <v>14</v>
      </c>
      <c r="I59" s="106" t="s">
        <v>12</v>
      </c>
      <c r="J59" s="106">
        <v>53</v>
      </c>
      <c r="K59" s="106">
        <f>(J59)-(L59+M59+N59+P59)</f>
        <v>30</v>
      </c>
      <c r="L59" s="106">
        <v>12</v>
      </c>
      <c r="M59" s="107">
        <v>4</v>
      </c>
      <c r="N59" s="106">
        <v>0</v>
      </c>
      <c r="O59" s="106">
        <v>0</v>
      </c>
      <c r="P59" s="107">
        <v>7</v>
      </c>
      <c r="Q59" s="108">
        <f t="shared" si="5"/>
        <v>0.79245283018867929</v>
      </c>
      <c r="R59" s="109">
        <f t="shared" si="6"/>
        <v>0</v>
      </c>
      <c r="S59" s="109">
        <f t="shared" si="7"/>
        <v>0.13207547169811321</v>
      </c>
      <c r="T59" s="109">
        <f t="shared" si="3"/>
        <v>0</v>
      </c>
      <c r="U59" s="110">
        <f t="shared" si="8"/>
        <v>0.92452830188679247</v>
      </c>
      <c r="V59" s="111" t="s">
        <v>21</v>
      </c>
      <c r="W59" s="88"/>
      <c r="X59" s="88"/>
      <c r="Y59" s="119">
        <f>U59</f>
        <v>0.92452830188679247</v>
      </c>
    </row>
    <row r="60" spans="2:25" s="97" customFormat="1" ht="16.5" hidden="1" customHeight="1" x14ac:dyDescent="0.2">
      <c r="B60" s="711">
        <v>46097</v>
      </c>
      <c r="C60" s="105" t="s">
        <v>12</v>
      </c>
      <c r="D60" s="105" t="s">
        <v>20</v>
      </c>
      <c r="E60" s="711">
        <v>46097</v>
      </c>
      <c r="F60" s="89"/>
      <c r="G60" s="834"/>
      <c r="H60" s="120" t="s">
        <v>16</v>
      </c>
      <c r="I60" s="106" t="s">
        <v>12</v>
      </c>
      <c r="J60" s="120">
        <f>29+79</f>
        <v>108</v>
      </c>
      <c r="K60" s="120">
        <f>(J60)-(L60+M60+N60+P60)</f>
        <v>16</v>
      </c>
      <c r="L60" s="120">
        <v>13</v>
      </c>
      <c r="M60" s="121">
        <v>60</v>
      </c>
      <c r="N60" s="120">
        <v>16</v>
      </c>
      <c r="O60" s="120">
        <v>16</v>
      </c>
      <c r="P60" s="121">
        <v>3</v>
      </c>
      <c r="Q60" s="122">
        <f t="shared" si="5"/>
        <v>0.26851851851851855</v>
      </c>
      <c r="R60" s="123">
        <f t="shared" si="6"/>
        <v>0.14814814814814814</v>
      </c>
      <c r="S60" s="123">
        <f t="shared" si="7"/>
        <v>2.7777777777777776E-2</v>
      </c>
      <c r="T60" s="123">
        <f t="shared" si="3"/>
        <v>0.14814814814814814</v>
      </c>
      <c r="U60" s="124">
        <f t="shared" si="8"/>
        <v>0.59259259259259256</v>
      </c>
      <c r="V60" s="125" t="s">
        <v>51</v>
      </c>
      <c r="W60" s="88"/>
      <c r="X60" s="88"/>
      <c r="Y60" s="126"/>
    </row>
    <row r="61" spans="2:25" s="97" customFormat="1" ht="16.5" hidden="1" customHeight="1" x14ac:dyDescent="0.2">
      <c r="B61" s="711">
        <v>46097</v>
      </c>
      <c r="C61" s="105" t="s">
        <v>12</v>
      </c>
      <c r="D61" s="105" t="s">
        <v>20</v>
      </c>
      <c r="E61" s="711">
        <v>46097</v>
      </c>
      <c r="F61" s="89"/>
      <c r="G61" s="834"/>
      <c r="H61" s="120" t="s">
        <v>42</v>
      </c>
      <c r="I61" s="106" t="s">
        <v>43</v>
      </c>
      <c r="J61" s="120">
        <v>19</v>
      </c>
      <c r="K61" s="120">
        <f>(J61)-(L61+M61+N61+P61)</f>
        <v>18</v>
      </c>
      <c r="L61" s="120">
        <v>1</v>
      </c>
      <c r="M61" s="121">
        <v>0</v>
      </c>
      <c r="N61" s="120">
        <v>0</v>
      </c>
      <c r="O61" s="120">
        <v>0</v>
      </c>
      <c r="P61" s="121">
        <v>0</v>
      </c>
      <c r="Q61" s="122">
        <f t="shared" si="5"/>
        <v>1</v>
      </c>
      <c r="R61" s="123">
        <f t="shared" si="6"/>
        <v>0</v>
      </c>
      <c r="S61" s="123">
        <f t="shared" si="7"/>
        <v>0</v>
      </c>
      <c r="T61" s="123">
        <f t="shared" si="3"/>
        <v>0</v>
      </c>
      <c r="U61" s="124">
        <f t="shared" si="8"/>
        <v>1</v>
      </c>
      <c r="V61" s="125"/>
      <c r="W61" s="88"/>
      <c r="X61" s="88"/>
      <c r="Y61" s="126"/>
    </row>
    <row r="62" spans="2:25" s="97" customFormat="1" ht="16.5" hidden="1" customHeight="1" x14ac:dyDescent="0.2">
      <c r="B62" s="711">
        <v>46097</v>
      </c>
      <c r="C62" s="105" t="s">
        <v>12</v>
      </c>
      <c r="D62" s="105" t="s">
        <v>20</v>
      </c>
      <c r="E62" s="711">
        <v>46097</v>
      </c>
      <c r="F62" s="89"/>
      <c r="G62" s="834"/>
      <c r="H62" s="120" t="s">
        <v>17</v>
      </c>
      <c r="I62" s="106" t="s">
        <v>12</v>
      </c>
      <c r="J62" s="120">
        <v>19</v>
      </c>
      <c r="K62" s="120">
        <f>(J62)-(L62+M62+N62+P62+O62)</f>
        <v>3</v>
      </c>
      <c r="L62" s="120">
        <v>13</v>
      </c>
      <c r="M62" s="121">
        <v>0</v>
      </c>
      <c r="N62" s="120">
        <v>0</v>
      </c>
      <c r="O62" s="120">
        <v>0</v>
      </c>
      <c r="P62" s="121">
        <v>3</v>
      </c>
      <c r="Q62" s="122">
        <f t="shared" si="5"/>
        <v>0.84210526315789469</v>
      </c>
      <c r="R62" s="123">
        <f t="shared" si="6"/>
        <v>0</v>
      </c>
      <c r="S62" s="123">
        <f t="shared" si="7"/>
        <v>0.15789473684210525</v>
      </c>
      <c r="T62" s="123">
        <f t="shared" si="3"/>
        <v>0</v>
      </c>
      <c r="U62" s="124">
        <f t="shared" si="8"/>
        <v>1</v>
      </c>
      <c r="V62" s="125"/>
      <c r="W62" s="88"/>
      <c r="X62" s="88"/>
      <c r="Y62" s="126"/>
    </row>
    <row r="63" spans="2:25" s="97" customFormat="1" ht="16.5" hidden="1" customHeight="1" x14ac:dyDescent="0.2">
      <c r="B63" s="711">
        <v>46097</v>
      </c>
      <c r="C63" s="105" t="s">
        <v>12</v>
      </c>
      <c r="D63" s="105" t="s">
        <v>20</v>
      </c>
      <c r="E63" s="711">
        <v>46097</v>
      </c>
      <c r="F63" s="89"/>
      <c r="G63" s="835"/>
      <c r="H63" s="113" t="s">
        <v>19</v>
      </c>
      <c r="I63" s="113"/>
      <c r="J63" s="113">
        <f>SUM(J59:J62)</f>
        <v>199</v>
      </c>
      <c r="K63" s="113">
        <f>SUM(K59:K62)</f>
        <v>67</v>
      </c>
      <c r="L63" s="113">
        <f>SUM(L59:L62)</f>
        <v>39</v>
      </c>
      <c r="M63" s="114">
        <f>SUM(M59:M62)</f>
        <v>64</v>
      </c>
      <c r="N63" s="113">
        <f>SUM(N59:N62)</f>
        <v>16</v>
      </c>
      <c r="O63" s="113"/>
      <c r="P63" s="114">
        <f>SUM(P59:P62)</f>
        <v>13</v>
      </c>
      <c r="Q63" s="115">
        <f t="shared" si="5"/>
        <v>0.53266331658291455</v>
      </c>
      <c r="R63" s="116">
        <f t="shared" si="6"/>
        <v>8.0402010050251257E-2</v>
      </c>
      <c r="S63" s="116">
        <f t="shared" si="7"/>
        <v>6.5326633165829151E-2</v>
      </c>
      <c r="T63" s="116">
        <f t="shared" si="3"/>
        <v>0</v>
      </c>
      <c r="U63" s="117">
        <f t="shared" si="8"/>
        <v>0.67839195979899491</v>
      </c>
      <c r="V63" s="127"/>
      <c r="W63" s="88"/>
      <c r="X63" s="88"/>
      <c r="Y63" s="118"/>
    </row>
    <row r="64" spans="2:25" s="97" customFormat="1" ht="16.5" hidden="1" customHeight="1" x14ac:dyDescent="0.2">
      <c r="B64" s="711">
        <v>46097</v>
      </c>
      <c r="C64" s="105" t="s">
        <v>12</v>
      </c>
      <c r="D64" s="105" t="s">
        <v>20</v>
      </c>
      <c r="E64" s="711">
        <v>46097</v>
      </c>
      <c r="F64" s="89"/>
      <c r="G64" s="833">
        <v>46097</v>
      </c>
      <c r="H64" s="106" t="s">
        <v>17</v>
      </c>
      <c r="I64" s="106" t="s">
        <v>15</v>
      </c>
      <c r="J64" s="106">
        <v>235</v>
      </c>
      <c r="K64" s="106">
        <f>(J64)-(L64+M64+N64+P64)</f>
        <v>69</v>
      </c>
      <c r="L64" s="106">
        <v>3</v>
      </c>
      <c r="M64" s="107">
        <v>33</v>
      </c>
      <c r="N64" s="106">
        <v>123</v>
      </c>
      <c r="O64" s="106">
        <v>0</v>
      </c>
      <c r="P64" s="107">
        <v>7</v>
      </c>
      <c r="Q64" s="108">
        <f t="shared" si="5"/>
        <v>0.30638297872340425</v>
      </c>
      <c r="R64" s="109">
        <f t="shared" si="6"/>
        <v>0.52340425531914891</v>
      </c>
      <c r="S64" s="109">
        <f t="shared" si="7"/>
        <v>2.9787234042553193E-2</v>
      </c>
      <c r="T64" s="109">
        <f t="shared" si="3"/>
        <v>0</v>
      </c>
      <c r="U64" s="110">
        <f t="shared" si="8"/>
        <v>0.8595744680851064</v>
      </c>
      <c r="V64" s="111"/>
      <c r="W64" s="88"/>
      <c r="X64" s="88"/>
      <c r="Y64" s="119">
        <f>U64</f>
        <v>0.8595744680851064</v>
      </c>
    </row>
    <row r="65" spans="2:25" s="97" customFormat="1" ht="16.5" hidden="1" customHeight="1" x14ac:dyDescent="0.2">
      <c r="B65" s="711">
        <v>46097</v>
      </c>
      <c r="C65" s="105" t="s">
        <v>12</v>
      </c>
      <c r="D65" s="105" t="s">
        <v>20</v>
      </c>
      <c r="E65" s="711">
        <v>46097</v>
      </c>
      <c r="F65" s="89"/>
      <c r="G65" s="834"/>
      <c r="H65" s="142" t="s">
        <v>16</v>
      </c>
      <c r="I65" s="142" t="s">
        <v>27</v>
      </c>
      <c r="J65" s="142">
        <v>208</v>
      </c>
      <c r="K65" s="142">
        <f>(J65)-(L65+M65+N65+P65)</f>
        <v>208</v>
      </c>
      <c r="L65" s="142">
        <v>0</v>
      </c>
      <c r="M65" s="142">
        <v>0</v>
      </c>
      <c r="N65" s="142">
        <v>0</v>
      </c>
      <c r="O65" s="142">
        <v>0</v>
      </c>
      <c r="P65" s="142">
        <v>0</v>
      </c>
      <c r="Q65" s="144">
        <f t="shared" si="5"/>
        <v>1</v>
      </c>
      <c r="R65" s="145">
        <f t="shared" si="6"/>
        <v>0</v>
      </c>
      <c r="S65" s="145">
        <f t="shared" si="7"/>
        <v>0</v>
      </c>
      <c r="T65" s="145">
        <f t="shared" si="3"/>
        <v>0</v>
      </c>
      <c r="U65" s="146">
        <f t="shared" si="8"/>
        <v>1</v>
      </c>
      <c r="V65" s="147"/>
      <c r="W65" s="88"/>
      <c r="X65" s="88"/>
      <c r="Y65" s="126"/>
    </row>
    <row r="66" spans="2:25" s="97" customFormat="1" ht="16.5" hidden="1" customHeight="1" x14ac:dyDescent="0.2">
      <c r="B66" s="711">
        <v>46097</v>
      </c>
      <c r="C66" s="105" t="s">
        <v>12</v>
      </c>
      <c r="D66" s="105" t="s">
        <v>20</v>
      </c>
      <c r="E66" s="711">
        <v>46097</v>
      </c>
      <c r="F66" s="89"/>
      <c r="G66" s="834"/>
      <c r="H66" s="120" t="s">
        <v>14</v>
      </c>
      <c r="I66" s="120" t="s">
        <v>18</v>
      </c>
      <c r="J66" s="120">
        <v>165</v>
      </c>
      <c r="K66" s="120">
        <f>(J66)-(L66+M66+N66+P66)</f>
        <v>165</v>
      </c>
      <c r="L66" s="120">
        <v>0</v>
      </c>
      <c r="M66" s="120">
        <v>0</v>
      </c>
      <c r="N66" s="120">
        <v>0</v>
      </c>
      <c r="O66" s="120">
        <v>0</v>
      </c>
      <c r="P66" s="120">
        <v>0</v>
      </c>
      <c r="Q66" s="122">
        <f t="shared" si="5"/>
        <v>1</v>
      </c>
      <c r="R66" s="123">
        <f t="shared" si="6"/>
        <v>0</v>
      </c>
      <c r="S66" s="123">
        <f t="shared" si="7"/>
        <v>0</v>
      </c>
      <c r="T66" s="123">
        <f t="shared" si="3"/>
        <v>0</v>
      </c>
      <c r="U66" s="124">
        <f t="shared" si="8"/>
        <v>1</v>
      </c>
      <c r="V66" s="125"/>
      <c r="W66" s="88"/>
      <c r="X66" s="88"/>
      <c r="Y66" s="126"/>
    </row>
    <row r="67" spans="2:25" s="97" customFormat="1" ht="16.5" hidden="1" customHeight="1" x14ac:dyDescent="0.2">
      <c r="B67" s="711">
        <v>46097</v>
      </c>
      <c r="C67" s="105" t="s">
        <v>12</v>
      </c>
      <c r="D67" s="105" t="s">
        <v>20</v>
      </c>
      <c r="E67" s="711">
        <v>46097</v>
      </c>
      <c r="F67" s="89"/>
      <c r="G67" s="835"/>
      <c r="H67" s="113" t="s">
        <v>19</v>
      </c>
      <c r="I67" s="113"/>
      <c r="J67" s="113">
        <f>SUM(J64:J66)</f>
        <v>608</v>
      </c>
      <c r="K67" s="113">
        <f>SUM(K64:K66)</f>
        <v>442</v>
      </c>
      <c r="L67" s="113">
        <f>SUM(L64:L66)</f>
        <v>3</v>
      </c>
      <c r="M67" s="114">
        <f>SUM(M64:M66)</f>
        <v>33</v>
      </c>
      <c r="N67" s="113">
        <f>SUM(N64:N66)</f>
        <v>123</v>
      </c>
      <c r="O67" s="113">
        <v>0</v>
      </c>
      <c r="P67" s="114">
        <f>SUM(P64:P66)</f>
        <v>7</v>
      </c>
      <c r="Q67" s="115">
        <f t="shared" si="5"/>
        <v>0.73190789473684215</v>
      </c>
      <c r="R67" s="116">
        <f t="shared" si="6"/>
        <v>0.20230263157894737</v>
      </c>
      <c r="S67" s="116">
        <f t="shared" si="7"/>
        <v>1.1513157894736841E-2</v>
      </c>
      <c r="T67" s="116">
        <f t="shared" si="3"/>
        <v>0</v>
      </c>
      <c r="U67" s="117">
        <f t="shared" si="8"/>
        <v>0.94572368421052633</v>
      </c>
      <c r="V67" s="127"/>
      <c r="W67" s="88"/>
      <c r="X67" s="88"/>
      <c r="Y67" s="118"/>
    </row>
    <row r="68" spans="2:25" ht="15" hidden="1" customHeight="1" x14ac:dyDescent="0.2">
      <c r="B68" s="711">
        <v>46097</v>
      </c>
      <c r="C68" s="105" t="s">
        <v>18</v>
      </c>
      <c r="D68" s="105" t="s">
        <v>23</v>
      </c>
      <c r="E68" s="711">
        <v>46097</v>
      </c>
      <c r="G68" s="833">
        <v>46098</v>
      </c>
      <c r="H68" s="148" t="s">
        <v>17</v>
      </c>
      <c r="I68" s="148" t="s">
        <v>15</v>
      </c>
      <c r="J68" s="148">
        <v>235</v>
      </c>
      <c r="K68" s="148">
        <f>(J68)-(L68+M68+N68+P68)</f>
        <v>133</v>
      </c>
      <c r="L68" s="148">
        <v>45</v>
      </c>
      <c r="M68" s="149">
        <f>47-30</f>
        <v>17</v>
      </c>
      <c r="N68" s="148">
        <v>32</v>
      </c>
      <c r="O68" s="148">
        <v>16</v>
      </c>
      <c r="P68" s="149">
        <v>8</v>
      </c>
      <c r="Q68" s="150">
        <f t="shared" si="5"/>
        <v>0.75744680851063828</v>
      </c>
      <c r="R68" s="151">
        <f t="shared" si="6"/>
        <v>0.13617021276595745</v>
      </c>
      <c r="S68" s="151">
        <f t="shared" si="7"/>
        <v>3.4042553191489362E-2</v>
      </c>
      <c r="T68" s="151">
        <f t="shared" si="3"/>
        <v>6.8085106382978725E-2</v>
      </c>
      <c r="U68" s="152">
        <f t="shared" si="8"/>
        <v>0.99574468085106382</v>
      </c>
      <c r="V68" s="153"/>
    </row>
    <row r="69" spans="2:25" ht="15" hidden="1" customHeight="1" x14ac:dyDescent="0.2">
      <c r="B69" s="711">
        <v>46097</v>
      </c>
      <c r="C69" s="105" t="s">
        <v>18</v>
      </c>
      <c r="D69" s="105" t="s">
        <v>23</v>
      </c>
      <c r="E69" s="711">
        <v>46097</v>
      </c>
      <c r="G69" s="834"/>
      <c r="H69" s="120" t="s">
        <v>16</v>
      </c>
      <c r="I69" s="120" t="s">
        <v>27</v>
      </c>
      <c r="J69" s="120">
        <v>180</v>
      </c>
      <c r="K69" s="120">
        <f>(J69)-(L69+M69+N69+P69)</f>
        <v>21</v>
      </c>
      <c r="L69" s="120">
        <v>1</v>
      </c>
      <c r="M69" s="120">
        <f>59-19</f>
        <v>40</v>
      </c>
      <c r="N69" s="120">
        <v>114</v>
      </c>
      <c r="O69" s="120">
        <v>19</v>
      </c>
      <c r="P69" s="120">
        <v>4</v>
      </c>
      <c r="Q69" s="122">
        <f t="shared" si="5"/>
        <v>0.12222222222222222</v>
      </c>
      <c r="R69" s="123">
        <f t="shared" si="6"/>
        <v>0.6333333333333333</v>
      </c>
      <c r="S69" s="123">
        <f t="shared" si="7"/>
        <v>2.2222222222222223E-2</v>
      </c>
      <c r="T69" s="123">
        <f t="shared" si="3"/>
        <v>0.10555555555555556</v>
      </c>
      <c r="U69" s="124">
        <f t="shared" si="8"/>
        <v>0.8833333333333333</v>
      </c>
      <c r="V69" s="125"/>
    </row>
    <row r="70" spans="2:25" ht="15" hidden="1" customHeight="1" x14ac:dyDescent="0.2">
      <c r="B70" s="711">
        <v>46097</v>
      </c>
      <c r="C70" s="105" t="s">
        <v>18</v>
      </c>
      <c r="D70" s="105" t="s">
        <v>23</v>
      </c>
      <c r="E70" s="711">
        <v>46097</v>
      </c>
      <c r="G70" s="834"/>
      <c r="H70" s="120" t="s">
        <v>14</v>
      </c>
      <c r="I70" s="120" t="s">
        <v>18</v>
      </c>
      <c r="J70" s="120">
        <v>167</v>
      </c>
      <c r="K70" s="120">
        <f>(J70)-(L70+M70+N70+P70)</f>
        <v>0</v>
      </c>
      <c r="L70" s="120">
        <v>0</v>
      </c>
      <c r="M70" s="120">
        <v>166</v>
      </c>
      <c r="N70" s="120">
        <v>0</v>
      </c>
      <c r="O70" s="120">
        <v>0</v>
      </c>
      <c r="P70" s="120">
        <v>1</v>
      </c>
      <c r="Q70" s="122">
        <f t="shared" ref="Q70:Q101" si="10">(K70+L70)/J70</f>
        <v>0</v>
      </c>
      <c r="R70" s="123">
        <f t="shared" ref="R70:R101" si="11">N70/J70</f>
        <v>0</v>
      </c>
      <c r="S70" s="123">
        <f t="shared" ref="S70:S101" si="12">P70/J70</f>
        <v>5.9880239520958087E-3</v>
      </c>
      <c r="T70" s="123">
        <f t="shared" ref="T70:T133" si="13">O70/J70</f>
        <v>0</v>
      </c>
      <c r="U70" s="124">
        <f t="shared" ref="U70:U101" si="14">S70+R70+Q70+T70</f>
        <v>5.9880239520958087E-3</v>
      </c>
      <c r="V70" s="125"/>
    </row>
    <row r="71" spans="2:25" ht="15.75" hidden="1" customHeight="1" x14ac:dyDescent="0.2">
      <c r="B71" s="711">
        <v>46097</v>
      </c>
      <c r="C71" s="105" t="s">
        <v>18</v>
      </c>
      <c r="D71" s="105" t="s">
        <v>23</v>
      </c>
      <c r="E71" s="711">
        <v>46097</v>
      </c>
      <c r="G71" s="835"/>
      <c r="H71" s="113" t="s">
        <v>19</v>
      </c>
      <c r="I71" s="113"/>
      <c r="J71" s="113">
        <f>SUM(J68:J70)</f>
        <v>582</v>
      </c>
      <c r="K71" s="113">
        <f>SUM(K68:K70)</f>
        <v>154</v>
      </c>
      <c r="L71" s="113">
        <f>SUM(L68:L70)</f>
        <v>46</v>
      </c>
      <c r="M71" s="114">
        <f>SUM(M68:M70)</f>
        <v>223</v>
      </c>
      <c r="N71" s="113">
        <f>SUM(N68:N70)</f>
        <v>146</v>
      </c>
      <c r="O71" s="113">
        <v>0</v>
      </c>
      <c r="P71" s="114">
        <f>SUM(P68:P70)</f>
        <v>13</v>
      </c>
      <c r="Q71" s="115">
        <f t="shared" si="10"/>
        <v>0.3436426116838488</v>
      </c>
      <c r="R71" s="116">
        <f t="shared" si="11"/>
        <v>0.25085910652920962</v>
      </c>
      <c r="S71" s="116">
        <f t="shared" si="12"/>
        <v>2.2336769759450172E-2</v>
      </c>
      <c r="T71" s="116">
        <f t="shared" si="13"/>
        <v>0</v>
      </c>
      <c r="U71" s="117">
        <f t="shared" si="14"/>
        <v>0.61683848797250862</v>
      </c>
      <c r="V71" s="127"/>
    </row>
    <row r="72" spans="2:25" ht="34.5" hidden="1" customHeight="1" x14ac:dyDescent="0.2">
      <c r="B72" s="711">
        <v>46098</v>
      </c>
      <c r="C72" s="105" t="s">
        <v>22</v>
      </c>
      <c r="D72" s="105" t="s">
        <v>13</v>
      </c>
      <c r="E72" s="711">
        <v>46098</v>
      </c>
      <c r="G72" s="833">
        <v>46098</v>
      </c>
      <c r="H72" s="106" t="s">
        <v>17</v>
      </c>
      <c r="I72" s="106" t="s">
        <v>15</v>
      </c>
      <c r="J72" s="106">
        <v>235</v>
      </c>
      <c r="K72" s="106">
        <f>(J72)-(L72+M72+N72+P72)</f>
        <v>190</v>
      </c>
      <c r="L72" s="106">
        <v>29</v>
      </c>
      <c r="M72" s="107">
        <v>10</v>
      </c>
      <c r="N72" s="106">
        <v>0</v>
      </c>
      <c r="O72" s="106">
        <v>28</v>
      </c>
      <c r="P72" s="107">
        <v>6</v>
      </c>
      <c r="Q72" s="108">
        <f t="shared" si="10"/>
        <v>0.93191489361702129</v>
      </c>
      <c r="R72" s="109">
        <f t="shared" si="11"/>
        <v>0</v>
      </c>
      <c r="S72" s="109">
        <f t="shared" si="12"/>
        <v>2.553191489361702E-2</v>
      </c>
      <c r="T72" s="109">
        <f t="shared" si="13"/>
        <v>0.11914893617021277</v>
      </c>
      <c r="U72" s="110">
        <f t="shared" si="14"/>
        <v>1.0765957446808512</v>
      </c>
      <c r="V72" s="141" t="s">
        <v>54</v>
      </c>
    </row>
    <row r="73" spans="2:25" ht="15.75" hidden="1" customHeight="1" x14ac:dyDescent="0.2">
      <c r="B73" s="711">
        <v>46098</v>
      </c>
      <c r="C73" s="105" t="s">
        <v>22</v>
      </c>
      <c r="D73" s="105" t="s">
        <v>13</v>
      </c>
      <c r="E73" s="711">
        <v>46098</v>
      </c>
      <c r="G73" s="834"/>
      <c r="H73" s="106" t="s">
        <v>32</v>
      </c>
      <c r="I73" s="106" t="s">
        <v>22</v>
      </c>
      <c r="J73" s="106">
        <v>13</v>
      </c>
      <c r="K73" s="106">
        <f>(J73)-(L73+M73+N73+P73)</f>
        <v>13</v>
      </c>
      <c r="L73" s="106">
        <v>0</v>
      </c>
      <c r="M73" s="107">
        <v>0</v>
      </c>
      <c r="N73" s="106">
        <v>0</v>
      </c>
      <c r="O73" s="106">
        <v>0</v>
      </c>
      <c r="P73" s="107">
        <v>0</v>
      </c>
      <c r="Q73" s="108">
        <f t="shared" si="10"/>
        <v>1</v>
      </c>
      <c r="R73" s="109">
        <f t="shared" si="11"/>
        <v>0</v>
      </c>
      <c r="S73" s="109">
        <f t="shared" si="12"/>
        <v>0</v>
      </c>
      <c r="T73" s="109">
        <f t="shared" si="13"/>
        <v>0</v>
      </c>
      <c r="U73" s="110">
        <f t="shared" si="14"/>
        <v>1</v>
      </c>
      <c r="V73" s="111"/>
    </row>
    <row r="74" spans="2:25" ht="15.75" hidden="1" customHeight="1" x14ac:dyDescent="0.2">
      <c r="B74" s="711">
        <v>46098</v>
      </c>
      <c r="C74" s="105" t="s">
        <v>22</v>
      </c>
      <c r="D74" s="105" t="s">
        <v>13</v>
      </c>
      <c r="E74" s="711">
        <v>46098</v>
      </c>
      <c r="G74" s="834"/>
      <c r="H74" s="106" t="s">
        <v>42</v>
      </c>
      <c r="I74" s="106" t="s">
        <v>43</v>
      </c>
      <c r="J74" s="106">
        <v>17</v>
      </c>
      <c r="K74" s="106">
        <f>(J74)-(L74+M74+N74+P74)</f>
        <v>17</v>
      </c>
      <c r="L74" s="106">
        <v>0</v>
      </c>
      <c r="M74" s="107">
        <v>0</v>
      </c>
      <c r="N74" s="106">
        <v>0</v>
      </c>
      <c r="O74" s="106">
        <v>0</v>
      </c>
      <c r="P74" s="107">
        <v>0</v>
      </c>
      <c r="Q74" s="108">
        <f t="shared" si="10"/>
        <v>1</v>
      </c>
      <c r="R74" s="109">
        <f t="shared" si="11"/>
        <v>0</v>
      </c>
      <c r="S74" s="109">
        <f t="shared" si="12"/>
        <v>0</v>
      </c>
      <c r="T74" s="109">
        <f t="shared" si="13"/>
        <v>0</v>
      </c>
      <c r="U74" s="110">
        <f t="shared" si="14"/>
        <v>1</v>
      </c>
      <c r="V74" s="111"/>
    </row>
    <row r="75" spans="2:25" ht="31.5" hidden="1" customHeight="1" x14ac:dyDescent="0.2">
      <c r="B75" s="711">
        <v>46098</v>
      </c>
      <c r="C75" s="105" t="s">
        <v>22</v>
      </c>
      <c r="D75" s="105" t="s">
        <v>13</v>
      </c>
      <c r="E75" s="711">
        <v>46098</v>
      </c>
      <c r="G75" s="834"/>
      <c r="H75" s="142" t="s">
        <v>16</v>
      </c>
      <c r="I75" s="142" t="s">
        <v>27</v>
      </c>
      <c r="J75" s="142">
        <v>180</v>
      </c>
      <c r="K75" s="142">
        <f>(J75)-(L75+M75+N75+P75)</f>
        <v>133</v>
      </c>
      <c r="L75" s="142">
        <v>33</v>
      </c>
      <c r="M75" s="142">
        <v>10</v>
      </c>
      <c r="N75" s="142">
        <v>0</v>
      </c>
      <c r="O75" s="142">
        <v>19</v>
      </c>
      <c r="P75" s="142">
        <v>4</v>
      </c>
      <c r="Q75" s="144">
        <f t="shared" si="10"/>
        <v>0.92222222222222228</v>
      </c>
      <c r="R75" s="145">
        <f t="shared" si="11"/>
        <v>0</v>
      </c>
      <c r="S75" s="145">
        <f t="shared" si="12"/>
        <v>2.2222222222222223E-2</v>
      </c>
      <c r="T75" s="145">
        <f t="shared" si="13"/>
        <v>0.10555555555555556</v>
      </c>
      <c r="U75" s="146">
        <f t="shared" si="14"/>
        <v>1.05</v>
      </c>
      <c r="V75" s="154" t="s">
        <v>53</v>
      </c>
    </row>
    <row r="76" spans="2:25" ht="15.75" hidden="1" customHeight="1" x14ac:dyDescent="0.2">
      <c r="B76" s="711">
        <v>46098</v>
      </c>
      <c r="C76" s="105" t="s">
        <v>22</v>
      </c>
      <c r="D76" s="105" t="s">
        <v>13</v>
      </c>
      <c r="E76" s="711">
        <v>46098</v>
      </c>
      <c r="G76" s="834"/>
      <c r="H76" s="120" t="s">
        <v>14</v>
      </c>
      <c r="I76" s="120" t="s">
        <v>18</v>
      </c>
      <c r="J76" s="120">
        <v>167</v>
      </c>
      <c r="K76" s="120">
        <f>(J76)-(L76+M76+N76+P76)</f>
        <v>0</v>
      </c>
      <c r="L76" s="120">
        <v>0</v>
      </c>
      <c r="M76" s="120">
        <v>42</v>
      </c>
      <c r="N76" s="120">
        <v>124</v>
      </c>
      <c r="O76" s="120">
        <v>0</v>
      </c>
      <c r="P76" s="120">
        <v>1</v>
      </c>
      <c r="Q76" s="122">
        <f t="shared" si="10"/>
        <v>0</v>
      </c>
      <c r="R76" s="123">
        <f t="shared" si="11"/>
        <v>0.74251497005988021</v>
      </c>
      <c r="S76" s="123">
        <f t="shared" si="12"/>
        <v>5.9880239520958087E-3</v>
      </c>
      <c r="T76" s="123">
        <f t="shared" si="13"/>
        <v>0</v>
      </c>
      <c r="U76" s="124">
        <f t="shared" si="14"/>
        <v>0.74850299401197606</v>
      </c>
      <c r="V76" s="125"/>
    </row>
    <row r="77" spans="2:25" ht="15.75" hidden="1" customHeight="1" x14ac:dyDescent="0.2">
      <c r="B77" s="711">
        <v>46098</v>
      </c>
      <c r="C77" s="105" t="s">
        <v>22</v>
      </c>
      <c r="D77" s="105" t="s">
        <v>13</v>
      </c>
      <c r="E77" s="711">
        <v>46098</v>
      </c>
      <c r="G77" s="835"/>
      <c r="H77" s="113" t="s">
        <v>19</v>
      </c>
      <c r="I77" s="113"/>
      <c r="J77" s="113">
        <f>SUM(J72:J76)</f>
        <v>612</v>
      </c>
      <c r="K77" s="113">
        <f>SUM(K72:K76)</f>
        <v>353</v>
      </c>
      <c r="L77" s="113">
        <f>SUM(L72:L76)</f>
        <v>62</v>
      </c>
      <c r="M77" s="114">
        <f>SUM(M72:M76)</f>
        <v>62</v>
      </c>
      <c r="N77" s="113">
        <f>SUM(N72:N76)</f>
        <v>124</v>
      </c>
      <c r="O77" s="113">
        <v>0</v>
      </c>
      <c r="P77" s="114">
        <f>SUM(P72:P76)</f>
        <v>11</v>
      </c>
      <c r="Q77" s="115">
        <f t="shared" si="10"/>
        <v>0.67810457516339873</v>
      </c>
      <c r="R77" s="116">
        <f t="shared" si="11"/>
        <v>0.20261437908496732</v>
      </c>
      <c r="S77" s="116">
        <f t="shared" si="12"/>
        <v>1.7973856209150325E-2</v>
      </c>
      <c r="T77" s="116">
        <f t="shared" si="13"/>
        <v>0</v>
      </c>
      <c r="U77" s="117">
        <f t="shared" si="14"/>
        <v>0.89869281045751637</v>
      </c>
      <c r="V77" s="127"/>
    </row>
    <row r="78" spans="2:25" s="97" customFormat="1" ht="16.5" hidden="1" customHeight="1" x14ac:dyDescent="0.2">
      <c r="B78" s="711">
        <v>46098</v>
      </c>
      <c r="C78" s="105" t="s">
        <v>12</v>
      </c>
      <c r="D78" s="105" t="s">
        <v>20</v>
      </c>
      <c r="E78" s="711">
        <v>46098</v>
      </c>
      <c r="F78" s="89"/>
      <c r="G78" s="833">
        <v>46098</v>
      </c>
      <c r="H78" s="106" t="s">
        <v>17</v>
      </c>
      <c r="I78" s="106" t="s">
        <v>15</v>
      </c>
      <c r="J78" s="106">
        <v>60</v>
      </c>
      <c r="K78" s="106">
        <f>(J78)-(L78+M78+N78+P78+O78)</f>
        <v>17</v>
      </c>
      <c r="L78" s="106">
        <v>11</v>
      </c>
      <c r="M78" s="107">
        <v>10</v>
      </c>
      <c r="N78" s="106">
        <v>0</v>
      </c>
      <c r="O78" s="106">
        <v>16</v>
      </c>
      <c r="P78" s="107">
        <v>6</v>
      </c>
      <c r="Q78" s="108">
        <f t="shared" si="10"/>
        <v>0.46666666666666667</v>
      </c>
      <c r="R78" s="109">
        <f t="shared" si="11"/>
        <v>0</v>
      </c>
      <c r="S78" s="109">
        <f t="shared" si="12"/>
        <v>0.1</v>
      </c>
      <c r="T78" s="109">
        <f t="shared" si="13"/>
        <v>0.26666666666666666</v>
      </c>
      <c r="U78" s="110">
        <f t="shared" si="14"/>
        <v>0.83333333333333326</v>
      </c>
      <c r="V78" s="111"/>
      <c r="W78" s="88"/>
      <c r="X78" s="88"/>
      <c r="Y78" s="119">
        <f>U78</f>
        <v>0.83333333333333326</v>
      </c>
    </row>
    <row r="79" spans="2:25" s="97" customFormat="1" ht="16.5" hidden="1" customHeight="1" x14ac:dyDescent="0.2">
      <c r="B79" s="711">
        <v>46098</v>
      </c>
      <c r="C79" s="105" t="s">
        <v>12</v>
      </c>
      <c r="D79" s="105" t="s">
        <v>20</v>
      </c>
      <c r="E79" s="711">
        <v>46098</v>
      </c>
      <c r="F79" s="89"/>
      <c r="G79" s="834"/>
      <c r="H79" s="120" t="s">
        <v>16</v>
      </c>
      <c r="I79" s="120" t="s">
        <v>27</v>
      </c>
      <c r="J79" s="120">
        <v>40</v>
      </c>
      <c r="K79" s="106">
        <f>(J79)-(L79+M79+N79+P79+O79)</f>
        <v>10</v>
      </c>
      <c r="L79" s="120">
        <v>13</v>
      </c>
      <c r="M79" s="120">
        <v>0</v>
      </c>
      <c r="N79" s="120">
        <v>0</v>
      </c>
      <c r="O79" s="120">
        <v>14</v>
      </c>
      <c r="P79" s="120">
        <v>3</v>
      </c>
      <c r="Q79" s="122">
        <f t="shared" si="10"/>
        <v>0.57499999999999996</v>
      </c>
      <c r="R79" s="123">
        <f t="shared" si="11"/>
        <v>0</v>
      </c>
      <c r="S79" s="123">
        <f t="shared" si="12"/>
        <v>7.4999999999999997E-2</v>
      </c>
      <c r="T79" s="123">
        <f t="shared" si="13"/>
        <v>0.35</v>
      </c>
      <c r="U79" s="124">
        <f t="shared" si="14"/>
        <v>0.99999999999999989</v>
      </c>
      <c r="V79" s="125"/>
      <c r="W79" s="88"/>
      <c r="X79" s="88"/>
      <c r="Y79" s="126"/>
    </row>
    <row r="80" spans="2:25" s="97" customFormat="1" ht="17.25" hidden="1" customHeight="1" x14ac:dyDescent="0.2">
      <c r="B80" s="711">
        <v>46098</v>
      </c>
      <c r="C80" s="105" t="s">
        <v>12</v>
      </c>
      <c r="D80" s="105" t="s">
        <v>20</v>
      </c>
      <c r="E80" s="711">
        <v>46098</v>
      </c>
      <c r="F80" s="89"/>
      <c r="G80" s="834"/>
      <c r="H80" s="120" t="s">
        <v>42</v>
      </c>
      <c r="I80" s="120" t="s">
        <v>43</v>
      </c>
      <c r="J80" s="120">
        <v>4</v>
      </c>
      <c r="K80" s="106">
        <f>(J80)-(L80+M80+N80+P80+O80)</f>
        <v>4</v>
      </c>
      <c r="L80" s="120">
        <v>0</v>
      </c>
      <c r="M80" s="120">
        <v>0</v>
      </c>
      <c r="N80" s="120">
        <v>0</v>
      </c>
      <c r="O80" s="120">
        <v>0</v>
      </c>
      <c r="P80" s="120">
        <v>0</v>
      </c>
      <c r="Q80" s="122">
        <f t="shared" si="10"/>
        <v>1</v>
      </c>
      <c r="R80" s="123">
        <f t="shared" si="11"/>
        <v>0</v>
      </c>
      <c r="S80" s="123">
        <f t="shared" si="12"/>
        <v>0</v>
      </c>
      <c r="T80" s="123">
        <f t="shared" si="13"/>
        <v>0</v>
      </c>
      <c r="U80" s="124">
        <f t="shared" si="14"/>
        <v>1</v>
      </c>
      <c r="V80" s="125"/>
      <c r="W80" s="88"/>
      <c r="X80" s="88"/>
      <c r="Y80" s="126"/>
    </row>
    <row r="81" spans="2:25" s="97" customFormat="1" ht="14.25" hidden="1" customHeight="1" x14ac:dyDescent="0.2">
      <c r="B81" s="711">
        <v>46098</v>
      </c>
      <c r="C81" s="105" t="s">
        <v>12</v>
      </c>
      <c r="D81" s="105" t="s">
        <v>20</v>
      </c>
      <c r="E81" s="711">
        <v>46098</v>
      </c>
      <c r="F81" s="89"/>
      <c r="G81" s="834"/>
      <c r="H81" s="120" t="s">
        <v>26</v>
      </c>
      <c r="I81" s="120" t="s">
        <v>12</v>
      </c>
      <c r="J81" s="120">
        <v>7</v>
      </c>
      <c r="K81" s="106">
        <f>(J81)-(L81+M81+N81+P81+O81)</f>
        <v>4</v>
      </c>
      <c r="L81" s="120">
        <v>2</v>
      </c>
      <c r="M81" s="120">
        <v>1</v>
      </c>
      <c r="N81" s="120">
        <v>0</v>
      </c>
      <c r="O81" s="120">
        <v>0</v>
      </c>
      <c r="P81" s="120">
        <v>0</v>
      </c>
      <c r="Q81" s="122">
        <f t="shared" si="10"/>
        <v>0.8571428571428571</v>
      </c>
      <c r="R81" s="123">
        <f t="shared" si="11"/>
        <v>0</v>
      </c>
      <c r="S81" s="123">
        <f t="shared" si="12"/>
        <v>0</v>
      </c>
      <c r="T81" s="123">
        <f t="shared" si="13"/>
        <v>0</v>
      </c>
      <c r="U81" s="124">
        <f t="shared" si="14"/>
        <v>0.8571428571428571</v>
      </c>
      <c r="V81" s="125"/>
      <c r="W81" s="88"/>
      <c r="X81" s="88"/>
      <c r="Y81" s="126"/>
    </row>
    <row r="82" spans="2:25" s="97" customFormat="1" ht="18" hidden="1" customHeight="1" x14ac:dyDescent="0.2">
      <c r="B82" s="711">
        <v>46098</v>
      </c>
      <c r="C82" s="105" t="s">
        <v>12</v>
      </c>
      <c r="D82" s="105" t="s">
        <v>20</v>
      </c>
      <c r="E82" s="711">
        <v>46098</v>
      </c>
      <c r="F82" s="89"/>
      <c r="G82" s="834"/>
      <c r="H82" s="142" t="s">
        <v>14</v>
      </c>
      <c r="I82" s="142" t="s">
        <v>18</v>
      </c>
      <c r="J82" s="142">
        <v>168</v>
      </c>
      <c r="K82" s="148">
        <f>(J82)-(L82+M82+N82+P82+O82)</f>
        <v>136</v>
      </c>
      <c r="L82" s="142">
        <v>9</v>
      </c>
      <c r="M82" s="142">
        <v>13</v>
      </c>
      <c r="N82" s="142">
        <v>0</v>
      </c>
      <c r="O82" s="142">
        <v>9</v>
      </c>
      <c r="P82" s="142">
        <v>1</v>
      </c>
      <c r="Q82" s="144">
        <f t="shared" si="10"/>
        <v>0.86309523809523814</v>
      </c>
      <c r="R82" s="145">
        <f t="shared" si="11"/>
        <v>0</v>
      </c>
      <c r="S82" s="145">
        <f t="shared" si="12"/>
        <v>5.9523809523809521E-3</v>
      </c>
      <c r="T82" s="145">
        <f t="shared" si="13"/>
        <v>5.3571428571428568E-2</v>
      </c>
      <c r="U82" s="146">
        <f t="shared" si="14"/>
        <v>0.92261904761904767</v>
      </c>
      <c r="V82" s="147" t="s">
        <v>21</v>
      </c>
      <c r="W82" s="88"/>
      <c r="X82" s="88"/>
      <c r="Y82" s="126"/>
    </row>
    <row r="83" spans="2:25" s="97" customFormat="1" ht="18" hidden="1" customHeight="1" x14ac:dyDescent="0.2">
      <c r="B83" s="711">
        <v>46098</v>
      </c>
      <c r="C83" s="105" t="s">
        <v>12</v>
      </c>
      <c r="D83" s="105" t="s">
        <v>20</v>
      </c>
      <c r="E83" s="711">
        <v>46098</v>
      </c>
      <c r="F83" s="89"/>
      <c r="G83" s="835"/>
      <c r="H83" s="113" t="s">
        <v>19</v>
      </c>
      <c r="I83" s="113"/>
      <c r="J83" s="113">
        <f>SUM(J78:J82)</f>
        <v>279</v>
      </c>
      <c r="K83" s="113">
        <f>SUM(K78:K82)</f>
        <v>171</v>
      </c>
      <c r="L83" s="113">
        <f>SUM(L78:L82)</f>
        <v>35</v>
      </c>
      <c r="M83" s="114">
        <f>SUM(M78:M82)</f>
        <v>24</v>
      </c>
      <c r="N83" s="113">
        <f>SUM(N78:N82)</f>
        <v>0</v>
      </c>
      <c r="O83" s="113">
        <v>0</v>
      </c>
      <c r="P83" s="114">
        <f>SUM(P78:P82)</f>
        <v>10</v>
      </c>
      <c r="Q83" s="115">
        <f t="shared" si="10"/>
        <v>0.73835125448028671</v>
      </c>
      <c r="R83" s="116">
        <f t="shared" si="11"/>
        <v>0</v>
      </c>
      <c r="S83" s="116">
        <f t="shared" si="12"/>
        <v>3.5842293906810034E-2</v>
      </c>
      <c r="T83" s="116">
        <f t="shared" si="13"/>
        <v>0</v>
      </c>
      <c r="U83" s="117">
        <f t="shared" si="14"/>
        <v>0.77419354838709675</v>
      </c>
      <c r="V83" s="127"/>
      <c r="W83" s="88"/>
      <c r="X83" s="88"/>
      <c r="Y83" s="118"/>
    </row>
    <row r="84" spans="2:25" ht="16.5" hidden="1" customHeight="1" x14ac:dyDescent="0.2">
      <c r="B84" s="711">
        <v>46098</v>
      </c>
      <c r="C84" s="105" t="s">
        <v>18</v>
      </c>
      <c r="D84" s="105" t="s">
        <v>23</v>
      </c>
      <c r="E84" s="711">
        <v>46099</v>
      </c>
      <c r="G84" s="833">
        <v>46099</v>
      </c>
      <c r="H84" s="106" t="s">
        <v>17</v>
      </c>
      <c r="I84" s="106" t="s">
        <v>15</v>
      </c>
      <c r="J84" s="106">
        <v>242</v>
      </c>
      <c r="K84" s="106">
        <f>(J84)-(L84+M84+N84+P84+O84)</f>
        <v>1</v>
      </c>
      <c r="L84" s="106">
        <v>1</v>
      </c>
      <c r="M84" s="107">
        <v>73</v>
      </c>
      <c r="N84" s="155">
        <v>135</v>
      </c>
      <c r="O84" s="106">
        <v>28</v>
      </c>
      <c r="P84" s="107">
        <v>4</v>
      </c>
      <c r="Q84" s="108">
        <f t="shared" si="10"/>
        <v>8.2644628099173556E-3</v>
      </c>
      <c r="R84" s="109">
        <f t="shared" si="11"/>
        <v>0.55785123966942152</v>
      </c>
      <c r="S84" s="109">
        <f t="shared" si="12"/>
        <v>1.6528925619834711E-2</v>
      </c>
      <c r="T84" s="109">
        <f t="shared" si="13"/>
        <v>0.11570247933884298</v>
      </c>
      <c r="U84" s="110">
        <f t="shared" si="14"/>
        <v>0.69834710743801653</v>
      </c>
      <c r="V84" s="111"/>
    </row>
    <row r="85" spans="2:25" ht="17.25" hidden="1" customHeight="1" x14ac:dyDescent="0.2">
      <c r="B85" s="711">
        <v>46098</v>
      </c>
      <c r="C85" s="105" t="s">
        <v>18</v>
      </c>
      <c r="D85" s="105" t="s">
        <v>23</v>
      </c>
      <c r="E85" s="711">
        <v>46099</v>
      </c>
      <c r="G85" s="834"/>
      <c r="H85" s="120" t="s">
        <v>16</v>
      </c>
      <c r="I85" s="120" t="s">
        <v>27</v>
      </c>
      <c r="J85" s="120">
        <v>207</v>
      </c>
      <c r="K85" s="106">
        <f>(J85)-(L85+M85+N85+P85+O85)</f>
        <v>0</v>
      </c>
      <c r="L85" s="120">
        <v>0</v>
      </c>
      <c r="M85" s="120">
        <v>188</v>
      </c>
      <c r="N85" s="120">
        <v>0</v>
      </c>
      <c r="O85" s="120">
        <v>14</v>
      </c>
      <c r="P85" s="120">
        <v>5</v>
      </c>
      <c r="Q85" s="122">
        <f t="shared" si="10"/>
        <v>0</v>
      </c>
      <c r="R85" s="123">
        <f t="shared" si="11"/>
        <v>0</v>
      </c>
      <c r="S85" s="123">
        <f t="shared" si="12"/>
        <v>2.4154589371980676E-2</v>
      </c>
      <c r="T85" s="123">
        <f t="shared" si="13"/>
        <v>6.7632850241545889E-2</v>
      </c>
      <c r="U85" s="124">
        <f t="shared" si="14"/>
        <v>9.1787439613526561E-2</v>
      </c>
      <c r="V85" s="125"/>
    </row>
    <row r="86" spans="2:25" ht="17.25" hidden="1" customHeight="1" x14ac:dyDescent="0.2">
      <c r="B86" s="711">
        <v>46098</v>
      </c>
      <c r="C86" s="105" t="s">
        <v>18</v>
      </c>
      <c r="D86" s="105" t="s">
        <v>23</v>
      </c>
      <c r="E86" s="711">
        <v>46099</v>
      </c>
      <c r="G86" s="834"/>
      <c r="H86" s="120" t="s">
        <v>14</v>
      </c>
      <c r="I86" s="120" t="s">
        <v>18</v>
      </c>
      <c r="J86" s="120">
        <v>166</v>
      </c>
      <c r="K86" s="106">
        <f>(J86)-(L86+M86+N86+P86+O86)</f>
        <v>0</v>
      </c>
      <c r="L86" s="120">
        <v>0</v>
      </c>
      <c r="M86" s="120">
        <v>156</v>
      </c>
      <c r="N86" s="120">
        <v>0</v>
      </c>
      <c r="O86" s="120">
        <v>9</v>
      </c>
      <c r="P86" s="120">
        <v>1</v>
      </c>
      <c r="Q86" s="122">
        <f t="shared" si="10"/>
        <v>0</v>
      </c>
      <c r="R86" s="123">
        <f t="shared" si="11"/>
        <v>0</v>
      </c>
      <c r="S86" s="123">
        <f t="shared" si="12"/>
        <v>6.024096385542169E-3</v>
      </c>
      <c r="T86" s="123">
        <f t="shared" si="13"/>
        <v>5.4216867469879519E-2</v>
      </c>
      <c r="U86" s="124">
        <f t="shared" si="14"/>
        <v>6.0240963855421686E-2</v>
      </c>
      <c r="V86" s="125"/>
    </row>
    <row r="87" spans="2:25" ht="19.5" hidden="1" customHeight="1" x14ac:dyDescent="0.2">
      <c r="B87" s="711">
        <v>46098</v>
      </c>
      <c r="C87" s="105" t="s">
        <v>18</v>
      </c>
      <c r="D87" s="105" t="s">
        <v>23</v>
      </c>
      <c r="E87" s="711">
        <v>46099</v>
      </c>
      <c r="G87" s="835"/>
      <c r="H87" s="113" t="s">
        <v>19</v>
      </c>
      <c r="I87" s="113"/>
      <c r="J87" s="113">
        <f>SUM(J84:J86)</f>
        <v>615</v>
      </c>
      <c r="K87" s="113">
        <f>SUM(K84:K86)</f>
        <v>1</v>
      </c>
      <c r="L87" s="113">
        <f>SUM(L84:L86)</f>
        <v>1</v>
      </c>
      <c r="M87" s="114">
        <f>SUM(M84:M86)</f>
        <v>417</v>
      </c>
      <c r="N87" s="113">
        <f>SUM(N84:N86)</f>
        <v>135</v>
      </c>
      <c r="O87" s="113">
        <v>0</v>
      </c>
      <c r="P87" s="114">
        <f>SUM(P84:P86)</f>
        <v>10</v>
      </c>
      <c r="Q87" s="115">
        <f t="shared" si="10"/>
        <v>3.2520325203252032E-3</v>
      </c>
      <c r="R87" s="116">
        <f t="shared" si="11"/>
        <v>0.21951219512195122</v>
      </c>
      <c r="S87" s="116">
        <f t="shared" si="12"/>
        <v>1.6260162601626018E-2</v>
      </c>
      <c r="T87" s="116">
        <f t="shared" si="13"/>
        <v>0</v>
      </c>
      <c r="U87" s="117">
        <f t="shared" si="14"/>
        <v>0.23902439024390246</v>
      </c>
      <c r="V87" s="127"/>
    </row>
    <row r="88" spans="2:25" ht="15.75" hidden="1" x14ac:dyDescent="0.2">
      <c r="B88" s="711">
        <v>46098</v>
      </c>
      <c r="C88" s="105" t="s">
        <v>18</v>
      </c>
      <c r="D88" s="105" t="s">
        <v>23</v>
      </c>
      <c r="E88" s="711">
        <v>46099</v>
      </c>
      <c r="G88" s="833">
        <v>46099</v>
      </c>
      <c r="H88" s="148" t="s">
        <v>17</v>
      </c>
      <c r="I88" s="148" t="s">
        <v>15</v>
      </c>
      <c r="J88" s="148">
        <v>244</v>
      </c>
      <c r="K88" s="148">
        <f>(J88)-(L88+M88+N88+P88+O88)</f>
        <v>142</v>
      </c>
      <c r="L88" s="148">
        <v>37</v>
      </c>
      <c r="M88" s="149">
        <v>16</v>
      </c>
      <c r="N88" s="148">
        <v>23</v>
      </c>
      <c r="O88" s="148">
        <v>22</v>
      </c>
      <c r="P88" s="149">
        <v>4</v>
      </c>
      <c r="Q88" s="150">
        <f t="shared" si="10"/>
        <v>0.73360655737704916</v>
      </c>
      <c r="R88" s="151">
        <f t="shared" si="11"/>
        <v>9.4262295081967207E-2</v>
      </c>
      <c r="S88" s="151">
        <f t="shared" si="12"/>
        <v>1.6393442622950821E-2</v>
      </c>
      <c r="T88" s="151">
        <f t="shared" si="13"/>
        <v>9.0163934426229511E-2</v>
      </c>
      <c r="U88" s="152">
        <f t="shared" si="14"/>
        <v>0.93442622950819665</v>
      </c>
      <c r="V88" s="153" t="s">
        <v>55</v>
      </c>
    </row>
    <row r="89" spans="2:25" ht="15.75" hidden="1" x14ac:dyDescent="0.2">
      <c r="B89" s="711">
        <v>46098</v>
      </c>
      <c r="C89" s="105" t="s">
        <v>18</v>
      </c>
      <c r="D89" s="105" t="s">
        <v>23</v>
      </c>
      <c r="E89" s="711">
        <v>46099</v>
      </c>
      <c r="G89" s="834"/>
      <c r="H89" s="120" t="s">
        <v>16</v>
      </c>
      <c r="I89" s="120" t="s">
        <v>27</v>
      </c>
      <c r="J89" s="120">
        <v>213</v>
      </c>
      <c r="K89" s="106">
        <f>(J89)-(L89+M89+N89+P89+O89)</f>
        <v>29</v>
      </c>
      <c r="L89" s="120">
        <v>1</v>
      </c>
      <c r="M89" s="120">
        <v>65</v>
      </c>
      <c r="N89" s="120">
        <v>100</v>
      </c>
      <c r="O89" s="120">
        <v>14</v>
      </c>
      <c r="P89" s="120">
        <v>4</v>
      </c>
      <c r="Q89" s="122">
        <f t="shared" si="10"/>
        <v>0.14084507042253522</v>
      </c>
      <c r="R89" s="123">
        <f t="shared" si="11"/>
        <v>0.46948356807511737</v>
      </c>
      <c r="S89" s="123">
        <f t="shared" si="12"/>
        <v>1.8779342723004695E-2</v>
      </c>
      <c r="T89" s="123">
        <f t="shared" si="13"/>
        <v>6.5727699530516437E-2</v>
      </c>
      <c r="U89" s="124">
        <f t="shared" si="14"/>
        <v>0.69483568075117375</v>
      </c>
      <c r="V89" s="125"/>
    </row>
    <row r="90" spans="2:25" ht="15.75" hidden="1" x14ac:dyDescent="0.2">
      <c r="B90" s="711">
        <v>46098</v>
      </c>
      <c r="C90" s="105" t="s">
        <v>18</v>
      </c>
      <c r="D90" s="105" t="s">
        <v>23</v>
      </c>
      <c r="E90" s="711">
        <v>46099</v>
      </c>
      <c r="G90" s="834"/>
      <c r="H90" s="120" t="s">
        <v>14</v>
      </c>
      <c r="I90" s="120" t="s">
        <v>18</v>
      </c>
      <c r="J90" s="120">
        <v>169</v>
      </c>
      <c r="K90" s="106">
        <f>(J90)-(L90+M90+N90+P90+O90)</f>
        <v>0</v>
      </c>
      <c r="L90" s="120">
        <v>0</v>
      </c>
      <c r="M90" s="120">
        <v>168</v>
      </c>
      <c r="N90" s="120">
        <v>0</v>
      </c>
      <c r="O90" s="120">
        <v>0</v>
      </c>
      <c r="P90" s="120">
        <v>1</v>
      </c>
      <c r="Q90" s="122">
        <f t="shared" si="10"/>
        <v>0</v>
      </c>
      <c r="R90" s="123">
        <f t="shared" si="11"/>
        <v>0</v>
      </c>
      <c r="S90" s="123">
        <f t="shared" si="12"/>
        <v>5.9171597633136093E-3</v>
      </c>
      <c r="T90" s="123">
        <f t="shared" si="13"/>
        <v>0</v>
      </c>
      <c r="U90" s="124">
        <f t="shared" si="14"/>
        <v>5.9171597633136093E-3</v>
      </c>
      <c r="V90" s="125"/>
    </row>
    <row r="91" spans="2:25" ht="15.75" hidden="1" x14ac:dyDescent="0.2">
      <c r="B91" s="711">
        <v>46098</v>
      </c>
      <c r="C91" s="105" t="s">
        <v>18</v>
      </c>
      <c r="D91" s="105" t="s">
        <v>23</v>
      </c>
      <c r="E91" s="711">
        <v>46099</v>
      </c>
      <c r="G91" s="835"/>
      <c r="H91" s="113" t="s">
        <v>19</v>
      </c>
      <c r="I91" s="113"/>
      <c r="J91" s="113">
        <f>SUM(J88:J90)</f>
        <v>626</v>
      </c>
      <c r="K91" s="113">
        <f>SUM(K88:K90)</f>
        <v>171</v>
      </c>
      <c r="L91" s="113">
        <f>SUM(L88:L90)</f>
        <v>38</v>
      </c>
      <c r="M91" s="114">
        <f>SUM(M88:M90)</f>
        <v>249</v>
      </c>
      <c r="N91" s="113">
        <f>SUM(N88:N90)</f>
        <v>123</v>
      </c>
      <c r="O91" s="113">
        <v>0</v>
      </c>
      <c r="P91" s="114">
        <f>SUM(P88:P90)</f>
        <v>9</v>
      </c>
      <c r="Q91" s="115">
        <f t="shared" si="10"/>
        <v>0.33386581469648563</v>
      </c>
      <c r="R91" s="116">
        <f t="shared" si="11"/>
        <v>0.19648562300319489</v>
      </c>
      <c r="S91" s="116">
        <f t="shared" si="12"/>
        <v>1.437699680511182E-2</v>
      </c>
      <c r="T91" s="116">
        <f t="shared" si="13"/>
        <v>0</v>
      </c>
      <c r="U91" s="117">
        <f t="shared" si="14"/>
        <v>0.54472843450479236</v>
      </c>
      <c r="V91" s="127"/>
    </row>
    <row r="92" spans="2:25" ht="31.5" hidden="1" x14ac:dyDescent="0.2">
      <c r="B92" s="711">
        <v>46099</v>
      </c>
      <c r="C92" s="105" t="s">
        <v>22</v>
      </c>
      <c r="D92" s="105" t="s">
        <v>13</v>
      </c>
      <c r="E92" s="711">
        <v>46099</v>
      </c>
      <c r="G92" s="833">
        <v>46099</v>
      </c>
      <c r="H92" s="106" t="s">
        <v>17</v>
      </c>
      <c r="I92" s="106" t="s">
        <v>15</v>
      </c>
      <c r="J92" s="106">
        <v>244</v>
      </c>
      <c r="K92" s="106">
        <f t="shared" ref="K92:K97" si="15">(J92)-(L92+M92+N92+P92)</f>
        <v>182</v>
      </c>
      <c r="L92" s="106">
        <f>19+37</f>
        <v>56</v>
      </c>
      <c r="M92" s="107">
        <v>2</v>
      </c>
      <c r="N92" s="106">
        <v>0</v>
      </c>
      <c r="O92" s="106">
        <v>28</v>
      </c>
      <c r="P92" s="107">
        <v>4</v>
      </c>
      <c r="Q92" s="108">
        <f t="shared" si="10"/>
        <v>0.97540983606557374</v>
      </c>
      <c r="R92" s="109">
        <f t="shared" si="11"/>
        <v>0</v>
      </c>
      <c r="S92" s="109">
        <f t="shared" si="12"/>
        <v>1.6393442622950821E-2</v>
      </c>
      <c r="T92" s="109">
        <f t="shared" si="13"/>
        <v>0.11475409836065574</v>
      </c>
      <c r="U92" s="110">
        <f t="shared" si="14"/>
        <v>1.1065573770491803</v>
      </c>
      <c r="V92" s="141" t="s">
        <v>56</v>
      </c>
    </row>
    <row r="93" spans="2:25" ht="15.75" hidden="1" x14ac:dyDescent="0.2">
      <c r="B93" s="711">
        <v>46099</v>
      </c>
      <c r="C93" s="105" t="s">
        <v>22</v>
      </c>
      <c r="D93" s="105" t="s">
        <v>13</v>
      </c>
      <c r="E93" s="711">
        <v>46099</v>
      </c>
      <c r="G93" s="834"/>
      <c r="H93" s="106" t="s">
        <v>26</v>
      </c>
      <c r="I93" s="106" t="s">
        <v>12</v>
      </c>
      <c r="J93" s="106">
        <v>6</v>
      </c>
      <c r="K93" s="106">
        <f t="shared" si="15"/>
        <v>6</v>
      </c>
      <c r="L93" s="106">
        <v>0</v>
      </c>
      <c r="M93" s="107">
        <v>0</v>
      </c>
      <c r="N93" s="106">
        <v>0</v>
      </c>
      <c r="O93" s="106">
        <v>0</v>
      </c>
      <c r="P93" s="107">
        <v>0</v>
      </c>
      <c r="Q93" s="108">
        <f t="shared" si="10"/>
        <v>1</v>
      </c>
      <c r="R93" s="109">
        <f t="shared" si="11"/>
        <v>0</v>
      </c>
      <c r="S93" s="109">
        <f t="shared" si="12"/>
        <v>0</v>
      </c>
      <c r="T93" s="109">
        <f t="shared" si="13"/>
        <v>0</v>
      </c>
      <c r="U93" s="110">
        <f t="shared" si="14"/>
        <v>1</v>
      </c>
      <c r="V93" s="156"/>
    </row>
    <row r="94" spans="2:25" ht="15.75" hidden="1" x14ac:dyDescent="0.2">
      <c r="B94" s="711">
        <v>46099</v>
      </c>
      <c r="C94" s="105" t="s">
        <v>22</v>
      </c>
      <c r="D94" s="105" t="s">
        <v>13</v>
      </c>
      <c r="E94" s="711">
        <v>46099</v>
      </c>
      <c r="G94" s="834"/>
      <c r="H94" s="106" t="s">
        <v>32</v>
      </c>
      <c r="I94" s="106" t="s">
        <v>22</v>
      </c>
      <c r="J94" s="106">
        <v>13</v>
      </c>
      <c r="K94" s="106">
        <f t="shared" si="15"/>
        <v>13</v>
      </c>
      <c r="L94" s="106">
        <v>0</v>
      </c>
      <c r="M94" s="107">
        <v>0</v>
      </c>
      <c r="N94" s="106">
        <v>0</v>
      </c>
      <c r="O94" s="106">
        <v>0</v>
      </c>
      <c r="P94" s="107">
        <v>0</v>
      </c>
      <c r="Q94" s="108">
        <f t="shared" si="10"/>
        <v>1</v>
      </c>
      <c r="R94" s="109">
        <f t="shared" si="11"/>
        <v>0</v>
      </c>
      <c r="S94" s="109">
        <f t="shared" si="12"/>
        <v>0</v>
      </c>
      <c r="T94" s="109">
        <f t="shared" si="13"/>
        <v>0</v>
      </c>
      <c r="U94" s="110">
        <f t="shared" si="14"/>
        <v>1</v>
      </c>
      <c r="V94" s="111"/>
    </row>
    <row r="95" spans="2:25" ht="15.75" hidden="1" x14ac:dyDescent="0.2">
      <c r="B95" s="711">
        <v>46099</v>
      </c>
      <c r="C95" s="105" t="s">
        <v>22</v>
      </c>
      <c r="D95" s="105" t="s">
        <v>13</v>
      </c>
      <c r="E95" s="711">
        <v>46099</v>
      </c>
      <c r="G95" s="834"/>
      <c r="H95" s="106" t="s">
        <v>42</v>
      </c>
      <c r="I95" s="106" t="s">
        <v>43</v>
      </c>
      <c r="J95" s="106">
        <v>1</v>
      </c>
      <c r="K95" s="106">
        <f t="shared" si="15"/>
        <v>1</v>
      </c>
      <c r="L95" s="106">
        <v>0</v>
      </c>
      <c r="M95" s="107">
        <v>0</v>
      </c>
      <c r="N95" s="106">
        <v>0</v>
      </c>
      <c r="O95" s="106">
        <v>0</v>
      </c>
      <c r="P95" s="107">
        <v>0</v>
      </c>
      <c r="Q95" s="108">
        <f t="shared" si="10"/>
        <v>1</v>
      </c>
      <c r="R95" s="109">
        <f t="shared" si="11"/>
        <v>0</v>
      </c>
      <c r="S95" s="109">
        <f t="shared" si="12"/>
        <v>0</v>
      </c>
      <c r="T95" s="109">
        <f t="shared" si="13"/>
        <v>0</v>
      </c>
      <c r="U95" s="110">
        <f t="shared" si="14"/>
        <v>1</v>
      </c>
      <c r="V95" s="111"/>
    </row>
    <row r="96" spans="2:25" ht="47.25" hidden="1" x14ac:dyDescent="0.2">
      <c r="B96" s="711">
        <v>46099</v>
      </c>
      <c r="C96" s="105" t="s">
        <v>22</v>
      </c>
      <c r="D96" s="105" t="s">
        <v>13</v>
      </c>
      <c r="E96" s="711">
        <v>46099</v>
      </c>
      <c r="G96" s="834"/>
      <c r="H96" s="120" t="s">
        <v>16</v>
      </c>
      <c r="I96" s="142" t="s">
        <v>27</v>
      </c>
      <c r="J96" s="120">
        <v>213</v>
      </c>
      <c r="K96" s="120">
        <f t="shared" si="15"/>
        <v>151</v>
      </c>
      <c r="L96" s="106">
        <v>27</v>
      </c>
      <c r="M96" s="107">
        <v>31</v>
      </c>
      <c r="N96" s="106">
        <v>0</v>
      </c>
      <c r="O96" s="106">
        <v>18</v>
      </c>
      <c r="P96" s="107">
        <v>4</v>
      </c>
      <c r="Q96" s="122">
        <f t="shared" si="10"/>
        <v>0.83568075117370888</v>
      </c>
      <c r="R96" s="123">
        <f t="shared" si="11"/>
        <v>0</v>
      </c>
      <c r="S96" s="123">
        <f t="shared" si="12"/>
        <v>1.8779342723004695E-2</v>
      </c>
      <c r="T96" s="123">
        <f t="shared" si="13"/>
        <v>8.4507042253521125E-2</v>
      </c>
      <c r="U96" s="124">
        <f t="shared" si="14"/>
        <v>0.93896713615023475</v>
      </c>
      <c r="V96" s="141" t="s">
        <v>57</v>
      </c>
    </row>
    <row r="97" spans="2:25" ht="15.75" hidden="1" x14ac:dyDescent="0.2">
      <c r="B97" s="711">
        <v>46099</v>
      </c>
      <c r="C97" s="105" t="s">
        <v>22</v>
      </c>
      <c r="D97" s="105" t="s">
        <v>13</v>
      </c>
      <c r="E97" s="711">
        <v>46099</v>
      </c>
      <c r="G97" s="834"/>
      <c r="H97" s="120" t="s">
        <v>14</v>
      </c>
      <c r="I97" s="120" t="s">
        <v>18</v>
      </c>
      <c r="J97" s="120">
        <v>170</v>
      </c>
      <c r="K97" s="120">
        <f t="shared" si="15"/>
        <v>3</v>
      </c>
      <c r="L97" s="106">
        <v>1</v>
      </c>
      <c r="M97" s="107">
        <v>71</v>
      </c>
      <c r="N97" s="106">
        <v>94</v>
      </c>
      <c r="O97" s="106">
        <v>0</v>
      </c>
      <c r="P97" s="107">
        <v>1</v>
      </c>
      <c r="Q97" s="122">
        <f t="shared" si="10"/>
        <v>2.3529411764705882E-2</v>
      </c>
      <c r="R97" s="123">
        <f t="shared" si="11"/>
        <v>0.55294117647058827</v>
      </c>
      <c r="S97" s="123">
        <f t="shared" si="12"/>
        <v>5.8823529411764705E-3</v>
      </c>
      <c r="T97" s="123">
        <f t="shared" si="13"/>
        <v>0</v>
      </c>
      <c r="U97" s="124">
        <f t="shared" si="14"/>
        <v>0.58235294117647063</v>
      </c>
      <c r="V97" s="125"/>
    </row>
    <row r="98" spans="2:25" ht="15.75" hidden="1" x14ac:dyDescent="0.2">
      <c r="B98" s="711">
        <v>46099</v>
      </c>
      <c r="C98" s="105" t="s">
        <v>22</v>
      </c>
      <c r="D98" s="105" t="s">
        <v>13</v>
      </c>
      <c r="E98" s="711">
        <v>46099</v>
      </c>
      <c r="G98" s="835"/>
      <c r="H98" s="113" t="s">
        <v>19</v>
      </c>
      <c r="I98" s="113"/>
      <c r="J98" s="113">
        <f>SUM(J92:J97)</f>
        <v>647</v>
      </c>
      <c r="K98" s="113">
        <f>SUM(K92:K97)</f>
        <v>356</v>
      </c>
      <c r="L98" s="113">
        <f>SUM(L92:L97)</f>
        <v>84</v>
      </c>
      <c r="M98" s="114">
        <f>SUM(M92:M97)</f>
        <v>104</v>
      </c>
      <c r="N98" s="113">
        <f>SUM(N92:N97)</f>
        <v>94</v>
      </c>
      <c r="O98" s="113">
        <v>0</v>
      </c>
      <c r="P98" s="114">
        <f>SUM(P92:P97)</f>
        <v>9</v>
      </c>
      <c r="Q98" s="115">
        <f t="shared" si="10"/>
        <v>0.68006182380216385</v>
      </c>
      <c r="R98" s="116">
        <f t="shared" si="11"/>
        <v>0.14528593508500773</v>
      </c>
      <c r="S98" s="116">
        <f t="shared" si="12"/>
        <v>1.3910355486862442E-2</v>
      </c>
      <c r="T98" s="116">
        <f t="shared" si="13"/>
        <v>0</v>
      </c>
      <c r="U98" s="117">
        <f t="shared" si="14"/>
        <v>0.83925811437403408</v>
      </c>
      <c r="V98" s="127"/>
    </row>
    <row r="99" spans="2:25" s="97" customFormat="1" ht="16.5" hidden="1" customHeight="1" x14ac:dyDescent="0.2">
      <c r="B99" s="711">
        <v>46100</v>
      </c>
      <c r="C99" s="105" t="s">
        <v>12</v>
      </c>
      <c r="D99" s="105" t="s">
        <v>20</v>
      </c>
      <c r="E99" s="711">
        <v>46099</v>
      </c>
      <c r="F99" s="89"/>
      <c r="G99" s="833">
        <v>46099</v>
      </c>
      <c r="H99" s="106" t="s">
        <v>17</v>
      </c>
      <c r="I99" s="106" t="s">
        <v>15</v>
      </c>
      <c r="J99" s="106">
        <v>31</v>
      </c>
      <c r="K99" s="106">
        <f>(J99)-(L99+M99+N99+P99+O99)</f>
        <v>21</v>
      </c>
      <c r="L99" s="106">
        <v>10</v>
      </c>
      <c r="M99" s="107">
        <v>0</v>
      </c>
      <c r="N99" s="106">
        <v>0</v>
      </c>
      <c r="O99" s="106">
        <v>0</v>
      </c>
      <c r="P99" s="107">
        <v>0</v>
      </c>
      <c r="Q99" s="108">
        <f t="shared" si="10"/>
        <v>1</v>
      </c>
      <c r="R99" s="109">
        <f t="shared" si="11"/>
        <v>0</v>
      </c>
      <c r="S99" s="109">
        <f t="shared" si="12"/>
        <v>0</v>
      </c>
      <c r="T99" s="109">
        <f t="shared" si="13"/>
        <v>0</v>
      </c>
      <c r="U99" s="110">
        <f t="shared" si="14"/>
        <v>1</v>
      </c>
      <c r="V99" s="111"/>
      <c r="W99" s="88"/>
      <c r="X99" s="88"/>
      <c r="Y99" s="119">
        <f>U99</f>
        <v>1</v>
      </c>
    </row>
    <row r="100" spans="2:25" s="97" customFormat="1" ht="16.5" hidden="1" customHeight="1" x14ac:dyDescent="0.2">
      <c r="B100" s="711">
        <v>46100</v>
      </c>
      <c r="C100" s="105" t="s">
        <v>12</v>
      </c>
      <c r="D100" s="105" t="s">
        <v>20</v>
      </c>
      <c r="E100" s="711">
        <v>46099</v>
      </c>
      <c r="F100" s="89"/>
      <c r="G100" s="834"/>
      <c r="H100" s="120" t="s">
        <v>16</v>
      </c>
      <c r="I100" s="120" t="s">
        <v>27</v>
      </c>
      <c r="J100" s="120">
        <v>50</v>
      </c>
      <c r="K100" s="106">
        <f>(J100)-(L100+M100+N100+P100+O100)</f>
        <v>15</v>
      </c>
      <c r="L100" s="120">
        <v>16</v>
      </c>
      <c r="M100" s="120">
        <v>6</v>
      </c>
      <c r="N100" s="120">
        <v>8</v>
      </c>
      <c r="O100" s="120">
        <v>2</v>
      </c>
      <c r="P100" s="120">
        <v>3</v>
      </c>
      <c r="Q100" s="122">
        <f t="shared" si="10"/>
        <v>0.62</v>
      </c>
      <c r="R100" s="123">
        <f t="shared" si="11"/>
        <v>0.16</v>
      </c>
      <c r="S100" s="123">
        <f t="shared" si="12"/>
        <v>0.06</v>
      </c>
      <c r="T100" s="123">
        <f t="shared" si="13"/>
        <v>0.04</v>
      </c>
      <c r="U100" s="124">
        <f t="shared" si="14"/>
        <v>0.88</v>
      </c>
      <c r="V100" s="125" t="s">
        <v>58</v>
      </c>
      <c r="W100" s="88"/>
      <c r="X100" s="88"/>
      <c r="Y100" s="126"/>
    </row>
    <row r="101" spans="2:25" s="158" customFormat="1" ht="18" hidden="1" customHeight="1" x14ac:dyDescent="0.2">
      <c r="B101" s="714">
        <v>46100</v>
      </c>
      <c r="C101" s="60" t="s">
        <v>12</v>
      </c>
      <c r="D101" s="60" t="s">
        <v>20</v>
      </c>
      <c r="E101" s="711">
        <v>46099</v>
      </c>
      <c r="F101" s="157"/>
      <c r="G101" s="834"/>
      <c r="H101" s="120" t="s">
        <v>14</v>
      </c>
      <c r="I101" s="142" t="s">
        <v>18</v>
      </c>
      <c r="J101" s="120">
        <v>167</v>
      </c>
      <c r="K101" s="106">
        <f>(J101)-(L101+M101+N101+P101+O101)</f>
        <v>141</v>
      </c>
      <c r="L101" s="120">
        <v>15</v>
      </c>
      <c r="M101" s="120">
        <v>0</v>
      </c>
      <c r="N101" s="120">
        <v>0</v>
      </c>
      <c r="O101" s="120">
        <v>9</v>
      </c>
      <c r="P101" s="120">
        <v>2</v>
      </c>
      <c r="Q101" s="122">
        <f t="shared" si="10"/>
        <v>0.93413173652694614</v>
      </c>
      <c r="R101" s="123">
        <f t="shared" si="11"/>
        <v>0</v>
      </c>
      <c r="S101" s="123">
        <f t="shared" si="12"/>
        <v>1.1976047904191617E-2</v>
      </c>
      <c r="T101" s="123">
        <f t="shared" si="13"/>
        <v>5.3892215568862277E-2</v>
      </c>
      <c r="U101" s="124">
        <f t="shared" si="14"/>
        <v>1</v>
      </c>
      <c r="V101" s="125" t="s">
        <v>21</v>
      </c>
      <c r="W101" s="88"/>
      <c r="X101" s="88"/>
      <c r="Y101" s="126"/>
    </row>
    <row r="102" spans="2:25" s="97" customFormat="1" ht="18" hidden="1" customHeight="1" x14ac:dyDescent="0.2">
      <c r="B102" s="711">
        <v>46100</v>
      </c>
      <c r="C102" s="105" t="s">
        <v>12</v>
      </c>
      <c r="D102" s="105" t="s">
        <v>20</v>
      </c>
      <c r="E102" s="711">
        <v>46099</v>
      </c>
      <c r="F102" s="89"/>
      <c r="G102" s="835"/>
      <c r="H102" s="113" t="s">
        <v>19</v>
      </c>
      <c r="I102" s="113"/>
      <c r="J102" s="113">
        <f>SUM(J99:J101)</f>
        <v>248</v>
      </c>
      <c r="K102" s="113">
        <f>SUM(K99:K101)</f>
        <v>177</v>
      </c>
      <c r="L102" s="113">
        <f>SUM(L99:L101)</f>
        <v>41</v>
      </c>
      <c r="M102" s="114">
        <f>SUM(M99:M101)</f>
        <v>6</v>
      </c>
      <c r="N102" s="113">
        <f>SUM(N99:N101)</f>
        <v>8</v>
      </c>
      <c r="O102" s="113">
        <v>0</v>
      </c>
      <c r="P102" s="114">
        <f>SUM(P99:P101)</f>
        <v>5</v>
      </c>
      <c r="Q102" s="115">
        <f t="shared" ref="Q102:Q133" si="16">(K102+L102)/J102</f>
        <v>0.87903225806451613</v>
      </c>
      <c r="R102" s="116">
        <f t="shared" ref="R102:R133" si="17">N102/J102</f>
        <v>3.2258064516129031E-2</v>
      </c>
      <c r="S102" s="116">
        <f t="shared" ref="S102:S133" si="18">P102/J102</f>
        <v>2.0161290322580645E-2</v>
      </c>
      <c r="T102" s="116">
        <f t="shared" si="13"/>
        <v>0</v>
      </c>
      <c r="U102" s="117">
        <f t="shared" ref="U102:U133" si="19">S102+R102+Q102+T102</f>
        <v>0.93145161290322576</v>
      </c>
      <c r="V102" s="127"/>
      <c r="W102" s="88"/>
      <c r="X102" s="88"/>
      <c r="Y102" s="118"/>
    </row>
    <row r="103" spans="2:25" s="97" customFormat="1" ht="16.5" hidden="1" customHeight="1" x14ac:dyDescent="0.2">
      <c r="B103" s="711">
        <v>46100</v>
      </c>
      <c r="C103" s="105" t="s">
        <v>12</v>
      </c>
      <c r="D103" s="105" t="s">
        <v>20</v>
      </c>
      <c r="E103" s="711">
        <v>46099</v>
      </c>
      <c r="F103" s="89"/>
      <c r="G103" s="833">
        <v>46100</v>
      </c>
      <c r="H103" s="106" t="s">
        <v>17</v>
      </c>
      <c r="I103" s="106" t="s">
        <v>22</v>
      </c>
      <c r="J103" s="106">
        <v>209</v>
      </c>
      <c r="K103" s="106">
        <f>(J103)-(L103+M103+N103+P103+O103)</f>
        <v>1</v>
      </c>
      <c r="L103" s="106">
        <v>1</v>
      </c>
      <c r="M103" s="107">
        <v>63</v>
      </c>
      <c r="N103" s="106">
        <v>121</v>
      </c>
      <c r="O103" s="106">
        <v>20</v>
      </c>
      <c r="P103" s="107">
        <v>3</v>
      </c>
      <c r="Q103" s="108">
        <f t="shared" si="16"/>
        <v>9.5693779904306216E-3</v>
      </c>
      <c r="R103" s="109">
        <f t="shared" si="17"/>
        <v>0.57894736842105265</v>
      </c>
      <c r="S103" s="109">
        <f t="shared" si="18"/>
        <v>1.4354066985645933E-2</v>
      </c>
      <c r="T103" s="109">
        <f t="shared" si="13"/>
        <v>9.569377990430622E-2</v>
      </c>
      <c r="U103" s="110">
        <f t="shared" si="19"/>
        <v>0.6985645933014355</v>
      </c>
      <c r="V103" s="111"/>
      <c r="W103" s="88"/>
      <c r="X103" s="88"/>
      <c r="Y103" s="119">
        <f>U103</f>
        <v>0.6985645933014355</v>
      </c>
    </row>
    <row r="104" spans="2:25" s="97" customFormat="1" ht="16.5" hidden="1" customHeight="1" x14ac:dyDescent="0.2">
      <c r="B104" s="711">
        <v>46100</v>
      </c>
      <c r="C104" s="105" t="s">
        <v>12</v>
      </c>
      <c r="D104" s="105" t="s">
        <v>20</v>
      </c>
      <c r="E104" s="711">
        <v>46099</v>
      </c>
      <c r="F104" s="89"/>
      <c r="G104" s="834"/>
      <c r="H104" s="120" t="s">
        <v>16</v>
      </c>
      <c r="I104" s="120" t="s">
        <v>27</v>
      </c>
      <c r="J104" s="120">
        <v>202</v>
      </c>
      <c r="K104" s="106">
        <f>(J104)-(L104+M104+N104+P104+O104)</f>
        <v>0</v>
      </c>
      <c r="L104" s="120">
        <v>0</v>
      </c>
      <c r="M104" s="120">
        <v>199</v>
      </c>
      <c r="N104" s="120">
        <v>0</v>
      </c>
      <c r="O104" s="120">
        <v>0</v>
      </c>
      <c r="P104" s="120">
        <v>3</v>
      </c>
      <c r="Q104" s="122">
        <f t="shared" si="16"/>
        <v>0</v>
      </c>
      <c r="R104" s="123">
        <f t="shared" si="17"/>
        <v>0</v>
      </c>
      <c r="S104" s="123">
        <f t="shared" si="18"/>
        <v>1.4851485148514851E-2</v>
      </c>
      <c r="T104" s="123">
        <f t="shared" si="13"/>
        <v>0</v>
      </c>
      <c r="U104" s="124">
        <f t="shared" si="19"/>
        <v>1.4851485148514851E-2</v>
      </c>
      <c r="V104" s="125"/>
      <c r="W104" s="88"/>
      <c r="X104" s="88"/>
      <c r="Y104" s="126"/>
    </row>
    <row r="105" spans="2:25" s="158" customFormat="1" ht="18" hidden="1" customHeight="1" x14ac:dyDescent="0.2">
      <c r="B105" s="714">
        <v>46100</v>
      </c>
      <c r="C105" s="60" t="s">
        <v>12</v>
      </c>
      <c r="D105" s="60" t="s">
        <v>20</v>
      </c>
      <c r="E105" s="711">
        <v>46099</v>
      </c>
      <c r="F105" s="157"/>
      <c r="G105" s="834"/>
      <c r="H105" s="120" t="s">
        <v>14</v>
      </c>
      <c r="I105" s="120" t="s">
        <v>27</v>
      </c>
      <c r="J105" s="120">
        <v>199</v>
      </c>
      <c r="K105" s="106">
        <f>(J105)-(L105+M105+N105+P105+O105)</f>
        <v>0</v>
      </c>
      <c r="L105" s="120">
        <v>0</v>
      </c>
      <c r="M105" s="120">
        <v>199</v>
      </c>
      <c r="N105" s="120">
        <v>0</v>
      </c>
      <c r="O105" s="120">
        <v>0</v>
      </c>
      <c r="P105" s="120">
        <v>0</v>
      </c>
      <c r="Q105" s="122">
        <f t="shared" si="16"/>
        <v>0</v>
      </c>
      <c r="R105" s="123">
        <f t="shared" si="17"/>
        <v>0</v>
      </c>
      <c r="S105" s="123">
        <f t="shared" si="18"/>
        <v>0</v>
      </c>
      <c r="T105" s="123">
        <f t="shared" si="13"/>
        <v>0</v>
      </c>
      <c r="U105" s="124">
        <f t="shared" si="19"/>
        <v>0</v>
      </c>
      <c r="V105" s="125"/>
      <c r="W105" s="88"/>
      <c r="X105" s="88"/>
      <c r="Y105" s="126"/>
    </row>
    <row r="106" spans="2:25" s="97" customFormat="1" ht="18" hidden="1" customHeight="1" x14ac:dyDescent="0.2">
      <c r="B106" s="711">
        <v>46100</v>
      </c>
      <c r="C106" s="105" t="s">
        <v>12</v>
      </c>
      <c r="D106" s="105" t="s">
        <v>20</v>
      </c>
      <c r="E106" s="711">
        <v>46099</v>
      </c>
      <c r="F106" s="89"/>
      <c r="G106" s="835"/>
      <c r="H106" s="113" t="s">
        <v>19</v>
      </c>
      <c r="I106" s="113"/>
      <c r="J106" s="113">
        <f>SUM(J103:J105)</f>
        <v>610</v>
      </c>
      <c r="K106" s="113">
        <f>SUM(K103:K105)</f>
        <v>1</v>
      </c>
      <c r="L106" s="113">
        <f>SUM(L103:L105)</f>
        <v>1</v>
      </c>
      <c r="M106" s="114">
        <f>SUM(M103:M105)</f>
        <v>461</v>
      </c>
      <c r="N106" s="113">
        <f>SUM(N103:N105)</f>
        <v>121</v>
      </c>
      <c r="O106" s="113">
        <v>0</v>
      </c>
      <c r="P106" s="114">
        <f>SUM(P103:P105)</f>
        <v>6</v>
      </c>
      <c r="Q106" s="115">
        <f t="shared" si="16"/>
        <v>3.2786885245901639E-3</v>
      </c>
      <c r="R106" s="116">
        <f t="shared" si="17"/>
        <v>0.19836065573770492</v>
      </c>
      <c r="S106" s="116">
        <f t="shared" si="18"/>
        <v>9.8360655737704927E-3</v>
      </c>
      <c r="T106" s="116">
        <f t="shared" si="13"/>
        <v>0</v>
      </c>
      <c r="U106" s="117">
        <f t="shared" si="19"/>
        <v>0.21147540983606555</v>
      </c>
      <c r="V106" s="127"/>
      <c r="W106" s="88"/>
      <c r="X106" s="88"/>
      <c r="Y106" s="118"/>
    </row>
    <row r="107" spans="2:25" s="171" customFormat="1" ht="20.25" hidden="1" customHeight="1" x14ac:dyDescent="0.2">
      <c r="B107" s="159">
        <v>46099</v>
      </c>
      <c r="C107" s="160" t="s">
        <v>18</v>
      </c>
      <c r="D107" s="160" t="s">
        <v>23</v>
      </c>
      <c r="E107" s="159">
        <v>46100</v>
      </c>
      <c r="F107" s="161"/>
      <c r="G107" s="833">
        <v>46100</v>
      </c>
      <c r="H107" s="162" t="s">
        <v>17</v>
      </c>
      <c r="I107" s="163" t="s">
        <v>15</v>
      </c>
      <c r="J107" s="162">
        <v>208</v>
      </c>
      <c r="K107" s="162">
        <f>(J107)-(L107+M107+N107+P107+O107)</f>
        <v>91</v>
      </c>
      <c r="L107" s="162">
        <f>55+9</f>
        <v>64</v>
      </c>
      <c r="M107" s="164">
        <v>8</v>
      </c>
      <c r="N107" s="165">
        <v>41</v>
      </c>
      <c r="O107" s="162">
        <v>0</v>
      </c>
      <c r="P107" s="164">
        <v>4</v>
      </c>
      <c r="Q107" s="166">
        <f t="shared" si="16"/>
        <v>0.74519230769230771</v>
      </c>
      <c r="R107" s="167">
        <f t="shared" si="17"/>
        <v>0.19711538461538461</v>
      </c>
      <c r="S107" s="167">
        <f t="shared" si="18"/>
        <v>1.9230769230769232E-2</v>
      </c>
      <c r="T107" s="167">
        <f t="shared" si="13"/>
        <v>0</v>
      </c>
      <c r="U107" s="168">
        <f t="shared" si="19"/>
        <v>0.96153846153846156</v>
      </c>
      <c r="V107" s="156"/>
      <c r="W107" s="169"/>
      <c r="X107" s="169"/>
      <c r="Y107" s="170"/>
    </row>
    <row r="108" spans="2:25" ht="15.75" hidden="1" x14ac:dyDescent="0.2">
      <c r="B108" s="711">
        <v>46099</v>
      </c>
      <c r="C108" s="105" t="s">
        <v>18</v>
      </c>
      <c r="D108" s="105" t="s">
        <v>23</v>
      </c>
      <c r="E108" s="711">
        <v>46100</v>
      </c>
      <c r="G108" s="834"/>
      <c r="H108" s="120" t="s">
        <v>16</v>
      </c>
      <c r="I108" s="120" t="s">
        <v>27</v>
      </c>
      <c r="J108" s="120">
        <v>202</v>
      </c>
      <c r="K108" s="106">
        <f>(J108)-(L108+M108+N108+P108+O108)</f>
        <v>3</v>
      </c>
      <c r="L108" s="120">
        <v>5</v>
      </c>
      <c r="M108" s="120">
        <v>24</v>
      </c>
      <c r="N108" s="120">
        <v>152</v>
      </c>
      <c r="O108" s="120">
        <v>16</v>
      </c>
      <c r="P108" s="120">
        <v>2</v>
      </c>
      <c r="Q108" s="122">
        <f t="shared" si="16"/>
        <v>3.9603960396039604E-2</v>
      </c>
      <c r="R108" s="123">
        <f t="shared" si="17"/>
        <v>0.75247524752475248</v>
      </c>
      <c r="S108" s="123">
        <f t="shared" si="18"/>
        <v>9.9009900990099011E-3</v>
      </c>
      <c r="T108" s="123">
        <f t="shared" si="13"/>
        <v>7.9207920792079209E-2</v>
      </c>
      <c r="U108" s="124">
        <f t="shared" si="19"/>
        <v>0.88118811881188119</v>
      </c>
      <c r="V108" s="125"/>
    </row>
    <row r="109" spans="2:25" ht="15.75" hidden="1" x14ac:dyDescent="0.2">
      <c r="B109" s="711">
        <v>46099</v>
      </c>
      <c r="C109" s="105" t="s">
        <v>18</v>
      </c>
      <c r="D109" s="105" t="s">
        <v>23</v>
      </c>
      <c r="E109" s="711">
        <v>46100</v>
      </c>
      <c r="G109" s="834"/>
      <c r="H109" s="120" t="s">
        <v>14</v>
      </c>
      <c r="I109" s="120" t="s">
        <v>18</v>
      </c>
      <c r="J109" s="120">
        <v>199</v>
      </c>
      <c r="K109" s="106">
        <f>(J109)-(L109+M109+N109+P109+O109)</f>
        <v>0</v>
      </c>
      <c r="L109" s="120">
        <v>0</v>
      </c>
      <c r="M109" s="120">
        <v>199</v>
      </c>
      <c r="N109" s="120">
        <v>0</v>
      </c>
      <c r="O109" s="120">
        <v>0</v>
      </c>
      <c r="P109" s="120">
        <v>0</v>
      </c>
      <c r="Q109" s="122">
        <f t="shared" si="16"/>
        <v>0</v>
      </c>
      <c r="R109" s="123">
        <f t="shared" si="17"/>
        <v>0</v>
      </c>
      <c r="S109" s="123">
        <f t="shared" si="18"/>
        <v>0</v>
      </c>
      <c r="T109" s="123">
        <f t="shared" si="13"/>
        <v>0</v>
      </c>
      <c r="U109" s="124">
        <f t="shared" si="19"/>
        <v>0</v>
      </c>
      <c r="V109" s="125"/>
    </row>
    <row r="110" spans="2:25" ht="15.75" hidden="1" x14ac:dyDescent="0.2">
      <c r="B110" s="711">
        <v>46099</v>
      </c>
      <c r="C110" s="105" t="s">
        <v>18</v>
      </c>
      <c r="D110" s="105" t="s">
        <v>23</v>
      </c>
      <c r="E110" s="711">
        <v>46100</v>
      </c>
      <c r="G110" s="835"/>
      <c r="H110" s="113" t="s">
        <v>19</v>
      </c>
      <c r="I110" s="113"/>
      <c r="J110" s="113">
        <f>SUM(J107:J109)</f>
        <v>609</v>
      </c>
      <c r="K110" s="113">
        <f>SUM(K107:K109)</f>
        <v>94</v>
      </c>
      <c r="L110" s="113">
        <f>SUM(L107:L109)</f>
        <v>69</v>
      </c>
      <c r="M110" s="114">
        <f>SUM(M107:M109)</f>
        <v>231</v>
      </c>
      <c r="N110" s="113">
        <f>SUM(N107:N109)</f>
        <v>193</v>
      </c>
      <c r="O110" s="113">
        <v>0</v>
      </c>
      <c r="P110" s="114">
        <f>SUM(P107:P109)</f>
        <v>6</v>
      </c>
      <c r="Q110" s="115">
        <f t="shared" si="16"/>
        <v>0.26765188834154352</v>
      </c>
      <c r="R110" s="116">
        <f t="shared" si="17"/>
        <v>0.31691297208538588</v>
      </c>
      <c r="S110" s="116">
        <f t="shared" si="18"/>
        <v>9.852216748768473E-3</v>
      </c>
      <c r="T110" s="116">
        <f t="shared" si="13"/>
        <v>0</v>
      </c>
      <c r="U110" s="117">
        <f t="shared" si="19"/>
        <v>0.59441707717569781</v>
      </c>
      <c r="V110" s="127"/>
    </row>
    <row r="111" spans="2:25" ht="31.5" hidden="1" x14ac:dyDescent="0.2">
      <c r="B111" s="711">
        <v>46100</v>
      </c>
      <c r="C111" s="105" t="s">
        <v>18</v>
      </c>
      <c r="D111" s="105" t="s">
        <v>13</v>
      </c>
      <c r="E111" s="711">
        <v>46100</v>
      </c>
      <c r="G111" s="833">
        <v>46099</v>
      </c>
      <c r="H111" s="106" t="s">
        <v>17</v>
      </c>
      <c r="I111" s="106" t="s">
        <v>22</v>
      </c>
      <c r="J111" s="106">
        <v>208</v>
      </c>
      <c r="K111" s="106">
        <f>(J111)-(L111+M111+N111+P111+O111)</f>
        <v>121</v>
      </c>
      <c r="L111" s="106">
        <v>45</v>
      </c>
      <c r="M111" s="107">
        <v>0</v>
      </c>
      <c r="N111" s="106">
        <v>12</v>
      </c>
      <c r="O111" s="106">
        <v>28</v>
      </c>
      <c r="P111" s="107">
        <v>2</v>
      </c>
      <c r="Q111" s="108">
        <f t="shared" si="16"/>
        <v>0.79807692307692313</v>
      </c>
      <c r="R111" s="109">
        <f t="shared" si="17"/>
        <v>5.7692307692307696E-2</v>
      </c>
      <c r="S111" s="109">
        <f t="shared" si="18"/>
        <v>9.6153846153846159E-3</v>
      </c>
      <c r="T111" s="109">
        <f t="shared" si="13"/>
        <v>0.13461538461538461</v>
      </c>
      <c r="U111" s="110">
        <f t="shared" si="19"/>
        <v>1</v>
      </c>
      <c r="V111" s="141" t="s">
        <v>59</v>
      </c>
    </row>
    <row r="112" spans="2:25" ht="15.75" hidden="1" x14ac:dyDescent="0.2">
      <c r="B112" s="711">
        <v>46100</v>
      </c>
      <c r="C112" s="105" t="s">
        <v>18</v>
      </c>
      <c r="D112" s="105" t="s">
        <v>13</v>
      </c>
      <c r="E112" s="711">
        <v>46100</v>
      </c>
      <c r="G112" s="834"/>
      <c r="H112" s="106" t="s">
        <v>32</v>
      </c>
      <c r="I112" s="106" t="s">
        <v>22</v>
      </c>
      <c r="J112" s="106">
        <v>2</v>
      </c>
      <c r="K112" s="106">
        <f>(J112)-(L112+M112+N112+P112+O112)</f>
        <v>1</v>
      </c>
      <c r="L112" s="106">
        <v>1</v>
      </c>
      <c r="M112" s="107">
        <v>0</v>
      </c>
      <c r="N112" s="106">
        <v>0</v>
      </c>
      <c r="O112" s="106">
        <v>0</v>
      </c>
      <c r="P112" s="107">
        <v>0</v>
      </c>
      <c r="Q112" s="108">
        <f t="shared" si="16"/>
        <v>1</v>
      </c>
      <c r="R112" s="109">
        <f t="shared" si="17"/>
        <v>0</v>
      </c>
      <c r="S112" s="109">
        <f t="shared" si="18"/>
        <v>0</v>
      </c>
      <c r="T112" s="109">
        <f t="shared" si="13"/>
        <v>0</v>
      </c>
      <c r="U112" s="110">
        <f t="shared" si="19"/>
        <v>1</v>
      </c>
      <c r="V112" s="111"/>
    </row>
    <row r="113" spans="2:25" ht="15.75" hidden="1" x14ac:dyDescent="0.2">
      <c r="B113" s="711">
        <v>46100</v>
      </c>
      <c r="C113" s="105" t="s">
        <v>18</v>
      </c>
      <c r="D113" s="105" t="s">
        <v>13</v>
      </c>
      <c r="E113" s="711">
        <v>46100</v>
      </c>
      <c r="G113" s="834"/>
      <c r="H113" s="106" t="s">
        <v>42</v>
      </c>
      <c r="I113" s="106" t="s">
        <v>43</v>
      </c>
      <c r="J113" s="106">
        <v>1</v>
      </c>
      <c r="K113" s="106">
        <f>(J113)-(L113+M113+N113+P113+O113)</f>
        <v>1</v>
      </c>
      <c r="L113" s="106">
        <v>0</v>
      </c>
      <c r="M113" s="107">
        <v>0</v>
      </c>
      <c r="N113" s="106">
        <v>0</v>
      </c>
      <c r="O113" s="106">
        <v>0</v>
      </c>
      <c r="P113" s="107">
        <v>0</v>
      </c>
      <c r="Q113" s="108">
        <f t="shared" si="16"/>
        <v>1</v>
      </c>
      <c r="R113" s="109">
        <f t="shared" si="17"/>
        <v>0</v>
      </c>
      <c r="S113" s="109">
        <f t="shared" si="18"/>
        <v>0</v>
      </c>
      <c r="T113" s="109">
        <f t="shared" si="13"/>
        <v>0</v>
      </c>
      <c r="U113" s="110">
        <f t="shared" si="19"/>
        <v>1</v>
      </c>
      <c r="V113" s="111"/>
    </row>
    <row r="114" spans="2:25" ht="47.25" hidden="1" x14ac:dyDescent="0.2">
      <c r="B114" s="711">
        <v>46100</v>
      </c>
      <c r="C114" s="105" t="s">
        <v>18</v>
      </c>
      <c r="D114" s="105" t="s">
        <v>13</v>
      </c>
      <c r="E114" s="711">
        <v>46100</v>
      </c>
      <c r="G114" s="834"/>
      <c r="H114" s="120" t="s">
        <v>16</v>
      </c>
      <c r="I114" s="120" t="s">
        <v>27</v>
      </c>
      <c r="J114" s="120">
        <v>213</v>
      </c>
      <c r="K114" s="106">
        <f>(J114)-(L114+M114+N114+P114+O114)</f>
        <v>92</v>
      </c>
      <c r="L114" s="106">
        <v>77</v>
      </c>
      <c r="M114" s="107">
        <v>24</v>
      </c>
      <c r="N114" s="106">
        <v>0</v>
      </c>
      <c r="O114" s="106">
        <v>19</v>
      </c>
      <c r="P114" s="107">
        <v>1</v>
      </c>
      <c r="Q114" s="122">
        <f t="shared" si="16"/>
        <v>0.79342723004694837</v>
      </c>
      <c r="R114" s="123">
        <f t="shared" si="17"/>
        <v>0</v>
      </c>
      <c r="S114" s="123">
        <f t="shared" si="18"/>
        <v>4.6948356807511738E-3</v>
      </c>
      <c r="T114" s="123">
        <f t="shared" si="13"/>
        <v>8.9201877934272297E-2</v>
      </c>
      <c r="U114" s="124">
        <f t="shared" si="19"/>
        <v>0.88732394366197176</v>
      </c>
      <c r="V114" s="141" t="s">
        <v>60</v>
      </c>
    </row>
    <row r="115" spans="2:25" ht="15.75" hidden="1" x14ac:dyDescent="0.2">
      <c r="B115" s="711">
        <v>46100</v>
      </c>
      <c r="C115" s="105" t="s">
        <v>18</v>
      </c>
      <c r="D115" s="105" t="s">
        <v>13</v>
      </c>
      <c r="E115" s="711">
        <v>46100</v>
      </c>
      <c r="G115" s="834"/>
      <c r="H115" s="120" t="s">
        <v>14</v>
      </c>
      <c r="I115" s="120" t="s">
        <v>27</v>
      </c>
      <c r="J115" s="120">
        <v>199</v>
      </c>
      <c r="K115" s="106">
        <f>(J115)-(L115+M115+N115+P115+O115)</f>
        <v>70</v>
      </c>
      <c r="L115" s="106">
        <v>22</v>
      </c>
      <c r="M115" s="107">
        <v>93</v>
      </c>
      <c r="N115" s="106">
        <v>0</v>
      </c>
      <c r="O115" s="106">
        <v>12</v>
      </c>
      <c r="P115" s="107">
        <v>2</v>
      </c>
      <c r="Q115" s="122">
        <f t="shared" si="16"/>
        <v>0.46231155778894473</v>
      </c>
      <c r="R115" s="123">
        <f t="shared" si="17"/>
        <v>0</v>
      </c>
      <c r="S115" s="123">
        <f t="shared" si="18"/>
        <v>1.0050251256281407E-2</v>
      </c>
      <c r="T115" s="123">
        <f t="shared" si="13"/>
        <v>6.030150753768844E-2</v>
      </c>
      <c r="U115" s="124">
        <f t="shared" si="19"/>
        <v>0.53266331658291455</v>
      </c>
      <c r="V115" s="125" t="s">
        <v>61</v>
      </c>
    </row>
    <row r="116" spans="2:25" ht="15.75" hidden="1" x14ac:dyDescent="0.2">
      <c r="B116" s="711">
        <v>46100</v>
      </c>
      <c r="C116" s="105" t="s">
        <v>18</v>
      </c>
      <c r="D116" s="105" t="s">
        <v>13</v>
      </c>
      <c r="E116" s="711">
        <v>46100</v>
      </c>
      <c r="G116" s="835"/>
      <c r="H116" s="113" t="s">
        <v>19</v>
      </c>
      <c r="I116" s="113"/>
      <c r="J116" s="113">
        <f>SUM(J111:J115)</f>
        <v>623</v>
      </c>
      <c r="K116" s="113">
        <f>SUM(K111:K115)</f>
        <v>285</v>
      </c>
      <c r="L116" s="113">
        <f>SUM(L111:L115)</f>
        <v>145</v>
      </c>
      <c r="M116" s="114">
        <f>SUM(M111:M115)</f>
        <v>117</v>
      </c>
      <c r="N116" s="113">
        <f>SUM(N111:N115)</f>
        <v>12</v>
      </c>
      <c r="O116" s="113">
        <v>0</v>
      </c>
      <c r="P116" s="114">
        <f>SUM(P111:P115)</f>
        <v>5</v>
      </c>
      <c r="Q116" s="115">
        <f t="shared" si="16"/>
        <v>0.6902086677367576</v>
      </c>
      <c r="R116" s="116">
        <f t="shared" si="17"/>
        <v>1.9261637239165328E-2</v>
      </c>
      <c r="S116" s="116">
        <f t="shared" si="18"/>
        <v>8.0256821829855531E-3</v>
      </c>
      <c r="T116" s="116">
        <f t="shared" si="13"/>
        <v>0</v>
      </c>
      <c r="U116" s="117">
        <f t="shared" si="19"/>
        <v>0.7174959871589085</v>
      </c>
      <c r="V116" s="127"/>
    </row>
    <row r="117" spans="2:25" s="97" customFormat="1" ht="16.5" hidden="1" customHeight="1" x14ac:dyDescent="0.2">
      <c r="B117" s="711">
        <v>46100</v>
      </c>
      <c r="C117" s="105" t="s">
        <v>12</v>
      </c>
      <c r="D117" s="105" t="s">
        <v>20</v>
      </c>
      <c r="E117" s="711">
        <v>46100</v>
      </c>
      <c r="F117" s="89"/>
      <c r="G117" s="833">
        <v>46100</v>
      </c>
      <c r="H117" s="106" t="s">
        <v>17</v>
      </c>
      <c r="I117" s="106" t="s">
        <v>15</v>
      </c>
      <c r="J117" s="106">
        <f>SUM(K117:P117)</f>
        <v>18</v>
      </c>
      <c r="K117" s="106">
        <v>4</v>
      </c>
      <c r="L117" s="106">
        <v>2</v>
      </c>
      <c r="M117" s="107">
        <v>0</v>
      </c>
      <c r="N117" s="106">
        <v>10</v>
      </c>
      <c r="O117" s="106">
        <v>0</v>
      </c>
      <c r="P117" s="107">
        <v>2</v>
      </c>
      <c r="Q117" s="108">
        <f t="shared" si="16"/>
        <v>0.33333333333333331</v>
      </c>
      <c r="R117" s="109">
        <f t="shared" si="17"/>
        <v>0.55555555555555558</v>
      </c>
      <c r="S117" s="109">
        <f t="shared" si="18"/>
        <v>0.1111111111111111</v>
      </c>
      <c r="T117" s="109">
        <f t="shared" si="13"/>
        <v>0</v>
      </c>
      <c r="U117" s="110">
        <f t="shared" si="19"/>
        <v>1</v>
      </c>
      <c r="V117" s="111"/>
      <c r="W117" s="88"/>
      <c r="X117" s="88"/>
      <c r="Y117" s="119">
        <f>U117</f>
        <v>1</v>
      </c>
    </row>
    <row r="118" spans="2:25" s="97" customFormat="1" ht="16.5" hidden="1" customHeight="1" x14ac:dyDescent="0.2">
      <c r="B118" s="711">
        <v>46100</v>
      </c>
      <c r="C118" s="105" t="s">
        <v>12</v>
      </c>
      <c r="D118" s="105" t="s">
        <v>20</v>
      </c>
      <c r="E118" s="711">
        <v>46100</v>
      </c>
      <c r="F118" s="89"/>
      <c r="G118" s="834"/>
      <c r="H118" s="120" t="s">
        <v>16</v>
      </c>
      <c r="I118" s="142" t="s">
        <v>27</v>
      </c>
      <c r="J118" s="106">
        <f>SUM(K118:P118)</f>
        <v>44</v>
      </c>
      <c r="K118" s="106">
        <v>20</v>
      </c>
      <c r="L118" s="120">
        <v>21</v>
      </c>
      <c r="M118" s="120">
        <v>0</v>
      </c>
      <c r="N118" s="120">
        <v>0</v>
      </c>
      <c r="O118" s="120">
        <v>2</v>
      </c>
      <c r="P118" s="120">
        <v>1</v>
      </c>
      <c r="Q118" s="122">
        <f t="shared" si="16"/>
        <v>0.93181818181818177</v>
      </c>
      <c r="R118" s="123">
        <f t="shared" si="17"/>
        <v>0</v>
      </c>
      <c r="S118" s="123">
        <f t="shared" si="18"/>
        <v>2.2727272727272728E-2</v>
      </c>
      <c r="T118" s="123">
        <f t="shared" si="13"/>
        <v>4.5454545454545456E-2</v>
      </c>
      <c r="U118" s="124">
        <f t="shared" si="19"/>
        <v>0.99999999999999989</v>
      </c>
      <c r="V118" s="125"/>
      <c r="W118" s="88"/>
      <c r="X118" s="88"/>
      <c r="Y118" s="126"/>
    </row>
    <row r="119" spans="2:25" s="158" customFormat="1" ht="18" hidden="1" customHeight="1" x14ac:dyDescent="0.2">
      <c r="B119" s="714">
        <v>46100</v>
      </c>
      <c r="C119" s="60" t="s">
        <v>12</v>
      </c>
      <c r="D119" s="60" t="s">
        <v>20</v>
      </c>
      <c r="E119" s="711">
        <v>46100</v>
      </c>
      <c r="F119" s="157"/>
      <c r="G119" s="834"/>
      <c r="H119" s="120" t="s">
        <v>14</v>
      </c>
      <c r="I119" s="120" t="s">
        <v>27</v>
      </c>
      <c r="J119" s="106">
        <f>SUM(K119:P119)</f>
        <v>95</v>
      </c>
      <c r="K119" s="106">
        <v>66</v>
      </c>
      <c r="L119" s="120">
        <v>26</v>
      </c>
      <c r="M119" s="120">
        <v>0</v>
      </c>
      <c r="N119" s="120">
        <v>0</v>
      </c>
      <c r="O119" s="120">
        <v>1</v>
      </c>
      <c r="P119" s="120">
        <v>2</v>
      </c>
      <c r="Q119" s="122">
        <f t="shared" si="16"/>
        <v>0.96842105263157896</v>
      </c>
      <c r="R119" s="123">
        <f t="shared" si="17"/>
        <v>0</v>
      </c>
      <c r="S119" s="123">
        <f t="shared" si="18"/>
        <v>2.1052631578947368E-2</v>
      </c>
      <c r="T119" s="123">
        <f t="shared" si="13"/>
        <v>1.0526315789473684E-2</v>
      </c>
      <c r="U119" s="124">
        <f t="shared" si="19"/>
        <v>1</v>
      </c>
      <c r="V119" s="125"/>
      <c r="W119" s="88"/>
      <c r="X119" s="88"/>
      <c r="Y119" s="126"/>
    </row>
    <row r="120" spans="2:25" s="97" customFormat="1" ht="18" hidden="1" customHeight="1" x14ac:dyDescent="0.2">
      <c r="B120" s="711">
        <v>46100</v>
      </c>
      <c r="C120" s="105" t="s">
        <v>12</v>
      </c>
      <c r="D120" s="105" t="s">
        <v>20</v>
      </c>
      <c r="E120" s="711">
        <v>46100</v>
      </c>
      <c r="F120" s="89"/>
      <c r="G120" s="835"/>
      <c r="H120" s="113" t="s">
        <v>19</v>
      </c>
      <c r="I120" s="113"/>
      <c r="J120" s="113">
        <f>SUM(J117:J119)</f>
        <v>157</v>
      </c>
      <c r="K120" s="113">
        <f>SUM(K117:K119)</f>
        <v>90</v>
      </c>
      <c r="L120" s="113">
        <f>SUM(L117:L119)</f>
        <v>49</v>
      </c>
      <c r="M120" s="114">
        <f>SUM(M117:M119)</f>
        <v>0</v>
      </c>
      <c r="N120" s="113">
        <f>SUM(N117:N119)</f>
        <v>10</v>
      </c>
      <c r="O120" s="113">
        <v>0</v>
      </c>
      <c r="P120" s="114">
        <f>SUM(P117:P119)</f>
        <v>5</v>
      </c>
      <c r="Q120" s="115">
        <f t="shared" si="16"/>
        <v>0.88535031847133761</v>
      </c>
      <c r="R120" s="116">
        <f t="shared" si="17"/>
        <v>6.3694267515923567E-2</v>
      </c>
      <c r="S120" s="116">
        <f t="shared" si="18"/>
        <v>3.1847133757961783E-2</v>
      </c>
      <c r="T120" s="116">
        <f t="shared" si="13"/>
        <v>0</v>
      </c>
      <c r="U120" s="117">
        <f t="shared" si="19"/>
        <v>0.98089171974522293</v>
      </c>
      <c r="V120" s="127"/>
      <c r="W120" s="88"/>
      <c r="X120" s="88"/>
      <c r="Y120" s="118"/>
    </row>
    <row r="121" spans="2:25" s="97" customFormat="1" ht="16.5" hidden="1" customHeight="1" x14ac:dyDescent="0.2">
      <c r="B121" s="711">
        <v>46100</v>
      </c>
      <c r="C121" s="105" t="s">
        <v>12</v>
      </c>
      <c r="D121" s="105" t="s">
        <v>20</v>
      </c>
      <c r="E121" s="711">
        <v>46100</v>
      </c>
      <c r="F121" s="89"/>
      <c r="G121" s="833">
        <v>46101</v>
      </c>
      <c r="H121" s="106" t="s">
        <v>25</v>
      </c>
      <c r="I121" s="106" t="s">
        <v>22</v>
      </c>
      <c r="J121" s="106">
        <v>206</v>
      </c>
      <c r="K121" s="106">
        <v>0</v>
      </c>
      <c r="L121" s="106">
        <v>0</v>
      </c>
      <c r="M121" s="107">
        <v>99</v>
      </c>
      <c r="N121" s="106">
        <v>101</v>
      </c>
      <c r="O121" s="106">
        <v>0</v>
      </c>
      <c r="P121" s="107">
        <v>6</v>
      </c>
      <c r="Q121" s="108">
        <f t="shared" si="16"/>
        <v>0</v>
      </c>
      <c r="R121" s="109">
        <f t="shared" si="17"/>
        <v>0.49029126213592233</v>
      </c>
      <c r="S121" s="109">
        <f t="shared" si="18"/>
        <v>2.9126213592233011E-2</v>
      </c>
      <c r="T121" s="109">
        <f t="shared" si="13"/>
        <v>0</v>
      </c>
      <c r="U121" s="110">
        <f t="shared" si="19"/>
        <v>0.51941747572815533</v>
      </c>
      <c r="V121" s="111"/>
      <c r="W121" s="88"/>
      <c r="X121" s="88"/>
      <c r="Y121" s="119">
        <f>U121</f>
        <v>0.51941747572815533</v>
      </c>
    </row>
    <row r="122" spans="2:25" s="97" customFormat="1" ht="16.5" hidden="1" customHeight="1" x14ac:dyDescent="0.2">
      <c r="B122" s="711">
        <v>46100</v>
      </c>
      <c r="C122" s="105" t="s">
        <v>12</v>
      </c>
      <c r="D122" s="105" t="s">
        <v>20</v>
      </c>
      <c r="E122" s="711">
        <v>46100</v>
      </c>
      <c r="F122" s="89"/>
      <c r="G122" s="834"/>
      <c r="H122" s="120" t="s">
        <v>16</v>
      </c>
      <c r="I122" s="120" t="s">
        <v>27</v>
      </c>
      <c r="J122" s="106">
        <v>211</v>
      </c>
      <c r="K122" s="106">
        <v>0</v>
      </c>
      <c r="L122" s="106">
        <v>1</v>
      </c>
      <c r="M122" s="106">
        <v>207</v>
      </c>
      <c r="N122" s="106">
        <v>0</v>
      </c>
      <c r="O122" s="106">
        <v>0</v>
      </c>
      <c r="P122" s="120">
        <v>3</v>
      </c>
      <c r="Q122" s="122">
        <f t="shared" si="16"/>
        <v>4.7393364928909956E-3</v>
      </c>
      <c r="R122" s="123">
        <f t="shared" si="17"/>
        <v>0</v>
      </c>
      <c r="S122" s="123">
        <f t="shared" si="18"/>
        <v>1.4218009478672985E-2</v>
      </c>
      <c r="T122" s="123">
        <f t="shared" si="13"/>
        <v>0</v>
      </c>
      <c r="U122" s="124">
        <f t="shared" si="19"/>
        <v>1.8957345971563982E-2</v>
      </c>
      <c r="V122" s="125"/>
      <c r="W122" s="88"/>
      <c r="X122" s="88"/>
      <c r="Y122" s="126"/>
    </row>
    <row r="123" spans="2:25" s="158" customFormat="1" ht="18" hidden="1" customHeight="1" x14ac:dyDescent="0.2">
      <c r="B123" s="714">
        <v>46100</v>
      </c>
      <c r="C123" s="60" t="s">
        <v>12</v>
      </c>
      <c r="D123" s="60" t="s">
        <v>20</v>
      </c>
      <c r="E123" s="711">
        <v>46100</v>
      </c>
      <c r="F123" s="157"/>
      <c r="G123" s="834"/>
      <c r="H123" s="120" t="s">
        <v>14</v>
      </c>
      <c r="I123" s="120" t="s">
        <v>27</v>
      </c>
      <c r="J123" s="106">
        <v>202</v>
      </c>
      <c r="K123" s="106">
        <v>0</v>
      </c>
      <c r="L123" s="106">
        <v>0</v>
      </c>
      <c r="M123" s="106">
        <v>199</v>
      </c>
      <c r="N123" s="106">
        <v>0</v>
      </c>
      <c r="O123" s="106">
        <v>0</v>
      </c>
      <c r="P123" s="120">
        <v>3</v>
      </c>
      <c r="Q123" s="122">
        <f t="shared" si="16"/>
        <v>0</v>
      </c>
      <c r="R123" s="123">
        <f t="shared" si="17"/>
        <v>0</v>
      </c>
      <c r="S123" s="123">
        <f t="shared" si="18"/>
        <v>1.4851485148514851E-2</v>
      </c>
      <c r="T123" s="123">
        <f t="shared" si="13"/>
        <v>0</v>
      </c>
      <c r="U123" s="124">
        <f t="shared" si="19"/>
        <v>1.4851485148514851E-2</v>
      </c>
      <c r="V123" s="125"/>
      <c r="W123" s="88"/>
      <c r="X123" s="88"/>
      <c r="Y123" s="126"/>
    </row>
    <row r="124" spans="2:25" s="97" customFormat="1" ht="18" hidden="1" customHeight="1" x14ac:dyDescent="0.2">
      <c r="B124" s="711">
        <v>46100</v>
      </c>
      <c r="C124" s="105" t="s">
        <v>12</v>
      </c>
      <c r="D124" s="105" t="s">
        <v>20</v>
      </c>
      <c r="E124" s="711">
        <v>46100</v>
      </c>
      <c r="F124" s="89"/>
      <c r="G124" s="835"/>
      <c r="H124" s="113" t="s">
        <v>19</v>
      </c>
      <c r="I124" s="113"/>
      <c r="J124" s="113">
        <f>SUM(J121:J123)</f>
        <v>619</v>
      </c>
      <c r="K124" s="113">
        <f>SUM(K121:K123)</f>
        <v>0</v>
      </c>
      <c r="L124" s="113">
        <f>SUM(L121:L123)</f>
        <v>1</v>
      </c>
      <c r="M124" s="114">
        <f>SUM(M121:M123)</f>
        <v>505</v>
      </c>
      <c r="N124" s="113">
        <f>SUM(N121:N123)</f>
        <v>101</v>
      </c>
      <c r="O124" s="113">
        <v>0</v>
      </c>
      <c r="P124" s="114">
        <f>SUM(P121:P123)</f>
        <v>12</v>
      </c>
      <c r="Q124" s="115">
        <f t="shared" si="16"/>
        <v>1.6155088852988692E-3</v>
      </c>
      <c r="R124" s="116">
        <f t="shared" si="17"/>
        <v>0.16316639741518579</v>
      </c>
      <c r="S124" s="116">
        <f t="shared" si="18"/>
        <v>1.9386106623586429E-2</v>
      </c>
      <c r="T124" s="116">
        <f t="shared" si="13"/>
        <v>0</v>
      </c>
      <c r="U124" s="117">
        <f t="shared" si="19"/>
        <v>0.18416801292407109</v>
      </c>
      <c r="V124" s="127"/>
      <c r="W124" s="88"/>
      <c r="X124" s="88"/>
      <c r="Y124" s="118"/>
    </row>
    <row r="125" spans="2:25" ht="15.75" hidden="1" x14ac:dyDescent="0.2">
      <c r="B125" s="711">
        <v>46100</v>
      </c>
      <c r="C125" s="105" t="s">
        <v>18</v>
      </c>
      <c r="D125" s="105" t="s">
        <v>23</v>
      </c>
      <c r="E125" s="711">
        <v>46101</v>
      </c>
      <c r="G125" s="833">
        <v>46101</v>
      </c>
      <c r="H125" s="162" t="s">
        <v>25</v>
      </c>
      <c r="I125" s="163" t="s">
        <v>15</v>
      </c>
      <c r="J125" s="162">
        <v>206</v>
      </c>
      <c r="K125" s="162">
        <f>(J125)-(L125+M125+N125+P125+O125)</f>
        <v>70</v>
      </c>
      <c r="L125" s="162">
        <f>24+17</f>
        <v>41</v>
      </c>
      <c r="M125" s="164">
        <v>6</v>
      </c>
      <c r="N125" s="165">
        <v>83</v>
      </c>
      <c r="O125" s="162">
        <v>0</v>
      </c>
      <c r="P125" s="164">
        <v>6</v>
      </c>
      <c r="Q125" s="166">
        <f t="shared" si="16"/>
        <v>0.53883495145631066</v>
      </c>
      <c r="R125" s="167">
        <f t="shared" si="17"/>
        <v>0.40291262135922329</v>
      </c>
      <c r="S125" s="167">
        <f t="shared" si="18"/>
        <v>2.9126213592233011E-2</v>
      </c>
      <c r="T125" s="167">
        <f t="shared" si="13"/>
        <v>0</v>
      </c>
      <c r="U125" s="168">
        <f t="shared" si="19"/>
        <v>0.970873786407767</v>
      </c>
      <c r="V125" s="156"/>
    </row>
    <row r="126" spans="2:25" ht="15.75" hidden="1" x14ac:dyDescent="0.2">
      <c r="B126" s="711">
        <v>46100</v>
      </c>
      <c r="C126" s="105" t="s">
        <v>18</v>
      </c>
      <c r="D126" s="105" t="s">
        <v>23</v>
      </c>
      <c r="E126" s="711">
        <v>46101</v>
      </c>
      <c r="G126" s="834"/>
      <c r="H126" s="120" t="s">
        <v>16</v>
      </c>
      <c r="I126" s="120" t="s">
        <v>27</v>
      </c>
      <c r="J126" s="120">
        <v>211</v>
      </c>
      <c r="K126" s="106">
        <f>(J126)-(L126+M126+N126+P126+O126)</f>
        <v>0</v>
      </c>
      <c r="L126" s="120">
        <v>0</v>
      </c>
      <c r="M126" s="120">
        <v>95</v>
      </c>
      <c r="N126" s="120">
        <v>96</v>
      </c>
      <c r="O126" s="120">
        <v>17</v>
      </c>
      <c r="P126" s="120">
        <v>3</v>
      </c>
      <c r="Q126" s="122">
        <f t="shared" si="16"/>
        <v>0</v>
      </c>
      <c r="R126" s="123">
        <f t="shared" si="17"/>
        <v>0.45497630331753552</v>
      </c>
      <c r="S126" s="123">
        <f t="shared" si="18"/>
        <v>1.4218009478672985E-2</v>
      </c>
      <c r="T126" s="123">
        <f t="shared" si="13"/>
        <v>8.0568720379146919E-2</v>
      </c>
      <c r="U126" s="124">
        <f t="shared" si="19"/>
        <v>0.54976303317535535</v>
      </c>
      <c r="V126" s="125"/>
    </row>
    <row r="127" spans="2:25" ht="15.75" hidden="1" x14ac:dyDescent="0.2">
      <c r="B127" s="711">
        <v>46100</v>
      </c>
      <c r="C127" s="105" t="s">
        <v>18</v>
      </c>
      <c r="D127" s="105" t="s">
        <v>23</v>
      </c>
      <c r="E127" s="711">
        <v>46101</v>
      </c>
      <c r="G127" s="834"/>
      <c r="H127" s="120" t="s">
        <v>14</v>
      </c>
      <c r="I127" s="120" t="s">
        <v>18</v>
      </c>
      <c r="J127" s="120">
        <v>202</v>
      </c>
      <c r="K127" s="106">
        <f>(J127)-(L127+M127+N127+P127+O127)</f>
        <v>0</v>
      </c>
      <c r="L127" s="120">
        <v>0</v>
      </c>
      <c r="M127" s="120">
        <v>196</v>
      </c>
      <c r="N127" s="120">
        <v>0</v>
      </c>
      <c r="O127" s="120">
        <v>0</v>
      </c>
      <c r="P127" s="120">
        <v>6</v>
      </c>
      <c r="Q127" s="122">
        <f t="shared" si="16"/>
        <v>0</v>
      </c>
      <c r="R127" s="123">
        <f t="shared" si="17"/>
        <v>0</v>
      </c>
      <c r="S127" s="123">
        <f t="shared" si="18"/>
        <v>2.9702970297029702E-2</v>
      </c>
      <c r="T127" s="123">
        <f t="shared" si="13"/>
        <v>0</v>
      </c>
      <c r="U127" s="124">
        <f t="shared" si="19"/>
        <v>2.9702970297029702E-2</v>
      </c>
      <c r="V127" s="125"/>
    </row>
    <row r="128" spans="2:25" ht="15.75" hidden="1" x14ac:dyDescent="0.2">
      <c r="B128" s="711">
        <v>46100</v>
      </c>
      <c r="C128" s="105" t="s">
        <v>18</v>
      </c>
      <c r="D128" s="105" t="s">
        <v>23</v>
      </c>
      <c r="E128" s="711">
        <v>46101</v>
      </c>
      <c r="G128" s="835"/>
      <c r="H128" s="113" t="s">
        <v>19</v>
      </c>
      <c r="I128" s="113"/>
      <c r="J128" s="113">
        <f>SUM(J125:J127)</f>
        <v>619</v>
      </c>
      <c r="K128" s="113">
        <f>SUM(K125:K127)</f>
        <v>70</v>
      </c>
      <c r="L128" s="113">
        <f>SUM(L125:L127)</f>
        <v>41</v>
      </c>
      <c r="M128" s="114">
        <f>SUM(M125:M127)</f>
        <v>297</v>
      </c>
      <c r="N128" s="113">
        <f>SUM(N125:N127)</f>
        <v>179</v>
      </c>
      <c r="O128" s="113">
        <v>0</v>
      </c>
      <c r="P128" s="114">
        <f>SUM(P125:P127)</f>
        <v>15</v>
      </c>
      <c r="Q128" s="115">
        <f t="shared" si="16"/>
        <v>0.17932148626817448</v>
      </c>
      <c r="R128" s="116">
        <f t="shared" si="17"/>
        <v>0.28917609046849757</v>
      </c>
      <c r="S128" s="116">
        <f t="shared" si="18"/>
        <v>2.4232633279483037E-2</v>
      </c>
      <c r="T128" s="116">
        <f t="shared" si="13"/>
        <v>0</v>
      </c>
      <c r="U128" s="117">
        <f t="shared" si="19"/>
        <v>0.49273021001615513</v>
      </c>
      <c r="V128" s="127"/>
    </row>
    <row r="129" spans="2:25" ht="15.75" hidden="1" x14ac:dyDescent="0.2">
      <c r="B129" s="711">
        <v>46101</v>
      </c>
      <c r="C129" s="105" t="s">
        <v>18</v>
      </c>
      <c r="D129" s="105" t="s">
        <v>13</v>
      </c>
      <c r="E129" s="711">
        <v>46101</v>
      </c>
      <c r="G129" s="833">
        <v>46101</v>
      </c>
      <c r="H129" s="106" t="s">
        <v>25</v>
      </c>
      <c r="I129" s="148" t="s">
        <v>22</v>
      </c>
      <c r="J129" s="106">
        <v>206</v>
      </c>
      <c r="K129" s="106">
        <v>152</v>
      </c>
      <c r="L129" s="106">
        <v>32</v>
      </c>
      <c r="M129" s="107">
        <v>0</v>
      </c>
      <c r="N129" s="106">
        <v>0</v>
      </c>
      <c r="O129" s="106">
        <v>20</v>
      </c>
      <c r="P129" s="107">
        <v>2</v>
      </c>
      <c r="Q129" s="108">
        <f t="shared" si="16"/>
        <v>0.89320388349514568</v>
      </c>
      <c r="R129" s="109">
        <f t="shared" si="17"/>
        <v>0</v>
      </c>
      <c r="S129" s="109">
        <f t="shared" si="18"/>
        <v>9.7087378640776691E-3</v>
      </c>
      <c r="T129" s="109">
        <f t="shared" si="13"/>
        <v>9.7087378640776698E-2</v>
      </c>
      <c r="U129" s="110">
        <f t="shared" si="19"/>
        <v>1</v>
      </c>
      <c r="V129" s="141"/>
    </row>
    <row r="130" spans="2:25" ht="15.75" hidden="1" x14ac:dyDescent="0.2">
      <c r="B130" s="711">
        <v>46101</v>
      </c>
      <c r="C130" s="105" t="s">
        <v>18</v>
      </c>
      <c r="D130" s="105" t="s">
        <v>13</v>
      </c>
      <c r="E130" s="711">
        <v>46101</v>
      </c>
      <c r="G130" s="834"/>
      <c r="H130" s="106" t="s">
        <v>32</v>
      </c>
      <c r="I130" s="106" t="s">
        <v>22</v>
      </c>
      <c r="J130" s="106">
        <v>8</v>
      </c>
      <c r="K130" s="106">
        <f>(J130)-(L130+M130+N130+P130)</f>
        <v>8</v>
      </c>
      <c r="L130" s="106">
        <v>0</v>
      </c>
      <c r="M130" s="107">
        <v>0</v>
      </c>
      <c r="N130" s="106">
        <v>0</v>
      </c>
      <c r="O130" s="106">
        <v>0</v>
      </c>
      <c r="P130" s="107">
        <v>0</v>
      </c>
      <c r="Q130" s="108">
        <f t="shared" si="16"/>
        <v>1</v>
      </c>
      <c r="R130" s="109">
        <f t="shared" si="17"/>
        <v>0</v>
      </c>
      <c r="S130" s="109">
        <f t="shared" si="18"/>
        <v>0</v>
      </c>
      <c r="T130" s="109">
        <f t="shared" si="13"/>
        <v>0</v>
      </c>
      <c r="U130" s="110">
        <f t="shared" si="19"/>
        <v>1</v>
      </c>
      <c r="V130" s="111"/>
    </row>
    <row r="131" spans="2:25" ht="15.75" hidden="1" x14ac:dyDescent="0.2">
      <c r="B131" s="711">
        <v>46101</v>
      </c>
      <c r="C131" s="105" t="s">
        <v>18</v>
      </c>
      <c r="D131" s="105" t="s">
        <v>13</v>
      </c>
      <c r="E131" s="711">
        <v>46101</v>
      </c>
      <c r="G131" s="834"/>
      <c r="H131" s="106" t="s">
        <v>42</v>
      </c>
      <c r="I131" s="106" t="s">
        <v>43</v>
      </c>
      <c r="J131" s="106">
        <v>62</v>
      </c>
      <c r="K131" s="106">
        <f>(J131)-(L131+M131+N131+P131)</f>
        <v>53</v>
      </c>
      <c r="L131" s="106">
        <v>0</v>
      </c>
      <c r="M131" s="107">
        <v>0</v>
      </c>
      <c r="N131" s="106">
        <v>0</v>
      </c>
      <c r="O131" s="106">
        <v>0</v>
      </c>
      <c r="P131" s="107">
        <v>9</v>
      </c>
      <c r="Q131" s="108">
        <f t="shared" si="16"/>
        <v>0.85483870967741937</v>
      </c>
      <c r="R131" s="109">
        <f t="shared" si="17"/>
        <v>0</v>
      </c>
      <c r="S131" s="109">
        <f t="shared" si="18"/>
        <v>0.14516129032258066</v>
      </c>
      <c r="T131" s="109">
        <f t="shared" si="13"/>
        <v>0</v>
      </c>
      <c r="U131" s="110">
        <f t="shared" si="19"/>
        <v>1</v>
      </c>
      <c r="V131" s="111"/>
    </row>
    <row r="132" spans="2:25" ht="31.5" hidden="1" x14ac:dyDescent="0.2">
      <c r="B132" s="711">
        <v>46101</v>
      </c>
      <c r="C132" s="105" t="s">
        <v>18</v>
      </c>
      <c r="D132" s="105" t="s">
        <v>13</v>
      </c>
      <c r="E132" s="711">
        <v>46101</v>
      </c>
      <c r="G132" s="834"/>
      <c r="H132" s="120" t="s">
        <v>16</v>
      </c>
      <c r="I132" s="120" t="s">
        <v>27</v>
      </c>
      <c r="J132" s="120">
        <v>216</v>
      </c>
      <c r="K132" s="106">
        <v>122</v>
      </c>
      <c r="L132" s="106">
        <v>70</v>
      </c>
      <c r="M132" s="107">
        <v>8</v>
      </c>
      <c r="N132" s="106">
        <v>0</v>
      </c>
      <c r="O132" s="106">
        <v>14</v>
      </c>
      <c r="P132" s="107">
        <v>3</v>
      </c>
      <c r="Q132" s="122">
        <f t="shared" si="16"/>
        <v>0.88888888888888884</v>
      </c>
      <c r="R132" s="123">
        <f t="shared" si="17"/>
        <v>0</v>
      </c>
      <c r="S132" s="123">
        <f t="shared" si="18"/>
        <v>1.3888888888888888E-2</v>
      </c>
      <c r="T132" s="123">
        <f t="shared" si="13"/>
        <v>6.4814814814814811E-2</v>
      </c>
      <c r="U132" s="124">
        <f t="shared" si="19"/>
        <v>0.96759259259259245</v>
      </c>
      <c r="V132" s="141" t="s">
        <v>62</v>
      </c>
    </row>
    <row r="133" spans="2:25" ht="15.75" hidden="1" x14ac:dyDescent="0.2">
      <c r="B133" s="711">
        <v>46101</v>
      </c>
      <c r="C133" s="105" t="s">
        <v>18</v>
      </c>
      <c r="D133" s="105" t="s">
        <v>13</v>
      </c>
      <c r="E133" s="711">
        <v>46101</v>
      </c>
      <c r="G133" s="834"/>
      <c r="H133" s="120" t="s">
        <v>14</v>
      </c>
      <c r="I133" s="120" t="s">
        <v>27</v>
      </c>
      <c r="J133" s="120">
        <v>202</v>
      </c>
      <c r="K133" s="106">
        <f>(J133)-(L133+M133+N133+P133)</f>
        <v>26</v>
      </c>
      <c r="L133" s="106">
        <v>10</v>
      </c>
      <c r="M133" s="107">
        <v>158</v>
      </c>
      <c r="N133" s="106">
        <v>0</v>
      </c>
      <c r="O133" s="106">
        <v>10</v>
      </c>
      <c r="P133" s="107">
        <v>8</v>
      </c>
      <c r="Q133" s="122">
        <f t="shared" si="16"/>
        <v>0.17821782178217821</v>
      </c>
      <c r="R133" s="123">
        <f t="shared" si="17"/>
        <v>0</v>
      </c>
      <c r="S133" s="123">
        <f t="shared" si="18"/>
        <v>3.9603960396039604E-2</v>
      </c>
      <c r="T133" s="123">
        <f t="shared" si="13"/>
        <v>4.9504950495049507E-2</v>
      </c>
      <c r="U133" s="124">
        <f t="shared" si="19"/>
        <v>0.26732673267326734</v>
      </c>
      <c r="V133" s="125" t="s">
        <v>63</v>
      </c>
    </row>
    <row r="134" spans="2:25" ht="15.75" hidden="1" x14ac:dyDescent="0.2">
      <c r="B134" s="711">
        <v>46101</v>
      </c>
      <c r="C134" s="105" t="s">
        <v>18</v>
      </c>
      <c r="D134" s="105" t="s">
        <v>13</v>
      </c>
      <c r="E134" s="711">
        <v>46101</v>
      </c>
      <c r="G134" s="835"/>
      <c r="H134" s="113" t="s">
        <v>19</v>
      </c>
      <c r="I134" s="113"/>
      <c r="J134" s="113">
        <f>SUM(J129:J133)</f>
        <v>694</v>
      </c>
      <c r="K134" s="113">
        <f>SUM(K129:K133)</f>
        <v>361</v>
      </c>
      <c r="L134" s="113">
        <f>SUM(L129:L133)</f>
        <v>112</v>
      </c>
      <c r="M134" s="114">
        <f>SUM(M129:M133)</f>
        <v>166</v>
      </c>
      <c r="N134" s="113">
        <f>SUM(N129:N133)</f>
        <v>0</v>
      </c>
      <c r="O134" s="113">
        <v>0</v>
      </c>
      <c r="P134" s="114">
        <f>SUM(P129:P133)</f>
        <v>22</v>
      </c>
      <c r="Q134" s="115">
        <f t="shared" ref="Q134:Q139" si="20">(K134+L134)/J134</f>
        <v>0.68155619596541783</v>
      </c>
      <c r="R134" s="116">
        <f t="shared" ref="R134:R139" si="21">N134/J134</f>
        <v>0</v>
      </c>
      <c r="S134" s="116">
        <f t="shared" ref="S134:S139" si="22">P134/J134</f>
        <v>3.1700288184438041E-2</v>
      </c>
      <c r="T134" s="116">
        <f t="shared" ref="T134:T197" si="23">O134/J134</f>
        <v>0</v>
      </c>
      <c r="U134" s="117">
        <f t="shared" ref="U134:U139" si="24">S134+R134+Q134+T134</f>
        <v>0.71325648414985587</v>
      </c>
      <c r="V134" s="127"/>
    </row>
    <row r="135" spans="2:25" s="97" customFormat="1" ht="16.5" hidden="1" customHeight="1" x14ac:dyDescent="0.2">
      <c r="B135" s="711">
        <v>46101</v>
      </c>
      <c r="C135" s="105" t="s">
        <v>12</v>
      </c>
      <c r="D135" s="105" t="s">
        <v>20</v>
      </c>
      <c r="E135" s="711">
        <v>46101</v>
      </c>
      <c r="F135" s="89"/>
      <c r="G135" s="833">
        <v>46101</v>
      </c>
      <c r="H135" s="106" t="s">
        <v>25</v>
      </c>
      <c r="I135" s="106" t="s">
        <v>22</v>
      </c>
      <c r="J135" s="106">
        <f>SUM(K135:P135)</f>
        <v>3</v>
      </c>
      <c r="K135" s="106">
        <v>1</v>
      </c>
      <c r="L135" s="106">
        <v>0</v>
      </c>
      <c r="M135" s="107">
        <v>0</v>
      </c>
      <c r="N135" s="106">
        <v>0</v>
      </c>
      <c r="O135" s="106">
        <v>0</v>
      </c>
      <c r="P135" s="107">
        <v>2</v>
      </c>
      <c r="Q135" s="108">
        <f t="shared" si="20"/>
        <v>0.33333333333333331</v>
      </c>
      <c r="R135" s="109">
        <f t="shared" si="21"/>
        <v>0</v>
      </c>
      <c r="S135" s="109">
        <f t="shared" si="22"/>
        <v>0.66666666666666663</v>
      </c>
      <c r="T135" s="109">
        <f t="shared" si="23"/>
        <v>0</v>
      </c>
      <c r="U135" s="110">
        <f t="shared" si="24"/>
        <v>1</v>
      </c>
      <c r="V135" s="111"/>
      <c r="W135" s="88"/>
      <c r="X135" s="88"/>
      <c r="Y135" s="119">
        <f>U135</f>
        <v>1</v>
      </c>
    </row>
    <row r="136" spans="2:25" s="97" customFormat="1" ht="16.5" hidden="1" customHeight="1" x14ac:dyDescent="0.2">
      <c r="B136" s="711">
        <v>46101</v>
      </c>
      <c r="C136" s="105" t="s">
        <v>12</v>
      </c>
      <c r="D136" s="105" t="s">
        <v>20</v>
      </c>
      <c r="E136" s="711">
        <v>46101</v>
      </c>
      <c r="F136" s="89"/>
      <c r="G136" s="834"/>
      <c r="H136" s="120" t="s">
        <v>16</v>
      </c>
      <c r="I136" s="120" t="s">
        <v>27</v>
      </c>
      <c r="J136" s="106">
        <f>SUM(K136:P136)</f>
        <v>63</v>
      </c>
      <c r="K136" s="106">
        <v>28</v>
      </c>
      <c r="L136" s="120">
        <v>18</v>
      </c>
      <c r="M136" s="120">
        <v>5</v>
      </c>
      <c r="N136" s="120">
        <v>1</v>
      </c>
      <c r="O136" s="120">
        <v>8</v>
      </c>
      <c r="P136" s="120">
        <v>3</v>
      </c>
      <c r="Q136" s="122">
        <f t="shared" si="20"/>
        <v>0.73015873015873012</v>
      </c>
      <c r="R136" s="123">
        <f t="shared" si="21"/>
        <v>1.5873015873015872E-2</v>
      </c>
      <c r="S136" s="123">
        <f t="shared" si="22"/>
        <v>4.7619047619047616E-2</v>
      </c>
      <c r="T136" s="123">
        <f t="shared" si="23"/>
        <v>0.12698412698412698</v>
      </c>
      <c r="U136" s="124">
        <f t="shared" si="24"/>
        <v>0.92063492063492058</v>
      </c>
      <c r="V136" s="125" t="s">
        <v>64</v>
      </c>
      <c r="W136" s="88"/>
      <c r="X136" s="88"/>
      <c r="Y136" s="126"/>
    </row>
    <row r="137" spans="2:25" s="97" customFormat="1" ht="16.5" hidden="1" customHeight="1" x14ac:dyDescent="0.2">
      <c r="B137" s="711">
        <v>46101</v>
      </c>
      <c r="C137" s="105" t="s">
        <v>12</v>
      </c>
      <c r="D137" s="105" t="s">
        <v>20</v>
      </c>
      <c r="E137" s="711">
        <v>46101</v>
      </c>
      <c r="F137" s="89"/>
      <c r="G137" s="834"/>
      <c r="H137" s="120" t="s">
        <v>14</v>
      </c>
      <c r="I137" s="142" t="s">
        <v>27</v>
      </c>
      <c r="J137" s="106">
        <f>SUM(K137:P137)</f>
        <v>166</v>
      </c>
      <c r="K137" s="106">
        <v>121</v>
      </c>
      <c r="L137" s="120">
        <v>35</v>
      </c>
      <c r="M137" s="120">
        <v>0</v>
      </c>
      <c r="N137" s="120">
        <v>0</v>
      </c>
      <c r="O137" s="120">
        <v>8</v>
      </c>
      <c r="P137" s="120">
        <v>2</v>
      </c>
      <c r="Q137" s="122">
        <f t="shared" si="20"/>
        <v>0.93975903614457834</v>
      </c>
      <c r="R137" s="123">
        <f t="shared" si="21"/>
        <v>0</v>
      </c>
      <c r="S137" s="123">
        <f t="shared" si="22"/>
        <v>1.2048192771084338E-2</v>
      </c>
      <c r="T137" s="123">
        <f t="shared" si="23"/>
        <v>4.8192771084337352E-2</v>
      </c>
      <c r="U137" s="124">
        <f t="shared" si="24"/>
        <v>1</v>
      </c>
      <c r="V137" s="125"/>
      <c r="W137" s="88"/>
      <c r="X137" s="88"/>
      <c r="Y137" s="126"/>
    </row>
    <row r="138" spans="2:25" s="158" customFormat="1" ht="18" hidden="1" customHeight="1" x14ac:dyDescent="0.2">
      <c r="B138" s="711">
        <v>46101</v>
      </c>
      <c r="C138" s="105" t="s">
        <v>12</v>
      </c>
      <c r="D138" s="105" t="s">
        <v>20</v>
      </c>
      <c r="E138" s="711">
        <v>46101</v>
      </c>
      <c r="F138" s="157"/>
      <c r="G138" s="834"/>
      <c r="H138" s="120" t="s">
        <v>17</v>
      </c>
      <c r="I138" s="120" t="s">
        <v>27</v>
      </c>
      <c r="J138" s="106">
        <f>SUM(K138:P138)</f>
        <v>16</v>
      </c>
      <c r="K138" s="106">
        <v>0</v>
      </c>
      <c r="L138" s="120">
        <v>2</v>
      </c>
      <c r="M138" s="120">
        <v>12</v>
      </c>
      <c r="N138" s="120">
        <v>0</v>
      </c>
      <c r="O138" s="120">
        <v>0</v>
      </c>
      <c r="P138" s="120">
        <v>2</v>
      </c>
      <c r="Q138" s="122">
        <f t="shared" si="20"/>
        <v>0.125</v>
      </c>
      <c r="R138" s="123">
        <f t="shared" si="21"/>
        <v>0</v>
      </c>
      <c r="S138" s="123">
        <f t="shared" si="22"/>
        <v>0.125</v>
      </c>
      <c r="T138" s="123">
        <f t="shared" si="23"/>
        <v>0</v>
      </c>
      <c r="U138" s="124">
        <f t="shared" si="24"/>
        <v>0.25</v>
      </c>
      <c r="V138" s="125"/>
      <c r="W138" s="88"/>
      <c r="X138" s="88"/>
      <c r="Y138" s="126"/>
    </row>
    <row r="139" spans="2:25" s="97" customFormat="1" ht="18" hidden="1" customHeight="1" x14ac:dyDescent="0.2">
      <c r="B139" s="711">
        <v>46101</v>
      </c>
      <c r="C139" s="105" t="s">
        <v>12</v>
      </c>
      <c r="D139" s="105" t="s">
        <v>20</v>
      </c>
      <c r="E139" s="711">
        <v>46101</v>
      </c>
      <c r="F139" s="89"/>
      <c r="G139" s="835"/>
      <c r="H139" s="113" t="s">
        <v>19</v>
      </c>
      <c r="I139" s="113"/>
      <c r="J139" s="113">
        <f>SUM(J135:J138)</f>
        <v>248</v>
      </c>
      <c r="K139" s="113">
        <f>SUM(K135:K138)</f>
        <v>150</v>
      </c>
      <c r="L139" s="113">
        <f>SUM(L135:L138)</f>
        <v>55</v>
      </c>
      <c r="M139" s="114">
        <f>SUM(M135:M138)</f>
        <v>17</v>
      </c>
      <c r="N139" s="113">
        <f>SUM(N135:N138)</f>
        <v>1</v>
      </c>
      <c r="O139" s="113">
        <v>0</v>
      </c>
      <c r="P139" s="114">
        <f>SUM(P135:P138)</f>
        <v>9</v>
      </c>
      <c r="Q139" s="115">
        <f t="shared" si="20"/>
        <v>0.82661290322580649</v>
      </c>
      <c r="R139" s="116">
        <f t="shared" si="21"/>
        <v>4.0322580645161289E-3</v>
      </c>
      <c r="S139" s="116">
        <f t="shared" si="22"/>
        <v>3.6290322580645164E-2</v>
      </c>
      <c r="T139" s="116">
        <f t="shared" si="23"/>
        <v>0</v>
      </c>
      <c r="U139" s="117">
        <f t="shared" si="24"/>
        <v>0.86693548387096775</v>
      </c>
      <c r="V139" s="127"/>
      <c r="W139" s="88"/>
      <c r="X139" s="88"/>
      <c r="Y139" s="118"/>
    </row>
    <row r="140" spans="2:25" s="97" customFormat="1" ht="16.5" hidden="1" customHeight="1" x14ac:dyDescent="0.2">
      <c r="B140" s="711">
        <v>46101</v>
      </c>
      <c r="C140" s="105" t="s">
        <v>12</v>
      </c>
      <c r="D140" s="105" t="s">
        <v>20</v>
      </c>
      <c r="E140" s="711">
        <v>46101</v>
      </c>
      <c r="F140" s="89"/>
      <c r="G140" s="833">
        <v>46102</v>
      </c>
      <c r="H140" s="106" t="s">
        <v>17</v>
      </c>
      <c r="I140" s="106" t="s">
        <v>22</v>
      </c>
      <c r="J140" s="106">
        <f>SUM(K140:P140)</f>
        <v>56</v>
      </c>
      <c r="K140" s="106">
        <v>0</v>
      </c>
      <c r="L140" s="106">
        <v>0</v>
      </c>
      <c r="M140" s="107">
        <v>12</v>
      </c>
      <c r="N140" s="106">
        <v>44</v>
      </c>
      <c r="O140" s="106">
        <v>0</v>
      </c>
      <c r="P140" s="107">
        <v>0</v>
      </c>
      <c r="Q140" s="108"/>
      <c r="R140" s="109"/>
      <c r="S140" s="109"/>
      <c r="T140" s="109">
        <f t="shared" si="23"/>
        <v>0</v>
      </c>
      <c r="U140" s="110"/>
      <c r="V140" s="111"/>
      <c r="W140" s="88"/>
      <c r="X140" s="88"/>
      <c r="Y140" s="119"/>
    </row>
    <row r="141" spans="2:25" s="97" customFormat="1" ht="16.5" hidden="1" customHeight="1" x14ac:dyDescent="0.2">
      <c r="B141" s="711">
        <v>46101</v>
      </c>
      <c r="C141" s="105" t="s">
        <v>12</v>
      </c>
      <c r="D141" s="105" t="s">
        <v>20</v>
      </c>
      <c r="E141" s="711">
        <v>46101</v>
      </c>
      <c r="F141" s="89"/>
      <c r="G141" s="834"/>
      <c r="H141" s="106" t="s">
        <v>25</v>
      </c>
      <c r="I141" s="106" t="s">
        <v>22</v>
      </c>
      <c r="J141" s="106">
        <f>SUM(K141:P141)</f>
        <v>59</v>
      </c>
      <c r="K141" s="106">
        <v>0</v>
      </c>
      <c r="L141" s="106">
        <v>0</v>
      </c>
      <c r="M141" s="107">
        <v>55</v>
      </c>
      <c r="N141" s="106">
        <v>0</v>
      </c>
      <c r="O141" s="106">
        <v>0</v>
      </c>
      <c r="P141" s="107">
        <v>4</v>
      </c>
      <c r="Q141" s="108">
        <f t="shared" ref="Q141:Q172" si="25">(K141+L141)/J141</f>
        <v>0</v>
      </c>
      <c r="R141" s="109">
        <f t="shared" ref="R141:R172" si="26">N141/J141</f>
        <v>0</v>
      </c>
      <c r="S141" s="109">
        <f t="shared" ref="S141:S172" si="27">P141/J141</f>
        <v>6.7796610169491525E-2</v>
      </c>
      <c r="T141" s="109">
        <f t="shared" si="23"/>
        <v>0</v>
      </c>
      <c r="U141" s="110">
        <f t="shared" ref="U141:U172" si="28">S141+R141+Q141+T141</f>
        <v>6.7796610169491525E-2</v>
      </c>
      <c r="V141" s="111"/>
      <c r="W141" s="88"/>
      <c r="X141" s="88"/>
      <c r="Y141" s="119">
        <f>U141</f>
        <v>6.7796610169491525E-2</v>
      </c>
    </row>
    <row r="142" spans="2:25" s="97" customFormat="1" ht="16.5" hidden="1" customHeight="1" x14ac:dyDescent="0.2">
      <c r="B142" s="711">
        <v>46101</v>
      </c>
      <c r="C142" s="105" t="s">
        <v>12</v>
      </c>
      <c r="D142" s="105" t="s">
        <v>20</v>
      </c>
      <c r="E142" s="711">
        <v>46101</v>
      </c>
      <c r="F142" s="89"/>
      <c r="G142" s="834"/>
      <c r="H142" s="120" t="s">
        <v>16</v>
      </c>
      <c r="I142" s="120" t="s">
        <v>27</v>
      </c>
      <c r="J142" s="106">
        <f>SUM(K142:P142)</f>
        <v>14</v>
      </c>
      <c r="K142" s="106">
        <v>0</v>
      </c>
      <c r="L142" s="106">
        <v>0</v>
      </c>
      <c r="M142" s="106">
        <v>14</v>
      </c>
      <c r="N142" s="106">
        <v>0</v>
      </c>
      <c r="O142" s="106">
        <v>0</v>
      </c>
      <c r="P142" s="120">
        <v>0</v>
      </c>
      <c r="Q142" s="122">
        <f t="shared" si="25"/>
        <v>0</v>
      </c>
      <c r="R142" s="123">
        <f t="shared" si="26"/>
        <v>0</v>
      </c>
      <c r="S142" s="123">
        <f t="shared" si="27"/>
        <v>0</v>
      </c>
      <c r="T142" s="123">
        <f t="shared" si="23"/>
        <v>0</v>
      </c>
      <c r="U142" s="124">
        <f t="shared" si="28"/>
        <v>0</v>
      </c>
      <c r="V142" s="125"/>
      <c r="W142" s="88"/>
      <c r="X142" s="88"/>
      <c r="Y142" s="126"/>
    </row>
    <row r="143" spans="2:25" s="158" customFormat="1" ht="18" hidden="1" customHeight="1" x14ac:dyDescent="0.2">
      <c r="B143" s="711">
        <v>46101</v>
      </c>
      <c r="C143" s="105" t="s">
        <v>12</v>
      </c>
      <c r="D143" s="105" t="s">
        <v>20</v>
      </c>
      <c r="E143" s="711">
        <v>46101</v>
      </c>
      <c r="F143" s="157"/>
      <c r="G143" s="834"/>
      <c r="H143" s="120" t="s">
        <v>14</v>
      </c>
      <c r="I143" s="120" t="s">
        <v>27</v>
      </c>
      <c r="J143" s="106">
        <f>SUM(K143:P143)</f>
        <v>60</v>
      </c>
      <c r="K143" s="106">
        <v>0</v>
      </c>
      <c r="L143" s="106">
        <v>0</v>
      </c>
      <c r="M143" s="106">
        <v>44</v>
      </c>
      <c r="N143" s="106">
        <v>16</v>
      </c>
      <c r="O143" s="106">
        <v>0</v>
      </c>
      <c r="P143" s="120">
        <v>0</v>
      </c>
      <c r="Q143" s="122">
        <f t="shared" si="25"/>
        <v>0</v>
      </c>
      <c r="R143" s="123">
        <f t="shared" si="26"/>
        <v>0.26666666666666666</v>
      </c>
      <c r="S143" s="123">
        <f t="shared" si="27"/>
        <v>0</v>
      </c>
      <c r="T143" s="123">
        <f t="shared" si="23"/>
        <v>0</v>
      </c>
      <c r="U143" s="124">
        <f t="shared" si="28"/>
        <v>0.26666666666666666</v>
      </c>
      <c r="V143" s="125"/>
      <c r="W143" s="88"/>
      <c r="X143" s="88"/>
      <c r="Y143" s="126"/>
    </row>
    <row r="144" spans="2:25" s="97" customFormat="1" ht="18" hidden="1" customHeight="1" x14ac:dyDescent="0.2">
      <c r="B144" s="711">
        <v>46101</v>
      </c>
      <c r="C144" s="105" t="s">
        <v>12</v>
      </c>
      <c r="D144" s="105" t="s">
        <v>20</v>
      </c>
      <c r="E144" s="711">
        <v>46101</v>
      </c>
      <c r="F144" s="89"/>
      <c r="G144" s="835"/>
      <c r="H144" s="113" t="s">
        <v>19</v>
      </c>
      <c r="I144" s="113"/>
      <c r="J144" s="113">
        <f>SUM(J141:J143)</f>
        <v>133</v>
      </c>
      <c r="K144" s="113">
        <f>SUM(K141:K143)</f>
        <v>0</v>
      </c>
      <c r="L144" s="113">
        <f>SUM(L141:L143)</f>
        <v>0</v>
      </c>
      <c r="M144" s="114">
        <f>SUM(M141:M143)</f>
        <v>113</v>
      </c>
      <c r="N144" s="113">
        <f>SUM(N141:N143)</f>
        <v>16</v>
      </c>
      <c r="O144" s="113">
        <v>0</v>
      </c>
      <c r="P144" s="114">
        <f>SUM(P141:P143)</f>
        <v>4</v>
      </c>
      <c r="Q144" s="115">
        <f t="shared" si="25"/>
        <v>0</v>
      </c>
      <c r="R144" s="116">
        <f t="shared" si="26"/>
        <v>0.12030075187969924</v>
      </c>
      <c r="S144" s="116">
        <f t="shared" si="27"/>
        <v>3.007518796992481E-2</v>
      </c>
      <c r="T144" s="116">
        <f t="shared" si="23"/>
        <v>0</v>
      </c>
      <c r="U144" s="117">
        <f t="shared" si="28"/>
        <v>0.15037593984962405</v>
      </c>
      <c r="V144" s="127"/>
      <c r="W144" s="88"/>
      <c r="X144" s="88"/>
      <c r="Y144" s="118"/>
    </row>
    <row r="145" spans="2:25" s="97" customFormat="1" ht="16.5" hidden="1" customHeight="1" x14ac:dyDescent="0.2">
      <c r="B145" s="711">
        <v>46101</v>
      </c>
      <c r="C145" s="105" t="s">
        <v>12</v>
      </c>
      <c r="D145" s="105" t="s">
        <v>20</v>
      </c>
      <c r="E145" s="711">
        <v>46101</v>
      </c>
      <c r="F145" s="89"/>
      <c r="G145" s="833">
        <v>46104</v>
      </c>
      <c r="H145" s="106" t="s">
        <v>32</v>
      </c>
      <c r="I145" s="106" t="s">
        <v>22</v>
      </c>
      <c r="J145" s="106">
        <v>288</v>
      </c>
      <c r="K145" s="106">
        <v>1</v>
      </c>
      <c r="L145" s="106">
        <v>1</v>
      </c>
      <c r="M145" s="107">
        <v>285</v>
      </c>
      <c r="N145" s="106">
        <v>0</v>
      </c>
      <c r="O145" s="106">
        <v>0</v>
      </c>
      <c r="P145" s="107">
        <v>1</v>
      </c>
      <c r="Q145" s="108">
        <f t="shared" si="25"/>
        <v>6.9444444444444441E-3</v>
      </c>
      <c r="R145" s="109">
        <f t="shared" si="26"/>
        <v>0</v>
      </c>
      <c r="S145" s="109">
        <f t="shared" si="27"/>
        <v>3.472222222222222E-3</v>
      </c>
      <c r="T145" s="109">
        <f t="shared" si="23"/>
        <v>0</v>
      </c>
      <c r="U145" s="110">
        <f t="shared" si="28"/>
        <v>1.0416666666666666E-2</v>
      </c>
      <c r="V145" s="111"/>
      <c r="W145" s="88"/>
      <c r="X145" s="88"/>
      <c r="Y145" s="119">
        <f>U145</f>
        <v>1.0416666666666666E-2</v>
      </c>
    </row>
    <row r="146" spans="2:25" s="97" customFormat="1" ht="16.5" hidden="1" customHeight="1" x14ac:dyDescent="0.2">
      <c r="B146" s="711">
        <v>46101</v>
      </c>
      <c r="C146" s="105" t="s">
        <v>12</v>
      </c>
      <c r="D146" s="105" t="s">
        <v>20</v>
      </c>
      <c r="E146" s="711">
        <v>46101</v>
      </c>
      <c r="F146" s="89"/>
      <c r="G146" s="834"/>
      <c r="H146" s="120" t="s">
        <v>16</v>
      </c>
      <c r="I146" s="120" t="s">
        <v>27</v>
      </c>
      <c r="J146" s="106">
        <v>233</v>
      </c>
      <c r="K146" s="106">
        <v>0</v>
      </c>
      <c r="L146" s="106">
        <v>0</v>
      </c>
      <c r="M146" s="106">
        <v>233</v>
      </c>
      <c r="N146" s="106">
        <v>0</v>
      </c>
      <c r="O146" s="106">
        <v>0</v>
      </c>
      <c r="P146" s="120">
        <v>0</v>
      </c>
      <c r="Q146" s="122">
        <f t="shared" si="25"/>
        <v>0</v>
      </c>
      <c r="R146" s="123">
        <f t="shared" si="26"/>
        <v>0</v>
      </c>
      <c r="S146" s="123">
        <f t="shared" si="27"/>
        <v>0</v>
      </c>
      <c r="T146" s="123">
        <f t="shared" si="23"/>
        <v>0</v>
      </c>
      <c r="U146" s="124">
        <f t="shared" si="28"/>
        <v>0</v>
      </c>
      <c r="V146" s="125"/>
      <c r="W146" s="88"/>
      <c r="X146" s="88"/>
      <c r="Y146" s="126"/>
    </row>
    <row r="147" spans="2:25" s="97" customFormat="1" ht="16.5" hidden="1" customHeight="1" x14ac:dyDescent="0.2">
      <c r="B147" s="711">
        <v>46101</v>
      </c>
      <c r="C147" s="105" t="s">
        <v>12</v>
      </c>
      <c r="D147" s="105" t="s">
        <v>20</v>
      </c>
      <c r="E147" s="711">
        <v>46101</v>
      </c>
      <c r="F147" s="89"/>
      <c r="G147" s="834"/>
      <c r="H147" s="120" t="s">
        <v>14</v>
      </c>
      <c r="I147" s="120" t="s">
        <v>27</v>
      </c>
      <c r="J147" s="106">
        <v>234</v>
      </c>
      <c r="K147" s="106">
        <v>0</v>
      </c>
      <c r="L147" s="106">
        <v>0</v>
      </c>
      <c r="M147" s="106">
        <v>229</v>
      </c>
      <c r="N147" s="106">
        <v>0</v>
      </c>
      <c r="O147" s="106">
        <v>0</v>
      </c>
      <c r="P147" s="120">
        <v>5</v>
      </c>
      <c r="Q147" s="122">
        <f t="shared" si="25"/>
        <v>0</v>
      </c>
      <c r="R147" s="123">
        <f t="shared" si="26"/>
        <v>0</v>
      </c>
      <c r="S147" s="123">
        <f t="shared" si="27"/>
        <v>2.1367521367521368E-2</v>
      </c>
      <c r="T147" s="123">
        <f t="shared" si="23"/>
        <v>0</v>
      </c>
      <c r="U147" s="124">
        <f t="shared" si="28"/>
        <v>2.1367521367521368E-2</v>
      </c>
      <c r="V147" s="125"/>
      <c r="W147" s="88"/>
      <c r="X147" s="88"/>
      <c r="Y147" s="126"/>
    </row>
    <row r="148" spans="2:25" s="158" customFormat="1" ht="18" hidden="1" customHeight="1" x14ac:dyDescent="0.2">
      <c r="B148" s="711">
        <v>46101</v>
      </c>
      <c r="C148" s="60" t="s">
        <v>12</v>
      </c>
      <c r="D148" s="60" t="s">
        <v>20</v>
      </c>
      <c r="E148" s="711">
        <v>46101</v>
      </c>
      <c r="F148" s="157"/>
      <c r="G148" s="834"/>
      <c r="H148" s="120" t="s">
        <v>17</v>
      </c>
      <c r="I148" s="120" t="s">
        <v>18</v>
      </c>
      <c r="J148" s="106">
        <v>159</v>
      </c>
      <c r="K148" s="106">
        <v>0</v>
      </c>
      <c r="L148" s="106">
        <v>0</v>
      </c>
      <c r="M148" s="106">
        <v>159</v>
      </c>
      <c r="N148" s="106">
        <v>0</v>
      </c>
      <c r="O148" s="106">
        <v>0</v>
      </c>
      <c r="P148" s="120">
        <v>0</v>
      </c>
      <c r="Q148" s="122">
        <f t="shared" si="25"/>
        <v>0</v>
      </c>
      <c r="R148" s="123">
        <f t="shared" si="26"/>
        <v>0</v>
      </c>
      <c r="S148" s="123">
        <f t="shared" si="27"/>
        <v>0</v>
      </c>
      <c r="T148" s="123">
        <f t="shared" si="23"/>
        <v>0</v>
      </c>
      <c r="U148" s="124">
        <f t="shared" si="28"/>
        <v>0</v>
      </c>
      <c r="V148" s="125"/>
      <c r="W148" s="88"/>
      <c r="X148" s="88"/>
      <c r="Y148" s="126"/>
    </row>
    <row r="149" spans="2:25" s="97" customFormat="1" ht="18" hidden="1" customHeight="1" x14ac:dyDescent="0.2">
      <c r="B149" s="711">
        <v>46101</v>
      </c>
      <c r="C149" s="105" t="s">
        <v>12</v>
      </c>
      <c r="D149" s="105" t="s">
        <v>20</v>
      </c>
      <c r="E149" s="711">
        <v>46101</v>
      </c>
      <c r="F149" s="89"/>
      <c r="G149" s="835"/>
      <c r="H149" s="113" t="s">
        <v>19</v>
      </c>
      <c r="I149" s="113"/>
      <c r="J149" s="113">
        <f>SUM(J145:J148)</f>
        <v>914</v>
      </c>
      <c r="K149" s="113">
        <f>SUM(K145:K148)</f>
        <v>1</v>
      </c>
      <c r="L149" s="113">
        <f>SUM(L145:L148)</f>
        <v>1</v>
      </c>
      <c r="M149" s="114">
        <f>SUM(M145:M148)</f>
        <v>906</v>
      </c>
      <c r="N149" s="113">
        <f>SUM(N145:N148)</f>
        <v>0</v>
      </c>
      <c r="O149" s="113">
        <v>0</v>
      </c>
      <c r="P149" s="114">
        <f>SUM(P145:P148)</f>
        <v>6</v>
      </c>
      <c r="Q149" s="115">
        <f t="shared" si="25"/>
        <v>2.1881838074398249E-3</v>
      </c>
      <c r="R149" s="116">
        <f t="shared" si="26"/>
        <v>0</v>
      </c>
      <c r="S149" s="116">
        <f t="shared" si="27"/>
        <v>6.5645514223194746E-3</v>
      </c>
      <c r="T149" s="116">
        <f t="shared" si="23"/>
        <v>0</v>
      </c>
      <c r="U149" s="117">
        <f t="shared" si="28"/>
        <v>8.7527352297592995E-3</v>
      </c>
      <c r="V149" s="127"/>
      <c r="W149" s="88"/>
      <c r="X149" s="88"/>
      <c r="Y149" s="118"/>
    </row>
    <row r="150" spans="2:25" ht="15.75" hidden="1" x14ac:dyDescent="0.2">
      <c r="B150" s="711">
        <v>46101</v>
      </c>
      <c r="C150" s="105" t="s">
        <v>18</v>
      </c>
      <c r="D150" s="105" t="s">
        <v>23</v>
      </c>
      <c r="E150" s="711">
        <v>46101</v>
      </c>
      <c r="G150" s="833">
        <v>46102</v>
      </c>
      <c r="H150" s="106" t="s">
        <v>17</v>
      </c>
      <c r="I150" s="148" t="s">
        <v>22</v>
      </c>
      <c r="J150" s="106">
        <f>SUM(K150:P150)</f>
        <v>55</v>
      </c>
      <c r="K150" s="106">
        <v>34</v>
      </c>
      <c r="L150" s="106">
        <v>13</v>
      </c>
      <c r="M150" s="107">
        <v>5</v>
      </c>
      <c r="N150" s="106">
        <v>3</v>
      </c>
      <c r="O150" s="106">
        <v>0</v>
      </c>
      <c r="P150" s="107">
        <v>0</v>
      </c>
      <c r="Q150" s="122">
        <f t="shared" si="25"/>
        <v>0.8545454545454545</v>
      </c>
      <c r="R150" s="123">
        <f t="shared" si="26"/>
        <v>5.4545454545454543E-2</v>
      </c>
      <c r="S150" s="123">
        <f t="shared" si="27"/>
        <v>0</v>
      </c>
      <c r="T150" s="123">
        <f t="shared" si="23"/>
        <v>0</v>
      </c>
      <c r="U150" s="124">
        <f t="shared" si="28"/>
        <v>0.90909090909090906</v>
      </c>
      <c r="V150" s="111"/>
    </row>
    <row r="151" spans="2:25" ht="15.75" hidden="1" x14ac:dyDescent="0.2">
      <c r="B151" s="711">
        <v>46101</v>
      </c>
      <c r="C151" s="105" t="s">
        <v>18</v>
      </c>
      <c r="D151" s="105" t="s">
        <v>23</v>
      </c>
      <c r="E151" s="711">
        <v>46101</v>
      </c>
      <c r="G151" s="834"/>
      <c r="H151" s="106" t="s">
        <v>25</v>
      </c>
      <c r="I151" s="106" t="s">
        <v>22</v>
      </c>
      <c r="J151" s="106">
        <f>SUM(K151:P151)</f>
        <v>84</v>
      </c>
      <c r="K151" s="106">
        <v>28</v>
      </c>
      <c r="L151" s="106">
        <v>6</v>
      </c>
      <c r="M151" s="107">
        <v>6</v>
      </c>
      <c r="N151" s="106">
        <v>15</v>
      </c>
      <c r="O151" s="106">
        <v>25</v>
      </c>
      <c r="P151" s="107">
        <v>4</v>
      </c>
      <c r="Q151" s="108">
        <f t="shared" si="25"/>
        <v>0.40476190476190477</v>
      </c>
      <c r="R151" s="109">
        <f t="shared" si="26"/>
        <v>0.17857142857142858</v>
      </c>
      <c r="S151" s="109">
        <f t="shared" si="27"/>
        <v>4.7619047619047616E-2</v>
      </c>
      <c r="T151" s="109">
        <f t="shared" si="23"/>
        <v>0.29761904761904762</v>
      </c>
      <c r="U151" s="110">
        <f t="shared" si="28"/>
        <v>0.9285714285714286</v>
      </c>
      <c r="V151" s="125"/>
    </row>
    <row r="152" spans="2:25" ht="15.75" hidden="1" x14ac:dyDescent="0.2">
      <c r="B152" s="711">
        <v>46101</v>
      </c>
      <c r="C152" s="105" t="s">
        <v>18</v>
      </c>
      <c r="D152" s="105" t="s">
        <v>23</v>
      </c>
      <c r="E152" s="711">
        <v>46101</v>
      </c>
      <c r="G152" s="834"/>
      <c r="H152" s="120" t="s">
        <v>16</v>
      </c>
      <c r="I152" s="120" t="s">
        <v>27</v>
      </c>
      <c r="J152" s="106">
        <f>SUM(K152:P152)</f>
        <v>6</v>
      </c>
      <c r="K152" s="106">
        <v>0</v>
      </c>
      <c r="L152" s="106">
        <v>6</v>
      </c>
      <c r="M152" s="106">
        <v>0</v>
      </c>
      <c r="N152" s="106">
        <v>0</v>
      </c>
      <c r="O152" s="106">
        <v>0</v>
      </c>
      <c r="P152" s="120">
        <v>0</v>
      </c>
      <c r="Q152" s="122">
        <f t="shared" si="25"/>
        <v>1</v>
      </c>
      <c r="R152" s="123">
        <f t="shared" si="26"/>
        <v>0</v>
      </c>
      <c r="S152" s="123">
        <f t="shared" si="27"/>
        <v>0</v>
      </c>
      <c r="T152" s="123">
        <f t="shared" si="23"/>
        <v>0</v>
      </c>
      <c r="U152" s="124">
        <f t="shared" si="28"/>
        <v>1</v>
      </c>
      <c r="V152" s="125"/>
    </row>
    <row r="153" spans="2:25" ht="15.75" hidden="1" x14ac:dyDescent="0.2">
      <c r="B153" s="711">
        <v>46101</v>
      </c>
      <c r="C153" s="105" t="s">
        <v>18</v>
      </c>
      <c r="D153" s="105" t="s">
        <v>23</v>
      </c>
      <c r="E153" s="711">
        <v>46101</v>
      </c>
      <c r="G153" s="834"/>
      <c r="H153" s="120" t="s">
        <v>14</v>
      </c>
      <c r="I153" s="120" t="s">
        <v>27</v>
      </c>
      <c r="J153" s="106">
        <f>SUM(K153:P153)</f>
        <v>60</v>
      </c>
      <c r="K153" s="106">
        <v>38</v>
      </c>
      <c r="L153" s="106">
        <v>6</v>
      </c>
      <c r="M153" s="106">
        <v>3</v>
      </c>
      <c r="N153" s="106">
        <v>13</v>
      </c>
      <c r="O153" s="106">
        <v>0</v>
      </c>
      <c r="P153" s="120">
        <v>0</v>
      </c>
      <c r="Q153" s="122">
        <f t="shared" si="25"/>
        <v>0.73333333333333328</v>
      </c>
      <c r="R153" s="123">
        <f t="shared" si="26"/>
        <v>0.21666666666666667</v>
      </c>
      <c r="S153" s="123">
        <f t="shared" si="27"/>
        <v>0</v>
      </c>
      <c r="T153" s="123">
        <f t="shared" si="23"/>
        <v>0</v>
      </c>
      <c r="U153" s="124">
        <f t="shared" si="28"/>
        <v>0.95</v>
      </c>
      <c r="V153" s="125"/>
    </row>
    <row r="154" spans="2:25" ht="15.75" hidden="1" x14ac:dyDescent="0.2">
      <c r="B154" s="711">
        <v>46101</v>
      </c>
      <c r="C154" s="105" t="s">
        <v>18</v>
      </c>
      <c r="D154" s="105" t="s">
        <v>23</v>
      </c>
      <c r="E154" s="711">
        <v>46101</v>
      </c>
      <c r="G154" s="835"/>
      <c r="H154" s="113" t="s">
        <v>19</v>
      </c>
      <c r="I154" s="113"/>
      <c r="J154" s="113">
        <f>SUM(J151:J153)</f>
        <v>150</v>
      </c>
      <c r="K154" s="113">
        <f>SUM(K151:K153)</f>
        <v>66</v>
      </c>
      <c r="L154" s="113">
        <f>SUM(L151:L153)</f>
        <v>18</v>
      </c>
      <c r="M154" s="114">
        <f>SUM(M151:M153)</f>
        <v>9</v>
      </c>
      <c r="N154" s="113">
        <f>SUM(N151:N153)</f>
        <v>28</v>
      </c>
      <c r="O154" s="113">
        <v>0</v>
      </c>
      <c r="P154" s="114">
        <f>SUM(P151:P153)</f>
        <v>4</v>
      </c>
      <c r="Q154" s="115">
        <f t="shared" si="25"/>
        <v>0.56000000000000005</v>
      </c>
      <c r="R154" s="116">
        <f t="shared" si="26"/>
        <v>0.18666666666666668</v>
      </c>
      <c r="S154" s="116">
        <f t="shared" si="27"/>
        <v>2.6666666666666668E-2</v>
      </c>
      <c r="T154" s="116">
        <f t="shared" si="23"/>
        <v>0</v>
      </c>
      <c r="U154" s="117">
        <f t="shared" si="28"/>
        <v>0.77333333333333343</v>
      </c>
      <c r="V154" s="127"/>
    </row>
    <row r="155" spans="2:25" ht="15.75" hidden="1" x14ac:dyDescent="0.2">
      <c r="B155" s="711">
        <v>46101</v>
      </c>
      <c r="C155" s="105" t="s">
        <v>18</v>
      </c>
      <c r="D155" s="105" t="s">
        <v>23</v>
      </c>
      <c r="E155" s="711">
        <v>46101</v>
      </c>
      <c r="G155" s="833">
        <v>46104</v>
      </c>
      <c r="H155" s="106" t="s">
        <v>32</v>
      </c>
      <c r="I155" s="106" t="s">
        <v>22</v>
      </c>
      <c r="J155" s="106">
        <f>SUM(K155:P155)</f>
        <v>286</v>
      </c>
      <c r="K155" s="106">
        <v>0</v>
      </c>
      <c r="L155" s="106">
        <v>0</v>
      </c>
      <c r="M155" s="107">
        <v>285</v>
      </c>
      <c r="N155" s="106">
        <v>0</v>
      </c>
      <c r="O155" s="106">
        <v>0</v>
      </c>
      <c r="P155" s="107">
        <v>1</v>
      </c>
      <c r="Q155" s="108">
        <f t="shared" si="25"/>
        <v>0</v>
      </c>
      <c r="R155" s="109">
        <f t="shared" si="26"/>
        <v>0</v>
      </c>
      <c r="S155" s="109">
        <f t="shared" si="27"/>
        <v>3.4965034965034965E-3</v>
      </c>
      <c r="T155" s="109">
        <f t="shared" si="23"/>
        <v>0</v>
      </c>
      <c r="U155" s="110">
        <f t="shared" si="28"/>
        <v>3.4965034965034965E-3</v>
      </c>
      <c r="V155" s="111"/>
    </row>
    <row r="156" spans="2:25" ht="15.75" hidden="1" x14ac:dyDescent="0.2">
      <c r="B156" s="711">
        <v>46101</v>
      </c>
      <c r="C156" s="105" t="s">
        <v>18</v>
      </c>
      <c r="D156" s="105" t="s">
        <v>23</v>
      </c>
      <c r="E156" s="711">
        <v>46101</v>
      </c>
      <c r="G156" s="834"/>
      <c r="H156" s="120" t="s">
        <v>16</v>
      </c>
      <c r="I156" s="120" t="s">
        <v>27</v>
      </c>
      <c r="J156" s="106">
        <f>SUM(K156:P156)</f>
        <v>233</v>
      </c>
      <c r="K156" s="106">
        <v>0</v>
      </c>
      <c r="L156" s="106">
        <v>0</v>
      </c>
      <c r="M156" s="106">
        <v>233</v>
      </c>
      <c r="N156" s="106">
        <v>0</v>
      </c>
      <c r="O156" s="106">
        <v>0</v>
      </c>
      <c r="P156" s="120">
        <v>0</v>
      </c>
      <c r="Q156" s="122">
        <f t="shared" si="25"/>
        <v>0</v>
      </c>
      <c r="R156" s="123">
        <f t="shared" si="26"/>
        <v>0</v>
      </c>
      <c r="S156" s="123">
        <f t="shared" si="27"/>
        <v>0</v>
      </c>
      <c r="T156" s="123">
        <f t="shared" si="23"/>
        <v>0</v>
      </c>
      <c r="U156" s="124">
        <f t="shared" si="28"/>
        <v>0</v>
      </c>
      <c r="V156" s="125"/>
    </row>
    <row r="157" spans="2:25" ht="15.75" hidden="1" x14ac:dyDescent="0.2">
      <c r="B157" s="711">
        <v>46101</v>
      </c>
      <c r="C157" s="105" t="s">
        <v>18</v>
      </c>
      <c r="D157" s="105" t="s">
        <v>23</v>
      </c>
      <c r="E157" s="711">
        <v>46101</v>
      </c>
      <c r="G157" s="834"/>
      <c r="H157" s="120" t="s">
        <v>14</v>
      </c>
      <c r="I157" s="120" t="s">
        <v>27</v>
      </c>
      <c r="J157" s="106">
        <f>SUM(K157:P157)</f>
        <v>321</v>
      </c>
      <c r="K157" s="106">
        <v>6</v>
      </c>
      <c r="L157" s="106">
        <v>10</v>
      </c>
      <c r="M157" s="106">
        <v>213</v>
      </c>
      <c r="N157" s="106">
        <v>87</v>
      </c>
      <c r="O157" s="106">
        <v>0</v>
      </c>
      <c r="P157" s="120">
        <v>5</v>
      </c>
      <c r="Q157" s="122">
        <f t="shared" si="25"/>
        <v>4.9844236760124609E-2</v>
      </c>
      <c r="R157" s="123">
        <f t="shared" si="26"/>
        <v>0.27102803738317754</v>
      </c>
      <c r="S157" s="123">
        <f t="shared" si="27"/>
        <v>1.5576323987538941E-2</v>
      </c>
      <c r="T157" s="123">
        <f t="shared" si="23"/>
        <v>0</v>
      </c>
      <c r="U157" s="124">
        <f t="shared" si="28"/>
        <v>0.3364485981308411</v>
      </c>
      <c r="V157" s="125"/>
    </row>
    <row r="158" spans="2:25" ht="15.75" hidden="1" x14ac:dyDescent="0.2">
      <c r="B158" s="711">
        <v>46101</v>
      </c>
      <c r="C158" s="105" t="s">
        <v>18</v>
      </c>
      <c r="D158" s="105" t="s">
        <v>23</v>
      </c>
      <c r="E158" s="711">
        <v>46101</v>
      </c>
      <c r="G158" s="834"/>
      <c r="H158" s="120" t="s">
        <v>17</v>
      </c>
      <c r="I158" s="120" t="s">
        <v>18</v>
      </c>
      <c r="J158" s="106">
        <f>SUM(K158:P158)</f>
        <v>159</v>
      </c>
      <c r="K158" s="106">
        <v>0</v>
      </c>
      <c r="L158" s="106">
        <v>0</v>
      </c>
      <c r="M158" s="106">
        <v>159</v>
      </c>
      <c r="N158" s="106">
        <v>0</v>
      </c>
      <c r="O158" s="106">
        <v>0</v>
      </c>
      <c r="P158" s="120">
        <v>0</v>
      </c>
      <c r="Q158" s="122">
        <f t="shared" si="25"/>
        <v>0</v>
      </c>
      <c r="R158" s="123">
        <f t="shared" si="26"/>
        <v>0</v>
      </c>
      <c r="S158" s="123">
        <f t="shared" si="27"/>
        <v>0</v>
      </c>
      <c r="T158" s="123">
        <f t="shared" si="23"/>
        <v>0</v>
      </c>
      <c r="U158" s="124">
        <f t="shared" si="28"/>
        <v>0</v>
      </c>
      <c r="V158" s="125"/>
    </row>
    <row r="159" spans="2:25" ht="15.75" hidden="1" x14ac:dyDescent="0.2">
      <c r="B159" s="711">
        <v>46101</v>
      </c>
      <c r="C159" s="105" t="s">
        <v>18</v>
      </c>
      <c r="D159" s="105" t="s">
        <v>23</v>
      </c>
      <c r="E159" s="711">
        <v>46101</v>
      </c>
      <c r="G159" s="835"/>
      <c r="H159" s="113" t="s">
        <v>19</v>
      </c>
      <c r="I159" s="113"/>
      <c r="J159" s="113">
        <f>SUM(J155:J158)</f>
        <v>999</v>
      </c>
      <c r="K159" s="113">
        <f>SUM(K155:K158)</f>
        <v>6</v>
      </c>
      <c r="L159" s="113">
        <f>SUM(L155:L158)</f>
        <v>10</v>
      </c>
      <c r="M159" s="114">
        <f>SUM(M155:M158)</f>
        <v>890</v>
      </c>
      <c r="N159" s="113">
        <f>SUM(N155:N158)</f>
        <v>87</v>
      </c>
      <c r="O159" s="113">
        <v>0</v>
      </c>
      <c r="P159" s="114">
        <f>SUM(P155:P158)</f>
        <v>6</v>
      </c>
      <c r="Q159" s="115">
        <f t="shared" si="25"/>
        <v>1.6016016016016016E-2</v>
      </c>
      <c r="R159" s="116">
        <f t="shared" si="26"/>
        <v>8.7087087087087081E-2</v>
      </c>
      <c r="S159" s="116">
        <f t="shared" si="27"/>
        <v>6.006006006006006E-3</v>
      </c>
      <c r="T159" s="116">
        <f t="shared" si="23"/>
        <v>0</v>
      </c>
      <c r="U159" s="117">
        <f t="shared" si="28"/>
        <v>0.10910910910910911</v>
      </c>
      <c r="V159" s="127"/>
    </row>
    <row r="160" spans="2:25" ht="15.75" hidden="1" x14ac:dyDescent="0.2">
      <c r="B160" s="711">
        <v>46102</v>
      </c>
      <c r="C160" s="105" t="s">
        <v>22</v>
      </c>
      <c r="D160" s="105" t="s">
        <v>13</v>
      </c>
      <c r="E160" s="711">
        <v>46102</v>
      </c>
      <c r="G160" s="833">
        <v>46102</v>
      </c>
      <c r="H160" s="106" t="s">
        <v>17</v>
      </c>
      <c r="I160" s="148" t="s">
        <v>22</v>
      </c>
      <c r="J160" s="106">
        <v>56</v>
      </c>
      <c r="K160" s="106">
        <f>(J160)-(L160+M160+N160+P160)</f>
        <v>42</v>
      </c>
      <c r="L160" s="106">
        <v>10</v>
      </c>
      <c r="M160" s="107">
        <v>4</v>
      </c>
      <c r="N160" s="106">
        <v>0</v>
      </c>
      <c r="O160" s="106">
        <v>0</v>
      </c>
      <c r="P160" s="107">
        <v>0</v>
      </c>
      <c r="Q160" s="108">
        <f t="shared" si="25"/>
        <v>0.9285714285714286</v>
      </c>
      <c r="R160" s="123">
        <f t="shared" si="26"/>
        <v>0</v>
      </c>
      <c r="S160" s="123">
        <f t="shared" si="27"/>
        <v>0</v>
      </c>
      <c r="T160" s="109">
        <f t="shared" si="23"/>
        <v>0</v>
      </c>
      <c r="U160" s="124">
        <f t="shared" si="28"/>
        <v>0.9285714285714286</v>
      </c>
      <c r="V160" s="111" t="s">
        <v>21</v>
      </c>
    </row>
    <row r="161" spans="2:22" ht="15.75" hidden="1" x14ac:dyDescent="0.2">
      <c r="B161" s="711">
        <v>46102</v>
      </c>
      <c r="C161" s="105" t="s">
        <v>22</v>
      </c>
      <c r="D161" s="105" t="s">
        <v>13</v>
      </c>
      <c r="E161" s="711">
        <v>46102</v>
      </c>
      <c r="G161" s="834"/>
      <c r="H161" s="106" t="s">
        <v>25</v>
      </c>
      <c r="I161" s="106" t="s">
        <v>22</v>
      </c>
      <c r="J161" s="106">
        <v>59</v>
      </c>
      <c r="K161" s="106">
        <f>(J161)-(L161+M161+N161+P161)</f>
        <v>29</v>
      </c>
      <c r="L161" s="106">
        <v>20</v>
      </c>
      <c r="M161" s="107">
        <v>6</v>
      </c>
      <c r="N161" s="106">
        <v>0</v>
      </c>
      <c r="O161" s="106">
        <v>0</v>
      </c>
      <c r="P161" s="107">
        <v>4</v>
      </c>
      <c r="Q161" s="108">
        <f t="shared" si="25"/>
        <v>0.83050847457627119</v>
      </c>
      <c r="R161" s="109">
        <f t="shared" si="26"/>
        <v>0</v>
      </c>
      <c r="S161" s="109">
        <f t="shared" si="27"/>
        <v>6.7796610169491525E-2</v>
      </c>
      <c r="T161" s="109">
        <f t="shared" si="23"/>
        <v>0</v>
      </c>
      <c r="U161" s="110">
        <f t="shared" si="28"/>
        <v>0.89830508474576276</v>
      </c>
      <c r="V161" s="111" t="s">
        <v>21</v>
      </c>
    </row>
    <row r="162" spans="2:22" ht="15.75" hidden="1" x14ac:dyDescent="0.2">
      <c r="B162" s="711">
        <v>46102</v>
      </c>
      <c r="C162" s="105" t="s">
        <v>22</v>
      </c>
      <c r="D162" s="105" t="s">
        <v>13</v>
      </c>
      <c r="E162" s="711">
        <v>46102</v>
      </c>
      <c r="G162" s="834"/>
      <c r="H162" s="120" t="s">
        <v>14</v>
      </c>
      <c r="I162" s="120" t="s">
        <v>27</v>
      </c>
      <c r="J162" s="106">
        <v>60</v>
      </c>
      <c r="K162" s="106">
        <f>(J162)-(L162+M162+N162+P162)</f>
        <v>43</v>
      </c>
      <c r="L162" s="106">
        <v>15</v>
      </c>
      <c r="M162" s="107">
        <v>2</v>
      </c>
      <c r="N162" s="106">
        <v>0</v>
      </c>
      <c r="O162" s="106">
        <v>0</v>
      </c>
      <c r="P162" s="120">
        <v>0</v>
      </c>
      <c r="Q162" s="122">
        <f t="shared" si="25"/>
        <v>0.96666666666666667</v>
      </c>
      <c r="R162" s="123">
        <f t="shared" si="26"/>
        <v>0</v>
      </c>
      <c r="S162" s="123">
        <f t="shared" si="27"/>
        <v>0</v>
      </c>
      <c r="T162" s="123">
        <f t="shared" si="23"/>
        <v>0</v>
      </c>
      <c r="U162" s="124">
        <f t="shared" si="28"/>
        <v>0.96666666666666667</v>
      </c>
      <c r="V162" s="111" t="s">
        <v>21</v>
      </c>
    </row>
    <row r="163" spans="2:22" ht="15.75" hidden="1" x14ac:dyDescent="0.2">
      <c r="B163" s="711">
        <v>46102</v>
      </c>
      <c r="C163" s="105" t="s">
        <v>22</v>
      </c>
      <c r="D163" s="105" t="s">
        <v>13</v>
      </c>
      <c r="E163" s="711">
        <v>46102</v>
      </c>
      <c r="G163" s="835"/>
      <c r="H163" s="113" t="s">
        <v>19</v>
      </c>
      <c r="I163" s="113"/>
      <c r="J163" s="113">
        <f>SUM(J161:J162)</f>
        <v>119</v>
      </c>
      <c r="K163" s="113">
        <f>SUM(K161:K162)</f>
        <v>72</v>
      </c>
      <c r="L163" s="113">
        <f>SUM(L161:L162)</f>
        <v>35</v>
      </c>
      <c r="M163" s="114">
        <f>SUM(M161:M162)</f>
        <v>8</v>
      </c>
      <c r="N163" s="113">
        <f>SUM(N161:N162)</f>
        <v>0</v>
      </c>
      <c r="O163" s="113">
        <v>0</v>
      </c>
      <c r="P163" s="114">
        <f>SUM(P161:P162)</f>
        <v>4</v>
      </c>
      <c r="Q163" s="115">
        <f t="shared" si="25"/>
        <v>0.89915966386554624</v>
      </c>
      <c r="R163" s="116">
        <f t="shared" si="26"/>
        <v>0</v>
      </c>
      <c r="S163" s="116">
        <f t="shared" si="27"/>
        <v>3.3613445378151259E-2</v>
      </c>
      <c r="T163" s="116">
        <f t="shared" si="23"/>
        <v>0</v>
      </c>
      <c r="U163" s="117">
        <f t="shared" si="28"/>
        <v>0.9327731092436975</v>
      </c>
      <c r="V163" s="127"/>
    </row>
    <row r="164" spans="2:22" ht="15.75" hidden="1" x14ac:dyDescent="0.2">
      <c r="B164" s="711">
        <v>46102</v>
      </c>
      <c r="C164" s="105" t="s">
        <v>22</v>
      </c>
      <c r="D164" s="105" t="s">
        <v>13</v>
      </c>
      <c r="E164" s="711">
        <v>46104</v>
      </c>
      <c r="G164" s="833">
        <v>46104</v>
      </c>
      <c r="H164" s="106" t="s">
        <v>32</v>
      </c>
      <c r="I164" s="106" t="s">
        <v>22</v>
      </c>
      <c r="J164" s="106">
        <v>288</v>
      </c>
      <c r="K164" s="106">
        <f>(J164)-(L164+M164+N164+P164)</f>
        <v>45</v>
      </c>
      <c r="L164" s="106">
        <v>2</v>
      </c>
      <c r="M164" s="107">
        <v>229</v>
      </c>
      <c r="N164" s="106">
        <v>0</v>
      </c>
      <c r="O164" s="106">
        <v>0</v>
      </c>
      <c r="P164" s="107">
        <v>12</v>
      </c>
      <c r="Q164" s="108">
        <f t="shared" si="25"/>
        <v>0.16319444444444445</v>
      </c>
      <c r="R164" s="109">
        <f t="shared" si="26"/>
        <v>0</v>
      </c>
      <c r="S164" s="109">
        <f t="shared" si="27"/>
        <v>4.1666666666666664E-2</v>
      </c>
      <c r="T164" s="109">
        <f t="shared" si="23"/>
        <v>0</v>
      </c>
      <c r="U164" s="110">
        <f t="shared" si="28"/>
        <v>0.2048611111111111</v>
      </c>
      <c r="V164" s="111"/>
    </row>
    <row r="165" spans="2:22" ht="15.75" hidden="1" x14ac:dyDescent="0.2">
      <c r="B165" s="711">
        <v>46102</v>
      </c>
      <c r="C165" s="105" t="s">
        <v>22</v>
      </c>
      <c r="D165" s="105" t="s">
        <v>13</v>
      </c>
      <c r="E165" s="711">
        <v>46104</v>
      </c>
      <c r="G165" s="834"/>
      <c r="H165" s="120" t="s">
        <v>16</v>
      </c>
      <c r="I165" s="120" t="s">
        <v>27</v>
      </c>
      <c r="J165" s="106">
        <v>233</v>
      </c>
      <c r="K165" s="106">
        <f>(J165)-(L165+M165+N165+P165)</f>
        <v>5</v>
      </c>
      <c r="L165" s="106">
        <v>0</v>
      </c>
      <c r="M165" s="107">
        <f>208+20</f>
        <v>228</v>
      </c>
      <c r="N165" s="106">
        <v>0</v>
      </c>
      <c r="O165" s="106">
        <v>0</v>
      </c>
      <c r="P165" s="107">
        <v>0</v>
      </c>
      <c r="Q165" s="122">
        <f t="shared" si="25"/>
        <v>2.1459227467811159E-2</v>
      </c>
      <c r="R165" s="123">
        <f t="shared" si="26"/>
        <v>0</v>
      </c>
      <c r="S165" s="123">
        <f t="shared" si="27"/>
        <v>0</v>
      </c>
      <c r="T165" s="123">
        <f t="shared" si="23"/>
        <v>0</v>
      </c>
      <c r="U165" s="124">
        <f t="shared" si="28"/>
        <v>2.1459227467811159E-2</v>
      </c>
      <c r="V165" s="125"/>
    </row>
    <row r="166" spans="2:22" ht="15.75" hidden="1" x14ac:dyDescent="0.2">
      <c r="B166" s="711">
        <v>46102</v>
      </c>
      <c r="C166" s="105" t="s">
        <v>22</v>
      </c>
      <c r="D166" s="105" t="s">
        <v>13</v>
      </c>
      <c r="E166" s="711">
        <v>46104</v>
      </c>
      <c r="G166" s="834"/>
      <c r="H166" s="120" t="s">
        <v>14</v>
      </c>
      <c r="I166" s="142" t="s">
        <v>27</v>
      </c>
      <c r="J166" s="106">
        <v>234</v>
      </c>
      <c r="K166" s="106">
        <f>(J166)-(L166+M166+N166+P166)</f>
        <v>35</v>
      </c>
      <c r="L166" s="106">
        <v>5</v>
      </c>
      <c r="M166" s="107">
        <v>31</v>
      </c>
      <c r="N166" s="106">
        <v>153</v>
      </c>
      <c r="O166" s="106">
        <v>0</v>
      </c>
      <c r="P166" s="107">
        <v>10</v>
      </c>
      <c r="Q166" s="122">
        <f t="shared" si="25"/>
        <v>0.17094017094017094</v>
      </c>
      <c r="R166" s="123">
        <f t="shared" si="26"/>
        <v>0.65384615384615385</v>
      </c>
      <c r="S166" s="123">
        <f t="shared" si="27"/>
        <v>4.2735042735042736E-2</v>
      </c>
      <c r="T166" s="123">
        <f t="shared" si="23"/>
        <v>0</v>
      </c>
      <c r="U166" s="124">
        <f t="shared" si="28"/>
        <v>0.86752136752136755</v>
      </c>
      <c r="V166" s="125"/>
    </row>
    <row r="167" spans="2:22" ht="15.75" hidden="1" x14ac:dyDescent="0.2">
      <c r="B167" s="711">
        <v>46102</v>
      </c>
      <c r="C167" s="105" t="s">
        <v>22</v>
      </c>
      <c r="D167" s="105" t="s">
        <v>13</v>
      </c>
      <c r="E167" s="711">
        <v>46104</v>
      </c>
      <c r="G167" s="834"/>
      <c r="H167" s="120" t="s">
        <v>17</v>
      </c>
      <c r="I167" s="120" t="s">
        <v>18</v>
      </c>
      <c r="J167" s="106">
        <v>159</v>
      </c>
      <c r="K167" s="106">
        <f>(J167)-(L167+M167+N167+P167)</f>
        <v>3</v>
      </c>
      <c r="L167" s="106">
        <v>0</v>
      </c>
      <c r="M167" s="107">
        <f>21+135</f>
        <v>156</v>
      </c>
      <c r="N167" s="106">
        <v>0</v>
      </c>
      <c r="O167" s="106">
        <v>0</v>
      </c>
      <c r="P167" s="120">
        <v>0</v>
      </c>
      <c r="Q167" s="122">
        <f t="shared" si="25"/>
        <v>1.8867924528301886E-2</v>
      </c>
      <c r="R167" s="123">
        <f t="shared" si="26"/>
        <v>0</v>
      </c>
      <c r="S167" s="123">
        <f t="shared" si="27"/>
        <v>0</v>
      </c>
      <c r="T167" s="123">
        <f t="shared" si="23"/>
        <v>0</v>
      </c>
      <c r="U167" s="124">
        <f t="shared" si="28"/>
        <v>1.8867924528301886E-2</v>
      </c>
      <c r="V167" s="125"/>
    </row>
    <row r="168" spans="2:22" ht="15.75" hidden="1" x14ac:dyDescent="0.2">
      <c r="B168" s="711">
        <v>46102</v>
      </c>
      <c r="C168" s="105" t="s">
        <v>22</v>
      </c>
      <c r="D168" s="105" t="s">
        <v>13</v>
      </c>
      <c r="E168" s="711">
        <v>46104</v>
      </c>
      <c r="G168" s="835"/>
      <c r="H168" s="113" t="s">
        <v>19</v>
      </c>
      <c r="I168" s="113"/>
      <c r="J168" s="113">
        <f>SUM(J164:J167)</f>
        <v>914</v>
      </c>
      <c r="K168" s="113">
        <f>SUM(K164:K167)</f>
        <v>88</v>
      </c>
      <c r="L168" s="113">
        <f>SUM(L164:L167)</f>
        <v>7</v>
      </c>
      <c r="M168" s="114">
        <f>SUM(M164:M167)</f>
        <v>644</v>
      </c>
      <c r="N168" s="113">
        <f>SUM(N164:N167)</f>
        <v>153</v>
      </c>
      <c r="O168" s="113">
        <v>0</v>
      </c>
      <c r="P168" s="114">
        <f>SUM(P164:P167)</f>
        <v>22</v>
      </c>
      <c r="Q168" s="115">
        <f t="shared" si="25"/>
        <v>0.10393873085339168</v>
      </c>
      <c r="R168" s="116">
        <f t="shared" si="26"/>
        <v>0.16739606126914661</v>
      </c>
      <c r="S168" s="116">
        <f t="shared" si="27"/>
        <v>2.4070021881838075E-2</v>
      </c>
      <c r="T168" s="116">
        <f t="shared" si="23"/>
        <v>0</v>
      </c>
      <c r="U168" s="117">
        <f t="shared" si="28"/>
        <v>0.29540481400437635</v>
      </c>
      <c r="V168" s="127"/>
    </row>
    <row r="169" spans="2:22" ht="15.75" hidden="1" x14ac:dyDescent="0.2">
      <c r="B169" s="711">
        <v>46102</v>
      </c>
      <c r="C169" s="105" t="s">
        <v>12</v>
      </c>
      <c r="D169" s="105" t="s">
        <v>20</v>
      </c>
      <c r="E169" s="711">
        <v>46102</v>
      </c>
      <c r="G169" s="833">
        <v>46102</v>
      </c>
      <c r="H169" s="106" t="s">
        <v>16</v>
      </c>
      <c r="I169" s="106" t="s">
        <v>12</v>
      </c>
      <c r="J169" s="106">
        <v>4</v>
      </c>
      <c r="K169" s="106">
        <v>3</v>
      </c>
      <c r="L169" s="106">
        <v>1</v>
      </c>
      <c r="M169" s="107">
        <v>0</v>
      </c>
      <c r="N169" s="106">
        <v>0</v>
      </c>
      <c r="O169" s="106">
        <v>0</v>
      </c>
      <c r="P169" s="107">
        <v>0</v>
      </c>
      <c r="Q169" s="108">
        <f t="shared" si="25"/>
        <v>1</v>
      </c>
      <c r="R169" s="109">
        <f t="shared" si="26"/>
        <v>0</v>
      </c>
      <c r="S169" s="109">
        <f t="shared" si="27"/>
        <v>0</v>
      </c>
      <c r="T169" s="109">
        <f t="shared" si="23"/>
        <v>0</v>
      </c>
      <c r="U169" s="110">
        <f t="shared" si="28"/>
        <v>1</v>
      </c>
      <c r="V169" s="111"/>
    </row>
    <row r="170" spans="2:22" ht="15.75" hidden="1" x14ac:dyDescent="0.2">
      <c r="B170" s="711">
        <v>46102</v>
      </c>
      <c r="C170" s="105" t="s">
        <v>12</v>
      </c>
      <c r="D170" s="105" t="s">
        <v>20</v>
      </c>
      <c r="E170" s="711">
        <v>46102</v>
      </c>
      <c r="G170" s="834"/>
      <c r="H170" s="120" t="s">
        <v>14</v>
      </c>
      <c r="I170" s="120" t="s">
        <v>27</v>
      </c>
      <c r="J170" s="106">
        <v>3</v>
      </c>
      <c r="K170" s="106">
        <v>1</v>
      </c>
      <c r="L170" s="106">
        <v>1</v>
      </c>
      <c r="M170" s="107">
        <v>1</v>
      </c>
      <c r="N170" s="106">
        <v>0</v>
      </c>
      <c r="O170" s="106">
        <v>0</v>
      </c>
      <c r="P170" s="120">
        <v>0</v>
      </c>
      <c r="Q170" s="122">
        <f t="shared" si="25"/>
        <v>0.66666666666666663</v>
      </c>
      <c r="R170" s="123">
        <f t="shared" si="26"/>
        <v>0</v>
      </c>
      <c r="S170" s="123">
        <f t="shared" si="27"/>
        <v>0</v>
      </c>
      <c r="T170" s="123">
        <f t="shared" si="23"/>
        <v>0</v>
      </c>
      <c r="U170" s="124">
        <f t="shared" si="28"/>
        <v>0.66666666666666663</v>
      </c>
      <c r="V170" s="111"/>
    </row>
    <row r="171" spans="2:22" ht="15.75" hidden="1" x14ac:dyDescent="0.2">
      <c r="B171" s="711">
        <v>46102</v>
      </c>
      <c r="C171" s="105" t="s">
        <v>12</v>
      </c>
      <c r="D171" s="105" t="s">
        <v>20</v>
      </c>
      <c r="E171" s="711">
        <v>46102</v>
      </c>
      <c r="G171" s="835"/>
      <c r="H171" s="113" t="s">
        <v>19</v>
      </c>
      <c r="I171" s="113"/>
      <c r="J171" s="113">
        <f>SUM(J169:J170)</f>
        <v>7</v>
      </c>
      <c r="K171" s="113">
        <f>SUM(K169:K170)</f>
        <v>4</v>
      </c>
      <c r="L171" s="113">
        <f>SUM(L169:L170)</f>
        <v>2</v>
      </c>
      <c r="M171" s="114">
        <f>SUM(M169:M170)</f>
        <v>1</v>
      </c>
      <c r="N171" s="113">
        <f>SUM(N169:N170)</f>
        <v>0</v>
      </c>
      <c r="O171" s="113">
        <v>0</v>
      </c>
      <c r="P171" s="114">
        <f>SUM(P169:P170)</f>
        <v>0</v>
      </c>
      <c r="Q171" s="115">
        <f t="shared" si="25"/>
        <v>0.8571428571428571</v>
      </c>
      <c r="R171" s="116">
        <f t="shared" si="26"/>
        <v>0</v>
      </c>
      <c r="S171" s="116">
        <f t="shared" si="27"/>
        <v>0</v>
      </c>
      <c r="T171" s="116">
        <f t="shared" si="23"/>
        <v>0</v>
      </c>
      <c r="U171" s="117">
        <f t="shared" si="28"/>
        <v>0.8571428571428571</v>
      </c>
      <c r="V171" s="127"/>
    </row>
    <row r="172" spans="2:22" ht="15.75" hidden="1" x14ac:dyDescent="0.2">
      <c r="B172" s="711">
        <v>46102</v>
      </c>
      <c r="C172" s="105" t="s">
        <v>12</v>
      </c>
      <c r="D172" s="105" t="s">
        <v>20</v>
      </c>
      <c r="E172" s="711">
        <v>46104</v>
      </c>
      <c r="G172" s="833">
        <v>46104</v>
      </c>
      <c r="H172" s="106" t="s">
        <v>32</v>
      </c>
      <c r="I172" s="106" t="s">
        <v>22</v>
      </c>
      <c r="J172" s="106">
        <v>286</v>
      </c>
      <c r="K172" s="106">
        <v>48</v>
      </c>
      <c r="L172" s="106">
        <v>10</v>
      </c>
      <c r="M172" s="107">
        <v>114</v>
      </c>
      <c r="N172" s="106">
        <v>112</v>
      </c>
      <c r="O172" s="106">
        <v>0</v>
      </c>
      <c r="P172" s="107">
        <v>2</v>
      </c>
      <c r="Q172" s="108">
        <f t="shared" si="25"/>
        <v>0.20279720279720279</v>
      </c>
      <c r="R172" s="109">
        <f t="shared" si="26"/>
        <v>0.39160839160839161</v>
      </c>
      <c r="S172" s="109">
        <f t="shared" si="27"/>
        <v>6.993006993006993E-3</v>
      </c>
      <c r="T172" s="109">
        <f t="shared" si="23"/>
        <v>0</v>
      </c>
      <c r="U172" s="110">
        <f t="shared" si="28"/>
        <v>0.60139860139860135</v>
      </c>
      <c r="V172" s="111"/>
    </row>
    <row r="173" spans="2:22" ht="15.75" hidden="1" x14ac:dyDescent="0.2">
      <c r="B173" s="711">
        <v>46102</v>
      </c>
      <c r="C173" s="105" t="s">
        <v>12</v>
      </c>
      <c r="D173" s="105" t="s">
        <v>20</v>
      </c>
      <c r="E173" s="711">
        <v>46104</v>
      </c>
      <c r="G173" s="834"/>
      <c r="H173" s="120" t="s">
        <v>16</v>
      </c>
      <c r="I173" s="120" t="s">
        <v>27</v>
      </c>
      <c r="J173" s="106">
        <v>233</v>
      </c>
      <c r="K173" s="106">
        <v>0</v>
      </c>
      <c r="L173" s="106">
        <v>0</v>
      </c>
      <c r="M173" s="107">
        <v>231</v>
      </c>
      <c r="N173" s="106">
        <v>0</v>
      </c>
      <c r="O173" s="106">
        <v>0</v>
      </c>
      <c r="P173" s="107">
        <v>2</v>
      </c>
      <c r="Q173" s="122">
        <f t="shared" ref="Q173:Q204" si="29">(K173+L173)/J173</f>
        <v>0</v>
      </c>
      <c r="R173" s="123">
        <f t="shared" ref="R173:R204" si="30">N173/J173</f>
        <v>0</v>
      </c>
      <c r="S173" s="123">
        <f t="shared" ref="S173:S204" si="31">P173/J173</f>
        <v>8.5836909871244635E-3</v>
      </c>
      <c r="T173" s="123">
        <f t="shared" si="23"/>
        <v>0</v>
      </c>
      <c r="U173" s="124">
        <f t="shared" ref="U173:U204" si="32">S173+R173+Q173+T173</f>
        <v>8.5836909871244635E-3</v>
      </c>
      <c r="V173" s="125"/>
    </row>
    <row r="174" spans="2:22" ht="15.75" hidden="1" x14ac:dyDescent="0.2">
      <c r="B174" s="711">
        <v>46102</v>
      </c>
      <c r="C174" s="105" t="s">
        <v>12</v>
      </c>
      <c r="D174" s="105" t="s">
        <v>20</v>
      </c>
      <c r="E174" s="711">
        <v>46104</v>
      </c>
      <c r="G174" s="834"/>
      <c r="H174" s="120" t="s">
        <v>14</v>
      </c>
      <c r="I174" s="142" t="s">
        <v>22</v>
      </c>
      <c r="J174" s="106">
        <v>194</v>
      </c>
      <c r="K174" s="106">
        <v>29</v>
      </c>
      <c r="L174" s="106">
        <v>7</v>
      </c>
      <c r="M174" s="107">
        <v>31</v>
      </c>
      <c r="N174" s="106">
        <v>144</v>
      </c>
      <c r="O174" s="106">
        <v>0</v>
      </c>
      <c r="P174" s="107">
        <v>7</v>
      </c>
      <c r="Q174" s="122">
        <f t="shared" si="29"/>
        <v>0.18556701030927836</v>
      </c>
      <c r="R174" s="123">
        <f t="shared" si="30"/>
        <v>0.74226804123711343</v>
      </c>
      <c r="S174" s="123">
        <f t="shared" si="31"/>
        <v>3.608247422680412E-2</v>
      </c>
      <c r="T174" s="123">
        <f t="shared" si="23"/>
        <v>0</v>
      </c>
      <c r="U174" s="124">
        <f t="shared" si="32"/>
        <v>0.96391752577319589</v>
      </c>
      <c r="V174" s="125" t="s">
        <v>65</v>
      </c>
    </row>
    <row r="175" spans="2:22" ht="15.75" hidden="1" x14ac:dyDescent="0.2">
      <c r="B175" s="711">
        <v>46102</v>
      </c>
      <c r="C175" s="105" t="s">
        <v>12</v>
      </c>
      <c r="D175" s="105" t="s">
        <v>20</v>
      </c>
      <c r="E175" s="711">
        <v>46104</v>
      </c>
      <c r="G175" s="834"/>
      <c r="H175" s="120" t="s">
        <v>17</v>
      </c>
      <c r="I175" s="120" t="s">
        <v>18</v>
      </c>
      <c r="J175" s="106">
        <v>159</v>
      </c>
      <c r="K175" s="106">
        <v>0</v>
      </c>
      <c r="L175" s="106">
        <v>0</v>
      </c>
      <c r="M175" s="107">
        <v>157</v>
      </c>
      <c r="N175" s="106">
        <v>0</v>
      </c>
      <c r="O175" s="106">
        <v>0</v>
      </c>
      <c r="P175" s="120">
        <v>2</v>
      </c>
      <c r="Q175" s="122">
        <f t="shared" si="29"/>
        <v>0</v>
      </c>
      <c r="R175" s="123">
        <f t="shared" si="30"/>
        <v>0</v>
      </c>
      <c r="S175" s="123">
        <f t="shared" si="31"/>
        <v>1.2578616352201259E-2</v>
      </c>
      <c r="T175" s="123">
        <f t="shared" si="23"/>
        <v>0</v>
      </c>
      <c r="U175" s="124">
        <f t="shared" si="32"/>
        <v>1.2578616352201259E-2</v>
      </c>
      <c r="V175" s="125"/>
    </row>
    <row r="176" spans="2:22" ht="15.75" hidden="1" x14ac:dyDescent="0.2">
      <c r="B176" s="711">
        <v>46102</v>
      </c>
      <c r="C176" s="105" t="s">
        <v>12</v>
      </c>
      <c r="D176" s="105" t="s">
        <v>20</v>
      </c>
      <c r="E176" s="711">
        <v>46104</v>
      </c>
      <c r="G176" s="835"/>
      <c r="H176" s="113" t="s">
        <v>19</v>
      </c>
      <c r="I176" s="113"/>
      <c r="J176" s="113">
        <f>SUM(J172:J175)</f>
        <v>872</v>
      </c>
      <c r="K176" s="113">
        <f>SUM(K172:K175)</f>
        <v>77</v>
      </c>
      <c r="L176" s="113">
        <f>SUM(L172:L175)</f>
        <v>17</v>
      </c>
      <c r="M176" s="114">
        <f>SUM(M172:M175)</f>
        <v>533</v>
      </c>
      <c r="N176" s="113">
        <f>SUM(N172:N175)</f>
        <v>256</v>
      </c>
      <c r="O176" s="113">
        <v>0</v>
      </c>
      <c r="P176" s="114">
        <f>SUM(P172:P175)</f>
        <v>13</v>
      </c>
      <c r="Q176" s="115">
        <f t="shared" si="29"/>
        <v>0.10779816513761468</v>
      </c>
      <c r="R176" s="116">
        <f t="shared" si="30"/>
        <v>0.29357798165137616</v>
      </c>
      <c r="S176" s="116">
        <f t="shared" si="31"/>
        <v>1.4908256880733946E-2</v>
      </c>
      <c r="T176" s="116">
        <f t="shared" si="23"/>
        <v>0</v>
      </c>
      <c r="U176" s="117">
        <f t="shared" si="32"/>
        <v>0.4162844036697248</v>
      </c>
      <c r="V176" s="127"/>
    </row>
    <row r="177" spans="2:22" ht="15.75" hidden="1" x14ac:dyDescent="0.2">
      <c r="B177" s="711">
        <v>46104</v>
      </c>
      <c r="C177" s="105" t="s">
        <v>22</v>
      </c>
      <c r="D177" s="105" t="s">
        <v>13</v>
      </c>
      <c r="E177" s="711">
        <v>46104</v>
      </c>
      <c r="G177" s="833">
        <v>46104</v>
      </c>
      <c r="H177" s="106" t="s">
        <v>32</v>
      </c>
      <c r="I177" s="106" t="s">
        <v>22</v>
      </c>
      <c r="J177" s="106">
        <v>286</v>
      </c>
      <c r="K177" s="106">
        <f>(J177)-(L177+M177+N177+P177+O177)</f>
        <v>227</v>
      </c>
      <c r="L177" s="106">
        <v>38</v>
      </c>
      <c r="M177" s="107">
        <v>14</v>
      </c>
      <c r="N177" s="106">
        <v>0</v>
      </c>
      <c r="O177" s="106">
        <v>5</v>
      </c>
      <c r="P177" s="107">
        <v>2</v>
      </c>
      <c r="Q177" s="108">
        <f t="shared" si="29"/>
        <v>0.92657342657342656</v>
      </c>
      <c r="R177" s="109">
        <f t="shared" si="30"/>
        <v>0</v>
      </c>
      <c r="S177" s="109">
        <f t="shared" si="31"/>
        <v>6.993006993006993E-3</v>
      </c>
      <c r="T177" s="109">
        <f t="shared" si="23"/>
        <v>1.7482517482517484E-2</v>
      </c>
      <c r="U177" s="110">
        <f t="shared" si="32"/>
        <v>0.95104895104895104</v>
      </c>
      <c r="V177" s="111"/>
    </row>
    <row r="178" spans="2:22" ht="15.75" hidden="1" x14ac:dyDescent="0.2">
      <c r="B178" s="711">
        <v>46104</v>
      </c>
      <c r="C178" s="105" t="s">
        <v>22</v>
      </c>
      <c r="D178" s="105" t="s">
        <v>13</v>
      </c>
      <c r="E178" s="711">
        <v>46104</v>
      </c>
      <c r="G178" s="834"/>
      <c r="H178" s="120" t="s">
        <v>16</v>
      </c>
      <c r="I178" s="120" t="s">
        <v>27</v>
      </c>
      <c r="J178" s="106">
        <v>233</v>
      </c>
      <c r="K178" s="106">
        <f>(J178)-(L178+M178+N178+P178+O178)</f>
        <v>115</v>
      </c>
      <c r="L178" s="106">
        <v>48</v>
      </c>
      <c r="M178" s="107">
        <v>51</v>
      </c>
      <c r="N178" s="106">
        <v>0</v>
      </c>
      <c r="O178" s="106">
        <v>17</v>
      </c>
      <c r="P178" s="107">
        <v>2</v>
      </c>
      <c r="Q178" s="122">
        <f t="shared" si="29"/>
        <v>0.69957081545064381</v>
      </c>
      <c r="R178" s="123">
        <f t="shared" si="30"/>
        <v>0</v>
      </c>
      <c r="S178" s="123">
        <f t="shared" si="31"/>
        <v>8.5836909871244635E-3</v>
      </c>
      <c r="T178" s="123">
        <f t="shared" si="23"/>
        <v>7.2961373390557943E-2</v>
      </c>
      <c r="U178" s="124">
        <f t="shared" si="32"/>
        <v>0.7811158798283262</v>
      </c>
      <c r="V178" s="125" t="s">
        <v>66</v>
      </c>
    </row>
    <row r="179" spans="2:22" ht="15.75" hidden="1" x14ac:dyDescent="0.2">
      <c r="B179" s="711">
        <v>46104</v>
      </c>
      <c r="C179" s="105" t="s">
        <v>22</v>
      </c>
      <c r="D179" s="105" t="s">
        <v>13</v>
      </c>
      <c r="E179" s="711">
        <v>46104</v>
      </c>
      <c r="G179" s="834"/>
      <c r="H179" s="120" t="s">
        <v>14</v>
      </c>
      <c r="I179" s="142" t="s">
        <v>15</v>
      </c>
      <c r="J179" s="106">
        <v>194</v>
      </c>
      <c r="K179" s="106">
        <f>(J179)-(L179+M179+N179+P179+O179)</f>
        <v>138</v>
      </c>
      <c r="L179" s="106">
        <v>40</v>
      </c>
      <c r="M179" s="107">
        <v>2</v>
      </c>
      <c r="N179" s="106">
        <v>0</v>
      </c>
      <c r="O179" s="106">
        <v>10</v>
      </c>
      <c r="P179" s="107">
        <v>4</v>
      </c>
      <c r="Q179" s="122">
        <f t="shared" si="29"/>
        <v>0.91752577319587625</v>
      </c>
      <c r="R179" s="123">
        <f t="shared" si="30"/>
        <v>0</v>
      </c>
      <c r="S179" s="123">
        <f t="shared" si="31"/>
        <v>2.0618556701030927E-2</v>
      </c>
      <c r="T179" s="123">
        <f t="shared" si="23"/>
        <v>5.1546391752577317E-2</v>
      </c>
      <c r="U179" s="124">
        <f t="shared" si="32"/>
        <v>0.98969072164948457</v>
      </c>
      <c r="V179" s="125" t="s">
        <v>67</v>
      </c>
    </row>
    <row r="180" spans="2:22" ht="15.75" hidden="1" x14ac:dyDescent="0.2">
      <c r="B180" s="711">
        <v>46104</v>
      </c>
      <c r="C180" s="105" t="s">
        <v>22</v>
      </c>
      <c r="D180" s="105" t="s">
        <v>13</v>
      </c>
      <c r="E180" s="711">
        <v>46104</v>
      </c>
      <c r="G180" s="834"/>
      <c r="H180" s="120" t="s">
        <v>17</v>
      </c>
      <c r="I180" s="120" t="s">
        <v>18</v>
      </c>
      <c r="J180" s="106">
        <v>159</v>
      </c>
      <c r="K180" s="106">
        <f>(J180)-(L180+M180+N180+P180+O180)</f>
        <v>0</v>
      </c>
      <c r="L180" s="106">
        <v>0</v>
      </c>
      <c r="M180" s="107">
        <v>157</v>
      </c>
      <c r="N180" s="106">
        <v>0</v>
      </c>
      <c r="O180" s="106">
        <v>0</v>
      </c>
      <c r="P180" s="107">
        <v>2</v>
      </c>
      <c r="Q180" s="122">
        <f t="shared" si="29"/>
        <v>0</v>
      </c>
      <c r="R180" s="123">
        <f t="shared" si="30"/>
        <v>0</v>
      </c>
      <c r="S180" s="123">
        <f t="shared" si="31"/>
        <v>1.2578616352201259E-2</v>
      </c>
      <c r="T180" s="123">
        <f t="shared" si="23"/>
        <v>0</v>
      </c>
      <c r="U180" s="124">
        <f t="shared" si="32"/>
        <v>1.2578616352201259E-2</v>
      </c>
      <c r="V180" s="125"/>
    </row>
    <row r="181" spans="2:22" ht="15.75" hidden="1" x14ac:dyDescent="0.2">
      <c r="B181" s="711">
        <v>46104</v>
      </c>
      <c r="C181" s="105" t="s">
        <v>22</v>
      </c>
      <c r="D181" s="105" t="s">
        <v>13</v>
      </c>
      <c r="E181" s="711">
        <v>46104</v>
      </c>
      <c r="G181" s="835"/>
      <c r="H181" s="113" t="s">
        <v>19</v>
      </c>
      <c r="I181" s="113"/>
      <c r="J181" s="113">
        <f>SUM(J177:J180)</f>
        <v>872</v>
      </c>
      <c r="K181" s="113">
        <f>SUM(K177:K180)</f>
        <v>480</v>
      </c>
      <c r="L181" s="113">
        <f>SUM(L177:L180)</f>
        <v>126</v>
      </c>
      <c r="M181" s="114">
        <f>SUM(M177:M180)</f>
        <v>224</v>
      </c>
      <c r="N181" s="113">
        <f>SUM(N177:N180)</f>
        <v>0</v>
      </c>
      <c r="O181" s="113">
        <v>0</v>
      </c>
      <c r="P181" s="114">
        <f>SUM(P177:P180)</f>
        <v>10</v>
      </c>
      <c r="Q181" s="115">
        <f t="shared" si="29"/>
        <v>0.69495412844036697</v>
      </c>
      <c r="R181" s="116">
        <f t="shared" si="30"/>
        <v>0</v>
      </c>
      <c r="S181" s="116">
        <f t="shared" si="31"/>
        <v>1.1467889908256881E-2</v>
      </c>
      <c r="T181" s="116">
        <f t="shared" si="23"/>
        <v>0</v>
      </c>
      <c r="U181" s="117">
        <f t="shared" si="32"/>
        <v>0.70642201834862384</v>
      </c>
      <c r="V181" s="127"/>
    </row>
    <row r="182" spans="2:22" ht="15.75" hidden="1" x14ac:dyDescent="0.2">
      <c r="B182" s="711">
        <v>46104</v>
      </c>
      <c r="C182" s="105" t="s">
        <v>12</v>
      </c>
      <c r="D182" s="105" t="s">
        <v>20</v>
      </c>
      <c r="E182" s="711">
        <v>46104</v>
      </c>
      <c r="G182" s="833">
        <v>46104</v>
      </c>
      <c r="H182" s="106" t="s">
        <v>16</v>
      </c>
      <c r="I182" s="106" t="s">
        <v>12</v>
      </c>
      <c r="J182" s="106">
        <v>86</v>
      </c>
      <c r="K182" s="106">
        <v>31</v>
      </c>
      <c r="L182" s="106">
        <v>30</v>
      </c>
      <c r="M182" s="107">
        <v>18</v>
      </c>
      <c r="N182" s="106">
        <v>0</v>
      </c>
      <c r="O182" s="106">
        <v>5</v>
      </c>
      <c r="P182" s="107">
        <v>2</v>
      </c>
      <c r="Q182" s="108">
        <f t="shared" si="29"/>
        <v>0.70930232558139539</v>
      </c>
      <c r="R182" s="109">
        <f t="shared" si="30"/>
        <v>0</v>
      </c>
      <c r="S182" s="109">
        <f t="shared" si="31"/>
        <v>2.3255813953488372E-2</v>
      </c>
      <c r="T182" s="109">
        <f t="shared" si="23"/>
        <v>5.8139534883720929E-2</v>
      </c>
      <c r="U182" s="110">
        <f t="shared" si="32"/>
        <v>0.79069767441860472</v>
      </c>
      <c r="V182" s="111" t="s">
        <v>68</v>
      </c>
    </row>
    <row r="183" spans="2:22" ht="15.75" hidden="1" x14ac:dyDescent="0.2">
      <c r="B183" s="711">
        <v>46104</v>
      </c>
      <c r="C183" s="105" t="s">
        <v>12</v>
      </c>
      <c r="D183" s="105" t="s">
        <v>20</v>
      </c>
      <c r="E183" s="711">
        <v>46104</v>
      </c>
      <c r="G183" s="834"/>
      <c r="H183" s="120" t="s">
        <v>14</v>
      </c>
      <c r="I183" s="172" t="s">
        <v>27</v>
      </c>
      <c r="J183" s="106">
        <v>34</v>
      </c>
      <c r="K183" s="106">
        <v>20</v>
      </c>
      <c r="L183" s="106">
        <v>11</v>
      </c>
      <c r="M183" s="107">
        <v>0</v>
      </c>
      <c r="N183" s="106">
        <v>0</v>
      </c>
      <c r="O183" s="106">
        <v>0</v>
      </c>
      <c r="P183" s="107">
        <v>3</v>
      </c>
      <c r="Q183" s="108">
        <f t="shared" si="29"/>
        <v>0.91176470588235292</v>
      </c>
      <c r="R183" s="109">
        <f t="shared" si="30"/>
        <v>0</v>
      </c>
      <c r="S183" s="109">
        <f t="shared" si="31"/>
        <v>8.8235294117647065E-2</v>
      </c>
      <c r="T183" s="109">
        <f t="shared" si="23"/>
        <v>0</v>
      </c>
      <c r="U183" s="110">
        <f t="shared" si="32"/>
        <v>1</v>
      </c>
      <c r="V183" s="111"/>
    </row>
    <row r="184" spans="2:22" ht="15.75" hidden="1" x14ac:dyDescent="0.2">
      <c r="B184" s="711">
        <v>46104</v>
      </c>
      <c r="C184" s="105" t="s">
        <v>12</v>
      </c>
      <c r="D184" s="105" t="s">
        <v>20</v>
      </c>
      <c r="E184" s="711">
        <v>46104</v>
      </c>
      <c r="G184" s="834"/>
      <c r="H184" s="120" t="s">
        <v>17</v>
      </c>
      <c r="I184" s="142" t="s">
        <v>18</v>
      </c>
      <c r="J184" s="106">
        <v>160</v>
      </c>
      <c r="K184" s="106">
        <v>106</v>
      </c>
      <c r="L184" s="106">
        <v>30</v>
      </c>
      <c r="M184" s="107">
        <v>0</v>
      </c>
      <c r="N184" s="106">
        <v>0</v>
      </c>
      <c r="O184" s="106">
        <v>22</v>
      </c>
      <c r="P184" s="120">
        <v>2</v>
      </c>
      <c r="Q184" s="122">
        <f t="shared" si="29"/>
        <v>0.85</v>
      </c>
      <c r="R184" s="123">
        <f t="shared" si="30"/>
        <v>0</v>
      </c>
      <c r="S184" s="123">
        <f t="shared" si="31"/>
        <v>1.2500000000000001E-2</v>
      </c>
      <c r="T184" s="123">
        <f t="shared" si="23"/>
        <v>0.13750000000000001</v>
      </c>
      <c r="U184" s="124">
        <f t="shared" si="32"/>
        <v>1</v>
      </c>
      <c r="V184" s="111" t="s">
        <v>69</v>
      </c>
    </row>
    <row r="185" spans="2:22" ht="15.75" hidden="1" x14ac:dyDescent="0.2">
      <c r="B185" s="711">
        <v>46104</v>
      </c>
      <c r="C185" s="105" t="s">
        <v>12</v>
      </c>
      <c r="D185" s="105" t="s">
        <v>20</v>
      </c>
      <c r="E185" s="711">
        <v>46104</v>
      </c>
      <c r="G185" s="835"/>
      <c r="H185" s="113" t="s">
        <v>19</v>
      </c>
      <c r="I185" s="113"/>
      <c r="J185" s="113">
        <f>SUM(J182:J184)</f>
        <v>280</v>
      </c>
      <c r="K185" s="113">
        <f>SUM(K182:K184)</f>
        <v>157</v>
      </c>
      <c r="L185" s="113">
        <f>SUM(L182:L184)</f>
        <v>71</v>
      </c>
      <c r="M185" s="114">
        <f>SUM(M182:M184)</f>
        <v>18</v>
      </c>
      <c r="N185" s="113">
        <f>SUM(N182:N184)</f>
        <v>0</v>
      </c>
      <c r="O185" s="113">
        <v>0</v>
      </c>
      <c r="P185" s="114">
        <f>SUM(P182:P184)</f>
        <v>7</v>
      </c>
      <c r="Q185" s="115">
        <f t="shared" si="29"/>
        <v>0.81428571428571428</v>
      </c>
      <c r="R185" s="116">
        <f t="shared" si="30"/>
        <v>0</v>
      </c>
      <c r="S185" s="116">
        <f t="shared" si="31"/>
        <v>2.5000000000000001E-2</v>
      </c>
      <c r="T185" s="116">
        <f t="shared" si="23"/>
        <v>0</v>
      </c>
      <c r="U185" s="117">
        <f t="shared" si="32"/>
        <v>0.8392857142857143</v>
      </c>
      <c r="V185" s="127"/>
    </row>
    <row r="186" spans="2:22" ht="15.75" hidden="1" x14ac:dyDescent="0.2">
      <c r="B186" s="711">
        <v>46104</v>
      </c>
      <c r="C186" s="105" t="s">
        <v>12</v>
      </c>
      <c r="D186" s="105" t="s">
        <v>20</v>
      </c>
      <c r="E186" s="711">
        <v>46105</v>
      </c>
      <c r="G186" s="833">
        <v>46105</v>
      </c>
      <c r="H186" s="106" t="s">
        <v>32</v>
      </c>
      <c r="I186" s="106" t="s">
        <v>22</v>
      </c>
      <c r="J186" s="106">
        <v>3</v>
      </c>
      <c r="K186" s="106">
        <v>0</v>
      </c>
      <c r="L186" s="106">
        <v>0</v>
      </c>
      <c r="M186" s="107">
        <v>3</v>
      </c>
      <c r="N186" s="106">
        <v>0</v>
      </c>
      <c r="O186" s="106">
        <v>0</v>
      </c>
      <c r="P186" s="107">
        <v>0</v>
      </c>
      <c r="Q186" s="108">
        <f t="shared" si="29"/>
        <v>0</v>
      </c>
      <c r="R186" s="109">
        <f t="shared" si="30"/>
        <v>0</v>
      </c>
      <c r="S186" s="109">
        <f t="shared" si="31"/>
        <v>0</v>
      </c>
      <c r="T186" s="109">
        <f t="shared" si="23"/>
        <v>0</v>
      </c>
      <c r="U186" s="110">
        <f t="shared" si="32"/>
        <v>0</v>
      </c>
      <c r="V186" s="111"/>
    </row>
    <row r="187" spans="2:22" ht="15.75" hidden="1" x14ac:dyDescent="0.2">
      <c r="B187" s="711">
        <v>46104</v>
      </c>
      <c r="C187" s="105" t="s">
        <v>12</v>
      </c>
      <c r="D187" s="105" t="s">
        <v>20</v>
      </c>
      <c r="E187" s="711">
        <v>46105</v>
      </c>
      <c r="G187" s="834"/>
      <c r="H187" s="120" t="s">
        <v>16</v>
      </c>
      <c r="I187" s="120" t="s">
        <v>27</v>
      </c>
      <c r="J187" s="106">
        <v>285</v>
      </c>
      <c r="K187" s="106">
        <v>1</v>
      </c>
      <c r="L187" s="106">
        <v>1</v>
      </c>
      <c r="M187" s="107">
        <v>285</v>
      </c>
      <c r="N187" s="106">
        <v>0</v>
      </c>
      <c r="O187" s="106">
        <v>0</v>
      </c>
      <c r="P187" s="107">
        <v>1</v>
      </c>
      <c r="Q187" s="122">
        <f t="shared" si="29"/>
        <v>7.0175438596491229E-3</v>
      </c>
      <c r="R187" s="123">
        <f t="shared" si="30"/>
        <v>0</v>
      </c>
      <c r="S187" s="123">
        <f t="shared" si="31"/>
        <v>3.5087719298245615E-3</v>
      </c>
      <c r="T187" s="123">
        <f t="shared" si="23"/>
        <v>0</v>
      </c>
      <c r="U187" s="124">
        <f t="shared" si="32"/>
        <v>1.0526315789473684E-2</v>
      </c>
      <c r="V187" s="125"/>
    </row>
    <row r="188" spans="2:22" ht="15.75" hidden="1" x14ac:dyDescent="0.2">
      <c r="B188" s="711">
        <v>46104</v>
      </c>
      <c r="C188" s="105" t="s">
        <v>12</v>
      </c>
      <c r="D188" s="105" t="s">
        <v>20</v>
      </c>
      <c r="E188" s="711">
        <v>46105</v>
      </c>
      <c r="G188" s="834"/>
      <c r="H188" s="120" t="s">
        <v>14</v>
      </c>
      <c r="I188" s="120" t="s">
        <v>27</v>
      </c>
      <c r="J188" s="106">
        <v>238</v>
      </c>
      <c r="K188" s="106">
        <v>131</v>
      </c>
      <c r="L188" s="106">
        <v>56</v>
      </c>
      <c r="M188" s="107">
        <f>238-5</f>
        <v>233</v>
      </c>
      <c r="N188" s="106">
        <v>5</v>
      </c>
      <c r="O188" s="106">
        <v>0</v>
      </c>
      <c r="P188" s="107">
        <v>1</v>
      </c>
      <c r="Q188" s="122">
        <f t="shared" si="29"/>
        <v>0.7857142857142857</v>
      </c>
      <c r="R188" s="123">
        <f t="shared" si="30"/>
        <v>2.100840336134454E-2</v>
      </c>
      <c r="S188" s="123">
        <f t="shared" si="31"/>
        <v>4.2016806722689074E-3</v>
      </c>
      <c r="T188" s="123">
        <f t="shared" si="23"/>
        <v>0</v>
      </c>
      <c r="U188" s="124">
        <f t="shared" si="32"/>
        <v>0.81092436974789917</v>
      </c>
      <c r="V188" s="125"/>
    </row>
    <row r="189" spans="2:22" ht="15.75" hidden="1" x14ac:dyDescent="0.2">
      <c r="B189" s="711">
        <v>46104</v>
      </c>
      <c r="C189" s="105" t="s">
        <v>12</v>
      </c>
      <c r="D189" s="105" t="s">
        <v>20</v>
      </c>
      <c r="E189" s="711">
        <v>46105</v>
      </c>
      <c r="G189" s="834"/>
      <c r="H189" s="120" t="s">
        <v>17</v>
      </c>
      <c r="I189" s="120" t="s">
        <v>18</v>
      </c>
      <c r="J189" s="106">
        <v>176</v>
      </c>
      <c r="K189" s="106">
        <v>0</v>
      </c>
      <c r="L189" s="106">
        <v>0</v>
      </c>
      <c r="M189" s="107">
        <v>176</v>
      </c>
      <c r="N189" s="106">
        <v>0</v>
      </c>
      <c r="O189" s="106">
        <v>0</v>
      </c>
      <c r="P189" s="120">
        <v>0</v>
      </c>
      <c r="Q189" s="122">
        <f t="shared" si="29"/>
        <v>0</v>
      </c>
      <c r="R189" s="123">
        <f t="shared" si="30"/>
        <v>0</v>
      </c>
      <c r="S189" s="123">
        <f t="shared" si="31"/>
        <v>0</v>
      </c>
      <c r="T189" s="123">
        <f t="shared" si="23"/>
        <v>0</v>
      </c>
      <c r="U189" s="124">
        <f t="shared" si="32"/>
        <v>0</v>
      </c>
      <c r="V189" s="125"/>
    </row>
    <row r="190" spans="2:22" ht="15.75" hidden="1" x14ac:dyDescent="0.2">
      <c r="B190" s="711">
        <v>46104</v>
      </c>
      <c r="C190" s="105" t="s">
        <v>12</v>
      </c>
      <c r="D190" s="105" t="s">
        <v>20</v>
      </c>
      <c r="E190" s="711">
        <v>46105</v>
      </c>
      <c r="G190" s="835"/>
      <c r="H190" s="113" t="s">
        <v>19</v>
      </c>
      <c r="I190" s="113"/>
      <c r="J190" s="113">
        <f>SUM(J186:J189)</f>
        <v>702</v>
      </c>
      <c r="K190" s="113">
        <f>SUM(K186:K189)</f>
        <v>132</v>
      </c>
      <c r="L190" s="113">
        <f>SUM(L186:L189)</f>
        <v>57</v>
      </c>
      <c r="M190" s="114">
        <f>SUM(M186:M189)</f>
        <v>697</v>
      </c>
      <c r="N190" s="113">
        <f>SUM(N186:N189)</f>
        <v>5</v>
      </c>
      <c r="O190" s="113">
        <v>0</v>
      </c>
      <c r="P190" s="114">
        <f>SUM(P186:P189)</f>
        <v>2</v>
      </c>
      <c r="Q190" s="115">
        <f t="shared" si="29"/>
        <v>0.26923076923076922</v>
      </c>
      <c r="R190" s="116">
        <f t="shared" si="30"/>
        <v>7.1225071225071226E-3</v>
      </c>
      <c r="S190" s="116">
        <f t="shared" si="31"/>
        <v>2.8490028490028491E-3</v>
      </c>
      <c r="T190" s="116">
        <f t="shared" si="23"/>
        <v>0</v>
      </c>
      <c r="U190" s="117">
        <f t="shared" si="32"/>
        <v>0.27920227920227919</v>
      </c>
      <c r="V190" s="127"/>
    </row>
    <row r="191" spans="2:22" ht="15.75" hidden="1" x14ac:dyDescent="0.2">
      <c r="B191" s="711">
        <v>46104</v>
      </c>
      <c r="C191" s="105" t="s">
        <v>18</v>
      </c>
      <c r="D191" s="105" t="s">
        <v>23</v>
      </c>
      <c r="E191" s="711">
        <v>46105</v>
      </c>
      <c r="G191" s="833">
        <v>46105</v>
      </c>
      <c r="H191" s="106" t="s">
        <v>32</v>
      </c>
      <c r="I191" s="106" t="s">
        <v>22</v>
      </c>
      <c r="J191" s="106">
        <v>3</v>
      </c>
      <c r="K191" s="106">
        <v>0</v>
      </c>
      <c r="L191" s="106">
        <v>0</v>
      </c>
      <c r="M191" s="107">
        <v>3</v>
      </c>
      <c r="N191" s="106">
        <v>0</v>
      </c>
      <c r="O191" s="106">
        <v>0</v>
      </c>
      <c r="P191" s="107">
        <v>0</v>
      </c>
      <c r="Q191" s="108">
        <f t="shared" si="29"/>
        <v>0</v>
      </c>
      <c r="R191" s="109">
        <f t="shared" si="30"/>
        <v>0</v>
      </c>
      <c r="S191" s="109">
        <f t="shared" si="31"/>
        <v>0</v>
      </c>
      <c r="T191" s="109">
        <f t="shared" si="23"/>
        <v>0</v>
      </c>
      <c r="U191" s="110">
        <f t="shared" si="32"/>
        <v>0</v>
      </c>
      <c r="V191" s="111"/>
    </row>
    <row r="192" spans="2:22" ht="15.75" hidden="1" x14ac:dyDescent="0.2">
      <c r="B192" s="711">
        <v>46104</v>
      </c>
      <c r="C192" s="105" t="s">
        <v>18</v>
      </c>
      <c r="D192" s="105" t="s">
        <v>23</v>
      </c>
      <c r="E192" s="711">
        <v>46105</v>
      </c>
      <c r="G192" s="834"/>
      <c r="H192" s="120" t="s">
        <v>16</v>
      </c>
      <c r="I192" s="120" t="s">
        <v>27</v>
      </c>
      <c r="J192" s="106">
        <v>285</v>
      </c>
      <c r="K192" s="106">
        <v>1</v>
      </c>
      <c r="L192" s="106">
        <v>1</v>
      </c>
      <c r="M192" s="107">
        <v>285</v>
      </c>
      <c r="N192" s="106">
        <v>0</v>
      </c>
      <c r="O192" s="106">
        <v>0</v>
      </c>
      <c r="P192" s="107">
        <v>2</v>
      </c>
      <c r="Q192" s="122">
        <f t="shared" si="29"/>
        <v>7.0175438596491229E-3</v>
      </c>
      <c r="R192" s="123">
        <f t="shared" si="30"/>
        <v>0</v>
      </c>
      <c r="S192" s="123">
        <f t="shared" si="31"/>
        <v>7.0175438596491229E-3</v>
      </c>
      <c r="T192" s="123">
        <f t="shared" si="23"/>
        <v>0</v>
      </c>
      <c r="U192" s="124">
        <f t="shared" si="32"/>
        <v>1.4035087719298246E-2</v>
      </c>
      <c r="V192" s="125"/>
    </row>
    <row r="193" spans="2:22" ht="15.75" hidden="1" x14ac:dyDescent="0.2">
      <c r="B193" s="711">
        <v>46104</v>
      </c>
      <c r="C193" s="105" t="s">
        <v>18</v>
      </c>
      <c r="D193" s="105" t="s">
        <v>23</v>
      </c>
      <c r="E193" s="711">
        <v>46105</v>
      </c>
      <c r="G193" s="834"/>
      <c r="H193" s="120" t="s">
        <v>14</v>
      </c>
      <c r="I193" s="142" t="s">
        <v>22</v>
      </c>
      <c r="J193" s="106">
        <v>238</v>
      </c>
      <c r="K193" s="106">
        <v>131</v>
      </c>
      <c r="L193" s="106">
        <v>56</v>
      </c>
      <c r="M193" s="107">
        <v>27</v>
      </c>
      <c r="N193" s="106">
        <v>22</v>
      </c>
      <c r="O193" s="106">
        <v>0</v>
      </c>
      <c r="P193" s="107">
        <v>2</v>
      </c>
      <c r="Q193" s="122">
        <f t="shared" si="29"/>
        <v>0.7857142857142857</v>
      </c>
      <c r="R193" s="123">
        <f t="shared" si="30"/>
        <v>9.2436974789915971E-2</v>
      </c>
      <c r="S193" s="123">
        <f t="shared" si="31"/>
        <v>8.4033613445378148E-3</v>
      </c>
      <c r="T193" s="123">
        <f t="shared" si="23"/>
        <v>0</v>
      </c>
      <c r="U193" s="124">
        <f t="shared" si="32"/>
        <v>0.88655462184873945</v>
      </c>
      <c r="V193" s="125"/>
    </row>
    <row r="194" spans="2:22" ht="15.75" hidden="1" x14ac:dyDescent="0.2">
      <c r="B194" s="711">
        <v>46104</v>
      </c>
      <c r="C194" s="105" t="s">
        <v>18</v>
      </c>
      <c r="D194" s="105" t="s">
        <v>23</v>
      </c>
      <c r="E194" s="711">
        <v>46105</v>
      </c>
      <c r="G194" s="834"/>
      <c r="H194" s="120" t="s">
        <v>17</v>
      </c>
      <c r="I194" s="120" t="s">
        <v>18</v>
      </c>
      <c r="J194" s="106">
        <v>176</v>
      </c>
      <c r="K194" s="106">
        <v>0</v>
      </c>
      <c r="L194" s="106">
        <v>0</v>
      </c>
      <c r="M194" s="107">
        <v>176</v>
      </c>
      <c r="N194" s="106">
        <v>0</v>
      </c>
      <c r="O194" s="106">
        <v>0</v>
      </c>
      <c r="P194" s="120">
        <v>1</v>
      </c>
      <c r="Q194" s="122">
        <f t="shared" si="29"/>
        <v>0</v>
      </c>
      <c r="R194" s="123">
        <f t="shared" si="30"/>
        <v>0</v>
      </c>
      <c r="S194" s="123">
        <f t="shared" si="31"/>
        <v>5.681818181818182E-3</v>
      </c>
      <c r="T194" s="123">
        <f t="shared" si="23"/>
        <v>0</v>
      </c>
      <c r="U194" s="124">
        <f t="shared" si="32"/>
        <v>5.681818181818182E-3</v>
      </c>
      <c r="V194" s="125"/>
    </row>
    <row r="195" spans="2:22" ht="15.75" hidden="1" x14ac:dyDescent="0.2">
      <c r="B195" s="711">
        <v>46104</v>
      </c>
      <c r="C195" s="105" t="s">
        <v>18</v>
      </c>
      <c r="D195" s="105" t="s">
        <v>23</v>
      </c>
      <c r="E195" s="711">
        <v>46105</v>
      </c>
      <c r="G195" s="835"/>
      <c r="H195" s="113" t="s">
        <v>19</v>
      </c>
      <c r="I195" s="113"/>
      <c r="J195" s="113">
        <f>SUM(J191:J194)</f>
        <v>702</v>
      </c>
      <c r="K195" s="113">
        <f>SUM(K191:K194)</f>
        <v>132</v>
      </c>
      <c r="L195" s="113">
        <f>SUM(L191:L194)</f>
        <v>57</v>
      </c>
      <c r="M195" s="114">
        <f>SUM(M191:M194)</f>
        <v>491</v>
      </c>
      <c r="N195" s="113">
        <f>SUM(N191:N194)</f>
        <v>22</v>
      </c>
      <c r="O195" s="113">
        <v>0</v>
      </c>
      <c r="P195" s="114">
        <f>SUM(P191:P194)</f>
        <v>5</v>
      </c>
      <c r="Q195" s="115">
        <f t="shared" si="29"/>
        <v>0.26923076923076922</v>
      </c>
      <c r="R195" s="116">
        <f t="shared" si="30"/>
        <v>3.1339031339031341E-2</v>
      </c>
      <c r="S195" s="116">
        <f t="shared" si="31"/>
        <v>7.1225071225071226E-3</v>
      </c>
      <c r="T195" s="116">
        <f t="shared" si="23"/>
        <v>0</v>
      </c>
      <c r="U195" s="117">
        <f t="shared" si="32"/>
        <v>0.30769230769230771</v>
      </c>
      <c r="V195" s="127"/>
    </row>
    <row r="196" spans="2:22" ht="15.75" hidden="1" x14ac:dyDescent="0.2">
      <c r="B196" s="711">
        <v>46105</v>
      </c>
      <c r="C196" s="105" t="s">
        <v>22</v>
      </c>
      <c r="D196" s="105" t="s">
        <v>13</v>
      </c>
      <c r="E196" s="711">
        <v>46105</v>
      </c>
      <c r="G196" s="833">
        <v>46105</v>
      </c>
      <c r="H196" s="106" t="s">
        <v>32</v>
      </c>
      <c r="I196" s="106" t="s">
        <v>22</v>
      </c>
      <c r="J196" s="106">
        <v>3</v>
      </c>
      <c r="K196" s="106">
        <f>(J196)-(L196+M196+N196+P196+O196)</f>
        <v>3</v>
      </c>
      <c r="L196" s="106">
        <v>0</v>
      </c>
      <c r="M196" s="107">
        <v>0</v>
      </c>
      <c r="N196" s="106">
        <v>0</v>
      </c>
      <c r="O196" s="106">
        <v>0</v>
      </c>
      <c r="P196" s="107">
        <v>0</v>
      </c>
      <c r="Q196" s="108">
        <f t="shared" si="29"/>
        <v>1</v>
      </c>
      <c r="R196" s="109">
        <f t="shared" si="30"/>
        <v>0</v>
      </c>
      <c r="S196" s="109">
        <f t="shared" si="31"/>
        <v>0</v>
      </c>
      <c r="T196" s="109">
        <f t="shared" si="23"/>
        <v>0</v>
      </c>
      <c r="U196" s="110">
        <f t="shared" si="32"/>
        <v>1</v>
      </c>
      <c r="V196" s="111"/>
    </row>
    <row r="197" spans="2:22" ht="15.75" hidden="1" x14ac:dyDescent="0.2">
      <c r="B197" s="711">
        <v>46105</v>
      </c>
      <c r="C197" s="105" t="s">
        <v>22</v>
      </c>
      <c r="D197" s="105" t="s">
        <v>13</v>
      </c>
      <c r="E197" s="711">
        <v>46105</v>
      </c>
      <c r="G197" s="834"/>
      <c r="H197" s="120" t="s">
        <v>16</v>
      </c>
      <c r="I197" s="120" t="s">
        <v>27</v>
      </c>
      <c r="J197" s="106">
        <v>266</v>
      </c>
      <c r="K197" s="106">
        <f>(J197)-(L197+M197+N197+P197+O197)</f>
        <v>140</v>
      </c>
      <c r="L197" s="106">
        <v>46</v>
      </c>
      <c r="M197" s="107">
        <v>66</v>
      </c>
      <c r="N197" s="106">
        <v>0</v>
      </c>
      <c r="O197" s="106">
        <v>12</v>
      </c>
      <c r="P197" s="107">
        <v>2</v>
      </c>
      <c r="Q197" s="122">
        <f t="shared" si="29"/>
        <v>0.6992481203007519</v>
      </c>
      <c r="R197" s="123">
        <f t="shared" si="30"/>
        <v>0</v>
      </c>
      <c r="S197" s="123">
        <f t="shared" si="31"/>
        <v>7.5187969924812026E-3</v>
      </c>
      <c r="T197" s="123">
        <f t="shared" si="23"/>
        <v>4.5112781954887216E-2</v>
      </c>
      <c r="U197" s="124">
        <f t="shared" si="32"/>
        <v>0.75187969924812037</v>
      </c>
      <c r="V197" s="125" t="s">
        <v>71</v>
      </c>
    </row>
    <row r="198" spans="2:22" ht="15.75" hidden="1" x14ac:dyDescent="0.2">
      <c r="B198" s="711">
        <v>46105</v>
      </c>
      <c r="C198" s="105" t="s">
        <v>22</v>
      </c>
      <c r="D198" s="105" t="s">
        <v>13</v>
      </c>
      <c r="E198" s="711">
        <v>46105</v>
      </c>
      <c r="G198" s="834"/>
      <c r="H198" s="120" t="s">
        <v>14</v>
      </c>
      <c r="I198" s="142" t="s">
        <v>27</v>
      </c>
      <c r="J198" s="106">
        <v>238</v>
      </c>
      <c r="K198" s="106">
        <f>(J198)-(L198+M198+N198+P198+O198)</f>
        <v>183</v>
      </c>
      <c r="L198" s="106">
        <v>43</v>
      </c>
      <c r="M198" s="107">
        <v>4</v>
      </c>
      <c r="N198" s="106">
        <v>0</v>
      </c>
      <c r="O198" s="106">
        <v>7</v>
      </c>
      <c r="P198" s="107">
        <v>1</v>
      </c>
      <c r="Q198" s="122">
        <f t="shared" si="29"/>
        <v>0.94957983193277307</v>
      </c>
      <c r="R198" s="123">
        <f t="shared" si="30"/>
        <v>0</v>
      </c>
      <c r="S198" s="123">
        <f t="shared" si="31"/>
        <v>4.2016806722689074E-3</v>
      </c>
      <c r="T198" s="123">
        <f t="shared" ref="T198:T257" si="33">O198/J198</f>
        <v>2.9411764705882353E-2</v>
      </c>
      <c r="U198" s="124">
        <f t="shared" si="32"/>
        <v>0.98319327731092432</v>
      </c>
      <c r="V198" s="125" t="s">
        <v>70</v>
      </c>
    </row>
    <row r="199" spans="2:22" ht="15.75" hidden="1" x14ac:dyDescent="0.2">
      <c r="B199" s="711">
        <v>46105</v>
      </c>
      <c r="C199" s="105" t="s">
        <v>22</v>
      </c>
      <c r="D199" s="105" t="s">
        <v>13</v>
      </c>
      <c r="E199" s="711">
        <v>46105</v>
      </c>
      <c r="G199" s="834"/>
      <c r="H199" s="120" t="s">
        <v>17</v>
      </c>
      <c r="I199" s="120" t="s">
        <v>18</v>
      </c>
      <c r="J199" s="106">
        <v>176</v>
      </c>
      <c r="K199" s="106">
        <f>(J199)-(L199+M199+N199+P199+O199)</f>
        <v>0</v>
      </c>
      <c r="L199" s="106">
        <v>0</v>
      </c>
      <c r="M199" s="107">
        <v>175</v>
      </c>
      <c r="N199" s="106">
        <v>0</v>
      </c>
      <c r="O199" s="106">
        <v>0</v>
      </c>
      <c r="P199" s="107">
        <v>1</v>
      </c>
      <c r="Q199" s="122">
        <f t="shared" si="29"/>
        <v>0</v>
      </c>
      <c r="R199" s="123">
        <f t="shared" si="30"/>
        <v>0</v>
      </c>
      <c r="S199" s="123">
        <f t="shared" si="31"/>
        <v>5.681818181818182E-3</v>
      </c>
      <c r="T199" s="123">
        <f t="shared" si="33"/>
        <v>0</v>
      </c>
      <c r="U199" s="124">
        <f t="shared" si="32"/>
        <v>5.681818181818182E-3</v>
      </c>
      <c r="V199" s="125"/>
    </row>
    <row r="200" spans="2:22" ht="15.75" hidden="1" x14ac:dyDescent="0.2">
      <c r="B200" s="711">
        <v>46105</v>
      </c>
      <c r="C200" s="105" t="s">
        <v>22</v>
      </c>
      <c r="D200" s="105" t="s">
        <v>13</v>
      </c>
      <c r="E200" s="711">
        <v>46105</v>
      </c>
      <c r="G200" s="835"/>
      <c r="H200" s="113" t="s">
        <v>19</v>
      </c>
      <c r="I200" s="113"/>
      <c r="J200" s="113">
        <f>SUM(J196:J199)</f>
        <v>683</v>
      </c>
      <c r="K200" s="113">
        <f>SUM(K196:K199)</f>
        <v>326</v>
      </c>
      <c r="L200" s="113">
        <f>SUM(L196:L199)</f>
        <v>89</v>
      </c>
      <c r="M200" s="114">
        <f>SUM(M196:M199)</f>
        <v>245</v>
      </c>
      <c r="N200" s="113">
        <f>SUM(N196:N199)</f>
        <v>0</v>
      </c>
      <c r="O200" s="113">
        <v>0</v>
      </c>
      <c r="P200" s="114">
        <f>SUM(P196:P199)</f>
        <v>4</v>
      </c>
      <c r="Q200" s="115">
        <f t="shared" si="29"/>
        <v>0.6076134699853587</v>
      </c>
      <c r="R200" s="116">
        <f t="shared" si="30"/>
        <v>0</v>
      </c>
      <c r="S200" s="116">
        <f t="shared" si="31"/>
        <v>5.8565153733528552E-3</v>
      </c>
      <c r="T200" s="116">
        <f t="shared" si="33"/>
        <v>0</v>
      </c>
      <c r="U200" s="117">
        <f t="shared" si="32"/>
        <v>0.61346998535871156</v>
      </c>
      <c r="V200" s="127"/>
    </row>
    <row r="201" spans="2:22" ht="15.75" hidden="1" x14ac:dyDescent="0.2">
      <c r="B201" s="711">
        <v>46105</v>
      </c>
      <c r="C201" s="105" t="s">
        <v>12</v>
      </c>
      <c r="D201" s="105" t="s">
        <v>20</v>
      </c>
      <c r="E201" s="711">
        <v>46105</v>
      </c>
      <c r="G201" s="833">
        <v>46105</v>
      </c>
      <c r="H201" s="106" t="s">
        <v>16</v>
      </c>
      <c r="I201" s="106" t="s">
        <v>27</v>
      </c>
      <c r="J201" s="106">
        <v>78</v>
      </c>
      <c r="K201" s="106">
        <v>48</v>
      </c>
      <c r="L201" s="106">
        <v>22</v>
      </c>
      <c r="M201" s="107">
        <v>0</v>
      </c>
      <c r="N201" s="106">
        <v>0</v>
      </c>
      <c r="O201" s="106">
        <v>8</v>
      </c>
      <c r="P201" s="107">
        <v>0</v>
      </c>
      <c r="Q201" s="108">
        <f t="shared" si="29"/>
        <v>0.89743589743589747</v>
      </c>
      <c r="R201" s="109">
        <f t="shared" si="30"/>
        <v>0</v>
      </c>
      <c r="S201" s="109">
        <f t="shared" si="31"/>
        <v>0</v>
      </c>
      <c r="T201" s="109">
        <f t="shared" si="33"/>
        <v>0.10256410256410256</v>
      </c>
      <c r="U201" s="110">
        <f t="shared" si="32"/>
        <v>1</v>
      </c>
      <c r="V201" s="111"/>
    </row>
    <row r="202" spans="2:22" ht="15.75" hidden="1" x14ac:dyDescent="0.2">
      <c r="B202" s="711">
        <v>46105</v>
      </c>
      <c r="C202" s="105" t="s">
        <v>12</v>
      </c>
      <c r="D202" s="105" t="s">
        <v>20</v>
      </c>
      <c r="E202" s="711">
        <v>46105</v>
      </c>
      <c r="G202" s="834"/>
      <c r="H202" s="120" t="s">
        <v>14</v>
      </c>
      <c r="I202" s="120" t="s">
        <v>15</v>
      </c>
      <c r="J202" s="106">
        <v>25</v>
      </c>
      <c r="K202" s="106">
        <v>17</v>
      </c>
      <c r="L202" s="106">
        <v>7</v>
      </c>
      <c r="M202" s="107">
        <v>0</v>
      </c>
      <c r="N202" s="106">
        <v>0</v>
      </c>
      <c r="O202" s="106">
        <v>0</v>
      </c>
      <c r="P202" s="107">
        <v>1</v>
      </c>
      <c r="Q202" s="108">
        <f t="shared" si="29"/>
        <v>0.96</v>
      </c>
      <c r="R202" s="109">
        <f t="shared" si="30"/>
        <v>0</v>
      </c>
      <c r="S202" s="109">
        <f t="shared" si="31"/>
        <v>0.04</v>
      </c>
      <c r="T202" s="109">
        <f t="shared" si="33"/>
        <v>0</v>
      </c>
      <c r="U202" s="110">
        <f t="shared" si="32"/>
        <v>1</v>
      </c>
      <c r="V202" s="111"/>
    </row>
    <row r="203" spans="2:22" ht="15.75" hidden="1" x14ac:dyDescent="0.2">
      <c r="B203" s="711">
        <v>46105</v>
      </c>
      <c r="C203" s="105" t="s">
        <v>12</v>
      </c>
      <c r="D203" s="105" t="s">
        <v>20</v>
      </c>
      <c r="E203" s="711">
        <v>46105</v>
      </c>
      <c r="G203" s="834"/>
      <c r="H203" s="120" t="s">
        <v>17</v>
      </c>
      <c r="I203" s="142" t="s">
        <v>18</v>
      </c>
      <c r="J203" s="106">
        <v>176</v>
      </c>
      <c r="K203" s="106">
        <v>111</v>
      </c>
      <c r="L203" s="106">
        <v>24</v>
      </c>
      <c r="M203" s="107">
        <f>40-23</f>
        <v>17</v>
      </c>
      <c r="N203" s="106">
        <v>0</v>
      </c>
      <c r="O203" s="106">
        <v>23</v>
      </c>
      <c r="P203" s="120">
        <v>1</v>
      </c>
      <c r="Q203" s="108">
        <f t="shared" si="29"/>
        <v>0.76704545454545459</v>
      </c>
      <c r="R203" s="109">
        <f t="shared" si="30"/>
        <v>0</v>
      </c>
      <c r="S203" s="109">
        <f t="shared" si="31"/>
        <v>5.681818181818182E-3</v>
      </c>
      <c r="T203" s="109">
        <f t="shared" si="33"/>
        <v>0.13068181818181818</v>
      </c>
      <c r="U203" s="110">
        <f t="shared" si="32"/>
        <v>0.90340909090909105</v>
      </c>
      <c r="V203" s="111" t="s">
        <v>72</v>
      </c>
    </row>
    <row r="204" spans="2:22" ht="15.75" hidden="1" x14ac:dyDescent="0.2">
      <c r="B204" s="711">
        <v>46105</v>
      </c>
      <c r="C204" s="105" t="s">
        <v>12</v>
      </c>
      <c r="D204" s="105" t="s">
        <v>20</v>
      </c>
      <c r="E204" s="711">
        <v>46105</v>
      </c>
      <c r="G204" s="835"/>
      <c r="H204" s="113" t="s">
        <v>19</v>
      </c>
      <c r="I204" s="113"/>
      <c r="J204" s="113">
        <f>SUM(J201:J203)</f>
        <v>279</v>
      </c>
      <c r="K204" s="113">
        <f>SUM(K201:K203)</f>
        <v>176</v>
      </c>
      <c r="L204" s="113">
        <f>SUM(L201:L203)</f>
        <v>53</v>
      </c>
      <c r="M204" s="114">
        <f>SUM(M201:M203)</f>
        <v>17</v>
      </c>
      <c r="N204" s="113">
        <f>SUM(N201:N203)</f>
        <v>0</v>
      </c>
      <c r="O204" s="113">
        <v>0</v>
      </c>
      <c r="P204" s="114">
        <f>SUM(P201:P203)</f>
        <v>2</v>
      </c>
      <c r="Q204" s="115">
        <f t="shared" si="29"/>
        <v>0.82078853046594979</v>
      </c>
      <c r="R204" s="116">
        <f t="shared" si="30"/>
        <v>0</v>
      </c>
      <c r="S204" s="116">
        <f t="shared" si="31"/>
        <v>7.1684587813620072E-3</v>
      </c>
      <c r="T204" s="116">
        <f t="shared" si="33"/>
        <v>0</v>
      </c>
      <c r="U204" s="117">
        <f t="shared" si="32"/>
        <v>0.82795698924731176</v>
      </c>
      <c r="V204" s="127"/>
    </row>
    <row r="205" spans="2:22" ht="15.75" hidden="1" x14ac:dyDescent="0.2">
      <c r="B205" s="711">
        <v>46105</v>
      </c>
      <c r="C205" s="105" t="s">
        <v>12</v>
      </c>
      <c r="D205" s="105" t="s">
        <v>20</v>
      </c>
      <c r="E205" s="711">
        <v>46106</v>
      </c>
      <c r="G205" s="833">
        <v>46106</v>
      </c>
      <c r="H205" s="120" t="s">
        <v>14</v>
      </c>
      <c r="I205" s="120" t="s">
        <v>15</v>
      </c>
      <c r="J205" s="106">
        <v>237</v>
      </c>
      <c r="K205" s="106">
        <v>0</v>
      </c>
      <c r="L205" s="106">
        <v>7</v>
      </c>
      <c r="M205" s="107">
        <v>227</v>
      </c>
      <c r="N205" s="106">
        <v>0</v>
      </c>
      <c r="O205" s="106">
        <v>0</v>
      </c>
      <c r="P205" s="107">
        <v>3</v>
      </c>
      <c r="Q205" s="122">
        <f t="shared" ref="Q205:Q236" si="34">(K205+L205)/J205</f>
        <v>2.9535864978902954E-2</v>
      </c>
      <c r="R205" s="123">
        <f t="shared" ref="R205:R236" si="35">N205/J205</f>
        <v>0</v>
      </c>
      <c r="S205" s="123">
        <f t="shared" ref="S205:S236" si="36">P205/J205</f>
        <v>1.2658227848101266E-2</v>
      </c>
      <c r="T205" s="123">
        <f t="shared" si="33"/>
        <v>0</v>
      </c>
      <c r="U205" s="124">
        <f t="shared" ref="U205:U236" si="37">S205+R205+Q205+T205</f>
        <v>4.2194092827004218E-2</v>
      </c>
      <c r="V205" s="125"/>
    </row>
    <row r="206" spans="2:22" ht="15.75" hidden="1" x14ac:dyDescent="0.2">
      <c r="B206" s="711">
        <v>46105</v>
      </c>
      <c r="C206" s="105" t="s">
        <v>12</v>
      </c>
      <c r="D206" s="105" t="s">
        <v>20</v>
      </c>
      <c r="E206" s="711">
        <v>46106</v>
      </c>
      <c r="G206" s="835"/>
      <c r="H206" s="113" t="s">
        <v>19</v>
      </c>
      <c r="I206" s="113"/>
      <c r="J206" s="113">
        <f>SUM(J205:J205)</f>
        <v>237</v>
      </c>
      <c r="K206" s="113">
        <f>SUM(K205:K205)</f>
        <v>0</v>
      </c>
      <c r="L206" s="113">
        <f>SUM(L205:L205)</f>
        <v>7</v>
      </c>
      <c r="M206" s="114">
        <f>SUM(M205:M205)</f>
        <v>227</v>
      </c>
      <c r="N206" s="113">
        <f>SUM(N205:N205)</f>
        <v>0</v>
      </c>
      <c r="O206" s="113">
        <v>0</v>
      </c>
      <c r="P206" s="114">
        <f>SUM(P205:P205)</f>
        <v>3</v>
      </c>
      <c r="Q206" s="115">
        <f t="shared" si="34"/>
        <v>2.9535864978902954E-2</v>
      </c>
      <c r="R206" s="116">
        <f t="shared" si="35"/>
        <v>0</v>
      </c>
      <c r="S206" s="116">
        <f t="shared" si="36"/>
        <v>1.2658227848101266E-2</v>
      </c>
      <c r="T206" s="116">
        <f t="shared" si="33"/>
        <v>0</v>
      </c>
      <c r="U206" s="117">
        <f t="shared" si="37"/>
        <v>4.2194092827004218E-2</v>
      </c>
      <c r="V206" s="127"/>
    </row>
    <row r="207" spans="2:22" ht="15.75" hidden="1" x14ac:dyDescent="0.2">
      <c r="B207" s="711">
        <v>46105</v>
      </c>
      <c r="C207" s="105" t="s">
        <v>12</v>
      </c>
      <c r="D207" s="105" t="s">
        <v>23</v>
      </c>
      <c r="E207" s="711">
        <v>46105</v>
      </c>
      <c r="G207" s="833">
        <v>46105</v>
      </c>
      <c r="H207" s="106" t="s">
        <v>16</v>
      </c>
      <c r="I207" s="106" t="s">
        <v>27</v>
      </c>
      <c r="J207" s="106">
        <v>78</v>
      </c>
      <c r="K207" s="106">
        <v>48</v>
      </c>
      <c r="L207" s="106">
        <v>22</v>
      </c>
      <c r="M207" s="107">
        <v>0</v>
      </c>
      <c r="N207" s="106">
        <v>0</v>
      </c>
      <c r="O207" s="106">
        <v>8</v>
      </c>
      <c r="P207" s="107">
        <v>0</v>
      </c>
      <c r="Q207" s="108">
        <f t="shared" si="34"/>
        <v>0.89743589743589747</v>
      </c>
      <c r="R207" s="109">
        <f t="shared" si="35"/>
        <v>0</v>
      </c>
      <c r="S207" s="109">
        <f t="shared" si="36"/>
        <v>0</v>
      </c>
      <c r="T207" s="109">
        <f t="shared" si="33"/>
        <v>0.10256410256410256</v>
      </c>
      <c r="U207" s="110">
        <f t="shared" si="37"/>
        <v>1</v>
      </c>
      <c r="V207" s="111"/>
    </row>
    <row r="208" spans="2:22" ht="15.75" hidden="1" x14ac:dyDescent="0.2">
      <c r="B208" s="711">
        <v>46105</v>
      </c>
      <c r="C208" s="105" t="s">
        <v>12</v>
      </c>
      <c r="D208" s="105" t="s">
        <v>23</v>
      </c>
      <c r="E208" s="711">
        <v>46105</v>
      </c>
      <c r="G208" s="834"/>
      <c r="H208" s="120" t="s">
        <v>14</v>
      </c>
      <c r="I208" s="120" t="s">
        <v>15</v>
      </c>
      <c r="J208" s="106">
        <v>25</v>
      </c>
      <c r="K208" s="106">
        <v>17</v>
      </c>
      <c r="L208" s="106">
        <v>7</v>
      </c>
      <c r="M208" s="107">
        <v>0</v>
      </c>
      <c r="N208" s="106">
        <v>0</v>
      </c>
      <c r="O208" s="106">
        <v>0</v>
      </c>
      <c r="P208" s="107">
        <v>1</v>
      </c>
      <c r="Q208" s="108">
        <f t="shared" si="34"/>
        <v>0.96</v>
      </c>
      <c r="R208" s="109">
        <f t="shared" si="35"/>
        <v>0</v>
      </c>
      <c r="S208" s="109">
        <f t="shared" si="36"/>
        <v>0.04</v>
      </c>
      <c r="T208" s="109">
        <f t="shared" si="33"/>
        <v>0</v>
      </c>
      <c r="U208" s="110">
        <f t="shared" si="37"/>
        <v>1</v>
      </c>
      <c r="V208" s="111"/>
    </row>
    <row r="209" spans="2:22" ht="15.75" hidden="1" x14ac:dyDescent="0.2">
      <c r="B209" s="711">
        <v>46105</v>
      </c>
      <c r="C209" s="105" t="s">
        <v>12</v>
      </c>
      <c r="D209" s="105" t="s">
        <v>23</v>
      </c>
      <c r="E209" s="711">
        <v>46105</v>
      </c>
      <c r="G209" s="834"/>
      <c r="H209" s="120" t="s">
        <v>17</v>
      </c>
      <c r="I209" s="120" t="s">
        <v>18</v>
      </c>
      <c r="J209" s="106">
        <v>176</v>
      </c>
      <c r="K209" s="106">
        <v>111</v>
      </c>
      <c r="L209" s="106">
        <v>24</v>
      </c>
      <c r="M209" s="107">
        <f>40-23</f>
        <v>17</v>
      </c>
      <c r="N209" s="106">
        <v>0</v>
      </c>
      <c r="O209" s="106">
        <v>23</v>
      </c>
      <c r="P209" s="120">
        <v>1</v>
      </c>
      <c r="Q209" s="108">
        <f t="shared" si="34"/>
        <v>0.76704545454545459</v>
      </c>
      <c r="R209" s="109">
        <f t="shared" si="35"/>
        <v>0</v>
      </c>
      <c r="S209" s="109">
        <f t="shared" si="36"/>
        <v>5.681818181818182E-3</v>
      </c>
      <c r="T209" s="109">
        <f t="shared" si="33"/>
        <v>0.13068181818181818</v>
      </c>
      <c r="U209" s="110">
        <f t="shared" si="37"/>
        <v>0.90340909090909105</v>
      </c>
      <c r="V209" s="111" t="s">
        <v>72</v>
      </c>
    </row>
    <row r="210" spans="2:22" ht="15.75" hidden="1" x14ac:dyDescent="0.2">
      <c r="B210" s="711">
        <v>46105</v>
      </c>
      <c r="C210" s="105" t="s">
        <v>12</v>
      </c>
      <c r="D210" s="105" t="s">
        <v>23</v>
      </c>
      <c r="E210" s="711">
        <v>46105</v>
      </c>
      <c r="G210" s="835"/>
      <c r="H210" s="113" t="s">
        <v>19</v>
      </c>
      <c r="I210" s="113"/>
      <c r="J210" s="113">
        <f>SUM(J207:J209)</f>
        <v>279</v>
      </c>
      <c r="K210" s="113">
        <f>SUM(K207:K209)</f>
        <v>176</v>
      </c>
      <c r="L210" s="113">
        <f>SUM(L207:L209)</f>
        <v>53</v>
      </c>
      <c r="M210" s="114">
        <f>SUM(M207:M209)</f>
        <v>17</v>
      </c>
      <c r="N210" s="113">
        <f>SUM(N207:N209)</f>
        <v>0</v>
      </c>
      <c r="O210" s="113">
        <v>0</v>
      </c>
      <c r="P210" s="114">
        <f>SUM(P207:P209)</f>
        <v>2</v>
      </c>
      <c r="Q210" s="115">
        <f t="shared" si="34"/>
        <v>0.82078853046594979</v>
      </c>
      <c r="R210" s="116">
        <f t="shared" si="35"/>
        <v>0</v>
      </c>
      <c r="S210" s="116">
        <f t="shared" si="36"/>
        <v>7.1684587813620072E-3</v>
      </c>
      <c r="T210" s="116">
        <f t="shared" si="33"/>
        <v>0</v>
      </c>
      <c r="U210" s="117">
        <f t="shared" si="37"/>
        <v>0.82795698924731176</v>
      </c>
      <c r="V210" s="127"/>
    </row>
    <row r="211" spans="2:22" ht="15.75" hidden="1" x14ac:dyDescent="0.2">
      <c r="B211" s="711">
        <v>46105</v>
      </c>
      <c r="C211" s="105" t="s">
        <v>18</v>
      </c>
      <c r="D211" s="105" t="s">
        <v>23</v>
      </c>
      <c r="E211" s="711">
        <v>46106</v>
      </c>
      <c r="G211" s="702"/>
      <c r="H211" s="120" t="s">
        <v>16</v>
      </c>
      <c r="I211" s="120" t="s">
        <v>27</v>
      </c>
      <c r="J211" s="106" t="e">
        <f>GETPIVOTDATA("Mã NVL",[1]BC!$A$3,"Model","Limo","Tình Trạng
 cấp đơn","Pending","KHSX",DATE(2026,3,25))+GETPIVOTDATA("Mã NVL",[1]BC!$A$3,"Model","Limo","Tình Trạng
 cấp đơn","Partial finished","KHSX",DATE(2026,3,25))</f>
        <v>#REF!</v>
      </c>
      <c r="K211" s="106">
        <v>0</v>
      </c>
      <c r="L211" s="106" t="e">
        <f>GETPIVOTDATA("Mã NVL",[1]BC!$A$3,"Model","Limo","Tình Trạng
 cấp đơn","Partial finished","KHSX",DATE(2026,3,25))</f>
        <v>#REF!</v>
      </c>
      <c r="M211" s="107" t="e">
        <f>GETPIVOTDATA("Mã NVL",[1]BC!$A$3,"Model","Limo","Tình Trạng
 cấp đơn","Pending","KHSX",DATE(2026,3,25))</f>
        <v>#REF!</v>
      </c>
      <c r="N211" s="106">
        <v>0</v>
      </c>
      <c r="O211" s="106">
        <v>0</v>
      </c>
      <c r="P211" s="107" t="e">
        <f>GETPIVOTDATA("Mã NVL",[1]BC!$A$3,"Model","Limo","Tình Trạng
 cấp đơn","Pending","KHSX",DATE(2026,3,25),"NOTE","Hết tồn kho MA")</f>
        <v>#REF!</v>
      </c>
      <c r="Q211" s="122" t="e">
        <f t="shared" si="34"/>
        <v>#REF!</v>
      </c>
      <c r="R211" s="123" t="e">
        <f t="shared" si="35"/>
        <v>#REF!</v>
      </c>
      <c r="S211" s="123" t="e">
        <f t="shared" si="36"/>
        <v>#REF!</v>
      </c>
      <c r="T211" s="123" t="e">
        <f t="shared" si="33"/>
        <v>#REF!</v>
      </c>
      <c r="U211" s="124" t="e">
        <f t="shared" si="37"/>
        <v>#REF!</v>
      </c>
      <c r="V211" s="125"/>
    </row>
    <row r="212" spans="2:22" ht="15.75" hidden="1" x14ac:dyDescent="0.2">
      <c r="B212" s="711">
        <v>46105</v>
      </c>
      <c r="C212" s="105" t="s">
        <v>18</v>
      </c>
      <c r="D212" s="105" t="s">
        <v>23</v>
      </c>
      <c r="E212" s="711">
        <v>46106</v>
      </c>
      <c r="G212" s="702"/>
      <c r="H212" s="120" t="s">
        <v>14</v>
      </c>
      <c r="I212" s="120" t="s">
        <v>15</v>
      </c>
      <c r="J212" s="106" t="e">
        <f>GETPIVOTDATA("Mã NVL",[1]BC!$A$3,"Model","VF5","Tình Trạng
 cấp đơn","Pending","KHSX",DATE(2026,3,25))+GETPIVOTDATA("Mã NVL",[1]BC!$A$3,"Model","VF5","Tình Trạng
 cấp đơn","Partial finished","KHSX",DATE(2026,3,25))+GETPIVOTDATA("Mã NVL",[1]BC!$A$3,"Model","VF5","Tình Trạng
 cấp đơn","Done","KHSX",DATE(2026,3,25))</f>
        <v>#REF!</v>
      </c>
      <c r="K212" s="106" t="e">
        <f>GETPIVOTDATA("Mã NVL",[1]BC!$A$3,"Model","VF5","Tình Trạng
 cấp đơn","Done","KHSX",DATE(2026,3,25))</f>
        <v>#REF!</v>
      </c>
      <c r="L212" s="106" t="e">
        <f>GETPIVOTDATA("Mã NVL",[1]BC!$A$3,"Model","VF5","Tình Trạng
 cấp đơn","Partial finished","KHSX",DATE(2026,3,25))</f>
        <v>#REF!</v>
      </c>
      <c r="M212" s="107" t="e">
        <f>GETPIVOTDATA("Mã NVL",[1]BC!$A$3,"Model","VF5","Tình Trạng
 cấp đơn","Pending","KHSX",DATE(2026,3,25),"NOTE","Đã ra đơn, chờ cấp")</f>
        <v>#REF!</v>
      </c>
      <c r="N212" s="106" t="e">
        <f>GETPIVOTDATA("Mã NVL",[1]BC!$A$3,"Model","VF5","Tình Trạng
 cấp đơn","Pending","KHSX",DATE(2026,3,25),"NOTE","Hàng tập kết")</f>
        <v>#REF!</v>
      </c>
      <c r="O212" s="106">
        <v>8</v>
      </c>
      <c r="P212" s="107">
        <v>3</v>
      </c>
      <c r="Q212" s="122" t="e">
        <f t="shared" si="34"/>
        <v>#REF!</v>
      </c>
      <c r="R212" s="123" t="e">
        <f t="shared" si="35"/>
        <v>#REF!</v>
      </c>
      <c r="S212" s="123" t="e">
        <f t="shared" si="36"/>
        <v>#REF!</v>
      </c>
      <c r="T212" s="123" t="e">
        <f t="shared" si="33"/>
        <v>#REF!</v>
      </c>
      <c r="U212" s="124" t="e">
        <f t="shared" si="37"/>
        <v>#REF!</v>
      </c>
      <c r="V212" s="125"/>
    </row>
    <row r="213" spans="2:22" ht="15.75" hidden="1" x14ac:dyDescent="0.2">
      <c r="B213" s="711">
        <v>46105</v>
      </c>
      <c r="C213" s="105" t="s">
        <v>18</v>
      </c>
      <c r="D213" s="105" t="s">
        <v>23</v>
      </c>
      <c r="E213" s="711">
        <v>46106</v>
      </c>
      <c r="G213" s="834">
        <v>46106</v>
      </c>
      <c r="H213" s="120" t="s">
        <v>17</v>
      </c>
      <c r="I213" s="120" t="s">
        <v>18</v>
      </c>
      <c r="J213" s="106">
        <v>237</v>
      </c>
      <c r="K213" s="106">
        <v>0</v>
      </c>
      <c r="L213" s="106">
        <v>0</v>
      </c>
      <c r="M213" s="107">
        <v>237</v>
      </c>
      <c r="N213" s="106">
        <v>0</v>
      </c>
      <c r="O213" s="106">
        <v>0</v>
      </c>
      <c r="P213" s="107">
        <v>3</v>
      </c>
      <c r="Q213" s="122">
        <f t="shared" si="34"/>
        <v>0</v>
      </c>
      <c r="R213" s="123">
        <f t="shared" si="35"/>
        <v>0</v>
      </c>
      <c r="S213" s="123">
        <f t="shared" si="36"/>
        <v>1.2658227848101266E-2</v>
      </c>
      <c r="T213" s="123">
        <f t="shared" si="33"/>
        <v>0</v>
      </c>
      <c r="U213" s="124">
        <f t="shared" si="37"/>
        <v>1.2658227848101266E-2</v>
      </c>
      <c r="V213" s="125"/>
    </row>
    <row r="214" spans="2:22" ht="15.75" hidden="1" x14ac:dyDescent="0.2">
      <c r="B214" s="711">
        <v>46105</v>
      </c>
      <c r="C214" s="105" t="s">
        <v>18</v>
      </c>
      <c r="D214" s="105" t="s">
        <v>23</v>
      </c>
      <c r="E214" s="711">
        <v>46106</v>
      </c>
      <c r="G214" s="835"/>
      <c r="H214" s="113" t="s">
        <v>19</v>
      </c>
      <c r="I214" s="113"/>
      <c r="J214" s="113">
        <f>SUM(J213:J213)</f>
        <v>237</v>
      </c>
      <c r="K214" s="113">
        <f>SUM(K213:K213)</f>
        <v>0</v>
      </c>
      <c r="L214" s="113">
        <f>SUM(L213:L213)</f>
        <v>0</v>
      </c>
      <c r="M214" s="114">
        <f>SUM(M213:M213)</f>
        <v>237</v>
      </c>
      <c r="N214" s="113">
        <f>SUM(N213:N213)</f>
        <v>0</v>
      </c>
      <c r="O214" s="113">
        <v>0</v>
      </c>
      <c r="P214" s="114">
        <f>SUM(P213:P213)</f>
        <v>3</v>
      </c>
      <c r="Q214" s="115">
        <f t="shared" si="34"/>
        <v>0</v>
      </c>
      <c r="R214" s="116">
        <f t="shared" si="35"/>
        <v>0</v>
      </c>
      <c r="S214" s="116">
        <f t="shared" si="36"/>
        <v>1.2658227848101266E-2</v>
      </c>
      <c r="T214" s="116">
        <f t="shared" si="33"/>
        <v>0</v>
      </c>
      <c r="U214" s="117">
        <f t="shared" si="37"/>
        <v>1.2658227848101266E-2</v>
      </c>
      <c r="V214" s="127"/>
    </row>
    <row r="215" spans="2:22" ht="15.75" hidden="1" x14ac:dyDescent="0.2">
      <c r="B215" s="711">
        <v>46105</v>
      </c>
      <c r="C215" s="105" t="s">
        <v>18</v>
      </c>
      <c r="D215" s="105" t="s">
        <v>23</v>
      </c>
      <c r="E215" s="711">
        <v>46106</v>
      </c>
      <c r="G215" s="702"/>
      <c r="H215" s="120" t="s">
        <v>16</v>
      </c>
      <c r="I215" s="120" t="s">
        <v>27</v>
      </c>
      <c r="J215" s="106">
        <v>241</v>
      </c>
      <c r="K215" s="106">
        <v>0</v>
      </c>
      <c r="L215" s="106">
        <v>2</v>
      </c>
      <c r="M215" s="107">
        <v>239</v>
      </c>
      <c r="N215" s="106">
        <v>0</v>
      </c>
      <c r="O215" s="106">
        <v>0</v>
      </c>
      <c r="P215" s="107">
        <v>6</v>
      </c>
      <c r="Q215" s="122">
        <f t="shared" si="34"/>
        <v>8.2987551867219917E-3</v>
      </c>
      <c r="R215" s="123">
        <f t="shared" si="35"/>
        <v>0</v>
      </c>
      <c r="S215" s="123">
        <f t="shared" si="36"/>
        <v>2.4896265560165973E-2</v>
      </c>
      <c r="T215" s="123">
        <f t="shared" si="33"/>
        <v>0</v>
      </c>
      <c r="U215" s="124">
        <f t="shared" si="37"/>
        <v>3.3195020746887967E-2</v>
      </c>
      <c r="V215" s="125"/>
    </row>
    <row r="216" spans="2:22" ht="15.75" hidden="1" x14ac:dyDescent="0.2">
      <c r="B216" s="711">
        <v>46105</v>
      </c>
      <c r="C216" s="105" t="s">
        <v>18</v>
      </c>
      <c r="D216" s="105" t="s">
        <v>23</v>
      </c>
      <c r="E216" s="711">
        <v>46106</v>
      </c>
      <c r="G216" s="702"/>
      <c r="H216" s="120" t="s">
        <v>14</v>
      </c>
      <c r="I216" s="142" t="s">
        <v>15</v>
      </c>
      <c r="J216" s="106">
        <v>236</v>
      </c>
      <c r="K216" s="106">
        <v>114</v>
      </c>
      <c r="L216" s="106">
        <v>50</v>
      </c>
      <c r="M216" s="107">
        <v>36</v>
      </c>
      <c r="N216" s="106">
        <v>25</v>
      </c>
      <c r="O216" s="106">
        <v>8</v>
      </c>
      <c r="P216" s="107">
        <v>3</v>
      </c>
      <c r="Q216" s="122">
        <f t="shared" si="34"/>
        <v>0.69491525423728817</v>
      </c>
      <c r="R216" s="123">
        <f t="shared" si="35"/>
        <v>0.1059322033898305</v>
      </c>
      <c r="S216" s="123">
        <f t="shared" si="36"/>
        <v>1.2711864406779662E-2</v>
      </c>
      <c r="T216" s="123">
        <f t="shared" si="33"/>
        <v>3.3898305084745763E-2</v>
      </c>
      <c r="U216" s="124">
        <f t="shared" si="37"/>
        <v>0.84745762711864414</v>
      </c>
      <c r="V216" s="125"/>
    </row>
    <row r="217" spans="2:22" ht="15.75" hidden="1" x14ac:dyDescent="0.2">
      <c r="B217" s="711">
        <v>46105</v>
      </c>
      <c r="C217" s="105" t="s">
        <v>18</v>
      </c>
      <c r="D217" s="105" t="s">
        <v>23</v>
      </c>
      <c r="E217" s="711">
        <v>46106</v>
      </c>
      <c r="G217" s="834">
        <v>46106</v>
      </c>
      <c r="H217" s="120" t="s">
        <v>17</v>
      </c>
      <c r="I217" s="120" t="s">
        <v>18</v>
      </c>
      <c r="J217" s="106">
        <v>237</v>
      </c>
      <c r="K217" s="106">
        <v>0</v>
      </c>
      <c r="L217" s="106">
        <v>0</v>
      </c>
      <c r="M217" s="107">
        <v>237</v>
      </c>
      <c r="N217" s="106">
        <v>0</v>
      </c>
      <c r="O217" s="106">
        <v>0</v>
      </c>
      <c r="P217" s="107">
        <v>3</v>
      </c>
      <c r="Q217" s="122">
        <f t="shared" si="34"/>
        <v>0</v>
      </c>
      <c r="R217" s="123">
        <f t="shared" si="35"/>
        <v>0</v>
      </c>
      <c r="S217" s="123">
        <f t="shared" si="36"/>
        <v>1.2658227848101266E-2</v>
      </c>
      <c r="T217" s="123">
        <f t="shared" si="33"/>
        <v>0</v>
      </c>
      <c r="U217" s="124">
        <f t="shared" si="37"/>
        <v>1.2658227848101266E-2</v>
      </c>
      <c r="V217" s="125"/>
    </row>
    <row r="218" spans="2:22" ht="15.75" hidden="1" x14ac:dyDescent="0.2">
      <c r="B218" s="711">
        <v>46105</v>
      </c>
      <c r="C218" s="105" t="s">
        <v>18</v>
      </c>
      <c r="D218" s="105" t="s">
        <v>23</v>
      </c>
      <c r="E218" s="711">
        <v>46106</v>
      </c>
      <c r="G218" s="835"/>
      <c r="H218" s="113" t="s">
        <v>19</v>
      </c>
      <c r="I218" s="113"/>
      <c r="J218" s="113">
        <f>SUM(J217:J217)</f>
        <v>237</v>
      </c>
      <c r="K218" s="113">
        <f>SUM(K217:K217)</f>
        <v>0</v>
      </c>
      <c r="L218" s="113">
        <f>SUM(L217:L217)</f>
        <v>0</v>
      </c>
      <c r="M218" s="114">
        <f>SUM(M217:M217)</f>
        <v>237</v>
      </c>
      <c r="N218" s="113">
        <f>SUM(N217:N217)</f>
        <v>0</v>
      </c>
      <c r="O218" s="113">
        <v>0</v>
      </c>
      <c r="P218" s="114">
        <f>SUM(P217:P217)</f>
        <v>3</v>
      </c>
      <c r="Q218" s="115">
        <f t="shared" si="34"/>
        <v>0</v>
      </c>
      <c r="R218" s="116">
        <f t="shared" si="35"/>
        <v>0</v>
      </c>
      <c r="S218" s="116">
        <f t="shared" si="36"/>
        <v>1.2658227848101266E-2</v>
      </c>
      <c r="T218" s="116">
        <f t="shared" si="33"/>
        <v>0</v>
      </c>
      <c r="U218" s="117">
        <f t="shared" si="37"/>
        <v>1.2658227848101266E-2</v>
      </c>
      <c r="V218" s="127"/>
    </row>
    <row r="219" spans="2:22" ht="15.75" hidden="1" x14ac:dyDescent="0.2">
      <c r="B219" s="711">
        <v>46106</v>
      </c>
      <c r="C219" s="105" t="s">
        <v>22</v>
      </c>
      <c r="D219" s="105" t="s">
        <v>13</v>
      </c>
      <c r="E219" s="711">
        <v>46106</v>
      </c>
      <c r="G219" s="833">
        <v>46106</v>
      </c>
      <c r="H219" s="106" t="s">
        <v>32</v>
      </c>
      <c r="I219" s="106" t="s">
        <v>22</v>
      </c>
      <c r="J219" s="106">
        <v>3</v>
      </c>
      <c r="K219" s="106">
        <f>(J219)-(L219+M219+N219+P219+O219)</f>
        <v>3</v>
      </c>
      <c r="L219" s="106">
        <v>0</v>
      </c>
      <c r="M219" s="107">
        <v>0</v>
      </c>
      <c r="N219" s="106">
        <v>0</v>
      </c>
      <c r="O219" s="106">
        <v>0</v>
      </c>
      <c r="P219" s="107">
        <v>0</v>
      </c>
      <c r="Q219" s="108">
        <f t="shared" si="34"/>
        <v>1</v>
      </c>
      <c r="R219" s="109">
        <f t="shared" si="35"/>
        <v>0</v>
      </c>
      <c r="S219" s="109">
        <f t="shared" si="36"/>
        <v>0</v>
      </c>
      <c r="T219" s="109">
        <f t="shared" si="33"/>
        <v>0</v>
      </c>
      <c r="U219" s="110">
        <f t="shared" si="37"/>
        <v>1</v>
      </c>
      <c r="V219" s="125"/>
    </row>
    <row r="220" spans="2:22" ht="15.75" hidden="1" x14ac:dyDescent="0.2">
      <c r="B220" s="711">
        <v>46106</v>
      </c>
      <c r="C220" s="105" t="s">
        <v>22</v>
      </c>
      <c r="D220" s="105" t="s">
        <v>13</v>
      </c>
      <c r="E220" s="711">
        <v>46106</v>
      </c>
      <c r="G220" s="834"/>
      <c r="H220" s="120" t="s">
        <v>16</v>
      </c>
      <c r="I220" s="120" t="s">
        <v>27</v>
      </c>
      <c r="J220" s="106">
        <v>241</v>
      </c>
      <c r="K220" s="106">
        <f>(J220)-(L220+M220+N220+P220+O220)</f>
        <v>142</v>
      </c>
      <c r="L220" s="106">
        <v>36</v>
      </c>
      <c r="M220" s="107">
        <v>46</v>
      </c>
      <c r="N220" s="106">
        <v>0</v>
      </c>
      <c r="O220" s="106">
        <v>12</v>
      </c>
      <c r="P220" s="107">
        <v>5</v>
      </c>
      <c r="Q220" s="122">
        <f t="shared" si="34"/>
        <v>0.7385892116182573</v>
      </c>
      <c r="R220" s="123">
        <f t="shared" si="35"/>
        <v>0</v>
      </c>
      <c r="S220" s="123">
        <f t="shared" si="36"/>
        <v>2.0746887966804978E-2</v>
      </c>
      <c r="T220" s="123">
        <f t="shared" si="33"/>
        <v>4.9792531120331947E-2</v>
      </c>
      <c r="U220" s="124">
        <f t="shared" si="37"/>
        <v>0.80912863070539431</v>
      </c>
      <c r="V220" s="125" t="s">
        <v>74</v>
      </c>
    </row>
    <row r="221" spans="2:22" ht="15.75" hidden="1" x14ac:dyDescent="0.2">
      <c r="B221" s="711">
        <v>46106</v>
      </c>
      <c r="C221" s="105" t="s">
        <v>22</v>
      </c>
      <c r="D221" s="105" t="s">
        <v>13</v>
      </c>
      <c r="E221" s="711">
        <v>46106</v>
      </c>
      <c r="G221" s="834"/>
      <c r="H221" s="120" t="s">
        <v>14</v>
      </c>
      <c r="I221" s="120" t="s">
        <v>27</v>
      </c>
      <c r="J221" s="148">
        <v>236</v>
      </c>
      <c r="K221" s="106">
        <f>(J221)-(L221+M221+N221+P221+O221)</f>
        <v>177</v>
      </c>
      <c r="L221" s="106">
        <v>47</v>
      </c>
      <c r="M221" s="107">
        <v>2</v>
      </c>
      <c r="N221" s="106">
        <v>0</v>
      </c>
      <c r="O221" s="106">
        <v>8</v>
      </c>
      <c r="P221" s="107">
        <v>2</v>
      </c>
      <c r="Q221" s="122">
        <f t="shared" si="34"/>
        <v>0.94915254237288138</v>
      </c>
      <c r="R221" s="123">
        <f t="shared" si="35"/>
        <v>0</v>
      </c>
      <c r="S221" s="123">
        <f t="shared" si="36"/>
        <v>8.4745762711864406E-3</v>
      </c>
      <c r="T221" s="123">
        <f t="shared" si="33"/>
        <v>3.3898305084745763E-2</v>
      </c>
      <c r="U221" s="124">
        <f t="shared" si="37"/>
        <v>0.99152542372881358</v>
      </c>
      <c r="V221" s="125" t="s">
        <v>73</v>
      </c>
    </row>
    <row r="222" spans="2:22" ht="15.75" hidden="1" x14ac:dyDescent="0.2">
      <c r="B222" s="711">
        <v>46106</v>
      </c>
      <c r="C222" s="105" t="s">
        <v>22</v>
      </c>
      <c r="D222" s="105" t="s">
        <v>13</v>
      </c>
      <c r="E222" s="711">
        <v>46106</v>
      </c>
      <c r="G222" s="834"/>
      <c r="H222" s="120" t="s">
        <v>25</v>
      </c>
      <c r="I222" s="120" t="s">
        <v>18</v>
      </c>
      <c r="J222" s="106">
        <v>217</v>
      </c>
      <c r="K222" s="106">
        <f>(J222)-(L222+M222+N222+P222+O222)</f>
        <v>0</v>
      </c>
      <c r="L222" s="106">
        <v>0</v>
      </c>
      <c r="M222" s="107">
        <v>214</v>
      </c>
      <c r="N222" s="106">
        <v>0</v>
      </c>
      <c r="O222" s="106">
        <v>0</v>
      </c>
      <c r="P222" s="107">
        <v>3</v>
      </c>
      <c r="Q222" s="122">
        <f t="shared" si="34"/>
        <v>0</v>
      </c>
      <c r="R222" s="123">
        <f t="shared" si="35"/>
        <v>0</v>
      </c>
      <c r="S222" s="123">
        <f t="shared" si="36"/>
        <v>1.3824884792626729E-2</v>
      </c>
      <c r="T222" s="123">
        <f t="shared" si="33"/>
        <v>0</v>
      </c>
      <c r="U222" s="124">
        <f t="shared" si="37"/>
        <v>1.3824884792626729E-2</v>
      </c>
      <c r="V222" s="125"/>
    </row>
    <row r="223" spans="2:22" ht="15.75" hidden="1" x14ac:dyDescent="0.2">
      <c r="B223" s="711">
        <v>46106</v>
      </c>
      <c r="C223" s="105" t="s">
        <v>22</v>
      </c>
      <c r="D223" s="105" t="s">
        <v>13</v>
      </c>
      <c r="E223" s="711">
        <v>46106</v>
      </c>
      <c r="G223" s="835"/>
      <c r="H223" s="113" t="s">
        <v>19</v>
      </c>
      <c r="I223" s="113"/>
      <c r="J223" s="113">
        <f>SUM(J219:J222)</f>
        <v>697</v>
      </c>
      <c r="K223" s="113">
        <f>SUM(K219:K222)</f>
        <v>322</v>
      </c>
      <c r="L223" s="113">
        <f>SUM(L219:L222)</f>
        <v>83</v>
      </c>
      <c r="M223" s="114">
        <f>SUM(M219:M222)</f>
        <v>262</v>
      </c>
      <c r="N223" s="113">
        <f>SUM(N219:N222)</f>
        <v>0</v>
      </c>
      <c r="O223" s="113">
        <v>0</v>
      </c>
      <c r="P223" s="114">
        <f>SUM(P219:P222)</f>
        <v>10</v>
      </c>
      <c r="Q223" s="115">
        <f t="shared" si="34"/>
        <v>0.58106169296987087</v>
      </c>
      <c r="R223" s="116">
        <f t="shared" si="35"/>
        <v>0</v>
      </c>
      <c r="S223" s="116">
        <f t="shared" si="36"/>
        <v>1.4347202295552367E-2</v>
      </c>
      <c r="T223" s="116">
        <f t="shared" si="33"/>
        <v>0</v>
      </c>
      <c r="U223" s="117">
        <f t="shared" si="37"/>
        <v>0.59540889526542329</v>
      </c>
      <c r="V223" s="127"/>
    </row>
    <row r="224" spans="2:22" ht="15.75" hidden="1" x14ac:dyDescent="0.2">
      <c r="B224" s="711">
        <v>46106</v>
      </c>
      <c r="C224" s="105" t="s">
        <v>12</v>
      </c>
      <c r="D224" s="105" t="s">
        <v>20</v>
      </c>
      <c r="E224" s="711">
        <v>46106</v>
      </c>
      <c r="G224" s="833">
        <v>46106</v>
      </c>
      <c r="H224" s="106" t="s">
        <v>16</v>
      </c>
      <c r="I224" s="106" t="s">
        <v>27</v>
      </c>
      <c r="J224" s="148">
        <v>57</v>
      </c>
      <c r="K224" s="106">
        <v>15</v>
      </c>
      <c r="L224" s="106">
        <v>34</v>
      </c>
      <c r="M224" s="107">
        <v>0</v>
      </c>
      <c r="N224" s="106">
        <v>0</v>
      </c>
      <c r="O224" s="106">
        <v>0</v>
      </c>
      <c r="P224" s="107">
        <v>8</v>
      </c>
      <c r="Q224" s="108">
        <f t="shared" si="34"/>
        <v>0.85964912280701755</v>
      </c>
      <c r="R224" s="109">
        <f t="shared" si="35"/>
        <v>0</v>
      </c>
      <c r="S224" s="109">
        <f t="shared" si="36"/>
        <v>0.14035087719298245</v>
      </c>
      <c r="T224" s="109">
        <f t="shared" si="33"/>
        <v>0</v>
      </c>
      <c r="U224" s="110">
        <f t="shared" si="37"/>
        <v>1</v>
      </c>
      <c r="V224" s="111"/>
    </row>
    <row r="225" spans="2:22" ht="15.75" hidden="1" x14ac:dyDescent="0.2">
      <c r="B225" s="711">
        <v>46106</v>
      </c>
      <c r="C225" s="105" t="s">
        <v>12</v>
      </c>
      <c r="D225" s="105" t="s">
        <v>20</v>
      </c>
      <c r="E225" s="711">
        <v>46106</v>
      </c>
      <c r="G225" s="834"/>
      <c r="H225" s="120" t="s">
        <v>14</v>
      </c>
      <c r="I225" s="120" t="s">
        <v>15</v>
      </c>
      <c r="J225" s="106">
        <v>36</v>
      </c>
      <c r="K225" s="106">
        <v>31</v>
      </c>
      <c r="L225" s="106">
        <v>3</v>
      </c>
      <c r="M225" s="107">
        <v>0</v>
      </c>
      <c r="N225" s="106">
        <v>0</v>
      </c>
      <c r="O225" s="106">
        <v>0</v>
      </c>
      <c r="P225" s="107">
        <v>2</v>
      </c>
      <c r="Q225" s="108">
        <f t="shared" si="34"/>
        <v>0.94444444444444442</v>
      </c>
      <c r="R225" s="109">
        <f t="shared" si="35"/>
        <v>0</v>
      </c>
      <c r="S225" s="109">
        <f t="shared" si="36"/>
        <v>5.5555555555555552E-2</v>
      </c>
      <c r="T225" s="109">
        <f t="shared" si="33"/>
        <v>0</v>
      </c>
      <c r="U225" s="110">
        <f t="shared" si="37"/>
        <v>1</v>
      </c>
      <c r="V225" s="111"/>
    </row>
    <row r="226" spans="2:22" ht="15.75" hidden="1" x14ac:dyDescent="0.2">
      <c r="B226" s="711">
        <v>46106</v>
      </c>
      <c r="C226" s="105" t="s">
        <v>12</v>
      </c>
      <c r="D226" s="105" t="s">
        <v>20</v>
      </c>
      <c r="E226" s="711">
        <v>46106</v>
      </c>
      <c r="G226" s="834"/>
      <c r="H226" s="120" t="s">
        <v>26</v>
      </c>
      <c r="I226" s="120" t="s">
        <v>12</v>
      </c>
      <c r="J226" s="106">
        <v>1</v>
      </c>
      <c r="K226" s="106">
        <v>1</v>
      </c>
      <c r="L226" s="106">
        <v>0</v>
      </c>
      <c r="M226" s="107">
        <v>0</v>
      </c>
      <c r="N226" s="106">
        <v>0</v>
      </c>
      <c r="O226" s="106">
        <v>0</v>
      </c>
      <c r="P226" s="107">
        <v>0</v>
      </c>
      <c r="Q226" s="108">
        <f t="shared" si="34"/>
        <v>1</v>
      </c>
      <c r="R226" s="109">
        <f t="shared" si="35"/>
        <v>0</v>
      </c>
      <c r="S226" s="109">
        <f t="shared" si="36"/>
        <v>0</v>
      </c>
      <c r="T226" s="109">
        <f t="shared" si="33"/>
        <v>0</v>
      </c>
      <c r="U226" s="110">
        <f t="shared" si="37"/>
        <v>1</v>
      </c>
      <c r="V226" s="111"/>
    </row>
    <row r="227" spans="2:22" ht="15.75" hidden="1" x14ac:dyDescent="0.2">
      <c r="B227" s="711">
        <v>46106</v>
      </c>
      <c r="C227" s="105" t="s">
        <v>12</v>
      </c>
      <c r="D227" s="105" t="s">
        <v>20</v>
      </c>
      <c r="E227" s="711">
        <v>46106</v>
      </c>
      <c r="G227" s="834"/>
      <c r="H227" s="120" t="s">
        <v>25</v>
      </c>
      <c r="I227" s="120" t="s">
        <v>18</v>
      </c>
      <c r="J227" s="106">
        <v>232</v>
      </c>
      <c r="K227" s="106">
        <v>79</v>
      </c>
      <c r="L227" s="106">
        <v>21</v>
      </c>
      <c r="M227" s="107">
        <v>104</v>
      </c>
      <c r="N227" s="106">
        <v>0</v>
      </c>
      <c r="O227" s="106">
        <v>24</v>
      </c>
      <c r="P227" s="120">
        <v>4</v>
      </c>
      <c r="Q227" s="108">
        <f t="shared" si="34"/>
        <v>0.43103448275862066</v>
      </c>
      <c r="R227" s="109">
        <f t="shared" si="35"/>
        <v>0</v>
      </c>
      <c r="S227" s="109">
        <f t="shared" si="36"/>
        <v>1.7241379310344827E-2</v>
      </c>
      <c r="T227" s="109">
        <f t="shared" si="33"/>
        <v>0.10344827586206896</v>
      </c>
      <c r="U227" s="110">
        <f t="shared" si="37"/>
        <v>0.55172413793103448</v>
      </c>
      <c r="V227" s="111" t="s">
        <v>76</v>
      </c>
    </row>
    <row r="228" spans="2:22" ht="15.75" hidden="1" x14ac:dyDescent="0.2">
      <c r="B228" s="711">
        <v>46106</v>
      </c>
      <c r="C228" s="105" t="s">
        <v>12</v>
      </c>
      <c r="D228" s="105" t="s">
        <v>20</v>
      </c>
      <c r="E228" s="711">
        <v>46106</v>
      </c>
      <c r="G228" s="835"/>
      <c r="H228" s="113" t="s">
        <v>19</v>
      </c>
      <c r="I228" s="113"/>
      <c r="J228" s="113">
        <f>SUM(J224:J227)</f>
        <v>326</v>
      </c>
      <c r="K228" s="113">
        <f>SUM(K224:K227)</f>
        <v>126</v>
      </c>
      <c r="L228" s="113">
        <f>SUM(L224:L227)</f>
        <v>58</v>
      </c>
      <c r="M228" s="114">
        <f>SUM(M224:M227)</f>
        <v>104</v>
      </c>
      <c r="N228" s="113">
        <f>SUM(N224:N227)</f>
        <v>0</v>
      </c>
      <c r="O228" s="113">
        <v>0</v>
      </c>
      <c r="P228" s="114">
        <f>SUM(P224:P227)</f>
        <v>14</v>
      </c>
      <c r="Q228" s="115">
        <f t="shared" si="34"/>
        <v>0.56441717791411039</v>
      </c>
      <c r="R228" s="116">
        <f t="shared" si="35"/>
        <v>0</v>
      </c>
      <c r="S228" s="116">
        <f t="shared" si="36"/>
        <v>4.2944785276073622E-2</v>
      </c>
      <c r="T228" s="116">
        <f t="shared" si="33"/>
        <v>0</v>
      </c>
      <c r="U228" s="117">
        <f t="shared" si="37"/>
        <v>0.60736196319018398</v>
      </c>
      <c r="V228" s="127"/>
    </row>
    <row r="229" spans="2:22" ht="15.75" hidden="1" x14ac:dyDescent="0.2">
      <c r="B229" s="711">
        <v>46106</v>
      </c>
      <c r="C229" s="105" t="s">
        <v>12</v>
      </c>
      <c r="D229" s="105" t="s">
        <v>20</v>
      </c>
      <c r="E229" s="711">
        <v>46107</v>
      </c>
      <c r="G229" s="833">
        <v>46107</v>
      </c>
      <c r="H229" s="106" t="s">
        <v>32</v>
      </c>
      <c r="I229" s="106" t="s">
        <v>22</v>
      </c>
      <c r="J229" s="106">
        <v>46</v>
      </c>
      <c r="K229" s="106">
        <v>0</v>
      </c>
      <c r="L229" s="106">
        <v>0</v>
      </c>
      <c r="M229" s="107">
        <v>46</v>
      </c>
      <c r="N229" s="106">
        <v>0</v>
      </c>
      <c r="O229" s="106">
        <v>0</v>
      </c>
      <c r="P229" s="107">
        <v>0</v>
      </c>
      <c r="Q229" s="122">
        <f t="shared" si="34"/>
        <v>0</v>
      </c>
      <c r="R229" s="123">
        <f t="shared" si="35"/>
        <v>0</v>
      </c>
      <c r="S229" s="123">
        <f t="shared" si="36"/>
        <v>0</v>
      </c>
      <c r="T229" s="123">
        <f t="shared" si="33"/>
        <v>0</v>
      </c>
      <c r="U229" s="124">
        <f t="shared" si="37"/>
        <v>0</v>
      </c>
      <c r="V229" s="125"/>
    </row>
    <row r="230" spans="2:22" ht="15.75" hidden="1" x14ac:dyDescent="0.2">
      <c r="B230" s="711">
        <v>46106</v>
      </c>
      <c r="C230" s="105" t="s">
        <v>12</v>
      </c>
      <c r="D230" s="105" t="s">
        <v>20</v>
      </c>
      <c r="E230" s="711">
        <v>46107</v>
      </c>
      <c r="G230" s="834"/>
      <c r="H230" s="120" t="s">
        <v>75</v>
      </c>
      <c r="I230" s="106" t="s">
        <v>27</v>
      </c>
      <c r="J230" s="106">
        <v>237</v>
      </c>
      <c r="K230" s="106">
        <v>0</v>
      </c>
      <c r="L230" s="106">
        <v>0</v>
      </c>
      <c r="M230" s="107">
        <v>237</v>
      </c>
      <c r="N230" s="106">
        <v>0</v>
      </c>
      <c r="O230" s="106">
        <v>0</v>
      </c>
      <c r="P230" s="107">
        <v>3</v>
      </c>
      <c r="Q230" s="122">
        <f t="shared" si="34"/>
        <v>0</v>
      </c>
      <c r="R230" s="123">
        <f t="shared" si="35"/>
        <v>0</v>
      </c>
      <c r="S230" s="123">
        <f t="shared" si="36"/>
        <v>1.2658227848101266E-2</v>
      </c>
      <c r="T230" s="123">
        <f t="shared" si="33"/>
        <v>0</v>
      </c>
      <c r="U230" s="124">
        <f t="shared" si="37"/>
        <v>1.2658227848101266E-2</v>
      </c>
      <c r="V230" s="125"/>
    </row>
    <row r="231" spans="2:22" ht="15.75" hidden="1" x14ac:dyDescent="0.2">
      <c r="B231" s="711">
        <v>46106</v>
      </c>
      <c r="C231" s="105" t="s">
        <v>12</v>
      </c>
      <c r="D231" s="105" t="s">
        <v>20</v>
      </c>
      <c r="E231" s="711">
        <v>46107</v>
      </c>
      <c r="G231" s="834"/>
      <c r="H231" s="120" t="s">
        <v>14</v>
      </c>
      <c r="I231" s="106" t="s">
        <v>22</v>
      </c>
      <c r="J231" s="106">
        <v>253</v>
      </c>
      <c r="K231" s="106">
        <v>0</v>
      </c>
      <c r="L231" s="106">
        <v>0</v>
      </c>
      <c r="M231" s="107">
        <v>253</v>
      </c>
      <c r="N231" s="106">
        <v>0</v>
      </c>
      <c r="O231" s="106">
        <v>0</v>
      </c>
      <c r="P231" s="107">
        <v>7</v>
      </c>
      <c r="Q231" s="122">
        <f t="shared" si="34"/>
        <v>0</v>
      </c>
      <c r="R231" s="123">
        <f t="shared" si="35"/>
        <v>0</v>
      </c>
      <c r="S231" s="123">
        <f t="shared" si="36"/>
        <v>2.766798418972332E-2</v>
      </c>
      <c r="T231" s="123">
        <f t="shared" si="33"/>
        <v>0</v>
      </c>
      <c r="U231" s="124">
        <f t="shared" si="37"/>
        <v>2.766798418972332E-2</v>
      </c>
      <c r="V231" s="125"/>
    </row>
    <row r="232" spans="2:22" ht="15.75" hidden="1" x14ac:dyDescent="0.2">
      <c r="B232" s="711">
        <v>46106</v>
      </c>
      <c r="C232" s="105" t="s">
        <v>12</v>
      </c>
      <c r="D232" s="105" t="s">
        <v>20</v>
      </c>
      <c r="E232" s="711">
        <v>46107</v>
      </c>
      <c r="G232" s="834"/>
      <c r="H232" s="120" t="s">
        <v>17</v>
      </c>
      <c r="I232" s="106" t="s">
        <v>27</v>
      </c>
      <c r="J232" s="106">
        <v>220</v>
      </c>
      <c r="K232" s="106">
        <v>0</v>
      </c>
      <c r="L232" s="106">
        <v>0</v>
      </c>
      <c r="M232" s="107">
        <v>220</v>
      </c>
      <c r="N232" s="106">
        <v>0</v>
      </c>
      <c r="O232" s="106">
        <v>0</v>
      </c>
      <c r="P232" s="107">
        <v>0</v>
      </c>
      <c r="Q232" s="122">
        <f t="shared" si="34"/>
        <v>0</v>
      </c>
      <c r="R232" s="123">
        <f t="shared" si="35"/>
        <v>0</v>
      </c>
      <c r="S232" s="123">
        <f t="shared" si="36"/>
        <v>0</v>
      </c>
      <c r="T232" s="123">
        <f t="shared" si="33"/>
        <v>0</v>
      </c>
      <c r="U232" s="124">
        <f t="shared" si="37"/>
        <v>0</v>
      </c>
      <c r="V232" s="125"/>
    </row>
    <row r="233" spans="2:22" ht="15.75" hidden="1" x14ac:dyDescent="0.2">
      <c r="B233" s="711">
        <v>46106</v>
      </c>
      <c r="C233" s="105" t="s">
        <v>12</v>
      </c>
      <c r="D233" s="105" t="s">
        <v>20</v>
      </c>
      <c r="E233" s="711">
        <v>46107</v>
      </c>
      <c r="G233" s="835"/>
      <c r="H233" s="113" t="s">
        <v>19</v>
      </c>
      <c r="I233" s="113"/>
      <c r="J233" s="113">
        <f>SUM(J232:J232)</f>
        <v>220</v>
      </c>
      <c r="K233" s="113">
        <f>SUM(K232:K232)</f>
        <v>0</v>
      </c>
      <c r="L233" s="113">
        <f>SUM(L232:L232)</f>
        <v>0</v>
      </c>
      <c r="M233" s="114">
        <f>SUM(M229:M232)</f>
        <v>756</v>
      </c>
      <c r="N233" s="113">
        <f>SUM(N232:N232)</f>
        <v>0</v>
      </c>
      <c r="O233" s="113">
        <v>0</v>
      </c>
      <c r="P233" s="114">
        <f>SUM(P232:P232)</f>
        <v>0</v>
      </c>
      <c r="Q233" s="115">
        <f t="shared" si="34"/>
        <v>0</v>
      </c>
      <c r="R233" s="116">
        <f t="shared" si="35"/>
        <v>0</v>
      </c>
      <c r="S233" s="116">
        <f t="shared" si="36"/>
        <v>0</v>
      </c>
      <c r="T233" s="116">
        <f t="shared" si="33"/>
        <v>0</v>
      </c>
      <c r="U233" s="117">
        <f t="shared" si="37"/>
        <v>0</v>
      </c>
      <c r="V233" s="127"/>
    </row>
    <row r="234" spans="2:22" ht="15.75" hidden="1" x14ac:dyDescent="0.2">
      <c r="B234" s="711">
        <v>46106</v>
      </c>
      <c r="C234" s="105" t="s">
        <v>18</v>
      </c>
      <c r="D234" s="105" t="s">
        <v>23</v>
      </c>
      <c r="E234" s="711">
        <v>46107</v>
      </c>
      <c r="G234" s="833">
        <v>46107</v>
      </c>
      <c r="H234" s="106" t="s">
        <v>32</v>
      </c>
      <c r="I234" s="106" t="s">
        <v>22</v>
      </c>
      <c r="J234" s="106">
        <v>46</v>
      </c>
      <c r="K234" s="106">
        <v>0</v>
      </c>
      <c r="L234" s="106">
        <v>0</v>
      </c>
      <c r="M234" s="107">
        <v>27</v>
      </c>
      <c r="N234" s="106">
        <v>19</v>
      </c>
      <c r="O234" s="106">
        <v>0</v>
      </c>
      <c r="P234" s="107">
        <v>0</v>
      </c>
      <c r="Q234" s="122">
        <f t="shared" si="34"/>
        <v>0</v>
      </c>
      <c r="R234" s="123">
        <f t="shared" si="35"/>
        <v>0.41304347826086957</v>
      </c>
      <c r="S234" s="123">
        <f t="shared" si="36"/>
        <v>0</v>
      </c>
      <c r="T234" s="123">
        <f t="shared" si="33"/>
        <v>0</v>
      </c>
      <c r="U234" s="124">
        <f t="shared" si="37"/>
        <v>0.41304347826086957</v>
      </c>
      <c r="V234" s="125"/>
    </row>
    <row r="235" spans="2:22" ht="15.75" hidden="1" x14ac:dyDescent="0.2">
      <c r="B235" s="711">
        <v>46106</v>
      </c>
      <c r="C235" s="105" t="s">
        <v>18</v>
      </c>
      <c r="D235" s="105" t="s">
        <v>23</v>
      </c>
      <c r="E235" s="711">
        <v>46107</v>
      </c>
      <c r="G235" s="834"/>
      <c r="H235" s="120" t="s">
        <v>75</v>
      </c>
      <c r="I235" s="106" t="s">
        <v>27</v>
      </c>
      <c r="J235" s="106">
        <v>237</v>
      </c>
      <c r="K235" s="106">
        <f>(J235)-(L235+M235+N235+P235+O235)</f>
        <v>1</v>
      </c>
      <c r="L235" s="106">
        <v>0</v>
      </c>
      <c r="M235" s="107">
        <v>233</v>
      </c>
      <c r="N235" s="106">
        <v>0</v>
      </c>
      <c r="O235" s="106">
        <v>0</v>
      </c>
      <c r="P235" s="107">
        <v>3</v>
      </c>
      <c r="Q235" s="122">
        <f t="shared" si="34"/>
        <v>4.2194092827004216E-3</v>
      </c>
      <c r="R235" s="123">
        <f t="shared" si="35"/>
        <v>0</v>
      </c>
      <c r="S235" s="123">
        <f t="shared" si="36"/>
        <v>1.2658227848101266E-2</v>
      </c>
      <c r="T235" s="123">
        <f t="shared" si="33"/>
        <v>0</v>
      </c>
      <c r="U235" s="124">
        <f t="shared" si="37"/>
        <v>1.6877637130801686E-2</v>
      </c>
      <c r="V235" s="125"/>
    </row>
    <row r="236" spans="2:22" ht="15.75" hidden="1" x14ac:dyDescent="0.2">
      <c r="B236" s="711">
        <v>46106</v>
      </c>
      <c r="C236" s="105" t="s">
        <v>18</v>
      </c>
      <c r="D236" s="105" t="s">
        <v>23</v>
      </c>
      <c r="E236" s="711">
        <v>46107</v>
      </c>
      <c r="G236" s="834"/>
      <c r="H236" s="120" t="s">
        <v>14</v>
      </c>
      <c r="I236" s="106" t="s">
        <v>22</v>
      </c>
      <c r="J236" s="106">
        <v>252</v>
      </c>
      <c r="K236" s="106">
        <v>121</v>
      </c>
      <c r="L236" s="106">
        <v>31</v>
      </c>
      <c r="M236" s="107">
        <v>42</v>
      </c>
      <c r="N236" s="106">
        <v>51</v>
      </c>
      <c r="O236" s="106">
        <v>0</v>
      </c>
      <c r="P236" s="107">
        <v>7</v>
      </c>
      <c r="Q236" s="122">
        <f t="shared" si="34"/>
        <v>0.60317460317460314</v>
      </c>
      <c r="R236" s="123">
        <f t="shared" si="35"/>
        <v>0.20238095238095238</v>
      </c>
      <c r="S236" s="123">
        <f t="shared" si="36"/>
        <v>2.7777777777777776E-2</v>
      </c>
      <c r="T236" s="123">
        <f t="shared" si="33"/>
        <v>0</v>
      </c>
      <c r="U236" s="124">
        <f t="shared" si="37"/>
        <v>0.83333333333333326</v>
      </c>
      <c r="V236" s="125"/>
    </row>
    <row r="237" spans="2:22" ht="15.75" hidden="1" x14ac:dyDescent="0.2">
      <c r="B237" s="711">
        <v>46106</v>
      </c>
      <c r="C237" s="105" t="s">
        <v>18</v>
      </c>
      <c r="D237" s="105" t="s">
        <v>23</v>
      </c>
      <c r="E237" s="711">
        <v>46107</v>
      </c>
      <c r="G237" s="834"/>
      <c r="H237" s="120" t="s">
        <v>17</v>
      </c>
      <c r="I237" s="106" t="s">
        <v>27</v>
      </c>
      <c r="J237" s="106">
        <v>217</v>
      </c>
      <c r="K237" s="106">
        <v>0</v>
      </c>
      <c r="L237" s="106">
        <v>0</v>
      </c>
      <c r="M237" s="107">
        <v>214</v>
      </c>
      <c r="N237" s="106">
        <v>0</v>
      </c>
      <c r="O237" s="106">
        <v>0</v>
      </c>
      <c r="P237" s="107">
        <v>3</v>
      </c>
      <c r="Q237" s="122">
        <f t="shared" ref="Q237:Q257" si="38">(K237+L237)/J237</f>
        <v>0</v>
      </c>
      <c r="R237" s="123">
        <f t="shared" ref="R237:R257" si="39">N237/J237</f>
        <v>0</v>
      </c>
      <c r="S237" s="123">
        <f t="shared" ref="S237:S257" si="40">P237/J237</f>
        <v>1.3824884792626729E-2</v>
      </c>
      <c r="T237" s="123">
        <f t="shared" si="33"/>
        <v>0</v>
      </c>
      <c r="U237" s="124">
        <f t="shared" ref="U237:U257" si="41">S237+R237+Q237+T237</f>
        <v>1.3824884792626729E-2</v>
      </c>
      <c r="V237" s="125"/>
    </row>
    <row r="238" spans="2:22" ht="15.75" hidden="1" x14ac:dyDescent="0.2">
      <c r="B238" s="711">
        <v>46106</v>
      </c>
      <c r="C238" s="105" t="s">
        <v>18</v>
      </c>
      <c r="D238" s="105" t="s">
        <v>23</v>
      </c>
      <c r="E238" s="711">
        <v>46107</v>
      </c>
      <c r="G238" s="835"/>
      <c r="H238" s="113" t="s">
        <v>19</v>
      </c>
      <c r="I238" s="113"/>
      <c r="J238" s="113">
        <f>SUM(J234:J237)</f>
        <v>752</v>
      </c>
      <c r="K238" s="113">
        <f>SUM(K234:K237)</f>
        <v>122</v>
      </c>
      <c r="L238" s="113">
        <f>SUM(L234:L237)</f>
        <v>31</v>
      </c>
      <c r="M238" s="114">
        <f>SUM(M234:M237)</f>
        <v>516</v>
      </c>
      <c r="N238" s="113">
        <f>SUM(N234:N237)</f>
        <v>70</v>
      </c>
      <c r="O238" s="113">
        <v>0</v>
      </c>
      <c r="P238" s="114">
        <f>SUM(P234:P237)</f>
        <v>13</v>
      </c>
      <c r="Q238" s="115">
        <f t="shared" si="38"/>
        <v>0.20345744680851063</v>
      </c>
      <c r="R238" s="116">
        <f t="shared" si="39"/>
        <v>9.3085106382978719E-2</v>
      </c>
      <c r="S238" s="116">
        <f t="shared" si="40"/>
        <v>1.7287234042553192E-2</v>
      </c>
      <c r="T238" s="116">
        <f t="shared" si="33"/>
        <v>0</v>
      </c>
      <c r="U238" s="117">
        <f t="shared" si="41"/>
        <v>0.31382978723404253</v>
      </c>
      <c r="V238" s="127"/>
    </row>
    <row r="239" spans="2:22" ht="15.75" hidden="1" x14ac:dyDescent="0.2">
      <c r="B239" s="711">
        <v>46107</v>
      </c>
      <c r="C239" s="105" t="s">
        <v>22</v>
      </c>
      <c r="D239" s="105" t="s">
        <v>13</v>
      </c>
      <c r="E239" s="711">
        <v>46107</v>
      </c>
      <c r="G239" s="702"/>
      <c r="H239" s="106" t="s">
        <v>32</v>
      </c>
      <c r="I239" s="106" t="s">
        <v>22</v>
      </c>
      <c r="J239" s="106">
        <v>50</v>
      </c>
      <c r="K239" s="106">
        <v>24</v>
      </c>
      <c r="L239" s="106">
        <v>12</v>
      </c>
      <c r="M239" s="106">
        <v>14</v>
      </c>
      <c r="N239" s="106">
        <v>0</v>
      </c>
      <c r="O239" s="106">
        <v>0</v>
      </c>
      <c r="P239" s="106">
        <v>0</v>
      </c>
      <c r="Q239" s="108">
        <f t="shared" si="38"/>
        <v>0.72</v>
      </c>
      <c r="R239" s="109">
        <f t="shared" si="39"/>
        <v>0</v>
      </c>
      <c r="S239" s="109">
        <f t="shared" si="40"/>
        <v>0</v>
      </c>
      <c r="T239" s="109">
        <f t="shared" si="33"/>
        <v>0</v>
      </c>
      <c r="U239" s="110">
        <f t="shared" si="41"/>
        <v>0.72</v>
      </c>
      <c r="V239" s="106"/>
    </row>
    <row r="240" spans="2:22" ht="15.75" hidden="1" x14ac:dyDescent="0.2">
      <c r="B240" s="711">
        <v>46107</v>
      </c>
      <c r="C240" s="105" t="s">
        <v>22</v>
      </c>
      <c r="D240" s="105" t="s">
        <v>13</v>
      </c>
      <c r="E240" s="711">
        <v>46107</v>
      </c>
      <c r="G240" s="834">
        <v>46107</v>
      </c>
      <c r="H240" s="106" t="s">
        <v>16</v>
      </c>
      <c r="I240" s="106" t="s">
        <v>27</v>
      </c>
      <c r="J240" s="106">
        <v>237</v>
      </c>
      <c r="K240" s="106">
        <v>132</v>
      </c>
      <c r="L240" s="106">
        <v>42</v>
      </c>
      <c r="M240" s="107">
        <v>52</v>
      </c>
      <c r="N240" s="106">
        <v>0</v>
      </c>
      <c r="O240" s="106">
        <v>8</v>
      </c>
      <c r="P240" s="107">
        <v>3</v>
      </c>
      <c r="Q240" s="108">
        <f t="shared" si="38"/>
        <v>0.73417721518987344</v>
      </c>
      <c r="R240" s="109">
        <f t="shared" si="39"/>
        <v>0</v>
      </c>
      <c r="S240" s="109">
        <f t="shared" si="40"/>
        <v>1.2658227848101266E-2</v>
      </c>
      <c r="T240" s="109">
        <f t="shared" si="33"/>
        <v>3.3755274261603373E-2</v>
      </c>
      <c r="U240" s="110">
        <f t="shared" si="41"/>
        <v>0.78059071729957807</v>
      </c>
      <c r="V240" s="125" t="s">
        <v>78</v>
      </c>
    </row>
    <row r="241" spans="2:22" ht="15.75" hidden="1" x14ac:dyDescent="0.2">
      <c r="B241" s="711">
        <v>46107</v>
      </c>
      <c r="C241" s="105" t="s">
        <v>22</v>
      </c>
      <c r="D241" s="105" t="s">
        <v>13</v>
      </c>
      <c r="E241" s="711">
        <v>46107</v>
      </c>
      <c r="G241" s="834"/>
      <c r="H241" s="120" t="s">
        <v>14</v>
      </c>
      <c r="I241" s="120" t="s">
        <v>15</v>
      </c>
      <c r="J241" s="106">
        <v>253</v>
      </c>
      <c r="K241" s="106">
        <v>189</v>
      </c>
      <c r="L241" s="106">
        <v>45</v>
      </c>
      <c r="M241" s="107">
        <v>15</v>
      </c>
      <c r="N241" s="106">
        <v>0</v>
      </c>
      <c r="O241" s="106">
        <v>0</v>
      </c>
      <c r="P241" s="107">
        <v>4</v>
      </c>
      <c r="Q241" s="108">
        <f t="shared" si="38"/>
        <v>0.92490118577075098</v>
      </c>
      <c r="R241" s="109">
        <f t="shared" si="39"/>
        <v>0</v>
      </c>
      <c r="S241" s="109">
        <f t="shared" si="40"/>
        <v>1.5810276679841896E-2</v>
      </c>
      <c r="T241" s="109">
        <f t="shared" si="33"/>
        <v>0</v>
      </c>
      <c r="U241" s="110">
        <f t="shared" si="41"/>
        <v>0.94071146245059289</v>
      </c>
      <c r="V241" s="125" t="s">
        <v>77</v>
      </c>
    </row>
    <row r="242" spans="2:22" ht="15.75" hidden="1" x14ac:dyDescent="0.2">
      <c r="B242" s="711">
        <v>46107</v>
      </c>
      <c r="C242" s="105" t="s">
        <v>22</v>
      </c>
      <c r="D242" s="105" t="s">
        <v>13</v>
      </c>
      <c r="E242" s="711">
        <v>46107</v>
      </c>
      <c r="G242" s="834"/>
      <c r="H242" s="120" t="s">
        <v>17</v>
      </c>
      <c r="I242" s="120" t="s">
        <v>18</v>
      </c>
      <c r="J242" s="106">
        <v>217</v>
      </c>
      <c r="K242" s="106">
        <v>30</v>
      </c>
      <c r="L242" s="106">
        <v>14</v>
      </c>
      <c r="M242" s="107">
        <v>151</v>
      </c>
      <c r="N242" s="106">
        <v>0</v>
      </c>
      <c r="O242" s="106">
        <v>19</v>
      </c>
      <c r="P242" s="120">
        <v>3</v>
      </c>
      <c r="Q242" s="108">
        <f t="shared" si="38"/>
        <v>0.20276497695852536</v>
      </c>
      <c r="R242" s="109">
        <f t="shared" si="39"/>
        <v>0</v>
      </c>
      <c r="S242" s="109">
        <f t="shared" si="40"/>
        <v>1.3824884792626729E-2</v>
      </c>
      <c r="T242" s="109">
        <f t="shared" si="33"/>
        <v>8.755760368663594E-2</v>
      </c>
      <c r="U242" s="110">
        <f t="shared" si="41"/>
        <v>0.30414746543778803</v>
      </c>
      <c r="V242" s="125" t="s">
        <v>79</v>
      </c>
    </row>
    <row r="243" spans="2:22" ht="15.75" hidden="1" x14ac:dyDescent="0.2">
      <c r="B243" s="711">
        <v>46107</v>
      </c>
      <c r="C243" s="105" t="s">
        <v>22</v>
      </c>
      <c r="D243" s="105" t="s">
        <v>13</v>
      </c>
      <c r="E243" s="711">
        <v>46107</v>
      </c>
      <c r="G243" s="835"/>
      <c r="H243" s="113" t="s">
        <v>19</v>
      </c>
      <c r="I243" s="113"/>
      <c r="J243" s="113">
        <f t="shared" ref="J243:P243" si="42">SUM(J239:J242)</f>
        <v>757</v>
      </c>
      <c r="K243" s="113">
        <f t="shared" si="42"/>
        <v>375</v>
      </c>
      <c r="L243" s="113">
        <f t="shared" si="42"/>
        <v>113</v>
      </c>
      <c r="M243" s="114">
        <f t="shared" si="42"/>
        <v>232</v>
      </c>
      <c r="N243" s="113">
        <f t="shared" si="42"/>
        <v>0</v>
      </c>
      <c r="O243" s="113">
        <f t="shared" si="42"/>
        <v>27</v>
      </c>
      <c r="P243" s="114">
        <f t="shared" si="42"/>
        <v>10</v>
      </c>
      <c r="Q243" s="115">
        <f t="shared" si="38"/>
        <v>0.64464993394980186</v>
      </c>
      <c r="R243" s="116">
        <f t="shared" si="39"/>
        <v>0</v>
      </c>
      <c r="S243" s="116">
        <f t="shared" si="40"/>
        <v>1.3210039630118891E-2</v>
      </c>
      <c r="T243" s="116">
        <f t="shared" si="33"/>
        <v>3.5667107001321002E-2</v>
      </c>
      <c r="U243" s="117">
        <f t="shared" si="41"/>
        <v>0.69352708058124179</v>
      </c>
      <c r="V243" s="127"/>
    </row>
    <row r="244" spans="2:22" ht="15.75" hidden="1" x14ac:dyDescent="0.2">
      <c r="B244" s="711">
        <v>46107</v>
      </c>
      <c r="C244" s="105" t="s">
        <v>12</v>
      </c>
      <c r="D244" s="105" t="s">
        <v>20</v>
      </c>
      <c r="E244" s="711">
        <v>46107</v>
      </c>
      <c r="G244" s="833">
        <v>46107</v>
      </c>
      <c r="H244" s="106" t="s">
        <v>16</v>
      </c>
      <c r="I244" s="106" t="s">
        <v>27</v>
      </c>
      <c r="J244" s="106">
        <v>58</v>
      </c>
      <c r="K244" s="106">
        <v>29</v>
      </c>
      <c r="L244" s="106">
        <v>22</v>
      </c>
      <c r="M244" s="107">
        <v>0</v>
      </c>
      <c r="N244" s="106">
        <v>0</v>
      </c>
      <c r="O244" s="106">
        <v>0</v>
      </c>
      <c r="P244" s="107">
        <v>7</v>
      </c>
      <c r="Q244" s="122">
        <f t="shared" si="38"/>
        <v>0.87931034482758619</v>
      </c>
      <c r="R244" s="123">
        <f t="shared" si="39"/>
        <v>0</v>
      </c>
      <c r="S244" s="123">
        <f t="shared" si="40"/>
        <v>0.1206896551724138</v>
      </c>
      <c r="T244" s="123">
        <f t="shared" si="33"/>
        <v>0</v>
      </c>
      <c r="U244" s="124">
        <f t="shared" si="41"/>
        <v>1</v>
      </c>
    </row>
    <row r="245" spans="2:22" ht="15.75" hidden="1" x14ac:dyDescent="0.2">
      <c r="B245" s="711">
        <v>46107</v>
      </c>
      <c r="C245" s="105" t="s">
        <v>12</v>
      </c>
      <c r="D245" s="105" t="s">
        <v>20</v>
      </c>
      <c r="E245" s="711">
        <v>46107</v>
      </c>
      <c r="G245" s="834"/>
      <c r="H245" s="120" t="s">
        <v>14</v>
      </c>
      <c r="I245" s="120" t="s">
        <v>15</v>
      </c>
      <c r="J245" s="106">
        <v>6</v>
      </c>
      <c r="K245" s="106">
        <v>4</v>
      </c>
      <c r="L245" s="106">
        <v>1</v>
      </c>
      <c r="M245" s="107">
        <v>0</v>
      </c>
      <c r="N245" s="106">
        <v>0</v>
      </c>
      <c r="O245" s="106">
        <v>0</v>
      </c>
      <c r="P245" s="107">
        <v>1</v>
      </c>
      <c r="Q245" s="122">
        <f t="shared" si="38"/>
        <v>0.83333333333333337</v>
      </c>
      <c r="R245" s="123">
        <f t="shared" si="39"/>
        <v>0</v>
      </c>
      <c r="S245" s="123">
        <f t="shared" si="40"/>
        <v>0.16666666666666666</v>
      </c>
      <c r="T245" s="123">
        <f t="shared" si="33"/>
        <v>0</v>
      </c>
      <c r="U245" s="124">
        <f t="shared" si="41"/>
        <v>1</v>
      </c>
      <c r="V245" s="125"/>
    </row>
    <row r="246" spans="2:22" ht="15.75" hidden="1" x14ac:dyDescent="0.2">
      <c r="B246" s="711">
        <v>46107</v>
      </c>
      <c r="C246" s="105" t="s">
        <v>12</v>
      </c>
      <c r="D246" s="105" t="s">
        <v>20</v>
      </c>
      <c r="E246" s="711">
        <v>46107</v>
      </c>
      <c r="G246" s="834"/>
      <c r="H246" s="120" t="s">
        <v>17</v>
      </c>
      <c r="I246" s="106" t="s">
        <v>18</v>
      </c>
      <c r="J246" s="106">
        <v>166</v>
      </c>
      <c r="K246" s="106">
        <v>121</v>
      </c>
      <c r="L246" s="106">
        <v>33</v>
      </c>
      <c r="M246" s="107">
        <v>0</v>
      </c>
      <c r="N246" s="106">
        <v>0</v>
      </c>
      <c r="O246" s="106">
        <v>0</v>
      </c>
      <c r="P246" s="107">
        <v>3</v>
      </c>
      <c r="Q246" s="122">
        <f t="shared" si="38"/>
        <v>0.92771084337349397</v>
      </c>
      <c r="R246" s="123">
        <f t="shared" si="39"/>
        <v>0</v>
      </c>
      <c r="S246" s="123">
        <f t="shared" si="40"/>
        <v>1.8072289156626505E-2</v>
      </c>
      <c r="T246" s="123">
        <f t="shared" si="33"/>
        <v>0</v>
      </c>
      <c r="U246" s="124">
        <f t="shared" si="41"/>
        <v>0.94578313253012047</v>
      </c>
      <c r="V246" s="125" t="s">
        <v>82</v>
      </c>
    </row>
    <row r="247" spans="2:22" ht="15.75" hidden="1" x14ac:dyDescent="0.2">
      <c r="B247" s="711">
        <v>46107</v>
      </c>
      <c r="C247" s="105" t="s">
        <v>12</v>
      </c>
      <c r="D247" s="105" t="s">
        <v>20</v>
      </c>
      <c r="E247" s="711">
        <v>46107</v>
      </c>
      <c r="G247" s="835"/>
      <c r="H247" s="113" t="s">
        <v>19</v>
      </c>
      <c r="I247" s="113"/>
      <c r="J247" s="113">
        <f t="shared" ref="J247:P247" si="43">SUM(J244:J246)</f>
        <v>230</v>
      </c>
      <c r="K247" s="113">
        <f t="shared" si="43"/>
        <v>154</v>
      </c>
      <c r="L247" s="113">
        <f t="shared" si="43"/>
        <v>56</v>
      </c>
      <c r="M247" s="114">
        <f t="shared" si="43"/>
        <v>0</v>
      </c>
      <c r="N247" s="114">
        <f t="shared" si="43"/>
        <v>0</v>
      </c>
      <c r="O247" s="114">
        <f t="shared" si="43"/>
        <v>0</v>
      </c>
      <c r="P247" s="114">
        <f t="shared" si="43"/>
        <v>11</v>
      </c>
      <c r="Q247" s="115">
        <f t="shared" si="38"/>
        <v>0.91304347826086951</v>
      </c>
      <c r="R247" s="116">
        <f t="shared" si="39"/>
        <v>0</v>
      </c>
      <c r="S247" s="116">
        <f t="shared" si="40"/>
        <v>4.7826086956521741E-2</v>
      </c>
      <c r="T247" s="116">
        <f t="shared" si="33"/>
        <v>0</v>
      </c>
      <c r="U247" s="117">
        <f t="shared" si="41"/>
        <v>0.96086956521739131</v>
      </c>
      <c r="V247" s="127"/>
    </row>
    <row r="248" spans="2:22" ht="15.75" hidden="1" x14ac:dyDescent="0.2">
      <c r="B248" s="711">
        <v>46107</v>
      </c>
      <c r="C248" s="105" t="s">
        <v>12</v>
      </c>
      <c r="D248" s="105" t="s">
        <v>20</v>
      </c>
      <c r="E248" s="711">
        <v>46108</v>
      </c>
      <c r="G248" s="833">
        <v>46108</v>
      </c>
      <c r="H248" s="106" t="s">
        <v>32</v>
      </c>
      <c r="I248" s="106" t="s">
        <v>22</v>
      </c>
      <c r="J248" s="106">
        <v>27</v>
      </c>
      <c r="K248" s="106">
        <v>5</v>
      </c>
      <c r="L248" s="106">
        <v>1</v>
      </c>
      <c r="M248" s="107">
        <v>21</v>
      </c>
      <c r="N248" s="106">
        <v>0</v>
      </c>
      <c r="O248" s="106">
        <v>0</v>
      </c>
      <c r="P248" s="107">
        <v>0</v>
      </c>
      <c r="Q248" s="108">
        <f t="shared" si="38"/>
        <v>0.22222222222222221</v>
      </c>
      <c r="R248" s="109">
        <f t="shared" si="39"/>
        <v>0</v>
      </c>
      <c r="S248" s="109">
        <f t="shared" si="40"/>
        <v>0</v>
      </c>
      <c r="T248" s="109">
        <f t="shared" si="33"/>
        <v>0</v>
      </c>
      <c r="U248" s="110">
        <f t="shared" si="41"/>
        <v>0.22222222222222221</v>
      </c>
      <c r="V248" s="111"/>
    </row>
    <row r="249" spans="2:22" ht="15.75" hidden="1" x14ac:dyDescent="0.2">
      <c r="B249" s="711">
        <v>46107</v>
      </c>
      <c r="C249" s="105" t="s">
        <v>12</v>
      </c>
      <c r="D249" s="105" t="s">
        <v>20</v>
      </c>
      <c r="E249" s="711">
        <v>46108</v>
      </c>
      <c r="G249" s="834"/>
      <c r="H249" s="106" t="s">
        <v>16</v>
      </c>
      <c r="I249" s="120" t="s">
        <v>27</v>
      </c>
      <c r="J249" s="106">
        <v>231</v>
      </c>
      <c r="K249" s="106">
        <v>0</v>
      </c>
      <c r="L249" s="106">
        <v>0</v>
      </c>
      <c r="M249" s="107">
        <v>227</v>
      </c>
      <c r="N249" s="106">
        <v>0</v>
      </c>
      <c r="O249" s="106">
        <v>0</v>
      </c>
      <c r="P249" s="107">
        <v>4</v>
      </c>
      <c r="Q249" s="108">
        <f t="shared" si="38"/>
        <v>0</v>
      </c>
      <c r="R249" s="109">
        <f t="shared" si="39"/>
        <v>0</v>
      </c>
      <c r="S249" s="109">
        <f t="shared" si="40"/>
        <v>1.7316017316017316E-2</v>
      </c>
      <c r="T249" s="109">
        <f t="shared" si="33"/>
        <v>0</v>
      </c>
      <c r="U249" s="110">
        <f t="shared" si="41"/>
        <v>1.7316017316017316E-2</v>
      </c>
      <c r="V249" s="111"/>
    </row>
    <row r="250" spans="2:22" ht="15.75" hidden="1" x14ac:dyDescent="0.2">
      <c r="B250" s="711">
        <v>46107</v>
      </c>
      <c r="C250" s="105" t="s">
        <v>12</v>
      </c>
      <c r="D250" s="105" t="s">
        <v>20</v>
      </c>
      <c r="E250" s="711">
        <v>46108</v>
      </c>
      <c r="G250" s="834"/>
      <c r="H250" s="120" t="s">
        <v>14</v>
      </c>
      <c r="I250" s="120" t="s">
        <v>15</v>
      </c>
      <c r="J250" s="106">
        <v>246</v>
      </c>
      <c r="K250" s="106">
        <v>0</v>
      </c>
      <c r="L250" s="106">
        <v>0</v>
      </c>
      <c r="M250" s="107">
        <v>88</v>
      </c>
      <c r="N250" s="106">
        <v>143</v>
      </c>
      <c r="O250" s="106">
        <v>0</v>
      </c>
      <c r="P250" s="107">
        <v>7</v>
      </c>
      <c r="Q250" s="108">
        <f t="shared" si="38"/>
        <v>0</v>
      </c>
      <c r="R250" s="109">
        <f t="shared" si="39"/>
        <v>0.58130081300813008</v>
      </c>
      <c r="S250" s="109">
        <f t="shared" si="40"/>
        <v>2.8455284552845527E-2</v>
      </c>
      <c r="T250" s="109">
        <f t="shared" si="33"/>
        <v>0</v>
      </c>
      <c r="U250" s="110">
        <f t="shared" si="41"/>
        <v>0.6097560975609756</v>
      </c>
      <c r="V250" s="111"/>
    </row>
    <row r="251" spans="2:22" ht="15.75" hidden="1" x14ac:dyDescent="0.2">
      <c r="B251" s="711">
        <v>46107</v>
      </c>
      <c r="C251" s="105" t="s">
        <v>12</v>
      </c>
      <c r="D251" s="105" t="s">
        <v>20</v>
      </c>
      <c r="E251" s="711">
        <v>46108</v>
      </c>
      <c r="G251" s="834"/>
      <c r="H251" s="120" t="s">
        <v>17</v>
      </c>
      <c r="I251" s="120" t="s">
        <v>18</v>
      </c>
      <c r="J251" s="106">
        <v>157</v>
      </c>
      <c r="K251" s="106">
        <v>0</v>
      </c>
      <c r="L251" s="106">
        <v>0</v>
      </c>
      <c r="M251" s="107">
        <v>156</v>
      </c>
      <c r="N251" s="106">
        <v>0</v>
      </c>
      <c r="O251" s="106">
        <v>0</v>
      </c>
      <c r="P251" s="120">
        <v>1</v>
      </c>
      <c r="Q251" s="108">
        <f t="shared" si="38"/>
        <v>0</v>
      </c>
      <c r="R251" s="109">
        <f t="shared" si="39"/>
        <v>0</v>
      </c>
      <c r="S251" s="109">
        <f t="shared" si="40"/>
        <v>6.369426751592357E-3</v>
      </c>
      <c r="T251" s="109">
        <f t="shared" si="33"/>
        <v>0</v>
      </c>
      <c r="U251" s="110">
        <f t="shared" si="41"/>
        <v>6.369426751592357E-3</v>
      </c>
      <c r="V251" s="111" t="s">
        <v>76</v>
      </c>
    </row>
    <row r="252" spans="2:22" ht="15.75" hidden="1" x14ac:dyDescent="0.2">
      <c r="B252" s="711">
        <v>46107</v>
      </c>
      <c r="C252" s="105" t="s">
        <v>12</v>
      </c>
      <c r="D252" s="105" t="s">
        <v>20</v>
      </c>
      <c r="E252" s="711">
        <v>46108</v>
      </c>
      <c r="G252" s="835"/>
      <c r="H252" s="113" t="s">
        <v>19</v>
      </c>
      <c r="I252" s="113"/>
      <c r="J252" s="113">
        <f>SUM(J248:J251)</f>
        <v>661</v>
      </c>
      <c r="K252" s="113">
        <f>SUM(K248:K251)</f>
        <v>5</v>
      </c>
      <c r="L252" s="113">
        <f>SUM(L248:L251)</f>
        <v>1</v>
      </c>
      <c r="M252" s="114">
        <f>SUM(M248:M251)</f>
        <v>492</v>
      </c>
      <c r="N252" s="113">
        <f>SUM(N248:N251)</f>
        <v>143</v>
      </c>
      <c r="O252" s="113">
        <v>0</v>
      </c>
      <c r="P252" s="114">
        <f>SUM(P248:P251)</f>
        <v>12</v>
      </c>
      <c r="Q252" s="115">
        <f t="shared" si="38"/>
        <v>9.0771558245083209E-3</v>
      </c>
      <c r="R252" s="116">
        <f t="shared" si="39"/>
        <v>0.21633888048411498</v>
      </c>
      <c r="S252" s="116">
        <f t="shared" si="40"/>
        <v>1.8154311649016642E-2</v>
      </c>
      <c r="T252" s="116">
        <f t="shared" si="33"/>
        <v>0</v>
      </c>
      <c r="U252" s="117">
        <f t="shared" si="41"/>
        <v>0.24357034795763996</v>
      </c>
      <c r="V252" s="127"/>
    </row>
    <row r="253" spans="2:22" ht="15.75" hidden="1" x14ac:dyDescent="0.2">
      <c r="B253" s="711">
        <v>46107</v>
      </c>
      <c r="C253" s="105" t="s">
        <v>18</v>
      </c>
      <c r="D253" s="105" t="s">
        <v>23</v>
      </c>
      <c r="E253" s="711">
        <v>46108</v>
      </c>
      <c r="G253" s="833">
        <v>46108</v>
      </c>
      <c r="H253" s="106" t="s">
        <v>32</v>
      </c>
      <c r="I253" s="106" t="s">
        <v>22</v>
      </c>
      <c r="J253" s="106">
        <v>21</v>
      </c>
      <c r="K253" s="106">
        <v>15</v>
      </c>
      <c r="L253" s="106">
        <v>6</v>
      </c>
      <c r="M253" s="107">
        <v>0</v>
      </c>
      <c r="N253" s="106">
        <v>0</v>
      </c>
      <c r="O253" s="106">
        <v>0</v>
      </c>
      <c r="P253" s="107">
        <v>0</v>
      </c>
      <c r="Q253" s="122">
        <f t="shared" si="38"/>
        <v>1</v>
      </c>
      <c r="R253" s="123">
        <f t="shared" si="39"/>
        <v>0</v>
      </c>
      <c r="S253" s="123">
        <f t="shared" si="40"/>
        <v>0</v>
      </c>
      <c r="T253" s="123">
        <f t="shared" si="33"/>
        <v>0</v>
      </c>
      <c r="U253" s="124">
        <f t="shared" si="41"/>
        <v>1</v>
      </c>
      <c r="V253" s="125"/>
    </row>
    <row r="254" spans="2:22" ht="15.75" hidden="1" x14ac:dyDescent="0.2">
      <c r="B254" s="711">
        <v>46107</v>
      </c>
      <c r="C254" s="105" t="s">
        <v>18</v>
      </c>
      <c r="D254" s="105" t="s">
        <v>23</v>
      </c>
      <c r="E254" s="711">
        <v>46108</v>
      </c>
      <c r="G254" s="834"/>
      <c r="H254" s="120" t="s">
        <v>75</v>
      </c>
      <c r="I254" s="106" t="s">
        <v>27</v>
      </c>
      <c r="J254" s="106">
        <v>231</v>
      </c>
      <c r="K254" s="106">
        <v>28</v>
      </c>
      <c r="L254" s="106">
        <v>5</v>
      </c>
      <c r="M254" s="107">
        <f>J254-K254-L254</f>
        <v>198</v>
      </c>
      <c r="N254" s="106">
        <v>76</v>
      </c>
      <c r="O254" s="106">
        <v>0</v>
      </c>
      <c r="P254" s="107">
        <v>4</v>
      </c>
      <c r="Q254" s="122">
        <f t="shared" si="38"/>
        <v>0.14285714285714285</v>
      </c>
      <c r="R254" s="123">
        <f t="shared" si="39"/>
        <v>0.32900432900432902</v>
      </c>
      <c r="S254" s="123">
        <f t="shared" si="40"/>
        <v>1.7316017316017316E-2</v>
      </c>
      <c r="T254" s="123">
        <f t="shared" si="33"/>
        <v>0</v>
      </c>
      <c r="U254" s="124">
        <f t="shared" si="41"/>
        <v>0.48917748917748921</v>
      </c>
      <c r="V254" s="125"/>
    </row>
    <row r="255" spans="2:22" ht="15.75" hidden="1" x14ac:dyDescent="0.2">
      <c r="B255" s="711">
        <v>46107</v>
      </c>
      <c r="C255" s="105" t="s">
        <v>18</v>
      </c>
      <c r="D255" s="105" t="s">
        <v>23</v>
      </c>
      <c r="E255" s="711">
        <v>46108</v>
      </c>
      <c r="G255" s="834"/>
      <c r="H255" s="120" t="s">
        <v>14</v>
      </c>
      <c r="I255" s="120" t="s">
        <v>15</v>
      </c>
      <c r="J255" s="106">
        <v>238</v>
      </c>
      <c r="K255" s="106">
        <v>145</v>
      </c>
      <c r="L255" s="106">
        <v>80</v>
      </c>
      <c r="M255" s="107">
        <v>5</v>
      </c>
      <c r="N255" s="106">
        <v>0</v>
      </c>
      <c r="O255" s="106">
        <v>7</v>
      </c>
      <c r="P255" s="107">
        <v>7</v>
      </c>
      <c r="Q255" s="122">
        <f t="shared" si="38"/>
        <v>0.94537815126050417</v>
      </c>
      <c r="R255" s="123">
        <f t="shared" si="39"/>
        <v>0</v>
      </c>
      <c r="S255" s="123">
        <f t="shared" si="40"/>
        <v>2.9411764705882353E-2</v>
      </c>
      <c r="T255" s="123">
        <f t="shared" si="33"/>
        <v>2.9411764705882353E-2</v>
      </c>
      <c r="U255" s="124">
        <f t="shared" si="41"/>
        <v>1.0042016806722689</v>
      </c>
      <c r="V255" s="125"/>
    </row>
    <row r="256" spans="2:22" ht="15.75" hidden="1" x14ac:dyDescent="0.2">
      <c r="B256" s="711">
        <v>46107</v>
      </c>
      <c r="C256" s="105" t="s">
        <v>18</v>
      </c>
      <c r="D256" s="105" t="s">
        <v>23</v>
      </c>
      <c r="E256" s="711">
        <v>46108</v>
      </c>
      <c r="G256" s="834"/>
      <c r="H256" s="120" t="s">
        <v>17</v>
      </c>
      <c r="I256" s="120" t="s">
        <v>18</v>
      </c>
      <c r="J256" s="106">
        <v>193</v>
      </c>
      <c r="K256" s="106">
        <v>0</v>
      </c>
      <c r="L256" s="106">
        <v>0</v>
      </c>
      <c r="M256" s="107">
        <v>190</v>
      </c>
      <c r="N256" s="106">
        <v>0</v>
      </c>
      <c r="O256" s="106">
        <v>0</v>
      </c>
      <c r="P256" s="107">
        <v>3</v>
      </c>
      <c r="Q256" s="122">
        <f t="shared" si="38"/>
        <v>0</v>
      </c>
      <c r="R256" s="123">
        <f t="shared" si="39"/>
        <v>0</v>
      </c>
      <c r="S256" s="123">
        <f t="shared" si="40"/>
        <v>1.5544041450777202E-2</v>
      </c>
      <c r="T256" s="123">
        <f t="shared" si="33"/>
        <v>0</v>
      </c>
      <c r="U256" s="124">
        <f t="shared" si="41"/>
        <v>1.5544041450777202E-2</v>
      </c>
      <c r="V256" s="125"/>
    </row>
    <row r="257" spans="2:22" ht="15.75" hidden="1" x14ac:dyDescent="0.2">
      <c r="B257" s="711">
        <v>46107</v>
      </c>
      <c r="C257" s="105" t="s">
        <v>18</v>
      </c>
      <c r="D257" s="105" t="s">
        <v>23</v>
      </c>
      <c r="E257" s="711">
        <v>46108</v>
      </c>
      <c r="G257" s="835"/>
      <c r="H257" s="113" t="s">
        <v>19</v>
      </c>
      <c r="I257" s="113"/>
      <c r="J257" s="113">
        <f t="shared" ref="J257:P257" si="44">SUM(J253:J256)</f>
        <v>683</v>
      </c>
      <c r="K257" s="113">
        <f t="shared" si="44"/>
        <v>188</v>
      </c>
      <c r="L257" s="113">
        <f t="shared" si="44"/>
        <v>91</v>
      </c>
      <c r="M257" s="114">
        <f t="shared" si="44"/>
        <v>393</v>
      </c>
      <c r="N257" s="113">
        <f t="shared" si="44"/>
        <v>76</v>
      </c>
      <c r="O257" s="113">
        <f t="shared" si="44"/>
        <v>7</v>
      </c>
      <c r="P257" s="114">
        <f t="shared" si="44"/>
        <v>14</v>
      </c>
      <c r="Q257" s="115">
        <f t="shared" si="38"/>
        <v>0.40849194729136162</v>
      </c>
      <c r="R257" s="116">
        <f t="shared" si="39"/>
        <v>0.11127379209370425</v>
      </c>
      <c r="S257" s="116">
        <f t="shared" si="40"/>
        <v>2.0497803806734993E-2</v>
      </c>
      <c r="T257" s="116">
        <f t="shared" si="33"/>
        <v>1.0248901903367497E-2</v>
      </c>
      <c r="U257" s="117">
        <f t="shared" si="41"/>
        <v>0.55051244509516828</v>
      </c>
      <c r="V257" s="127"/>
    </row>
    <row r="258" spans="2:22" ht="25.5" hidden="1" customHeight="1" x14ac:dyDescent="0.2">
      <c r="B258" s="711">
        <v>46108</v>
      </c>
      <c r="C258" s="105" t="s">
        <v>22</v>
      </c>
      <c r="D258" s="105" t="s">
        <v>13</v>
      </c>
      <c r="E258" s="711">
        <v>46108</v>
      </c>
      <c r="G258" s="833">
        <v>46108</v>
      </c>
      <c r="H258" s="106" t="s">
        <v>32</v>
      </c>
      <c r="I258" s="106" t="s">
        <v>22</v>
      </c>
      <c r="J258" s="106">
        <v>28</v>
      </c>
      <c r="K258" s="106">
        <v>26</v>
      </c>
      <c r="L258" s="106">
        <v>2</v>
      </c>
      <c r="M258" s="107">
        <f>J258-K258-L258-P258-O258</f>
        <v>0</v>
      </c>
      <c r="N258" s="106">
        <v>0</v>
      </c>
      <c r="O258" s="106">
        <v>0</v>
      </c>
      <c r="P258" s="107">
        <v>0</v>
      </c>
      <c r="Q258" s="122">
        <f t="shared" ref="Q258:Q261" si="45">(K258+L258)/J258</f>
        <v>1</v>
      </c>
      <c r="R258" s="123">
        <f t="shared" ref="R258:R266" si="46">N258/J258</f>
        <v>0</v>
      </c>
      <c r="S258" s="123">
        <f t="shared" ref="S258:S271" si="47">P258/J258</f>
        <v>0</v>
      </c>
      <c r="T258" s="123">
        <f t="shared" ref="T258:T266" si="48">O258/J258</f>
        <v>0</v>
      </c>
      <c r="U258" s="124">
        <f t="shared" ref="U258:U261" si="49">S258+R258+Q258+T258</f>
        <v>1</v>
      </c>
      <c r="V258" s="125"/>
    </row>
    <row r="259" spans="2:22" ht="54" hidden="1" customHeight="1" x14ac:dyDescent="0.2">
      <c r="B259" s="711">
        <v>46108</v>
      </c>
      <c r="C259" s="105" t="s">
        <v>22</v>
      </c>
      <c r="D259" s="105" t="s">
        <v>13</v>
      </c>
      <c r="E259" s="711">
        <v>46108</v>
      </c>
      <c r="G259" s="834"/>
      <c r="H259" s="120" t="s">
        <v>75</v>
      </c>
      <c r="I259" s="106" t="s">
        <v>27</v>
      </c>
      <c r="J259" s="106">
        <v>231</v>
      </c>
      <c r="K259" s="106">
        <v>153</v>
      </c>
      <c r="L259" s="106">
        <v>48</v>
      </c>
      <c r="M259" s="107">
        <f>J259-K259-L259-P259-O259</f>
        <v>18</v>
      </c>
      <c r="N259" s="106">
        <v>0</v>
      </c>
      <c r="O259" s="106">
        <v>7</v>
      </c>
      <c r="P259" s="107">
        <v>5</v>
      </c>
      <c r="Q259" s="122">
        <f t="shared" si="45"/>
        <v>0.87012987012987009</v>
      </c>
      <c r="R259" s="123">
        <f t="shared" si="46"/>
        <v>0</v>
      </c>
      <c r="S259" s="123">
        <f t="shared" si="47"/>
        <v>2.1645021645021644E-2</v>
      </c>
      <c r="T259" s="123">
        <f t="shared" si="48"/>
        <v>3.0303030303030304E-2</v>
      </c>
      <c r="U259" s="124">
        <f>S259+R259+Q259+T259</f>
        <v>0.92207792207792205</v>
      </c>
      <c r="V259" s="141" t="s">
        <v>81</v>
      </c>
    </row>
    <row r="260" spans="2:22" ht="20.25" hidden="1" customHeight="1" x14ac:dyDescent="0.2">
      <c r="B260" s="711">
        <v>46108</v>
      </c>
      <c r="C260" s="105" t="s">
        <v>22</v>
      </c>
      <c r="D260" s="105" t="s">
        <v>13</v>
      </c>
      <c r="E260" s="711">
        <v>46108</v>
      </c>
      <c r="G260" s="834"/>
      <c r="H260" s="120" t="s">
        <v>14</v>
      </c>
      <c r="I260" s="120" t="s">
        <v>15</v>
      </c>
      <c r="J260" s="106">
        <v>246</v>
      </c>
      <c r="K260" s="106">
        <v>173</v>
      </c>
      <c r="L260" s="106">
        <v>70</v>
      </c>
      <c r="M260" s="107">
        <f t="shared" ref="M260:M261" si="50">J260-K260-L260-P260-O260</f>
        <v>0</v>
      </c>
      <c r="N260" s="106">
        <v>0</v>
      </c>
      <c r="O260" s="106">
        <v>0</v>
      </c>
      <c r="P260" s="107">
        <v>3</v>
      </c>
      <c r="Q260" s="122">
        <f t="shared" si="45"/>
        <v>0.98780487804878048</v>
      </c>
      <c r="R260" s="123">
        <f t="shared" si="46"/>
        <v>0</v>
      </c>
      <c r="S260" s="123">
        <f t="shared" si="47"/>
        <v>1.2195121951219513E-2</v>
      </c>
      <c r="T260" s="123">
        <f t="shared" si="48"/>
        <v>0</v>
      </c>
      <c r="U260" s="124">
        <f t="shared" si="49"/>
        <v>1</v>
      </c>
      <c r="V260" s="125"/>
    </row>
    <row r="261" spans="2:22" ht="23.25" hidden="1" customHeight="1" x14ac:dyDescent="0.2">
      <c r="B261" s="711">
        <v>46108</v>
      </c>
      <c r="C261" s="105" t="s">
        <v>22</v>
      </c>
      <c r="D261" s="105" t="s">
        <v>13</v>
      </c>
      <c r="E261" s="711">
        <v>46108</v>
      </c>
      <c r="G261" s="834"/>
      <c r="H261" s="120" t="s">
        <v>17</v>
      </c>
      <c r="I261" s="120" t="s">
        <v>18</v>
      </c>
      <c r="J261" s="106">
        <v>193</v>
      </c>
      <c r="K261" s="106">
        <v>0</v>
      </c>
      <c r="L261" s="106">
        <v>0</v>
      </c>
      <c r="M261" s="107">
        <f t="shared" si="50"/>
        <v>190</v>
      </c>
      <c r="N261" s="106">
        <v>0</v>
      </c>
      <c r="O261" s="106">
        <v>0</v>
      </c>
      <c r="P261" s="107">
        <v>3</v>
      </c>
      <c r="Q261" s="122">
        <f t="shared" si="45"/>
        <v>0</v>
      </c>
      <c r="R261" s="123">
        <f t="shared" si="46"/>
        <v>0</v>
      </c>
      <c r="S261" s="123">
        <f t="shared" si="47"/>
        <v>1.5544041450777202E-2</v>
      </c>
      <c r="T261" s="123">
        <f t="shared" si="48"/>
        <v>0</v>
      </c>
      <c r="U261" s="124">
        <f t="shared" si="49"/>
        <v>1.5544041450777202E-2</v>
      </c>
      <c r="V261" s="173" t="s">
        <v>80</v>
      </c>
    </row>
    <row r="262" spans="2:22" ht="24" hidden="1" customHeight="1" x14ac:dyDescent="0.2">
      <c r="B262" s="711">
        <v>46108</v>
      </c>
      <c r="C262" s="105" t="s">
        <v>22</v>
      </c>
      <c r="D262" s="105" t="s">
        <v>13</v>
      </c>
      <c r="E262" s="711">
        <v>46108</v>
      </c>
      <c r="G262" s="835"/>
      <c r="H262" s="113" t="s">
        <v>19</v>
      </c>
      <c r="I262" s="113"/>
      <c r="J262" s="113">
        <f>SUM(J258:J261)</f>
        <v>698</v>
      </c>
      <c r="K262" s="113">
        <f t="shared" ref="K262:L262" si="51">SUM(K258:K261)</f>
        <v>352</v>
      </c>
      <c r="L262" s="113">
        <f t="shared" si="51"/>
        <v>120</v>
      </c>
      <c r="M262" s="114">
        <f>SUM(M258:M261)</f>
        <v>208</v>
      </c>
      <c r="N262" s="113">
        <f>SUM(N258:N261)</f>
        <v>0</v>
      </c>
      <c r="O262" s="113">
        <f>SUM(O258:O261)</f>
        <v>7</v>
      </c>
      <c r="P262" s="114">
        <f>SUM(P258:P261)</f>
        <v>11</v>
      </c>
      <c r="Q262" s="115">
        <f>(K262+L262)/J262</f>
        <v>0.67621776504297992</v>
      </c>
      <c r="R262" s="116">
        <f t="shared" si="46"/>
        <v>0</v>
      </c>
      <c r="S262" s="116">
        <f t="shared" si="47"/>
        <v>1.5759312320916905E-2</v>
      </c>
      <c r="T262" s="116">
        <f t="shared" si="48"/>
        <v>1.0028653295128941E-2</v>
      </c>
      <c r="U262" s="117">
        <f>S262+R262+Q262+T262</f>
        <v>0.70200573065902572</v>
      </c>
      <c r="V262" s="127"/>
    </row>
    <row r="263" spans="2:22" ht="15.75" hidden="1" x14ac:dyDescent="0.2">
      <c r="B263" s="711">
        <v>46108</v>
      </c>
      <c r="C263" s="105" t="s">
        <v>12</v>
      </c>
      <c r="D263" s="105" t="s">
        <v>20</v>
      </c>
      <c r="E263" s="711">
        <v>46108</v>
      </c>
      <c r="G263" s="833">
        <v>46108</v>
      </c>
      <c r="H263" s="106" t="s">
        <v>16</v>
      </c>
      <c r="I263" s="106" t="s">
        <v>27</v>
      </c>
      <c r="J263" s="106">
        <v>33</v>
      </c>
      <c r="K263" s="106">
        <v>12</v>
      </c>
      <c r="L263" s="106">
        <v>18</v>
      </c>
      <c r="M263" s="107">
        <v>0</v>
      </c>
      <c r="N263" s="106">
        <v>0</v>
      </c>
      <c r="O263" s="106">
        <v>0</v>
      </c>
      <c r="P263" s="107">
        <v>3</v>
      </c>
      <c r="Q263" s="122">
        <f t="shared" ref="Q263:Q266" si="52">(K263+L263)/J263</f>
        <v>0.90909090909090906</v>
      </c>
      <c r="R263" s="123">
        <f t="shared" si="46"/>
        <v>0</v>
      </c>
      <c r="S263" s="123">
        <f t="shared" si="47"/>
        <v>9.0909090909090912E-2</v>
      </c>
      <c r="T263" s="123">
        <f t="shared" si="48"/>
        <v>0</v>
      </c>
      <c r="U263" s="124">
        <f t="shared" ref="U263:U271" si="53">S263+R263+Q263+T263</f>
        <v>1</v>
      </c>
      <c r="V263" s="125" t="s">
        <v>85</v>
      </c>
    </row>
    <row r="264" spans="2:22" ht="15.75" hidden="1" x14ac:dyDescent="0.2">
      <c r="B264" s="711">
        <v>46108</v>
      </c>
      <c r="C264" s="105" t="s">
        <v>12</v>
      </c>
      <c r="D264" s="105" t="s">
        <v>20</v>
      </c>
      <c r="E264" s="711">
        <v>46108</v>
      </c>
      <c r="G264" s="834"/>
      <c r="H264" s="120" t="s">
        <v>14</v>
      </c>
      <c r="I264" s="120" t="s">
        <v>15</v>
      </c>
      <c r="J264" s="106">
        <v>14</v>
      </c>
      <c r="K264" s="106">
        <v>10</v>
      </c>
      <c r="L264" s="106">
        <v>1</v>
      </c>
      <c r="M264" s="107">
        <v>0</v>
      </c>
      <c r="N264" s="106">
        <v>0</v>
      </c>
      <c r="O264" s="106">
        <v>0</v>
      </c>
      <c r="P264" s="107">
        <v>3</v>
      </c>
      <c r="Q264" s="122">
        <f t="shared" ref="Q264" si="54">(K264+L264)/J264</f>
        <v>0.7857142857142857</v>
      </c>
      <c r="R264" s="123">
        <f t="shared" ref="R264" si="55">N264/J264</f>
        <v>0</v>
      </c>
      <c r="S264" s="123">
        <f t="shared" ref="S264" si="56">P264/J264</f>
        <v>0.21428571428571427</v>
      </c>
      <c r="T264" s="123">
        <f t="shared" ref="T264" si="57">O264/J264</f>
        <v>0</v>
      </c>
      <c r="U264" s="124">
        <f t="shared" ref="U264" si="58">S264+R264+Q264+T264</f>
        <v>1</v>
      </c>
      <c r="V264" s="125"/>
    </row>
    <row r="265" spans="2:22" ht="15.75" hidden="1" x14ac:dyDescent="0.2">
      <c r="B265" s="711">
        <v>46108</v>
      </c>
      <c r="C265" s="105" t="s">
        <v>12</v>
      </c>
      <c r="D265" s="105" t="s">
        <v>20</v>
      </c>
      <c r="E265" s="711">
        <v>46108</v>
      </c>
      <c r="G265" s="834"/>
      <c r="H265" s="120" t="s">
        <v>84</v>
      </c>
      <c r="I265" s="120" t="s">
        <v>12</v>
      </c>
      <c r="J265" s="106">
        <v>7</v>
      </c>
      <c r="K265" s="106">
        <v>6</v>
      </c>
      <c r="L265" s="106">
        <v>0</v>
      </c>
      <c r="M265" s="107">
        <v>0</v>
      </c>
      <c r="N265" s="106">
        <v>0</v>
      </c>
      <c r="O265" s="106">
        <v>0</v>
      </c>
      <c r="P265" s="107">
        <v>1</v>
      </c>
      <c r="Q265" s="122">
        <f t="shared" si="52"/>
        <v>0.8571428571428571</v>
      </c>
      <c r="R265" s="123">
        <f t="shared" si="46"/>
        <v>0</v>
      </c>
      <c r="S265" s="123">
        <f t="shared" si="47"/>
        <v>0.14285714285714285</v>
      </c>
      <c r="T265" s="123">
        <f t="shared" si="48"/>
        <v>0</v>
      </c>
      <c r="U265" s="124">
        <f t="shared" si="53"/>
        <v>1</v>
      </c>
      <c r="V265" s="125"/>
    </row>
    <row r="266" spans="2:22" ht="15.75" hidden="1" x14ac:dyDescent="0.2">
      <c r="B266" s="711">
        <v>46108</v>
      </c>
      <c r="C266" s="105" t="s">
        <v>12</v>
      </c>
      <c r="D266" s="105" t="s">
        <v>20</v>
      </c>
      <c r="E266" s="711">
        <v>46108</v>
      </c>
      <c r="G266" s="835"/>
      <c r="H266" s="113" t="s">
        <v>19</v>
      </c>
      <c r="I266" s="113"/>
      <c r="J266" s="114">
        <f t="shared" ref="J266:O266" si="59">SUM(J263:J265)</f>
        <v>54</v>
      </c>
      <c r="K266" s="114">
        <f t="shared" si="59"/>
        <v>28</v>
      </c>
      <c r="L266" s="114">
        <f t="shared" si="59"/>
        <v>19</v>
      </c>
      <c r="M266" s="114">
        <f t="shared" si="59"/>
        <v>0</v>
      </c>
      <c r="N266" s="114">
        <f t="shared" si="59"/>
        <v>0</v>
      </c>
      <c r="O266" s="114">
        <f t="shared" si="59"/>
        <v>0</v>
      </c>
      <c r="P266" s="114">
        <f>SUM(P263:P265)</f>
        <v>7</v>
      </c>
      <c r="Q266" s="115">
        <f t="shared" si="52"/>
        <v>0.87037037037037035</v>
      </c>
      <c r="R266" s="116">
        <f t="shared" si="46"/>
        <v>0</v>
      </c>
      <c r="S266" s="116">
        <f t="shared" si="47"/>
        <v>0.12962962962962962</v>
      </c>
      <c r="T266" s="116">
        <f t="shared" si="48"/>
        <v>0</v>
      </c>
      <c r="U266" s="117">
        <f t="shared" si="53"/>
        <v>1</v>
      </c>
      <c r="V266" s="127"/>
    </row>
    <row r="267" spans="2:22" ht="15.75" hidden="1" x14ac:dyDescent="0.2">
      <c r="B267" s="711">
        <v>46108</v>
      </c>
      <c r="C267" s="105" t="s">
        <v>18</v>
      </c>
      <c r="D267" s="105" t="s">
        <v>23</v>
      </c>
      <c r="E267" s="711">
        <v>46109</v>
      </c>
      <c r="G267" s="833">
        <v>46109</v>
      </c>
      <c r="H267" s="106" t="s">
        <v>32</v>
      </c>
      <c r="I267" s="106" t="s">
        <v>22</v>
      </c>
      <c r="J267" s="106">
        <v>12</v>
      </c>
      <c r="K267" s="106">
        <v>7</v>
      </c>
      <c r="L267" s="106">
        <v>0</v>
      </c>
      <c r="M267" s="107">
        <v>0</v>
      </c>
      <c r="N267" s="106">
        <v>4</v>
      </c>
      <c r="O267" s="106">
        <v>0</v>
      </c>
      <c r="P267" s="107">
        <v>1</v>
      </c>
      <c r="Q267" s="108">
        <f>(K267+L267)/J267</f>
        <v>0.58333333333333337</v>
      </c>
      <c r="R267" s="109">
        <f>N267/J267</f>
        <v>0.33333333333333331</v>
      </c>
      <c r="S267" s="109">
        <f t="shared" si="47"/>
        <v>8.3333333333333329E-2</v>
      </c>
      <c r="T267" s="109">
        <f>O267/J267</f>
        <v>0</v>
      </c>
      <c r="U267" s="110">
        <f t="shared" si="53"/>
        <v>1</v>
      </c>
      <c r="V267" s="111"/>
    </row>
    <row r="268" spans="2:22" ht="15.75" hidden="1" x14ac:dyDescent="0.2">
      <c r="B268" s="711">
        <v>46108</v>
      </c>
      <c r="C268" s="105" t="s">
        <v>18</v>
      </c>
      <c r="D268" s="105" t="s">
        <v>23</v>
      </c>
      <c r="E268" s="711">
        <v>46109</v>
      </c>
      <c r="G268" s="834"/>
      <c r="H268" s="106" t="s">
        <v>16</v>
      </c>
      <c r="I268" s="120" t="s">
        <v>83</v>
      </c>
      <c r="J268" s="106">
        <f>SUM(K268:P268)</f>
        <v>226</v>
      </c>
      <c r="K268" s="106">
        <v>123</v>
      </c>
      <c r="L268" s="106">
        <v>96</v>
      </c>
      <c r="M268" s="107">
        <v>4</v>
      </c>
      <c r="N268" s="106">
        <v>0</v>
      </c>
      <c r="O268" s="106">
        <v>0</v>
      </c>
      <c r="P268" s="107">
        <v>3</v>
      </c>
      <c r="Q268" s="108">
        <f>(K268+L268)/J268</f>
        <v>0.96902654867256632</v>
      </c>
      <c r="R268" s="109">
        <f>N268/J268</f>
        <v>0</v>
      </c>
      <c r="S268" s="109">
        <f t="shared" si="47"/>
        <v>1.3274336283185841E-2</v>
      </c>
      <c r="T268" s="109">
        <f>O268/J268</f>
        <v>0</v>
      </c>
      <c r="U268" s="110">
        <f t="shared" si="53"/>
        <v>0.98230088495575218</v>
      </c>
      <c r="V268" s="111"/>
    </row>
    <row r="269" spans="2:22" ht="15.75" hidden="1" x14ac:dyDescent="0.2">
      <c r="B269" s="711">
        <v>46108</v>
      </c>
      <c r="C269" s="105" t="s">
        <v>18</v>
      </c>
      <c r="D269" s="105" t="s">
        <v>23</v>
      </c>
      <c r="E269" s="711">
        <v>46109</v>
      </c>
      <c r="G269" s="834"/>
      <c r="H269" s="120" t="s">
        <v>14</v>
      </c>
      <c r="I269" s="120" t="s">
        <v>12</v>
      </c>
      <c r="J269" s="106">
        <v>208</v>
      </c>
      <c r="K269" s="106">
        <v>0</v>
      </c>
      <c r="L269" s="106">
        <v>0</v>
      </c>
      <c r="M269" s="107">
        <f t="shared" ref="M269:M270" si="60">J269-K269-L269-P269</f>
        <v>206</v>
      </c>
      <c r="N269" s="106">
        <v>67</v>
      </c>
      <c r="O269" s="106">
        <v>0</v>
      </c>
      <c r="P269" s="107">
        <v>2</v>
      </c>
      <c r="Q269" s="108">
        <f>(K269+L269)/J269</f>
        <v>0</v>
      </c>
      <c r="R269" s="109">
        <f>N269/J269</f>
        <v>0.32211538461538464</v>
      </c>
      <c r="S269" s="109">
        <f t="shared" si="47"/>
        <v>9.6153846153846159E-3</v>
      </c>
      <c r="T269" s="109">
        <f>O269/J269</f>
        <v>0</v>
      </c>
      <c r="U269" s="110">
        <f t="shared" si="53"/>
        <v>0.33173076923076927</v>
      </c>
      <c r="V269" s="111"/>
    </row>
    <row r="270" spans="2:22" ht="15.75" hidden="1" x14ac:dyDescent="0.2">
      <c r="B270" s="711">
        <v>46108</v>
      </c>
      <c r="C270" s="105" t="s">
        <v>18</v>
      </c>
      <c r="D270" s="105" t="s">
        <v>23</v>
      </c>
      <c r="E270" s="711">
        <v>46109</v>
      </c>
      <c r="G270" s="834"/>
      <c r="H270" s="120" t="s">
        <v>17</v>
      </c>
      <c r="I270" s="120" t="s">
        <v>18</v>
      </c>
      <c r="J270" s="106">
        <v>142</v>
      </c>
      <c r="K270" s="106">
        <v>0</v>
      </c>
      <c r="L270" s="106">
        <v>0</v>
      </c>
      <c r="M270" s="107">
        <f t="shared" si="60"/>
        <v>142</v>
      </c>
      <c r="N270" s="106">
        <v>0</v>
      </c>
      <c r="O270" s="106">
        <v>0</v>
      </c>
      <c r="P270" s="120">
        <v>0</v>
      </c>
      <c r="Q270" s="108">
        <f>(K270+L270)/J270</f>
        <v>0</v>
      </c>
      <c r="R270" s="109">
        <f>N270/J270</f>
        <v>0</v>
      </c>
      <c r="S270" s="109">
        <f t="shared" si="47"/>
        <v>0</v>
      </c>
      <c r="T270" s="109">
        <f>O270/J270</f>
        <v>0</v>
      </c>
      <c r="U270" s="110">
        <f t="shared" si="53"/>
        <v>0</v>
      </c>
      <c r="V270" s="111"/>
    </row>
    <row r="271" spans="2:22" ht="15.75" hidden="1" x14ac:dyDescent="0.2">
      <c r="B271" s="711">
        <v>46108</v>
      </c>
      <c r="C271" s="105" t="s">
        <v>18</v>
      </c>
      <c r="D271" s="105" t="s">
        <v>23</v>
      </c>
      <c r="E271" s="711">
        <v>46109</v>
      </c>
      <c r="G271" s="835"/>
      <c r="H271" s="113" t="s">
        <v>19</v>
      </c>
      <c r="I271" s="113"/>
      <c r="J271" s="113">
        <f>SUM(J267:J270)</f>
        <v>588</v>
      </c>
      <c r="K271" s="113">
        <f>SUM(K267:K270)</f>
        <v>130</v>
      </c>
      <c r="L271" s="113">
        <f>SUM(L267:L270)</f>
        <v>96</v>
      </c>
      <c r="M271" s="114">
        <f>SUM(M267:M270)</f>
        <v>352</v>
      </c>
      <c r="N271" s="113">
        <f>SUM(N267:N270)</f>
        <v>71</v>
      </c>
      <c r="O271" s="113">
        <v>0</v>
      </c>
      <c r="P271" s="114">
        <f>SUM(P267:P270)</f>
        <v>6</v>
      </c>
      <c r="Q271" s="115">
        <f t="shared" ref="Q271" si="61">(K271+L271)/J271</f>
        <v>0.38435374149659862</v>
      </c>
      <c r="R271" s="116">
        <f t="shared" ref="R271" si="62">N271/J271</f>
        <v>0.12074829931972789</v>
      </c>
      <c r="S271" s="116">
        <f t="shared" si="47"/>
        <v>1.020408163265306E-2</v>
      </c>
      <c r="T271" s="116">
        <f t="shared" ref="T271" si="63">O271/J271</f>
        <v>0</v>
      </c>
      <c r="U271" s="117">
        <f t="shared" si="53"/>
        <v>0.51530612244897955</v>
      </c>
      <c r="V271" s="127"/>
    </row>
    <row r="272" spans="2:22" ht="15.75" hidden="1" x14ac:dyDescent="0.2">
      <c r="B272" s="711">
        <v>46109</v>
      </c>
      <c r="C272" s="105" t="s">
        <v>22</v>
      </c>
      <c r="D272" s="105" t="s">
        <v>13</v>
      </c>
      <c r="E272" s="711">
        <v>46109</v>
      </c>
      <c r="G272" s="833">
        <v>46109</v>
      </c>
      <c r="H272" s="106" t="s">
        <v>32</v>
      </c>
      <c r="I272" s="106" t="s">
        <v>22</v>
      </c>
      <c r="J272" s="106">
        <v>12</v>
      </c>
      <c r="K272" s="106">
        <f>(J272)-(L272+M272+N272+P272+O272)</f>
        <v>11</v>
      </c>
      <c r="L272" s="106">
        <v>0</v>
      </c>
      <c r="M272" s="107">
        <v>0</v>
      </c>
      <c r="N272" s="106">
        <v>0</v>
      </c>
      <c r="O272" s="106">
        <v>0</v>
      </c>
      <c r="P272" s="107">
        <v>1</v>
      </c>
      <c r="Q272" s="108">
        <f>(K272+L272)/J272</f>
        <v>0.91666666666666663</v>
      </c>
      <c r="R272" s="109">
        <f>N272/J272</f>
        <v>0</v>
      </c>
      <c r="S272" s="109">
        <f t="shared" ref="S272:S286" si="64">P272/J272</f>
        <v>8.3333333333333329E-2</v>
      </c>
      <c r="T272" s="109">
        <f>O272/J272</f>
        <v>0</v>
      </c>
      <c r="U272" s="110">
        <f t="shared" ref="U272:U286" si="65">S272+R272+Q272+T272</f>
        <v>1</v>
      </c>
      <c r="V272" s="111"/>
    </row>
    <row r="273" spans="2:22" ht="15.75" hidden="1" x14ac:dyDescent="0.2">
      <c r="B273" s="711">
        <v>46109</v>
      </c>
      <c r="C273" s="105" t="s">
        <v>22</v>
      </c>
      <c r="D273" s="105" t="s">
        <v>13</v>
      </c>
      <c r="E273" s="711">
        <v>46109</v>
      </c>
      <c r="G273" s="834"/>
      <c r="H273" s="106" t="s">
        <v>16</v>
      </c>
      <c r="I273" s="120" t="s">
        <v>83</v>
      </c>
      <c r="J273" s="106">
        <v>226</v>
      </c>
      <c r="K273" s="106">
        <f t="shared" ref="K273:K275" si="66">(J273)-(L273+M273+N273+P273+O273)</f>
        <v>159</v>
      </c>
      <c r="L273" s="106">
        <v>44</v>
      </c>
      <c r="M273" s="107">
        <v>0</v>
      </c>
      <c r="N273" s="106">
        <v>0</v>
      </c>
      <c r="O273" s="106">
        <v>19</v>
      </c>
      <c r="P273" s="107">
        <v>4</v>
      </c>
      <c r="Q273" s="108">
        <f>(K273+L273)/J273</f>
        <v>0.89823008849557517</v>
      </c>
      <c r="R273" s="109">
        <f>N273/J273</f>
        <v>0</v>
      </c>
      <c r="S273" s="109">
        <f t="shared" si="64"/>
        <v>1.7699115044247787E-2</v>
      </c>
      <c r="T273" s="109">
        <f>O273/J273</f>
        <v>8.4070796460176997E-2</v>
      </c>
      <c r="U273" s="110">
        <f t="shared" si="65"/>
        <v>1</v>
      </c>
      <c r="V273" s="111"/>
    </row>
    <row r="274" spans="2:22" ht="15.75" hidden="1" x14ac:dyDescent="0.2">
      <c r="B274" s="711">
        <v>46109</v>
      </c>
      <c r="C274" s="105" t="s">
        <v>22</v>
      </c>
      <c r="D274" s="105" t="s">
        <v>13</v>
      </c>
      <c r="E274" s="711">
        <v>46109</v>
      </c>
      <c r="G274" s="834"/>
      <c r="H274" s="120" t="s">
        <v>14</v>
      </c>
      <c r="I274" s="120" t="s">
        <v>12</v>
      </c>
      <c r="J274" s="106">
        <v>208</v>
      </c>
      <c r="K274" s="106">
        <f t="shared" si="66"/>
        <v>176</v>
      </c>
      <c r="L274" s="106">
        <v>11</v>
      </c>
      <c r="M274" s="107">
        <v>16</v>
      </c>
      <c r="N274" s="106">
        <v>0</v>
      </c>
      <c r="O274" s="106">
        <v>5</v>
      </c>
      <c r="P274" s="107">
        <v>0</v>
      </c>
      <c r="Q274" s="108">
        <f>(K274+L274)/J274</f>
        <v>0.89903846153846156</v>
      </c>
      <c r="R274" s="109">
        <f>N274/J274</f>
        <v>0</v>
      </c>
      <c r="S274" s="109">
        <f t="shared" si="64"/>
        <v>0</v>
      </c>
      <c r="T274" s="109">
        <f>O274/J274</f>
        <v>2.403846153846154E-2</v>
      </c>
      <c r="U274" s="110">
        <f t="shared" si="65"/>
        <v>0.92307692307692313</v>
      </c>
      <c r="V274" s="111"/>
    </row>
    <row r="275" spans="2:22" ht="15.75" hidden="1" x14ac:dyDescent="0.2">
      <c r="B275" s="711">
        <v>46109</v>
      </c>
      <c r="C275" s="105" t="s">
        <v>22</v>
      </c>
      <c r="D275" s="105" t="s">
        <v>13</v>
      </c>
      <c r="E275" s="711">
        <v>46109</v>
      </c>
      <c r="G275" s="834"/>
      <c r="H275" s="120" t="s">
        <v>17</v>
      </c>
      <c r="I275" s="120" t="s">
        <v>18</v>
      </c>
      <c r="J275" s="106">
        <v>142</v>
      </c>
      <c r="K275" s="106">
        <f t="shared" si="66"/>
        <v>42</v>
      </c>
      <c r="L275" s="106">
        <v>6</v>
      </c>
      <c r="M275" s="107">
        <v>92</v>
      </c>
      <c r="N275" s="106">
        <v>0</v>
      </c>
      <c r="O275" s="106">
        <v>0</v>
      </c>
      <c r="P275" s="107">
        <v>2</v>
      </c>
      <c r="Q275" s="108">
        <f>(K275+L275)/J275</f>
        <v>0.3380281690140845</v>
      </c>
      <c r="R275" s="109">
        <f>N275/J275</f>
        <v>0</v>
      </c>
      <c r="S275" s="109">
        <f t="shared" si="64"/>
        <v>1.4084507042253521E-2</v>
      </c>
      <c r="T275" s="109">
        <f>O275/J275</f>
        <v>0</v>
      </c>
      <c r="U275" s="110">
        <f t="shared" si="65"/>
        <v>0.352112676056338</v>
      </c>
      <c r="V275" s="111"/>
    </row>
    <row r="276" spans="2:22" ht="15.75" hidden="1" x14ac:dyDescent="0.2">
      <c r="B276" s="711">
        <v>46109</v>
      </c>
      <c r="C276" s="105" t="s">
        <v>22</v>
      </c>
      <c r="D276" s="105" t="s">
        <v>13</v>
      </c>
      <c r="E276" s="711">
        <v>46109</v>
      </c>
      <c r="G276" s="835"/>
      <c r="H276" s="113" t="s">
        <v>19</v>
      </c>
      <c r="I276" s="113"/>
      <c r="J276" s="113">
        <f>SUM(J272:J275)</f>
        <v>588</v>
      </c>
      <c r="K276" s="113">
        <f>SUM(K272:K275)</f>
        <v>388</v>
      </c>
      <c r="L276" s="113">
        <f>SUM(L272:L275)</f>
        <v>61</v>
      </c>
      <c r="M276" s="114">
        <f>SUM(M272:M275)</f>
        <v>108</v>
      </c>
      <c r="N276" s="113">
        <f>SUM(N272:N275)</f>
        <v>0</v>
      </c>
      <c r="O276" s="113">
        <v>0</v>
      </c>
      <c r="P276" s="114">
        <f>SUM(P272:P275)</f>
        <v>7</v>
      </c>
      <c r="Q276" s="115">
        <f t="shared" ref="Q276:Q280" si="67">(K276+L276)/J276</f>
        <v>0.76360544217687076</v>
      </c>
      <c r="R276" s="116">
        <f t="shared" ref="R276:R280" si="68">N276/J276</f>
        <v>0</v>
      </c>
      <c r="S276" s="116">
        <f t="shared" si="64"/>
        <v>1.1904761904761904E-2</v>
      </c>
      <c r="T276" s="116">
        <f t="shared" ref="T276:T280" si="69">O276/J276</f>
        <v>0</v>
      </c>
      <c r="U276" s="117">
        <f t="shared" si="65"/>
        <v>0.77551020408163263</v>
      </c>
      <c r="V276" s="127"/>
    </row>
    <row r="277" spans="2:22" ht="15.75" hidden="1" x14ac:dyDescent="0.2">
      <c r="B277" s="711">
        <v>46109</v>
      </c>
      <c r="C277" s="105" t="s">
        <v>12</v>
      </c>
      <c r="D277" s="105" t="s">
        <v>20</v>
      </c>
      <c r="E277" s="711">
        <v>46109</v>
      </c>
      <c r="G277" s="833">
        <v>46109</v>
      </c>
      <c r="H277" s="106" t="s">
        <v>16</v>
      </c>
      <c r="I277" s="106" t="s">
        <v>83</v>
      </c>
      <c r="J277" s="106">
        <v>26</v>
      </c>
      <c r="K277" s="106">
        <v>10</v>
      </c>
      <c r="L277" s="106">
        <v>12</v>
      </c>
      <c r="M277" s="107">
        <v>0</v>
      </c>
      <c r="N277" s="106">
        <v>0</v>
      </c>
      <c r="O277" s="106">
        <v>0</v>
      </c>
      <c r="P277" s="107">
        <v>4</v>
      </c>
      <c r="Q277" s="122">
        <f t="shared" si="67"/>
        <v>0.84615384615384615</v>
      </c>
      <c r="R277" s="123">
        <f t="shared" si="68"/>
        <v>0</v>
      </c>
      <c r="S277" s="123">
        <f t="shared" si="64"/>
        <v>0.15384615384615385</v>
      </c>
      <c r="T277" s="123">
        <f t="shared" si="69"/>
        <v>0</v>
      </c>
      <c r="U277" s="124">
        <f t="shared" si="65"/>
        <v>1</v>
      </c>
      <c r="V277" s="125"/>
    </row>
    <row r="278" spans="2:22" ht="15.75" hidden="1" x14ac:dyDescent="0.2">
      <c r="B278" s="711">
        <v>46109</v>
      </c>
      <c r="C278" s="105" t="s">
        <v>12</v>
      </c>
      <c r="D278" s="105" t="s">
        <v>20</v>
      </c>
      <c r="E278" s="711">
        <v>46109</v>
      </c>
      <c r="G278" s="834"/>
      <c r="H278" s="120" t="s">
        <v>14</v>
      </c>
      <c r="I278" s="120" t="s">
        <v>12</v>
      </c>
      <c r="J278" s="106">
        <v>27</v>
      </c>
      <c r="K278" s="106">
        <v>14</v>
      </c>
      <c r="L278" s="106">
        <v>3</v>
      </c>
      <c r="M278" s="107">
        <v>9</v>
      </c>
      <c r="N278" s="106">
        <v>0</v>
      </c>
      <c r="O278" s="106">
        <v>0</v>
      </c>
      <c r="P278" s="107">
        <v>1</v>
      </c>
      <c r="Q278" s="122">
        <f t="shared" si="67"/>
        <v>0.62962962962962965</v>
      </c>
      <c r="R278" s="123">
        <f t="shared" si="68"/>
        <v>0</v>
      </c>
      <c r="S278" s="123">
        <f t="shared" si="64"/>
        <v>3.7037037037037035E-2</v>
      </c>
      <c r="T278" s="123">
        <f t="shared" si="69"/>
        <v>0</v>
      </c>
      <c r="U278" s="124">
        <f t="shared" si="65"/>
        <v>0.66666666666666674</v>
      </c>
      <c r="V278" s="125" t="s">
        <v>88</v>
      </c>
    </row>
    <row r="279" spans="2:22" ht="15.75" hidden="1" x14ac:dyDescent="0.2">
      <c r="B279" s="711">
        <v>46109</v>
      </c>
      <c r="C279" s="105" t="s">
        <v>12</v>
      </c>
      <c r="D279" s="105" t="s">
        <v>20</v>
      </c>
      <c r="E279" s="711">
        <v>46109</v>
      </c>
      <c r="G279" s="834"/>
      <c r="H279" s="120" t="s">
        <v>17</v>
      </c>
      <c r="I279" s="120" t="s">
        <v>18</v>
      </c>
      <c r="J279" s="106">
        <v>108</v>
      </c>
      <c r="K279" s="106">
        <v>77</v>
      </c>
      <c r="L279" s="106">
        <v>18</v>
      </c>
      <c r="M279" s="107">
        <v>0</v>
      </c>
      <c r="N279" s="106">
        <v>0</v>
      </c>
      <c r="O279" s="106">
        <v>11</v>
      </c>
      <c r="P279" s="107">
        <v>2</v>
      </c>
      <c r="Q279" s="122">
        <f t="shared" si="67"/>
        <v>0.87962962962962965</v>
      </c>
      <c r="R279" s="123">
        <f t="shared" si="68"/>
        <v>0</v>
      </c>
      <c r="S279" s="123">
        <f t="shared" si="64"/>
        <v>1.8518518518518517E-2</v>
      </c>
      <c r="T279" s="123">
        <f t="shared" si="69"/>
        <v>0.10185185185185185</v>
      </c>
      <c r="U279" s="124">
        <f t="shared" si="65"/>
        <v>1</v>
      </c>
      <c r="V279" s="125"/>
    </row>
    <row r="280" spans="2:22" ht="15.75" hidden="1" x14ac:dyDescent="0.2">
      <c r="B280" s="711">
        <v>46109</v>
      </c>
      <c r="C280" s="105" t="s">
        <v>12</v>
      </c>
      <c r="D280" s="105" t="s">
        <v>20</v>
      </c>
      <c r="E280" s="711">
        <v>46109</v>
      </c>
      <c r="G280" s="835"/>
      <c r="H280" s="113" t="s">
        <v>19</v>
      </c>
      <c r="I280" s="113"/>
      <c r="J280" s="114">
        <f t="shared" ref="J280:O280" si="70">SUM(J277:J279)</f>
        <v>161</v>
      </c>
      <c r="K280" s="114">
        <f t="shared" si="70"/>
        <v>101</v>
      </c>
      <c r="L280" s="114">
        <f t="shared" si="70"/>
        <v>33</v>
      </c>
      <c r="M280" s="114">
        <f t="shared" si="70"/>
        <v>9</v>
      </c>
      <c r="N280" s="114">
        <f t="shared" si="70"/>
        <v>0</v>
      </c>
      <c r="O280" s="114">
        <f t="shared" si="70"/>
        <v>11</v>
      </c>
      <c r="P280" s="114">
        <f>SUM(P277:P279)</f>
        <v>7</v>
      </c>
      <c r="Q280" s="115">
        <f t="shared" si="67"/>
        <v>0.83229813664596275</v>
      </c>
      <c r="R280" s="116">
        <f t="shared" si="68"/>
        <v>0</v>
      </c>
      <c r="S280" s="116">
        <f t="shared" si="64"/>
        <v>4.3478260869565216E-2</v>
      </c>
      <c r="T280" s="116">
        <f t="shared" si="69"/>
        <v>6.8322981366459631E-2</v>
      </c>
      <c r="U280" s="117">
        <f t="shared" si="65"/>
        <v>0.94409937888198758</v>
      </c>
      <c r="V280" s="127"/>
    </row>
    <row r="281" spans="2:22" ht="15.75" hidden="1" x14ac:dyDescent="0.2">
      <c r="B281" s="711">
        <v>46109</v>
      </c>
      <c r="C281" s="105" t="s">
        <v>12</v>
      </c>
      <c r="D281" s="105" t="s">
        <v>20</v>
      </c>
      <c r="E281" s="711">
        <v>46111</v>
      </c>
      <c r="G281" s="833">
        <v>46111</v>
      </c>
      <c r="H281" s="106" t="s">
        <v>32</v>
      </c>
      <c r="I281" s="106" t="s">
        <v>22</v>
      </c>
      <c r="J281" s="106">
        <v>323</v>
      </c>
      <c r="K281" s="106">
        <v>43</v>
      </c>
      <c r="L281" s="106">
        <v>7</v>
      </c>
      <c r="M281" s="107">
        <v>264</v>
      </c>
      <c r="N281" s="106">
        <v>0</v>
      </c>
      <c r="O281" s="106">
        <v>0</v>
      </c>
      <c r="P281" s="107">
        <v>9</v>
      </c>
      <c r="Q281" s="108">
        <f>(K281+L281)/J281</f>
        <v>0.15479876160990713</v>
      </c>
      <c r="R281" s="109">
        <f>N281/J281</f>
        <v>0</v>
      </c>
      <c r="S281" s="109">
        <f t="shared" si="64"/>
        <v>2.7863777089783281E-2</v>
      </c>
      <c r="T281" s="109">
        <f>O281/J281</f>
        <v>0</v>
      </c>
      <c r="U281" s="110">
        <f t="shared" si="65"/>
        <v>0.1826625386996904</v>
      </c>
      <c r="V281" s="111"/>
    </row>
    <row r="282" spans="2:22" ht="15.75" hidden="1" x14ac:dyDescent="0.2">
      <c r="B282" s="711">
        <v>46109</v>
      </c>
      <c r="C282" s="105" t="s">
        <v>12</v>
      </c>
      <c r="D282" s="105" t="s">
        <v>20</v>
      </c>
      <c r="E282" s="711">
        <v>46111</v>
      </c>
      <c r="G282" s="834"/>
      <c r="H282" s="106" t="s">
        <v>16</v>
      </c>
      <c r="I282" s="120" t="s">
        <v>83</v>
      </c>
      <c r="J282" s="106">
        <v>231</v>
      </c>
      <c r="K282" s="106">
        <v>0</v>
      </c>
      <c r="L282" s="106">
        <v>0</v>
      </c>
      <c r="M282" s="107">
        <v>190</v>
      </c>
      <c r="N282" s="106">
        <v>36</v>
      </c>
      <c r="O282" s="106">
        <v>0</v>
      </c>
      <c r="P282" s="107">
        <v>5</v>
      </c>
      <c r="Q282" s="108">
        <f>(K282+L282)/J282</f>
        <v>0</v>
      </c>
      <c r="R282" s="109">
        <f>N282/J282</f>
        <v>0.15584415584415584</v>
      </c>
      <c r="S282" s="109">
        <f t="shared" si="64"/>
        <v>2.1645021645021644E-2</v>
      </c>
      <c r="T282" s="109">
        <f>O282/J282</f>
        <v>0</v>
      </c>
      <c r="U282" s="110">
        <f t="shared" si="65"/>
        <v>0.17748917748917747</v>
      </c>
      <c r="V282" s="111"/>
    </row>
    <row r="283" spans="2:22" ht="15.75" hidden="1" x14ac:dyDescent="0.2">
      <c r="B283" s="711">
        <v>46109</v>
      </c>
      <c r="C283" s="105" t="s">
        <v>12</v>
      </c>
      <c r="D283" s="105" t="s">
        <v>20</v>
      </c>
      <c r="E283" s="711">
        <v>46111</v>
      </c>
      <c r="G283" s="834"/>
      <c r="H283" s="106" t="s">
        <v>87</v>
      </c>
      <c r="I283" s="120" t="s">
        <v>43</v>
      </c>
      <c r="J283" s="106">
        <v>153</v>
      </c>
      <c r="K283" s="106">
        <v>0</v>
      </c>
      <c r="L283" s="106">
        <v>0</v>
      </c>
      <c r="M283" s="107">
        <v>0</v>
      </c>
      <c r="N283" s="106">
        <v>0</v>
      </c>
      <c r="O283" s="106">
        <v>0</v>
      </c>
      <c r="P283" s="107">
        <v>14</v>
      </c>
      <c r="Q283" s="108">
        <f>(K283+L283)/J283</f>
        <v>0</v>
      </c>
      <c r="R283" s="109">
        <f>N283/J283</f>
        <v>0</v>
      </c>
      <c r="S283" s="109">
        <f t="shared" ref="S283" si="71">P283/J283</f>
        <v>9.1503267973856203E-2</v>
      </c>
      <c r="T283" s="109">
        <f>O283/J283</f>
        <v>0</v>
      </c>
      <c r="U283" s="110">
        <f t="shared" ref="U283" si="72">S283+R283+Q283+T283</f>
        <v>9.1503267973856203E-2</v>
      </c>
      <c r="V283" s="111"/>
    </row>
    <row r="284" spans="2:22" ht="15.75" hidden="1" x14ac:dyDescent="0.2">
      <c r="B284" s="711">
        <v>46109</v>
      </c>
      <c r="C284" s="105" t="s">
        <v>12</v>
      </c>
      <c r="D284" s="105" t="s">
        <v>20</v>
      </c>
      <c r="E284" s="711">
        <v>46111</v>
      </c>
      <c r="G284" s="834"/>
      <c r="H284" s="120" t="s">
        <v>14</v>
      </c>
      <c r="I284" s="120" t="s">
        <v>12</v>
      </c>
      <c r="J284" s="106">
        <v>246</v>
      </c>
      <c r="K284" s="106">
        <v>0</v>
      </c>
      <c r="L284" s="106">
        <v>0</v>
      </c>
      <c r="M284" s="107">
        <v>0</v>
      </c>
      <c r="N284" s="106">
        <v>0</v>
      </c>
      <c r="O284" s="106">
        <v>0</v>
      </c>
      <c r="P284" s="107">
        <v>0</v>
      </c>
      <c r="Q284" s="108">
        <f>(K284+L284)/J284</f>
        <v>0</v>
      </c>
      <c r="R284" s="109">
        <f>N284/J284</f>
        <v>0</v>
      </c>
      <c r="S284" s="109">
        <f t="shared" si="64"/>
        <v>0</v>
      </c>
      <c r="T284" s="109">
        <f>O284/J284</f>
        <v>0</v>
      </c>
      <c r="U284" s="110">
        <f t="shared" si="65"/>
        <v>0</v>
      </c>
      <c r="V284" s="111"/>
    </row>
    <row r="285" spans="2:22" ht="15.75" hidden="1" x14ac:dyDescent="0.2">
      <c r="B285" s="711">
        <v>46109</v>
      </c>
      <c r="C285" s="105" t="s">
        <v>12</v>
      </c>
      <c r="D285" s="105" t="s">
        <v>20</v>
      </c>
      <c r="E285" s="711">
        <v>46111</v>
      </c>
      <c r="G285" s="834"/>
      <c r="H285" s="120" t="s">
        <v>17</v>
      </c>
      <c r="I285" s="120" t="s">
        <v>18</v>
      </c>
      <c r="J285" s="106">
        <v>204</v>
      </c>
      <c r="K285" s="106">
        <v>0</v>
      </c>
      <c r="L285" s="106">
        <v>0</v>
      </c>
      <c r="M285" s="107">
        <v>0</v>
      </c>
      <c r="N285" s="106">
        <v>0</v>
      </c>
      <c r="O285" s="106">
        <v>0</v>
      </c>
      <c r="P285" s="120">
        <v>0</v>
      </c>
      <c r="Q285" s="108">
        <f>(K285+L285)/J285</f>
        <v>0</v>
      </c>
      <c r="R285" s="109">
        <f>N285/J285</f>
        <v>0</v>
      </c>
      <c r="S285" s="109">
        <f t="shared" si="64"/>
        <v>0</v>
      </c>
      <c r="T285" s="109">
        <f>O285/J285</f>
        <v>0</v>
      </c>
      <c r="U285" s="110">
        <f t="shared" si="65"/>
        <v>0</v>
      </c>
      <c r="V285" s="111"/>
    </row>
    <row r="286" spans="2:22" ht="15.75" hidden="1" x14ac:dyDescent="0.2">
      <c r="B286" s="711">
        <v>46109</v>
      </c>
      <c r="C286" s="105" t="s">
        <v>12</v>
      </c>
      <c r="D286" s="105" t="s">
        <v>20</v>
      </c>
      <c r="E286" s="711">
        <v>46111</v>
      </c>
      <c r="G286" s="835"/>
      <c r="H286" s="113" t="s">
        <v>19</v>
      </c>
      <c r="I286" s="113"/>
      <c r="J286" s="113">
        <f>SUM(J281:J285)</f>
        <v>1157</v>
      </c>
      <c r="K286" s="113">
        <f>SUM(K281:K285)</f>
        <v>43</v>
      </c>
      <c r="L286" s="113">
        <f>SUM(L281:L285)</f>
        <v>7</v>
      </c>
      <c r="M286" s="114">
        <f>SUM(M281:M285)</f>
        <v>454</v>
      </c>
      <c r="N286" s="113">
        <f>SUM(N281:N285)</f>
        <v>36</v>
      </c>
      <c r="O286" s="113">
        <v>0</v>
      </c>
      <c r="P286" s="114">
        <f>SUM(P281:P285)</f>
        <v>28</v>
      </c>
      <c r="Q286" s="115">
        <f t="shared" ref="Q286" si="73">(K286+L286)/J286</f>
        <v>4.3215211754537596E-2</v>
      </c>
      <c r="R286" s="116">
        <f t="shared" ref="R286" si="74">N286/J286</f>
        <v>3.1114952463267068E-2</v>
      </c>
      <c r="S286" s="116">
        <f t="shared" si="64"/>
        <v>2.4200518582541054E-2</v>
      </c>
      <c r="T286" s="116">
        <f t="shared" ref="T286" si="75">O286/J286</f>
        <v>0</v>
      </c>
      <c r="U286" s="117">
        <f t="shared" si="65"/>
        <v>9.8530682800345715E-2</v>
      </c>
      <c r="V286" s="127"/>
    </row>
    <row r="287" spans="2:22" ht="15.75" hidden="1" x14ac:dyDescent="0.2">
      <c r="B287" s="711">
        <v>46109</v>
      </c>
      <c r="C287" s="105" t="s">
        <v>18</v>
      </c>
      <c r="D287" s="105" t="s">
        <v>23</v>
      </c>
      <c r="E287" s="711">
        <v>46111</v>
      </c>
      <c r="G287" s="833">
        <v>46111</v>
      </c>
      <c r="H287" s="106" t="s">
        <v>32</v>
      </c>
      <c r="I287" s="106" t="s">
        <v>22</v>
      </c>
      <c r="J287" s="106">
        <v>323</v>
      </c>
      <c r="K287" s="106">
        <v>50</v>
      </c>
      <c r="L287" s="106">
        <v>0</v>
      </c>
      <c r="M287" s="107">
        <v>199</v>
      </c>
      <c r="N287" s="106">
        <v>65</v>
      </c>
      <c r="O287" s="106">
        <v>0</v>
      </c>
      <c r="P287" s="107">
        <v>9</v>
      </c>
      <c r="Q287" s="108">
        <f>(K287+L287)/J287</f>
        <v>0.15479876160990713</v>
      </c>
      <c r="R287" s="109">
        <f>N287/J287</f>
        <v>0.20123839009287925</v>
      </c>
      <c r="S287" s="109">
        <f t="shared" ref="S287:S291" si="76">P287/J287</f>
        <v>2.7863777089783281E-2</v>
      </c>
      <c r="T287" s="109">
        <f>O287/J287</f>
        <v>0</v>
      </c>
      <c r="U287" s="110">
        <f t="shared" ref="U287:U291" si="77">S287+R287+Q287+T287</f>
        <v>0.38390092879256965</v>
      </c>
      <c r="V287" s="111"/>
    </row>
    <row r="288" spans="2:22" ht="15.75" hidden="1" x14ac:dyDescent="0.2">
      <c r="B288" s="711">
        <v>46109</v>
      </c>
      <c r="C288" s="105" t="s">
        <v>18</v>
      </c>
      <c r="D288" s="105" t="s">
        <v>23</v>
      </c>
      <c r="E288" s="711">
        <v>46111</v>
      </c>
      <c r="G288" s="834"/>
      <c r="H288" s="106" t="s">
        <v>16</v>
      </c>
      <c r="I288" s="120" t="s">
        <v>83</v>
      </c>
      <c r="J288" s="106">
        <v>231</v>
      </c>
      <c r="K288" s="106">
        <v>88</v>
      </c>
      <c r="L288" s="106">
        <v>95</v>
      </c>
      <c r="M288" s="107">
        <v>12</v>
      </c>
      <c r="N288" s="106">
        <v>29</v>
      </c>
      <c r="O288" s="106">
        <v>0</v>
      </c>
      <c r="P288" s="107">
        <v>7</v>
      </c>
      <c r="Q288" s="108">
        <f>(K288+L288)/J288</f>
        <v>0.79220779220779225</v>
      </c>
      <c r="R288" s="109">
        <f>N288/J288</f>
        <v>0.12554112554112554</v>
      </c>
      <c r="S288" s="109">
        <f t="shared" si="76"/>
        <v>3.0303030303030304E-2</v>
      </c>
      <c r="T288" s="109">
        <f>O288/J288</f>
        <v>0</v>
      </c>
      <c r="U288" s="110">
        <f t="shared" si="77"/>
        <v>0.94805194805194803</v>
      </c>
      <c r="V288" s="111"/>
    </row>
    <row r="289" spans="2:22" ht="15.75" hidden="1" x14ac:dyDescent="0.2">
      <c r="B289" s="711">
        <v>46109</v>
      </c>
      <c r="C289" s="105" t="s">
        <v>18</v>
      </c>
      <c r="D289" s="105" t="s">
        <v>23</v>
      </c>
      <c r="E289" s="711">
        <v>46111</v>
      </c>
      <c r="G289" s="834"/>
      <c r="H289" s="106" t="s">
        <v>87</v>
      </c>
      <c r="I289" s="120" t="s">
        <v>43</v>
      </c>
      <c r="J289" s="106">
        <v>153</v>
      </c>
      <c r="K289" s="106">
        <v>0</v>
      </c>
      <c r="L289" s="106">
        <v>0</v>
      </c>
      <c r="M289" s="107">
        <v>139</v>
      </c>
      <c r="N289" s="106">
        <v>0</v>
      </c>
      <c r="O289" s="106">
        <v>0</v>
      </c>
      <c r="P289" s="107">
        <v>14</v>
      </c>
      <c r="Q289" s="108">
        <f>(K289+L289)/J289</f>
        <v>0</v>
      </c>
      <c r="R289" s="109">
        <f>N289/J289</f>
        <v>0</v>
      </c>
      <c r="S289" s="109">
        <f t="shared" si="76"/>
        <v>9.1503267973856203E-2</v>
      </c>
      <c r="T289" s="109">
        <f>O289/J289</f>
        <v>0</v>
      </c>
      <c r="U289" s="110">
        <f t="shared" si="77"/>
        <v>9.1503267973856203E-2</v>
      </c>
      <c r="V289" s="111"/>
    </row>
    <row r="290" spans="2:22" ht="15.75" hidden="1" x14ac:dyDescent="0.2">
      <c r="B290" s="711">
        <v>46109</v>
      </c>
      <c r="C290" s="105" t="s">
        <v>18</v>
      </c>
      <c r="D290" s="105" t="s">
        <v>23</v>
      </c>
      <c r="E290" s="711">
        <v>46111</v>
      </c>
      <c r="G290" s="834"/>
      <c r="H290" s="120" t="s">
        <v>14</v>
      </c>
      <c r="I290" s="120" t="s">
        <v>12</v>
      </c>
      <c r="J290" s="106">
        <v>246</v>
      </c>
      <c r="K290" s="106">
        <v>0</v>
      </c>
      <c r="L290" s="106">
        <v>0</v>
      </c>
      <c r="M290" s="107">
        <v>0</v>
      </c>
      <c r="N290" s="106">
        <v>0</v>
      </c>
      <c r="O290" s="106">
        <v>0</v>
      </c>
      <c r="P290" s="107">
        <v>0</v>
      </c>
      <c r="Q290" s="108">
        <f>(K290+L290)/J290</f>
        <v>0</v>
      </c>
      <c r="R290" s="109">
        <f>N290/J290</f>
        <v>0</v>
      </c>
      <c r="S290" s="109">
        <f t="shared" si="76"/>
        <v>0</v>
      </c>
      <c r="T290" s="109">
        <f>O290/J290</f>
        <v>0</v>
      </c>
      <c r="U290" s="110">
        <f t="shared" si="77"/>
        <v>0</v>
      </c>
      <c r="V290" s="111"/>
    </row>
    <row r="291" spans="2:22" ht="15.75" hidden="1" x14ac:dyDescent="0.2">
      <c r="B291" s="711">
        <v>46109</v>
      </c>
      <c r="C291" s="105" t="s">
        <v>18</v>
      </c>
      <c r="D291" s="105" t="s">
        <v>23</v>
      </c>
      <c r="E291" s="711">
        <v>46111</v>
      </c>
      <c r="G291" s="835"/>
      <c r="H291" s="113" t="s">
        <v>19</v>
      </c>
      <c r="I291" s="113"/>
      <c r="J291" s="113">
        <f>SUM(J287:J290)</f>
        <v>953</v>
      </c>
      <c r="K291" s="113">
        <f t="shared" ref="K291:P291" si="78">SUM(K287:K290)</f>
        <v>138</v>
      </c>
      <c r="L291" s="113">
        <f t="shared" si="78"/>
        <v>95</v>
      </c>
      <c r="M291" s="113">
        <f t="shared" si="78"/>
        <v>350</v>
      </c>
      <c r="N291" s="113">
        <f t="shared" si="78"/>
        <v>94</v>
      </c>
      <c r="O291" s="113">
        <f t="shared" si="78"/>
        <v>0</v>
      </c>
      <c r="P291" s="113">
        <f t="shared" si="78"/>
        <v>30</v>
      </c>
      <c r="Q291" s="115">
        <f t="shared" ref="Q291" si="79">(K291+L291)/J291</f>
        <v>0.24449108079748164</v>
      </c>
      <c r="R291" s="116">
        <f t="shared" ref="R291" si="80">N291/J291</f>
        <v>9.8635886673662118E-2</v>
      </c>
      <c r="S291" s="116">
        <f t="shared" si="76"/>
        <v>3.1479538300104928E-2</v>
      </c>
      <c r="T291" s="116">
        <f t="shared" ref="T291" si="81">O291/J291</f>
        <v>0</v>
      </c>
      <c r="U291" s="117">
        <f t="shared" si="77"/>
        <v>0.37460650577124865</v>
      </c>
      <c r="V291" s="127"/>
    </row>
    <row r="292" spans="2:22" ht="15.75" hidden="1" x14ac:dyDescent="0.2">
      <c r="B292" s="711">
        <v>46111</v>
      </c>
      <c r="C292" s="105" t="s">
        <v>22</v>
      </c>
      <c r="D292" s="105" t="s">
        <v>20</v>
      </c>
      <c r="E292" s="711">
        <v>46111</v>
      </c>
      <c r="G292" s="833">
        <v>46111</v>
      </c>
      <c r="H292" s="106" t="s">
        <v>32</v>
      </c>
      <c r="I292" s="106" t="s">
        <v>22</v>
      </c>
      <c r="J292" s="106">
        <f>SUM(K292:P292)</f>
        <v>276</v>
      </c>
      <c r="K292" s="106">
        <v>143</v>
      </c>
      <c r="L292" s="106">
        <v>61</v>
      </c>
      <c r="M292" s="107">
        <v>17</v>
      </c>
      <c r="N292" s="106">
        <v>48</v>
      </c>
      <c r="O292" s="106">
        <v>0</v>
      </c>
      <c r="P292" s="107">
        <v>7</v>
      </c>
      <c r="Q292" s="108">
        <f>(K292+L292)/J292</f>
        <v>0.73913043478260865</v>
      </c>
      <c r="R292" s="109">
        <f>N292/J292</f>
        <v>0.17391304347826086</v>
      </c>
      <c r="S292" s="109">
        <f t="shared" ref="S292:S296" si="82">P292/J292</f>
        <v>2.5362318840579712E-2</v>
      </c>
      <c r="T292" s="109">
        <f>O292/J292</f>
        <v>0</v>
      </c>
      <c r="U292" s="110">
        <f t="shared" ref="U292:U296" si="83">S292+R292+Q292+T292</f>
        <v>0.93840579710144922</v>
      </c>
      <c r="V292" s="111"/>
    </row>
    <row r="293" spans="2:22" ht="15.75" hidden="1" x14ac:dyDescent="0.2">
      <c r="B293" s="711">
        <v>46111</v>
      </c>
      <c r="C293" s="105" t="s">
        <v>22</v>
      </c>
      <c r="D293" s="105" t="s">
        <v>20</v>
      </c>
      <c r="E293" s="711">
        <v>46111</v>
      </c>
      <c r="G293" s="834"/>
      <c r="H293" s="106" t="s">
        <v>16</v>
      </c>
      <c r="I293" s="120" t="s">
        <v>83</v>
      </c>
      <c r="J293" s="106">
        <f t="shared" ref="J293:J295" si="84">SUM(K293:P293)</f>
        <v>144</v>
      </c>
      <c r="K293" s="106">
        <v>28</v>
      </c>
      <c r="L293" s="106">
        <v>109</v>
      </c>
      <c r="M293" s="107">
        <v>0</v>
      </c>
      <c r="N293" s="106">
        <v>0</v>
      </c>
      <c r="O293" s="106">
        <v>3</v>
      </c>
      <c r="P293" s="107">
        <v>4</v>
      </c>
      <c r="Q293" s="108">
        <f>(K293+L293)/J293</f>
        <v>0.95138888888888884</v>
      </c>
      <c r="R293" s="109">
        <f>N293/J293</f>
        <v>0</v>
      </c>
      <c r="S293" s="109">
        <f t="shared" si="82"/>
        <v>2.7777777777777776E-2</v>
      </c>
      <c r="T293" s="109">
        <f>O293/J293</f>
        <v>2.0833333333333332E-2</v>
      </c>
      <c r="U293" s="110">
        <f t="shared" si="83"/>
        <v>1</v>
      </c>
      <c r="V293" s="111"/>
    </row>
    <row r="294" spans="2:22" ht="15.75" hidden="1" x14ac:dyDescent="0.2">
      <c r="B294" s="711">
        <v>46111</v>
      </c>
      <c r="C294" s="105" t="s">
        <v>22</v>
      </c>
      <c r="D294" s="105" t="s">
        <v>20</v>
      </c>
      <c r="E294" s="711">
        <v>46111</v>
      </c>
      <c r="G294" s="834"/>
      <c r="H294" s="106" t="s">
        <v>87</v>
      </c>
      <c r="I294" s="120" t="s">
        <v>43</v>
      </c>
      <c r="J294" s="106">
        <f t="shared" si="84"/>
        <v>55</v>
      </c>
      <c r="K294" s="106">
        <v>49</v>
      </c>
      <c r="L294" s="106">
        <v>5</v>
      </c>
      <c r="M294" s="107">
        <v>0</v>
      </c>
      <c r="N294" s="106">
        <v>0</v>
      </c>
      <c r="O294" s="106">
        <v>0</v>
      </c>
      <c r="P294" s="107">
        <v>1</v>
      </c>
      <c r="Q294" s="108">
        <f>(K294+L294)/J294</f>
        <v>0.98181818181818181</v>
      </c>
      <c r="R294" s="109">
        <f>N294/J294</f>
        <v>0</v>
      </c>
      <c r="S294" s="109">
        <f t="shared" si="82"/>
        <v>1.8181818181818181E-2</v>
      </c>
      <c r="T294" s="109">
        <f>O294/J294</f>
        <v>0</v>
      </c>
      <c r="U294" s="110">
        <f t="shared" si="83"/>
        <v>1</v>
      </c>
      <c r="V294" s="111"/>
    </row>
    <row r="295" spans="2:22" ht="15.75" hidden="1" x14ac:dyDescent="0.2">
      <c r="B295" s="711">
        <v>46111</v>
      </c>
      <c r="C295" s="105" t="s">
        <v>22</v>
      </c>
      <c r="D295" s="105" t="s">
        <v>20</v>
      </c>
      <c r="E295" s="711">
        <v>46111</v>
      </c>
      <c r="G295" s="834"/>
      <c r="H295" s="120" t="s">
        <v>14</v>
      </c>
      <c r="I295" s="120" t="s">
        <v>27</v>
      </c>
      <c r="J295" s="106">
        <f t="shared" si="84"/>
        <v>246</v>
      </c>
      <c r="K295" s="106">
        <v>15</v>
      </c>
      <c r="L295" s="106">
        <v>5</v>
      </c>
      <c r="M295" s="107">
        <v>224</v>
      </c>
      <c r="N295" s="106">
        <v>0</v>
      </c>
      <c r="O295" s="106">
        <v>0</v>
      </c>
      <c r="P295" s="107">
        <v>2</v>
      </c>
      <c r="Q295" s="108">
        <f>(K295+L295)/J295</f>
        <v>8.1300813008130079E-2</v>
      </c>
      <c r="R295" s="109">
        <f>N295/J295</f>
        <v>0</v>
      </c>
      <c r="S295" s="109">
        <f t="shared" si="82"/>
        <v>8.130081300813009E-3</v>
      </c>
      <c r="T295" s="109">
        <f>O295/J295</f>
        <v>0</v>
      </c>
      <c r="U295" s="110">
        <f t="shared" si="83"/>
        <v>8.943089430894309E-2</v>
      </c>
      <c r="V295" s="111"/>
    </row>
    <row r="296" spans="2:22" ht="15.75" hidden="1" x14ac:dyDescent="0.2">
      <c r="B296" s="711">
        <v>46111</v>
      </c>
      <c r="C296" s="105" t="s">
        <v>22</v>
      </c>
      <c r="D296" s="105" t="s">
        <v>20</v>
      </c>
      <c r="E296" s="711">
        <v>46111</v>
      </c>
      <c r="G296" s="835"/>
      <c r="H296" s="113" t="s">
        <v>19</v>
      </c>
      <c r="I296" s="113"/>
      <c r="J296" s="113">
        <f>SUM(J292:J295)</f>
        <v>721</v>
      </c>
      <c r="K296" s="113">
        <f t="shared" ref="K296:P296" si="85">SUM(K292:K295)</f>
        <v>235</v>
      </c>
      <c r="L296" s="113">
        <f t="shared" si="85"/>
        <v>180</v>
      </c>
      <c r="M296" s="113">
        <f t="shared" si="85"/>
        <v>241</v>
      </c>
      <c r="N296" s="113">
        <f t="shared" si="85"/>
        <v>48</v>
      </c>
      <c r="O296" s="113">
        <f t="shared" si="85"/>
        <v>3</v>
      </c>
      <c r="P296" s="113">
        <f t="shared" si="85"/>
        <v>14</v>
      </c>
      <c r="Q296" s="115">
        <f t="shared" ref="Q296" si="86">(K296+L296)/J296</f>
        <v>0.57558945908460468</v>
      </c>
      <c r="R296" s="116">
        <f t="shared" ref="R296" si="87">N296/J296</f>
        <v>6.6574202496532592E-2</v>
      </c>
      <c r="S296" s="116">
        <f t="shared" si="82"/>
        <v>1.9417475728155338E-2</v>
      </c>
      <c r="T296" s="116">
        <f t="shared" ref="T296" si="88">O296/J296</f>
        <v>4.160887656033287E-3</v>
      </c>
      <c r="U296" s="117">
        <f t="shared" si="83"/>
        <v>0.66574202496532586</v>
      </c>
      <c r="V296" s="127"/>
    </row>
    <row r="297" spans="2:22" ht="15.75" hidden="1" x14ac:dyDescent="0.2">
      <c r="B297" s="711">
        <v>46111</v>
      </c>
      <c r="C297" s="105" t="s">
        <v>12</v>
      </c>
      <c r="D297" s="105" t="s">
        <v>23</v>
      </c>
      <c r="E297" s="711">
        <v>46111</v>
      </c>
      <c r="G297" s="833">
        <v>46111</v>
      </c>
      <c r="H297" s="106" t="s">
        <v>32</v>
      </c>
      <c r="I297" s="106" t="s">
        <v>22</v>
      </c>
      <c r="J297" s="106">
        <v>276</v>
      </c>
      <c r="K297" s="106">
        <v>143</v>
      </c>
      <c r="L297" s="106">
        <v>61</v>
      </c>
      <c r="M297" s="107">
        <v>17</v>
      </c>
      <c r="N297" s="106">
        <v>48</v>
      </c>
      <c r="O297" s="106">
        <v>0</v>
      </c>
      <c r="P297" s="107">
        <v>7</v>
      </c>
      <c r="Q297" s="108">
        <f>(K297+L297)/J297</f>
        <v>0.73913043478260865</v>
      </c>
      <c r="R297" s="109">
        <f>N297/J297</f>
        <v>0.17391304347826086</v>
      </c>
      <c r="S297" s="109">
        <f t="shared" ref="S297:S301" si="89">P297/J297</f>
        <v>2.5362318840579712E-2</v>
      </c>
      <c r="T297" s="109">
        <f>O297/J297</f>
        <v>0</v>
      </c>
      <c r="U297" s="110">
        <f t="shared" ref="U297:U301" si="90">S297+R297+Q297+T297</f>
        <v>0.93840579710144922</v>
      </c>
      <c r="V297" s="111"/>
    </row>
    <row r="298" spans="2:22" ht="15.75" hidden="1" x14ac:dyDescent="0.2">
      <c r="B298" s="711">
        <v>46111</v>
      </c>
      <c r="C298" s="105" t="s">
        <v>12</v>
      </c>
      <c r="D298" s="105" t="s">
        <v>23</v>
      </c>
      <c r="E298" s="711">
        <v>46111</v>
      </c>
      <c r="G298" s="834"/>
      <c r="H298" s="106" t="s">
        <v>16</v>
      </c>
      <c r="I298" s="120" t="s">
        <v>83</v>
      </c>
      <c r="J298" s="106">
        <f t="shared" ref="J298:J300" si="91">SUM(K298:P298)</f>
        <v>144</v>
      </c>
      <c r="K298" s="106">
        <v>28</v>
      </c>
      <c r="L298" s="106">
        <v>109</v>
      </c>
      <c r="M298" s="107">
        <v>0</v>
      </c>
      <c r="N298" s="106">
        <v>0</v>
      </c>
      <c r="O298" s="106">
        <v>3</v>
      </c>
      <c r="P298" s="107">
        <v>4</v>
      </c>
      <c r="Q298" s="108">
        <f>(K298+L298)/J298</f>
        <v>0.95138888888888884</v>
      </c>
      <c r="R298" s="109">
        <f>N298/J298</f>
        <v>0</v>
      </c>
      <c r="S298" s="109">
        <f t="shared" si="89"/>
        <v>2.7777777777777776E-2</v>
      </c>
      <c r="T298" s="109">
        <f>O298/J298</f>
        <v>2.0833333333333332E-2</v>
      </c>
      <c r="U298" s="110">
        <f t="shared" si="90"/>
        <v>1</v>
      </c>
      <c r="V298" s="111"/>
    </row>
    <row r="299" spans="2:22" ht="15.75" hidden="1" x14ac:dyDescent="0.2">
      <c r="B299" s="711">
        <v>46111</v>
      </c>
      <c r="C299" s="105" t="s">
        <v>12</v>
      </c>
      <c r="D299" s="105" t="s">
        <v>23</v>
      </c>
      <c r="E299" s="711">
        <v>46111</v>
      </c>
      <c r="G299" s="834"/>
      <c r="H299" s="106" t="s">
        <v>87</v>
      </c>
      <c r="I299" s="120" t="s">
        <v>43</v>
      </c>
      <c r="J299" s="106">
        <f t="shared" si="91"/>
        <v>55</v>
      </c>
      <c r="K299" s="106">
        <v>49</v>
      </c>
      <c r="L299" s="106">
        <v>5</v>
      </c>
      <c r="M299" s="107">
        <v>0</v>
      </c>
      <c r="N299" s="106">
        <v>0</v>
      </c>
      <c r="O299" s="106">
        <v>0</v>
      </c>
      <c r="P299" s="107">
        <v>1</v>
      </c>
      <c r="Q299" s="108">
        <f>(K299+L299)/J299</f>
        <v>0.98181818181818181</v>
      </c>
      <c r="R299" s="109">
        <f>N299/J299</f>
        <v>0</v>
      </c>
      <c r="S299" s="109">
        <f t="shared" si="89"/>
        <v>1.8181818181818181E-2</v>
      </c>
      <c r="T299" s="109">
        <f>O299/J299</f>
        <v>0</v>
      </c>
      <c r="U299" s="110">
        <f t="shared" si="90"/>
        <v>1</v>
      </c>
      <c r="V299" s="111"/>
    </row>
    <row r="300" spans="2:22" ht="15.75" hidden="1" x14ac:dyDescent="0.2">
      <c r="B300" s="711">
        <v>46111</v>
      </c>
      <c r="C300" s="105" t="s">
        <v>12</v>
      </c>
      <c r="D300" s="105" t="s">
        <v>23</v>
      </c>
      <c r="E300" s="711">
        <v>46111</v>
      </c>
      <c r="G300" s="834"/>
      <c r="H300" s="120" t="s">
        <v>14</v>
      </c>
      <c r="I300" s="120" t="s">
        <v>27</v>
      </c>
      <c r="J300" s="106">
        <f t="shared" si="91"/>
        <v>245</v>
      </c>
      <c r="K300" s="106">
        <v>162</v>
      </c>
      <c r="L300" s="106">
        <v>59</v>
      </c>
      <c r="M300" s="107">
        <v>8</v>
      </c>
      <c r="N300" s="106">
        <v>2</v>
      </c>
      <c r="O300" s="106">
        <v>12</v>
      </c>
      <c r="P300" s="107">
        <v>2</v>
      </c>
      <c r="Q300" s="108">
        <f>(K300+L300)/J300</f>
        <v>0.90204081632653066</v>
      </c>
      <c r="R300" s="109">
        <f>N300/J300</f>
        <v>8.1632653061224497E-3</v>
      </c>
      <c r="S300" s="109">
        <f t="shared" si="89"/>
        <v>8.1632653061224497E-3</v>
      </c>
      <c r="T300" s="109">
        <f>O300/J300</f>
        <v>4.8979591836734691E-2</v>
      </c>
      <c r="U300" s="110">
        <f t="shared" si="90"/>
        <v>0.96734693877551026</v>
      </c>
      <c r="V300" s="111"/>
    </row>
    <row r="301" spans="2:22" ht="15.75" hidden="1" x14ac:dyDescent="0.2">
      <c r="B301" s="711">
        <v>46111</v>
      </c>
      <c r="C301" s="105" t="s">
        <v>12</v>
      </c>
      <c r="D301" s="105" t="s">
        <v>23</v>
      </c>
      <c r="E301" s="711">
        <v>46111</v>
      </c>
      <c r="G301" s="835"/>
      <c r="H301" s="113" t="s">
        <v>19</v>
      </c>
      <c r="I301" s="113"/>
      <c r="J301" s="113">
        <f>SUM(J297:J300)</f>
        <v>720</v>
      </c>
      <c r="K301" s="113">
        <f t="shared" ref="K301:P301" si="92">SUM(K297:K300)</f>
        <v>382</v>
      </c>
      <c r="L301" s="113">
        <f t="shared" si="92"/>
        <v>234</v>
      </c>
      <c r="M301" s="113">
        <f t="shared" si="92"/>
        <v>25</v>
      </c>
      <c r="N301" s="113">
        <f t="shared" si="92"/>
        <v>50</v>
      </c>
      <c r="O301" s="113">
        <f t="shared" si="92"/>
        <v>15</v>
      </c>
      <c r="P301" s="113">
        <f t="shared" si="92"/>
        <v>14</v>
      </c>
      <c r="Q301" s="115">
        <f t="shared" ref="Q301" si="93">(K301+L301)/J301</f>
        <v>0.85555555555555551</v>
      </c>
      <c r="R301" s="116">
        <f t="shared" ref="R301" si="94">N301/J301</f>
        <v>6.9444444444444448E-2</v>
      </c>
      <c r="S301" s="116">
        <f t="shared" si="89"/>
        <v>1.9444444444444445E-2</v>
      </c>
      <c r="T301" s="116">
        <f t="shared" ref="T301" si="95">O301/J301</f>
        <v>2.0833333333333332E-2</v>
      </c>
      <c r="U301" s="117">
        <f t="shared" si="90"/>
        <v>0.96527777777777779</v>
      </c>
      <c r="V301" s="127"/>
    </row>
    <row r="302" spans="2:22" ht="15.75" hidden="1" x14ac:dyDescent="0.2">
      <c r="B302" s="711">
        <v>46111</v>
      </c>
      <c r="C302" s="105" t="s">
        <v>18</v>
      </c>
      <c r="D302" s="105" t="s">
        <v>13</v>
      </c>
      <c r="E302" s="711">
        <v>46111</v>
      </c>
      <c r="G302" s="833">
        <v>46111</v>
      </c>
      <c r="H302" s="106" t="s">
        <v>16</v>
      </c>
      <c r="I302" s="120" t="s">
        <v>83</v>
      </c>
      <c r="J302" s="106">
        <v>144</v>
      </c>
      <c r="K302" s="106">
        <f t="shared" ref="K302:K303" si="96">(J302)-(L302+M302+N302+P302+O302)</f>
        <v>92</v>
      </c>
      <c r="L302" s="106">
        <v>32</v>
      </c>
      <c r="M302" s="107">
        <v>0</v>
      </c>
      <c r="N302" s="106">
        <v>0</v>
      </c>
      <c r="O302" s="106">
        <v>17</v>
      </c>
      <c r="P302" s="107">
        <v>3</v>
      </c>
      <c r="Q302" s="108">
        <f>(K302+L302)/J302</f>
        <v>0.86111111111111116</v>
      </c>
      <c r="R302" s="109">
        <f>N302/J302</f>
        <v>0</v>
      </c>
      <c r="S302" s="109">
        <f t="shared" ref="S302:S309" si="97">P302/J302</f>
        <v>2.0833333333333332E-2</v>
      </c>
      <c r="T302" s="109">
        <f>O302/J302</f>
        <v>0.11805555555555555</v>
      </c>
      <c r="U302" s="110">
        <f t="shared" ref="U302:U309" si="98">S302+R302+Q302+T302</f>
        <v>1</v>
      </c>
      <c r="V302" s="111"/>
    </row>
    <row r="303" spans="2:22" ht="15.75" hidden="1" x14ac:dyDescent="0.2">
      <c r="B303" s="711">
        <v>46111</v>
      </c>
      <c r="C303" s="105" t="s">
        <v>18</v>
      </c>
      <c r="D303" s="105" t="s">
        <v>13</v>
      </c>
      <c r="E303" s="711">
        <v>46111</v>
      </c>
      <c r="G303" s="834"/>
      <c r="H303" s="120" t="s">
        <v>14</v>
      </c>
      <c r="I303" s="120" t="s">
        <v>27</v>
      </c>
      <c r="J303" s="106">
        <v>245</v>
      </c>
      <c r="K303" s="106">
        <f t="shared" si="96"/>
        <v>193</v>
      </c>
      <c r="L303" s="106">
        <v>40</v>
      </c>
      <c r="M303" s="107">
        <v>0</v>
      </c>
      <c r="N303" s="106">
        <v>0</v>
      </c>
      <c r="O303" s="106">
        <v>10</v>
      </c>
      <c r="P303" s="107">
        <v>2</v>
      </c>
      <c r="Q303" s="108">
        <f>(K303+L303)/J303</f>
        <v>0.95102040816326527</v>
      </c>
      <c r="R303" s="109">
        <f>N303/J303</f>
        <v>0</v>
      </c>
      <c r="S303" s="109">
        <f t="shared" si="97"/>
        <v>8.1632653061224497E-3</v>
      </c>
      <c r="T303" s="109">
        <f>O303/J303</f>
        <v>4.0816326530612242E-2</v>
      </c>
      <c r="U303" s="110">
        <f t="shared" si="98"/>
        <v>1</v>
      </c>
      <c r="V303" s="111"/>
    </row>
    <row r="304" spans="2:22" ht="15.75" hidden="1" x14ac:dyDescent="0.2">
      <c r="B304" s="711">
        <v>46111</v>
      </c>
      <c r="C304" s="105" t="s">
        <v>18</v>
      </c>
      <c r="D304" s="105" t="s">
        <v>13</v>
      </c>
      <c r="E304" s="711">
        <v>46111</v>
      </c>
      <c r="G304" s="835"/>
      <c r="H304" s="113" t="s">
        <v>19</v>
      </c>
      <c r="I304" s="113"/>
      <c r="J304" s="113">
        <f t="shared" ref="J304:P304" si="99">SUM(J302:J303)</f>
        <v>389</v>
      </c>
      <c r="K304" s="113">
        <f t="shared" si="99"/>
        <v>285</v>
      </c>
      <c r="L304" s="113">
        <f t="shared" si="99"/>
        <v>72</v>
      </c>
      <c r="M304" s="113">
        <f t="shared" si="99"/>
        <v>0</v>
      </c>
      <c r="N304" s="113">
        <f t="shared" si="99"/>
        <v>0</v>
      </c>
      <c r="O304" s="113">
        <f t="shared" si="99"/>
        <v>27</v>
      </c>
      <c r="P304" s="113">
        <f t="shared" si="99"/>
        <v>5</v>
      </c>
      <c r="Q304" s="115">
        <f t="shared" ref="Q304" si="100">(K304+L304)/J304</f>
        <v>0.9177377892030848</v>
      </c>
      <c r="R304" s="116">
        <f t="shared" ref="R304" si="101">N304/J304</f>
        <v>0</v>
      </c>
      <c r="S304" s="116">
        <f t="shared" si="97"/>
        <v>1.2853470437017995E-2</v>
      </c>
      <c r="T304" s="116">
        <f t="shared" ref="T304" si="102">O304/J304</f>
        <v>6.9408740359897178E-2</v>
      </c>
      <c r="U304" s="117">
        <f t="shared" si="98"/>
        <v>1</v>
      </c>
      <c r="V304" s="127"/>
    </row>
    <row r="305" spans="2:22" ht="15.75" hidden="1" x14ac:dyDescent="0.2">
      <c r="B305" s="711">
        <v>46111</v>
      </c>
      <c r="C305" s="105" t="s">
        <v>18</v>
      </c>
      <c r="D305" s="105" t="s">
        <v>13</v>
      </c>
      <c r="E305" s="711">
        <v>46112</v>
      </c>
      <c r="G305" s="833">
        <v>46112</v>
      </c>
      <c r="H305" s="106" t="s">
        <v>32</v>
      </c>
      <c r="I305" s="106" t="s">
        <v>22</v>
      </c>
      <c r="J305" s="106">
        <v>26</v>
      </c>
      <c r="K305" s="106">
        <f>(J305)-(L305+M305+N305+P305+O305)</f>
        <v>0</v>
      </c>
      <c r="L305" s="106">
        <v>0</v>
      </c>
      <c r="M305" s="107">
        <v>25</v>
      </c>
      <c r="N305" s="106">
        <v>0</v>
      </c>
      <c r="O305" s="106">
        <v>0</v>
      </c>
      <c r="P305" s="107">
        <v>1</v>
      </c>
      <c r="Q305" s="108">
        <f>(K305+L305)/J305</f>
        <v>0</v>
      </c>
      <c r="R305" s="109">
        <f>N305/J305</f>
        <v>0</v>
      </c>
      <c r="S305" s="109">
        <f t="shared" si="97"/>
        <v>3.8461538461538464E-2</v>
      </c>
      <c r="T305" s="109">
        <f>O305/J305</f>
        <v>0</v>
      </c>
      <c r="U305" s="110">
        <f t="shared" si="98"/>
        <v>3.8461538461538464E-2</v>
      </c>
      <c r="V305" s="111"/>
    </row>
    <row r="306" spans="2:22" ht="15.75" hidden="1" x14ac:dyDescent="0.2">
      <c r="B306" s="711">
        <v>46111</v>
      </c>
      <c r="C306" s="105" t="s">
        <v>18</v>
      </c>
      <c r="D306" s="105" t="s">
        <v>13</v>
      </c>
      <c r="E306" s="711">
        <v>46112</v>
      </c>
      <c r="G306" s="834"/>
      <c r="H306" s="106" t="s">
        <v>16</v>
      </c>
      <c r="I306" s="120" t="s">
        <v>83</v>
      </c>
      <c r="J306" s="106">
        <v>235</v>
      </c>
      <c r="K306" s="106">
        <f t="shared" ref="K306:K308" si="103">(J306)-(L306+M306+N306+P306+O306)</f>
        <v>133</v>
      </c>
      <c r="L306" s="106">
        <v>57</v>
      </c>
      <c r="M306" s="107">
        <v>22</v>
      </c>
      <c r="N306" s="106">
        <v>0</v>
      </c>
      <c r="O306" s="106">
        <v>16</v>
      </c>
      <c r="P306" s="107">
        <v>7</v>
      </c>
      <c r="Q306" s="108">
        <f>(K306+L306)/J306</f>
        <v>0.80851063829787229</v>
      </c>
      <c r="R306" s="109">
        <f>N306/J306</f>
        <v>0</v>
      </c>
      <c r="S306" s="109">
        <f t="shared" si="97"/>
        <v>2.9787234042553193E-2</v>
      </c>
      <c r="T306" s="109">
        <f>O306/J306</f>
        <v>6.8085106382978725E-2</v>
      </c>
      <c r="U306" s="110">
        <f t="shared" si="98"/>
        <v>0.90638297872340423</v>
      </c>
      <c r="V306" s="111"/>
    </row>
    <row r="307" spans="2:22" ht="15.75" hidden="1" x14ac:dyDescent="0.2">
      <c r="B307" s="711">
        <v>46111</v>
      </c>
      <c r="C307" s="105" t="s">
        <v>18</v>
      </c>
      <c r="D307" s="105" t="s">
        <v>13</v>
      </c>
      <c r="E307" s="711">
        <v>46112</v>
      </c>
      <c r="G307" s="834"/>
      <c r="H307" s="120" t="s">
        <v>14</v>
      </c>
      <c r="I307" s="120" t="s">
        <v>12</v>
      </c>
      <c r="J307" s="106">
        <v>168</v>
      </c>
      <c r="K307" s="106">
        <f t="shared" si="103"/>
        <v>0</v>
      </c>
      <c r="L307" s="106">
        <v>0</v>
      </c>
      <c r="M307" s="107">
        <v>162</v>
      </c>
      <c r="N307" s="106">
        <v>0</v>
      </c>
      <c r="O307" s="106">
        <v>6</v>
      </c>
      <c r="P307" s="107">
        <v>0</v>
      </c>
      <c r="Q307" s="108">
        <f>(K307+L307)/J307</f>
        <v>0</v>
      </c>
      <c r="R307" s="109">
        <f>N307/J307</f>
        <v>0</v>
      </c>
      <c r="S307" s="109">
        <f t="shared" si="97"/>
        <v>0</v>
      </c>
      <c r="T307" s="109">
        <f>O307/J307</f>
        <v>3.5714285714285712E-2</v>
      </c>
      <c r="U307" s="110">
        <f t="shared" si="98"/>
        <v>3.5714285714285712E-2</v>
      </c>
      <c r="V307" s="111"/>
    </row>
    <row r="308" spans="2:22" ht="15.75" hidden="1" x14ac:dyDescent="0.2">
      <c r="B308" s="711">
        <v>46111</v>
      </c>
      <c r="C308" s="105" t="s">
        <v>18</v>
      </c>
      <c r="D308" s="105" t="s">
        <v>13</v>
      </c>
      <c r="E308" s="711">
        <v>46112</v>
      </c>
      <c r="G308" s="834"/>
      <c r="H308" s="120" t="s">
        <v>17</v>
      </c>
      <c r="I308" s="120" t="s">
        <v>18</v>
      </c>
      <c r="J308" s="106">
        <v>200</v>
      </c>
      <c r="K308" s="106">
        <f t="shared" si="103"/>
        <v>1</v>
      </c>
      <c r="L308" s="106">
        <v>0</v>
      </c>
      <c r="M308" s="107">
        <v>197</v>
      </c>
      <c r="N308" s="106">
        <v>0</v>
      </c>
      <c r="O308" s="106">
        <v>0</v>
      </c>
      <c r="P308" s="107">
        <v>2</v>
      </c>
      <c r="Q308" s="108">
        <f>(K308+L308)/J308</f>
        <v>5.0000000000000001E-3</v>
      </c>
      <c r="R308" s="109">
        <f>N308/J308</f>
        <v>0</v>
      </c>
      <c r="S308" s="109">
        <f t="shared" si="97"/>
        <v>0.01</v>
      </c>
      <c r="T308" s="109">
        <f>O308/J308</f>
        <v>0</v>
      </c>
      <c r="U308" s="110">
        <f t="shared" si="98"/>
        <v>1.4999999999999999E-2</v>
      </c>
      <c r="V308" s="111"/>
    </row>
    <row r="309" spans="2:22" ht="15.75" hidden="1" x14ac:dyDescent="0.2">
      <c r="B309" s="711">
        <v>46111</v>
      </c>
      <c r="C309" s="105" t="s">
        <v>18</v>
      </c>
      <c r="D309" s="105" t="s">
        <v>13</v>
      </c>
      <c r="E309" s="711">
        <v>46112</v>
      </c>
      <c r="G309" s="835"/>
      <c r="H309" s="113" t="s">
        <v>19</v>
      </c>
      <c r="I309" s="113"/>
      <c r="J309" s="113">
        <f>SUM(J305:J308)</f>
        <v>629</v>
      </c>
      <c r="K309" s="113">
        <f>SUM(K305:K308)</f>
        <v>134</v>
      </c>
      <c r="L309" s="113">
        <f>SUM(L305:L308)</f>
        <v>57</v>
      </c>
      <c r="M309" s="114">
        <f>SUM(M305:M308)</f>
        <v>406</v>
      </c>
      <c r="N309" s="113">
        <f>SUM(N305:N308)</f>
        <v>0</v>
      </c>
      <c r="O309" s="113">
        <v>0</v>
      </c>
      <c r="P309" s="114">
        <f>SUM(P305:P308)</f>
        <v>10</v>
      </c>
      <c r="Q309" s="115">
        <f t="shared" ref="Q309" si="104">(K309+L309)/J309</f>
        <v>0.30365659777424481</v>
      </c>
      <c r="R309" s="116">
        <f t="shared" ref="R309" si="105">N309/J309</f>
        <v>0</v>
      </c>
      <c r="S309" s="116">
        <f t="shared" si="97"/>
        <v>1.5898251192368838E-2</v>
      </c>
      <c r="T309" s="116">
        <f t="shared" ref="T309" si="106">O309/J309</f>
        <v>0</v>
      </c>
      <c r="U309" s="117">
        <f t="shared" si="98"/>
        <v>0.31955484896661362</v>
      </c>
      <c r="V309" s="127"/>
    </row>
    <row r="310" spans="2:22" ht="15.75" hidden="1" x14ac:dyDescent="0.2">
      <c r="B310" s="711">
        <v>46112</v>
      </c>
      <c r="C310" s="105" t="s">
        <v>22</v>
      </c>
      <c r="D310" s="105" t="s">
        <v>20</v>
      </c>
      <c r="E310" s="711">
        <v>46112</v>
      </c>
      <c r="G310" s="833">
        <v>46112</v>
      </c>
      <c r="H310" s="106" t="s">
        <v>32</v>
      </c>
      <c r="I310" s="106" t="s">
        <v>22</v>
      </c>
      <c r="J310" s="106">
        <v>102</v>
      </c>
      <c r="K310" s="106">
        <v>70</v>
      </c>
      <c r="L310" s="106">
        <v>16</v>
      </c>
      <c r="M310" s="107">
        <v>0</v>
      </c>
      <c r="N310" s="106">
        <v>0</v>
      </c>
      <c r="O310" s="106">
        <v>0</v>
      </c>
      <c r="P310" s="107">
        <v>1</v>
      </c>
      <c r="Q310" s="108">
        <f>(K310+L310)/J310</f>
        <v>0.84313725490196079</v>
      </c>
      <c r="R310" s="109">
        <f>N310/J310</f>
        <v>0</v>
      </c>
      <c r="S310" s="109">
        <f t="shared" ref="S310:S314" si="107">P310/J310</f>
        <v>9.8039215686274508E-3</v>
      </c>
      <c r="T310" s="109">
        <f>O310/J310</f>
        <v>0</v>
      </c>
      <c r="U310" s="110">
        <f t="shared" ref="U310:U314" si="108">S310+R310+Q310+T310</f>
        <v>0.8529411764705882</v>
      </c>
      <c r="V310" s="111"/>
    </row>
    <row r="311" spans="2:22" ht="15.75" hidden="1" x14ac:dyDescent="0.2">
      <c r="B311" s="711">
        <v>46112</v>
      </c>
      <c r="C311" s="105" t="s">
        <v>22</v>
      </c>
      <c r="D311" s="105" t="s">
        <v>20</v>
      </c>
      <c r="E311" s="711">
        <v>46112</v>
      </c>
      <c r="G311" s="834"/>
      <c r="H311" s="106" t="s">
        <v>16</v>
      </c>
      <c r="I311" s="120" t="s">
        <v>83</v>
      </c>
      <c r="J311" s="106">
        <v>235</v>
      </c>
      <c r="K311" s="106">
        <v>3</v>
      </c>
      <c r="L311" s="106">
        <v>25</v>
      </c>
      <c r="M311" s="107">
        <v>14</v>
      </c>
      <c r="N311" s="106">
        <v>0</v>
      </c>
      <c r="O311" s="106">
        <v>16</v>
      </c>
      <c r="P311" s="107">
        <v>5</v>
      </c>
      <c r="Q311" s="108">
        <f>(K311+L311)/J311</f>
        <v>0.11914893617021277</v>
      </c>
      <c r="R311" s="109">
        <f>N311/J311</f>
        <v>0</v>
      </c>
      <c r="S311" s="109">
        <f t="shared" si="107"/>
        <v>2.1276595744680851E-2</v>
      </c>
      <c r="T311" s="109">
        <f>O311/J311</f>
        <v>6.8085106382978725E-2</v>
      </c>
      <c r="U311" s="110">
        <f t="shared" si="108"/>
        <v>0.20851063829787236</v>
      </c>
      <c r="V311" s="111"/>
    </row>
    <row r="312" spans="2:22" ht="15.75" hidden="1" x14ac:dyDescent="0.2">
      <c r="B312" s="711">
        <v>46112</v>
      </c>
      <c r="C312" s="105" t="s">
        <v>22</v>
      </c>
      <c r="D312" s="105" t="s">
        <v>20</v>
      </c>
      <c r="E312" s="711">
        <v>46112</v>
      </c>
      <c r="G312" s="834"/>
      <c r="H312" s="120" t="s">
        <v>14</v>
      </c>
      <c r="I312" s="120" t="s">
        <v>12</v>
      </c>
      <c r="J312" s="106">
        <v>168</v>
      </c>
      <c r="K312" s="106">
        <v>76</v>
      </c>
      <c r="L312" s="106">
        <v>16</v>
      </c>
      <c r="M312" s="107">
        <f>90-46</f>
        <v>44</v>
      </c>
      <c r="N312" s="106">
        <v>46</v>
      </c>
      <c r="O312" s="106">
        <v>6</v>
      </c>
      <c r="P312" s="107">
        <v>6</v>
      </c>
      <c r="Q312" s="108">
        <f>(K312+L312)/J312</f>
        <v>0.54761904761904767</v>
      </c>
      <c r="R312" s="109">
        <f>N312/J312</f>
        <v>0.27380952380952384</v>
      </c>
      <c r="S312" s="109">
        <f t="shared" si="107"/>
        <v>3.5714285714285712E-2</v>
      </c>
      <c r="T312" s="109">
        <f>O312/J312</f>
        <v>3.5714285714285712E-2</v>
      </c>
      <c r="U312" s="110">
        <f t="shared" si="108"/>
        <v>0.8928571428571429</v>
      </c>
      <c r="V312" s="111"/>
    </row>
    <row r="313" spans="2:22" ht="15.75" hidden="1" x14ac:dyDescent="0.2">
      <c r="B313" s="711">
        <v>46112</v>
      </c>
      <c r="C313" s="105" t="s">
        <v>22</v>
      </c>
      <c r="D313" s="105" t="s">
        <v>20</v>
      </c>
      <c r="E313" s="711">
        <v>46112</v>
      </c>
      <c r="G313" s="834"/>
      <c r="H313" s="120" t="s">
        <v>17</v>
      </c>
      <c r="I313" s="120" t="s">
        <v>18</v>
      </c>
      <c r="J313" s="106">
        <v>200</v>
      </c>
      <c r="K313" s="106">
        <v>20</v>
      </c>
      <c r="L313" s="106">
        <v>4</v>
      </c>
      <c r="M313" s="107">
        <f>175+23</f>
        <v>198</v>
      </c>
      <c r="N313" s="106">
        <v>23</v>
      </c>
      <c r="O313" s="106">
        <v>24</v>
      </c>
      <c r="P313" s="107">
        <v>3</v>
      </c>
      <c r="Q313" s="108">
        <f>(K313+L313)/J313</f>
        <v>0.12</v>
      </c>
      <c r="R313" s="109">
        <f>N313/J313</f>
        <v>0.115</v>
      </c>
      <c r="S313" s="109">
        <f t="shared" si="107"/>
        <v>1.4999999999999999E-2</v>
      </c>
      <c r="T313" s="109">
        <f>O313/J313</f>
        <v>0.12</v>
      </c>
      <c r="U313" s="110">
        <f t="shared" si="108"/>
        <v>0.37</v>
      </c>
      <c r="V313" s="111"/>
    </row>
    <row r="314" spans="2:22" ht="15.75" hidden="1" x14ac:dyDescent="0.2">
      <c r="B314" s="711">
        <v>46112</v>
      </c>
      <c r="C314" s="105" t="s">
        <v>22</v>
      </c>
      <c r="D314" s="105" t="s">
        <v>20</v>
      </c>
      <c r="E314" s="711">
        <v>46112</v>
      </c>
      <c r="G314" s="835"/>
      <c r="H314" s="113" t="s">
        <v>19</v>
      </c>
      <c r="I314" s="113"/>
      <c r="J314" s="113">
        <f>SUM(J310:J313)</f>
        <v>705</v>
      </c>
      <c r="K314" s="113">
        <f>SUM(K310:K313)</f>
        <v>169</v>
      </c>
      <c r="L314" s="113">
        <f>SUM(L310:L313)</f>
        <v>61</v>
      </c>
      <c r="M314" s="114">
        <f>SUM(M310:M313)</f>
        <v>256</v>
      </c>
      <c r="N314" s="113">
        <f>SUM(N310:N313)</f>
        <v>69</v>
      </c>
      <c r="O314" s="113">
        <v>0</v>
      </c>
      <c r="P314" s="114">
        <f>SUM(P310:P313)</f>
        <v>15</v>
      </c>
      <c r="Q314" s="115">
        <f t="shared" ref="Q314" si="109">(K314+L314)/J314</f>
        <v>0.32624113475177308</v>
      </c>
      <c r="R314" s="116">
        <f t="shared" ref="R314" si="110">N314/J314</f>
        <v>9.7872340425531917E-2</v>
      </c>
      <c r="S314" s="116">
        <f t="shared" si="107"/>
        <v>2.1276595744680851E-2</v>
      </c>
      <c r="T314" s="116">
        <f t="shared" ref="T314" si="111">O314/J314</f>
        <v>0</v>
      </c>
      <c r="U314" s="117">
        <f t="shared" si="108"/>
        <v>0.44539007092198585</v>
      </c>
      <c r="V314" s="127"/>
    </row>
    <row r="315" spans="2:22" ht="15.75" hidden="1" x14ac:dyDescent="0.2">
      <c r="B315" s="711">
        <v>46112</v>
      </c>
      <c r="C315" s="105" t="s">
        <v>12</v>
      </c>
      <c r="D315" s="105" t="s">
        <v>23</v>
      </c>
      <c r="E315" s="711">
        <v>46112</v>
      </c>
      <c r="G315" s="833">
        <v>46112</v>
      </c>
      <c r="H315" s="106" t="s">
        <v>32</v>
      </c>
      <c r="I315" s="106" t="s">
        <v>22</v>
      </c>
      <c r="J315" s="106">
        <v>102</v>
      </c>
      <c r="K315" s="106">
        <v>70</v>
      </c>
      <c r="L315" s="106">
        <v>16</v>
      </c>
      <c r="M315" s="107">
        <v>0</v>
      </c>
      <c r="N315" s="106">
        <v>0</v>
      </c>
      <c r="O315" s="106">
        <v>0</v>
      </c>
      <c r="P315" s="107">
        <v>1</v>
      </c>
      <c r="Q315" s="108">
        <f>(K315+L315)/J315</f>
        <v>0.84313725490196079</v>
      </c>
      <c r="R315" s="109">
        <f>N315/J315</f>
        <v>0</v>
      </c>
      <c r="S315" s="109">
        <f t="shared" ref="S315:S327" si="112">P315/J315</f>
        <v>9.8039215686274508E-3</v>
      </c>
      <c r="T315" s="109">
        <f>O315/J315</f>
        <v>0</v>
      </c>
      <c r="U315" s="110">
        <f t="shared" ref="U315:U327" si="113">S315+R315+Q315+T315</f>
        <v>0.8529411764705882</v>
      </c>
      <c r="V315" s="111"/>
    </row>
    <row r="316" spans="2:22" ht="15.75" hidden="1" x14ac:dyDescent="0.2">
      <c r="B316" s="711">
        <v>46112</v>
      </c>
      <c r="C316" s="105" t="s">
        <v>12</v>
      </c>
      <c r="D316" s="105" t="s">
        <v>23</v>
      </c>
      <c r="E316" s="711">
        <v>46112</v>
      </c>
      <c r="G316" s="834"/>
      <c r="H316" s="106" t="s">
        <v>16</v>
      </c>
      <c r="I316" s="120" t="s">
        <v>83</v>
      </c>
      <c r="J316" s="106">
        <v>235</v>
      </c>
      <c r="K316" s="106">
        <f>J316-49</f>
        <v>186</v>
      </c>
      <c r="L316" s="106">
        <v>25</v>
      </c>
      <c r="M316" s="107">
        <v>3</v>
      </c>
      <c r="N316" s="106">
        <v>0</v>
      </c>
      <c r="O316" s="106">
        <v>16</v>
      </c>
      <c r="P316" s="107">
        <v>5</v>
      </c>
      <c r="Q316" s="108">
        <f>(K316+L316)/J316</f>
        <v>0.89787234042553188</v>
      </c>
      <c r="R316" s="109">
        <f>N316/J316</f>
        <v>0</v>
      </c>
      <c r="S316" s="109">
        <f t="shared" si="112"/>
        <v>2.1276595744680851E-2</v>
      </c>
      <c r="T316" s="109">
        <f>O316/J316</f>
        <v>6.8085106382978725E-2</v>
      </c>
      <c r="U316" s="110">
        <f t="shared" si="113"/>
        <v>0.98723404255319147</v>
      </c>
      <c r="V316" s="111"/>
    </row>
    <row r="317" spans="2:22" ht="15.75" hidden="1" x14ac:dyDescent="0.2">
      <c r="B317" s="711">
        <v>46112</v>
      </c>
      <c r="C317" s="105" t="s">
        <v>12</v>
      </c>
      <c r="D317" s="105" t="s">
        <v>23</v>
      </c>
      <c r="E317" s="711">
        <v>46112</v>
      </c>
      <c r="G317" s="834"/>
      <c r="H317" s="120" t="s">
        <v>14</v>
      </c>
      <c r="I317" s="120" t="s">
        <v>12</v>
      </c>
      <c r="J317" s="106">
        <v>168</v>
      </c>
      <c r="K317" s="106">
        <v>150</v>
      </c>
      <c r="L317" s="106">
        <v>8</v>
      </c>
      <c r="M317" s="107">
        <v>0</v>
      </c>
      <c r="N317" s="106">
        <v>0</v>
      </c>
      <c r="O317" s="106">
        <v>6</v>
      </c>
      <c r="P317" s="107">
        <v>4</v>
      </c>
      <c r="Q317" s="108">
        <f>(K317+L317)/J317</f>
        <v>0.94047619047619047</v>
      </c>
      <c r="R317" s="109">
        <f>N317/J317</f>
        <v>0</v>
      </c>
      <c r="S317" s="109">
        <f t="shared" si="112"/>
        <v>2.3809523809523808E-2</v>
      </c>
      <c r="T317" s="109">
        <f>O317/J317</f>
        <v>3.5714285714285712E-2</v>
      </c>
      <c r="U317" s="110">
        <f t="shared" si="113"/>
        <v>1</v>
      </c>
      <c r="V317" s="111"/>
    </row>
    <row r="318" spans="2:22" ht="15.75" hidden="1" x14ac:dyDescent="0.2">
      <c r="B318" s="711">
        <v>46112</v>
      </c>
      <c r="C318" s="105" t="s">
        <v>12</v>
      </c>
      <c r="D318" s="105" t="s">
        <v>23</v>
      </c>
      <c r="E318" s="711">
        <v>46112</v>
      </c>
      <c r="G318" s="834"/>
      <c r="H318" s="120" t="s">
        <v>17</v>
      </c>
      <c r="I318" s="120" t="s">
        <v>18</v>
      </c>
      <c r="J318" s="106">
        <v>200</v>
      </c>
      <c r="K318" s="106">
        <v>125</v>
      </c>
      <c r="L318" s="106">
        <v>45</v>
      </c>
      <c r="M318" s="107">
        <v>3</v>
      </c>
      <c r="N318" s="106">
        <v>0</v>
      </c>
      <c r="O318" s="106">
        <v>24</v>
      </c>
      <c r="P318" s="107">
        <v>3</v>
      </c>
      <c r="Q318" s="108">
        <f>(K318+L318)/J318</f>
        <v>0.85</v>
      </c>
      <c r="R318" s="109">
        <f>N318/J318</f>
        <v>0</v>
      </c>
      <c r="S318" s="109">
        <f t="shared" si="112"/>
        <v>1.4999999999999999E-2</v>
      </c>
      <c r="T318" s="109">
        <f>O318/J318</f>
        <v>0.12</v>
      </c>
      <c r="U318" s="110">
        <f t="shared" si="113"/>
        <v>0.98499999999999999</v>
      </c>
      <c r="V318" s="111"/>
    </row>
    <row r="319" spans="2:22" ht="15.75" hidden="1" x14ac:dyDescent="0.2">
      <c r="B319" s="711">
        <v>46112</v>
      </c>
      <c r="C319" s="105" t="s">
        <v>12</v>
      </c>
      <c r="D319" s="105" t="s">
        <v>23</v>
      </c>
      <c r="E319" s="711">
        <v>46112</v>
      </c>
      <c r="G319" s="835"/>
      <c r="H319" s="113" t="s">
        <v>19</v>
      </c>
      <c r="I319" s="113"/>
      <c r="J319" s="113">
        <f>SUM(J315:J318)</f>
        <v>705</v>
      </c>
      <c r="K319" s="113">
        <f>SUM(K315:K318)</f>
        <v>531</v>
      </c>
      <c r="L319" s="113">
        <f>SUM(L315:L318)</f>
        <v>94</v>
      </c>
      <c r="M319" s="114">
        <f>SUM(M315:M318)</f>
        <v>6</v>
      </c>
      <c r="N319" s="113">
        <f>SUM(N315:N318)</f>
        <v>0</v>
      </c>
      <c r="O319" s="113">
        <v>0</v>
      </c>
      <c r="P319" s="114">
        <f>SUM(P315:P318)</f>
        <v>13</v>
      </c>
      <c r="Q319" s="115">
        <f t="shared" ref="Q319" si="114">(K319+L319)/J319</f>
        <v>0.88652482269503541</v>
      </c>
      <c r="R319" s="116">
        <f t="shared" ref="R319" si="115">N319/J319</f>
        <v>0</v>
      </c>
      <c r="S319" s="116">
        <f t="shared" si="112"/>
        <v>1.8439716312056736E-2</v>
      </c>
      <c r="T319" s="116">
        <f t="shared" ref="T319" si="116">O319/J319</f>
        <v>0</v>
      </c>
      <c r="U319" s="117">
        <f t="shared" si="113"/>
        <v>0.90496453900709217</v>
      </c>
      <c r="V319" s="127"/>
    </row>
    <row r="320" spans="2:22" ht="15.75" hidden="1" x14ac:dyDescent="0.2">
      <c r="B320" s="711">
        <v>46112</v>
      </c>
      <c r="C320" s="105" t="s">
        <v>18</v>
      </c>
      <c r="D320" s="105" t="s">
        <v>13</v>
      </c>
      <c r="E320" s="711">
        <v>46112</v>
      </c>
      <c r="G320" s="833">
        <v>46112</v>
      </c>
      <c r="H320" s="106" t="s">
        <v>16</v>
      </c>
      <c r="I320" s="120" t="s">
        <v>83</v>
      </c>
      <c r="J320" s="106">
        <v>144</v>
      </c>
      <c r="K320" s="106">
        <f t="shared" ref="K320:K321" si="117">(J320)-(L320+M320+N320+P320+O320)</f>
        <v>78</v>
      </c>
      <c r="L320" s="106">
        <v>45</v>
      </c>
      <c r="M320" s="107">
        <v>0</v>
      </c>
      <c r="N320" s="106">
        <v>0</v>
      </c>
      <c r="O320" s="106">
        <v>16</v>
      </c>
      <c r="P320" s="107">
        <v>5</v>
      </c>
      <c r="Q320" s="108">
        <f>(K320+L320)/J320</f>
        <v>0.85416666666666663</v>
      </c>
      <c r="R320" s="109">
        <f>N320/J320</f>
        <v>0</v>
      </c>
      <c r="S320" s="109">
        <f t="shared" si="112"/>
        <v>3.4722222222222224E-2</v>
      </c>
      <c r="T320" s="109">
        <f>O320/J320</f>
        <v>0.1111111111111111</v>
      </c>
      <c r="U320" s="110">
        <f t="shared" si="113"/>
        <v>1</v>
      </c>
      <c r="V320" s="111"/>
    </row>
    <row r="321" spans="2:22" ht="15.75" hidden="1" x14ac:dyDescent="0.2">
      <c r="B321" s="711">
        <v>46112</v>
      </c>
      <c r="C321" s="105" t="s">
        <v>18</v>
      </c>
      <c r="D321" s="105" t="s">
        <v>13</v>
      </c>
      <c r="E321" s="711">
        <v>46112</v>
      </c>
      <c r="G321" s="834"/>
      <c r="H321" s="120" t="s">
        <v>17</v>
      </c>
      <c r="I321" s="120" t="s">
        <v>27</v>
      </c>
      <c r="J321" s="106">
        <v>200</v>
      </c>
      <c r="K321" s="106">
        <f t="shared" si="117"/>
        <v>176</v>
      </c>
      <c r="L321" s="106">
        <v>0</v>
      </c>
      <c r="M321" s="107">
        <v>0</v>
      </c>
      <c r="N321" s="106">
        <v>0</v>
      </c>
      <c r="O321" s="106">
        <v>24</v>
      </c>
      <c r="P321" s="107">
        <v>0</v>
      </c>
      <c r="Q321" s="108">
        <f>(K321+L321)/J321</f>
        <v>0.88</v>
      </c>
      <c r="R321" s="109">
        <f>N321/J321</f>
        <v>0</v>
      </c>
      <c r="S321" s="109">
        <f t="shared" si="112"/>
        <v>0</v>
      </c>
      <c r="T321" s="109">
        <f>O321/J321</f>
        <v>0.12</v>
      </c>
      <c r="U321" s="110">
        <f t="shared" si="113"/>
        <v>1</v>
      </c>
      <c r="V321" s="111"/>
    </row>
    <row r="322" spans="2:22" ht="15.75" hidden="1" x14ac:dyDescent="0.2">
      <c r="B322" s="711">
        <v>46112</v>
      </c>
      <c r="C322" s="105" t="s">
        <v>18</v>
      </c>
      <c r="D322" s="105" t="s">
        <v>13</v>
      </c>
      <c r="E322" s="711">
        <v>46112</v>
      </c>
      <c r="G322" s="835"/>
      <c r="H322" s="113" t="s">
        <v>19</v>
      </c>
      <c r="I322" s="113"/>
      <c r="J322" s="113">
        <f t="shared" ref="J322:P322" si="118">SUM(J320:J321)</f>
        <v>344</v>
      </c>
      <c r="K322" s="113">
        <f t="shared" si="118"/>
        <v>254</v>
      </c>
      <c r="L322" s="113">
        <f t="shared" si="118"/>
        <v>45</v>
      </c>
      <c r="M322" s="113">
        <f t="shared" si="118"/>
        <v>0</v>
      </c>
      <c r="N322" s="113">
        <f t="shared" si="118"/>
        <v>0</v>
      </c>
      <c r="O322" s="113">
        <f t="shared" si="118"/>
        <v>40</v>
      </c>
      <c r="P322" s="113">
        <f t="shared" si="118"/>
        <v>5</v>
      </c>
      <c r="Q322" s="115">
        <f t="shared" ref="Q322" si="119">(K322+L322)/J322</f>
        <v>0.8691860465116279</v>
      </c>
      <c r="R322" s="116">
        <f t="shared" ref="R322" si="120">N322/J322</f>
        <v>0</v>
      </c>
      <c r="S322" s="116">
        <f t="shared" si="112"/>
        <v>1.4534883720930232E-2</v>
      </c>
      <c r="T322" s="116">
        <f t="shared" ref="T322" si="121">O322/J322</f>
        <v>0.11627906976744186</v>
      </c>
      <c r="U322" s="117">
        <f t="shared" si="113"/>
        <v>1</v>
      </c>
      <c r="V322" s="127"/>
    </row>
    <row r="323" spans="2:22" ht="15.75" hidden="1" x14ac:dyDescent="0.2">
      <c r="B323" s="711">
        <v>46112</v>
      </c>
      <c r="C323" s="105" t="s">
        <v>18</v>
      </c>
      <c r="D323" s="105" t="s">
        <v>13</v>
      </c>
      <c r="E323" s="711">
        <v>46113</v>
      </c>
      <c r="G323" s="833">
        <v>46113</v>
      </c>
      <c r="H323" s="106" t="s">
        <v>91</v>
      </c>
      <c r="I323" s="106" t="s">
        <v>22</v>
      </c>
      <c r="J323" s="106">
        <v>24</v>
      </c>
      <c r="K323" s="106">
        <f>(J323)-(L323+M323+N323+P323+O323)</f>
        <v>0</v>
      </c>
      <c r="L323" s="106">
        <v>0</v>
      </c>
      <c r="M323" s="107">
        <v>24</v>
      </c>
      <c r="N323" s="106">
        <v>0</v>
      </c>
      <c r="O323" s="106">
        <v>0</v>
      </c>
      <c r="P323" s="107">
        <v>0</v>
      </c>
      <c r="Q323" s="108">
        <f>(K323+L323)/J323</f>
        <v>0</v>
      </c>
      <c r="R323" s="109">
        <f>N323/J323</f>
        <v>0</v>
      </c>
      <c r="S323" s="109">
        <f t="shared" si="112"/>
        <v>0</v>
      </c>
      <c r="T323" s="109">
        <f>O323/J323</f>
        <v>0</v>
      </c>
      <c r="U323" s="110">
        <f t="shared" si="113"/>
        <v>0</v>
      </c>
      <c r="V323" s="111"/>
    </row>
    <row r="324" spans="2:22" ht="15.75" hidden="1" x14ac:dyDescent="0.2">
      <c r="B324" s="711">
        <v>46112</v>
      </c>
      <c r="C324" s="105" t="s">
        <v>18</v>
      </c>
      <c r="D324" s="105" t="s">
        <v>13</v>
      </c>
      <c r="E324" s="711">
        <v>46113</v>
      </c>
      <c r="G324" s="834"/>
      <c r="H324" s="106" t="s">
        <v>16</v>
      </c>
      <c r="I324" s="120" t="s">
        <v>83</v>
      </c>
      <c r="J324" s="106">
        <v>238</v>
      </c>
      <c r="K324" s="106">
        <f t="shared" ref="K324:K326" si="122">(J324)-(L324+M324+N324+P324+O324)</f>
        <v>130</v>
      </c>
      <c r="L324" s="106">
        <v>65</v>
      </c>
      <c r="M324" s="107">
        <v>12</v>
      </c>
      <c r="N324" s="106">
        <v>7</v>
      </c>
      <c r="O324" s="106">
        <v>16</v>
      </c>
      <c r="P324" s="107">
        <v>8</v>
      </c>
      <c r="Q324" s="108">
        <f>(K324+L324)/J324</f>
        <v>0.81932773109243695</v>
      </c>
      <c r="R324" s="109">
        <f>N324/J324</f>
        <v>2.9411764705882353E-2</v>
      </c>
      <c r="S324" s="109">
        <f t="shared" si="112"/>
        <v>3.3613445378151259E-2</v>
      </c>
      <c r="T324" s="109">
        <f>O324/J324</f>
        <v>6.7226890756302518E-2</v>
      </c>
      <c r="U324" s="110">
        <f t="shared" si="113"/>
        <v>0.94957983193277307</v>
      </c>
      <c r="V324" s="111" t="s">
        <v>93</v>
      </c>
    </row>
    <row r="325" spans="2:22" ht="15.75" hidden="1" x14ac:dyDescent="0.2">
      <c r="B325" s="711">
        <v>46112</v>
      </c>
      <c r="C325" s="105" t="s">
        <v>18</v>
      </c>
      <c r="D325" s="105" t="s">
        <v>13</v>
      </c>
      <c r="E325" s="711">
        <v>46113</v>
      </c>
      <c r="G325" s="834"/>
      <c r="H325" s="120" t="s">
        <v>14</v>
      </c>
      <c r="I325" s="120" t="s">
        <v>12</v>
      </c>
      <c r="J325" s="106">
        <v>207</v>
      </c>
      <c r="K325" s="106">
        <f t="shared" si="122"/>
        <v>0</v>
      </c>
      <c r="L325" s="106">
        <v>0</v>
      </c>
      <c r="M325" s="107">
        <v>207</v>
      </c>
      <c r="N325" s="106">
        <v>0</v>
      </c>
      <c r="O325" s="106">
        <v>0</v>
      </c>
      <c r="P325" s="107">
        <v>0</v>
      </c>
      <c r="Q325" s="108">
        <f>(K325+L325)/J325</f>
        <v>0</v>
      </c>
      <c r="R325" s="109">
        <f>N325/J325</f>
        <v>0</v>
      </c>
      <c r="S325" s="109">
        <f t="shared" si="112"/>
        <v>0</v>
      </c>
      <c r="T325" s="109">
        <f>O325/J325</f>
        <v>0</v>
      </c>
      <c r="U325" s="110">
        <f t="shared" si="113"/>
        <v>0</v>
      </c>
      <c r="V325" s="111"/>
    </row>
    <row r="326" spans="2:22" ht="15.75" hidden="1" x14ac:dyDescent="0.2">
      <c r="B326" s="711">
        <v>46112</v>
      </c>
      <c r="C326" s="105" t="s">
        <v>18</v>
      </c>
      <c r="D326" s="105" t="s">
        <v>13</v>
      </c>
      <c r="E326" s="711">
        <v>46113</v>
      </c>
      <c r="G326" s="834"/>
      <c r="H326" s="120" t="s">
        <v>17</v>
      </c>
      <c r="I326" s="120" t="s">
        <v>18</v>
      </c>
      <c r="J326" s="106">
        <v>172</v>
      </c>
      <c r="K326" s="106">
        <f t="shared" si="122"/>
        <v>0</v>
      </c>
      <c r="L326" s="106">
        <v>0</v>
      </c>
      <c r="M326" s="107">
        <v>172</v>
      </c>
      <c r="N326" s="106">
        <v>0</v>
      </c>
      <c r="O326" s="106">
        <v>0</v>
      </c>
      <c r="P326" s="107">
        <v>0</v>
      </c>
      <c r="Q326" s="108">
        <f>(K326+L326)/J326</f>
        <v>0</v>
      </c>
      <c r="R326" s="109">
        <f>N326/J326</f>
        <v>0</v>
      </c>
      <c r="S326" s="109">
        <f t="shared" si="112"/>
        <v>0</v>
      </c>
      <c r="T326" s="109">
        <f>O326/J326</f>
        <v>0</v>
      </c>
      <c r="U326" s="110">
        <f t="shared" si="113"/>
        <v>0</v>
      </c>
      <c r="V326" s="111"/>
    </row>
    <row r="327" spans="2:22" ht="15.75" hidden="1" x14ac:dyDescent="0.2">
      <c r="B327" s="711">
        <v>46112</v>
      </c>
      <c r="C327" s="105" t="s">
        <v>18</v>
      </c>
      <c r="D327" s="105" t="s">
        <v>13</v>
      </c>
      <c r="E327" s="711">
        <v>46113</v>
      </c>
      <c r="G327" s="835"/>
      <c r="H327" s="113" t="s">
        <v>19</v>
      </c>
      <c r="I327" s="113"/>
      <c r="J327" s="113">
        <f>SUM(J323:J326)</f>
        <v>641</v>
      </c>
      <c r="K327" s="113">
        <f>SUM(K323:K326)</f>
        <v>130</v>
      </c>
      <c r="L327" s="113">
        <f>SUM(L323:L326)</f>
        <v>65</v>
      </c>
      <c r="M327" s="114">
        <f>SUM(M323:M326)</f>
        <v>415</v>
      </c>
      <c r="N327" s="113">
        <f>SUM(N323:N326)</f>
        <v>7</v>
      </c>
      <c r="O327" s="113">
        <v>0</v>
      </c>
      <c r="P327" s="114">
        <f>SUM(P323:P326)</f>
        <v>8</v>
      </c>
      <c r="Q327" s="115">
        <f t="shared" ref="Q327" si="123">(K327+L327)/J327</f>
        <v>0.30421216848673949</v>
      </c>
      <c r="R327" s="116">
        <f t="shared" ref="R327" si="124">N327/J327</f>
        <v>1.0920436817472699E-2</v>
      </c>
      <c r="S327" s="116">
        <f t="shared" si="112"/>
        <v>1.2480499219968799E-2</v>
      </c>
      <c r="T327" s="116">
        <f t="shared" ref="T327" si="125">O327/J327</f>
        <v>0</v>
      </c>
      <c r="U327" s="117">
        <f t="shared" si="113"/>
        <v>0.32761310452418096</v>
      </c>
      <c r="V327" s="127"/>
    </row>
    <row r="328" spans="2:22" ht="15.75" hidden="1" x14ac:dyDescent="0.2">
      <c r="B328" s="711">
        <v>46113</v>
      </c>
      <c r="C328" s="105" t="s">
        <v>22</v>
      </c>
      <c r="D328" s="105" t="s">
        <v>20</v>
      </c>
      <c r="E328" s="711">
        <v>46113</v>
      </c>
      <c r="G328" s="833">
        <v>46113</v>
      </c>
      <c r="H328" s="106" t="s">
        <v>32</v>
      </c>
      <c r="I328" s="106" t="s">
        <v>22</v>
      </c>
      <c r="J328" s="106">
        <f>SUM(K328:P328)</f>
        <v>68</v>
      </c>
      <c r="K328" s="106">
        <v>43</v>
      </c>
      <c r="L328" s="106">
        <v>14</v>
      </c>
      <c r="M328" s="107">
        <v>0</v>
      </c>
      <c r="N328" s="106">
        <v>11</v>
      </c>
      <c r="O328" s="106">
        <v>0</v>
      </c>
      <c r="P328" s="107"/>
      <c r="Q328" s="108">
        <f t="shared" ref="Q328:Q333" si="126">(K328+L328)/J328</f>
        <v>0.83823529411764708</v>
      </c>
      <c r="R328" s="109">
        <f t="shared" ref="R328:R333" si="127">N328/J328</f>
        <v>0.16176470588235295</v>
      </c>
      <c r="S328" s="109">
        <f t="shared" ref="S328:S334" si="128">P328/J328</f>
        <v>0</v>
      </c>
      <c r="T328" s="109">
        <f t="shared" ref="T328:T333" si="129">O328/J328</f>
        <v>0</v>
      </c>
      <c r="U328" s="110">
        <f t="shared" ref="U328:U334" si="130">S328+R328+Q328+T328</f>
        <v>1</v>
      </c>
      <c r="V328" s="111"/>
    </row>
    <row r="329" spans="2:22" ht="15.75" hidden="1" x14ac:dyDescent="0.2">
      <c r="B329" s="711">
        <v>46113</v>
      </c>
      <c r="C329" s="105" t="s">
        <v>22</v>
      </c>
      <c r="D329" s="105" t="s">
        <v>20</v>
      </c>
      <c r="E329" s="711">
        <v>46113</v>
      </c>
      <c r="G329" s="834"/>
      <c r="H329" s="106" t="s">
        <v>87</v>
      </c>
      <c r="I329" s="106" t="s">
        <v>22</v>
      </c>
      <c r="J329" s="106">
        <f>SUM(K329:P329)</f>
        <v>3</v>
      </c>
      <c r="K329" s="106">
        <v>1</v>
      </c>
      <c r="L329" s="106">
        <v>0</v>
      </c>
      <c r="M329" s="107">
        <v>2</v>
      </c>
      <c r="N329" s="106">
        <v>0</v>
      </c>
      <c r="O329" s="106">
        <v>0</v>
      </c>
      <c r="P329" s="107">
        <v>0</v>
      </c>
      <c r="Q329" s="108">
        <f t="shared" si="126"/>
        <v>0.33333333333333331</v>
      </c>
      <c r="R329" s="109">
        <f t="shared" si="127"/>
        <v>0</v>
      </c>
      <c r="S329" s="109">
        <f t="shared" ref="S329" si="131">P329/J329</f>
        <v>0</v>
      </c>
      <c r="T329" s="109">
        <f t="shared" si="129"/>
        <v>0</v>
      </c>
      <c r="U329" s="110">
        <f t="shared" ref="U329" si="132">S329+R329+Q329+T329</f>
        <v>0.33333333333333331</v>
      </c>
      <c r="V329" s="111"/>
    </row>
    <row r="330" spans="2:22" ht="15.75" hidden="1" x14ac:dyDescent="0.2">
      <c r="B330" s="711">
        <v>46113</v>
      </c>
      <c r="C330" s="105" t="s">
        <v>22</v>
      </c>
      <c r="D330" s="105" t="s">
        <v>20</v>
      </c>
      <c r="E330" s="711">
        <v>46113</v>
      </c>
      <c r="G330" s="834"/>
      <c r="H330" s="106" t="s">
        <v>16</v>
      </c>
      <c r="I330" s="120" t="s">
        <v>83</v>
      </c>
      <c r="J330" s="106">
        <f t="shared" ref="J330:J333" si="133">SUM(K330:P330)</f>
        <v>41</v>
      </c>
      <c r="K330" s="106">
        <v>12</v>
      </c>
      <c r="L330" s="106">
        <v>20</v>
      </c>
      <c r="M330" s="107">
        <v>0</v>
      </c>
      <c r="N330" s="106">
        <v>0</v>
      </c>
      <c r="O330" s="106">
        <v>3</v>
      </c>
      <c r="P330" s="107">
        <v>6</v>
      </c>
      <c r="Q330" s="108">
        <f t="shared" si="126"/>
        <v>0.78048780487804881</v>
      </c>
      <c r="R330" s="109">
        <f t="shared" si="127"/>
        <v>0</v>
      </c>
      <c r="S330" s="109">
        <f t="shared" si="128"/>
        <v>0.14634146341463414</v>
      </c>
      <c r="T330" s="109">
        <f t="shared" si="129"/>
        <v>7.3170731707317069E-2</v>
      </c>
      <c r="U330" s="110">
        <f t="shared" si="130"/>
        <v>1</v>
      </c>
      <c r="V330" s="111"/>
    </row>
    <row r="331" spans="2:22" ht="15.75" hidden="1" x14ac:dyDescent="0.2">
      <c r="B331" s="711">
        <v>46113</v>
      </c>
      <c r="C331" s="105" t="s">
        <v>22</v>
      </c>
      <c r="D331" s="105" t="s">
        <v>20</v>
      </c>
      <c r="E331" s="711">
        <v>46113</v>
      </c>
      <c r="G331" s="834"/>
      <c r="H331" s="106" t="s">
        <v>84</v>
      </c>
      <c r="I331" s="120" t="s">
        <v>22</v>
      </c>
      <c r="J331" s="106">
        <f t="shared" si="133"/>
        <v>3</v>
      </c>
      <c r="K331" s="106">
        <v>3</v>
      </c>
      <c r="L331" s="106">
        <v>0</v>
      </c>
      <c r="M331" s="107">
        <v>0</v>
      </c>
      <c r="N331" s="106">
        <v>0</v>
      </c>
      <c r="O331" s="106">
        <v>0</v>
      </c>
      <c r="P331" s="107">
        <v>0</v>
      </c>
      <c r="Q331" s="108">
        <f t="shared" si="126"/>
        <v>1</v>
      </c>
      <c r="R331" s="109">
        <f t="shared" si="127"/>
        <v>0</v>
      </c>
      <c r="S331" s="109">
        <f t="shared" ref="S331" si="134">P331/J331</f>
        <v>0</v>
      </c>
      <c r="T331" s="109">
        <f t="shared" si="129"/>
        <v>0</v>
      </c>
      <c r="U331" s="110">
        <f t="shared" ref="U331" si="135">S331+R331+Q331+T331</f>
        <v>1</v>
      </c>
      <c r="V331" s="111"/>
    </row>
    <row r="332" spans="2:22" ht="15.75" hidden="1" x14ac:dyDescent="0.2">
      <c r="B332" s="711">
        <v>46113</v>
      </c>
      <c r="C332" s="105" t="s">
        <v>22</v>
      </c>
      <c r="D332" s="105" t="s">
        <v>20</v>
      </c>
      <c r="E332" s="711">
        <v>46113</v>
      </c>
      <c r="G332" s="834"/>
      <c r="H332" s="120" t="s">
        <v>14</v>
      </c>
      <c r="I332" s="120" t="s">
        <v>12</v>
      </c>
      <c r="J332" s="106">
        <f t="shared" si="133"/>
        <v>207</v>
      </c>
      <c r="K332" s="106">
        <v>107</v>
      </c>
      <c r="L332" s="106">
        <v>20</v>
      </c>
      <c r="M332" s="107">
        <v>57</v>
      </c>
      <c r="N332" s="106">
        <v>12</v>
      </c>
      <c r="O332" s="106">
        <v>7</v>
      </c>
      <c r="P332" s="107">
        <v>4</v>
      </c>
      <c r="Q332" s="108">
        <f t="shared" si="126"/>
        <v>0.61352657004830913</v>
      </c>
      <c r="R332" s="109">
        <f t="shared" si="127"/>
        <v>5.7971014492753624E-2</v>
      </c>
      <c r="S332" s="109">
        <f t="shared" si="128"/>
        <v>1.932367149758454E-2</v>
      </c>
      <c r="T332" s="109">
        <f t="shared" si="129"/>
        <v>3.3816425120772944E-2</v>
      </c>
      <c r="U332" s="110">
        <f t="shared" si="130"/>
        <v>0.72463768115942029</v>
      </c>
      <c r="V332" s="111"/>
    </row>
    <row r="333" spans="2:22" ht="15.75" hidden="1" x14ac:dyDescent="0.2">
      <c r="B333" s="711">
        <v>46113</v>
      </c>
      <c r="C333" s="105" t="s">
        <v>22</v>
      </c>
      <c r="D333" s="105" t="s">
        <v>20</v>
      </c>
      <c r="E333" s="711">
        <v>46113</v>
      </c>
      <c r="G333" s="834"/>
      <c r="H333" s="120" t="s">
        <v>17</v>
      </c>
      <c r="I333" s="120" t="s">
        <v>18</v>
      </c>
      <c r="J333" s="106">
        <f t="shared" si="133"/>
        <v>175</v>
      </c>
      <c r="K333" s="106">
        <v>2</v>
      </c>
      <c r="L333" s="106">
        <v>2</v>
      </c>
      <c r="M333" s="107">
        <v>169</v>
      </c>
      <c r="N333" s="106">
        <v>0</v>
      </c>
      <c r="O333" s="106">
        <v>0</v>
      </c>
      <c r="P333" s="107">
        <v>2</v>
      </c>
      <c r="Q333" s="108">
        <f t="shared" si="126"/>
        <v>2.2857142857142857E-2</v>
      </c>
      <c r="R333" s="109">
        <f t="shared" si="127"/>
        <v>0</v>
      </c>
      <c r="S333" s="109">
        <f t="shared" si="128"/>
        <v>1.1428571428571429E-2</v>
      </c>
      <c r="T333" s="109">
        <f t="shared" si="129"/>
        <v>0</v>
      </c>
      <c r="U333" s="110">
        <f t="shared" si="130"/>
        <v>3.4285714285714287E-2</v>
      </c>
      <c r="V333" s="111"/>
    </row>
    <row r="334" spans="2:22" ht="15.75" hidden="1" x14ac:dyDescent="0.2">
      <c r="B334" s="711">
        <v>46113</v>
      </c>
      <c r="C334" s="105" t="s">
        <v>22</v>
      </c>
      <c r="D334" s="105" t="s">
        <v>20</v>
      </c>
      <c r="E334" s="711">
        <v>46113</v>
      </c>
      <c r="G334" s="835"/>
      <c r="H334" s="113" t="s">
        <v>19</v>
      </c>
      <c r="I334" s="113"/>
      <c r="J334" s="113">
        <f>SUM(J328:J333)</f>
        <v>497</v>
      </c>
      <c r="K334" s="113">
        <f>SUM(K328:K333)</f>
        <v>168</v>
      </c>
      <c r="L334" s="113">
        <f>SUM(L328:L333)</f>
        <v>56</v>
      </c>
      <c r="M334" s="114">
        <f>SUM(M328:M333)</f>
        <v>228</v>
      </c>
      <c r="N334" s="113">
        <f>SUM(N328:N333)</f>
        <v>23</v>
      </c>
      <c r="O334" s="113">
        <v>0</v>
      </c>
      <c r="P334" s="114">
        <f>SUM(P328:P333)</f>
        <v>12</v>
      </c>
      <c r="Q334" s="115">
        <f t="shared" ref="Q334:Q340" si="136">(K334+L334)/J334</f>
        <v>0.45070422535211269</v>
      </c>
      <c r="R334" s="116">
        <f t="shared" ref="R334:R340" si="137">N334/J334</f>
        <v>4.6277665995975853E-2</v>
      </c>
      <c r="S334" s="116">
        <f t="shared" si="128"/>
        <v>2.4144869215291749E-2</v>
      </c>
      <c r="T334" s="116">
        <f t="shared" ref="T334:T340" si="138">O334/J334</f>
        <v>0</v>
      </c>
      <c r="U334" s="117">
        <f t="shared" si="130"/>
        <v>0.52112676056338025</v>
      </c>
      <c r="V334" s="127"/>
    </row>
    <row r="335" spans="2:22" ht="15.75" hidden="1" x14ac:dyDescent="0.2">
      <c r="B335" s="711">
        <v>46113</v>
      </c>
      <c r="C335" s="105" t="s">
        <v>12</v>
      </c>
      <c r="D335" s="105" t="s">
        <v>23</v>
      </c>
      <c r="E335" s="711">
        <v>46113</v>
      </c>
      <c r="G335" s="833">
        <v>46113</v>
      </c>
      <c r="H335" s="106" t="s">
        <v>32</v>
      </c>
      <c r="I335" s="106" t="s">
        <v>22</v>
      </c>
      <c r="J335" s="106">
        <f>SUM(K335:P335)</f>
        <v>68</v>
      </c>
      <c r="K335" s="106">
        <v>43</v>
      </c>
      <c r="L335" s="106">
        <v>14</v>
      </c>
      <c r="M335" s="107">
        <v>0</v>
      </c>
      <c r="N335" s="106">
        <v>11</v>
      </c>
      <c r="O335" s="106">
        <v>0</v>
      </c>
      <c r="P335" s="107">
        <v>0</v>
      </c>
      <c r="Q335" s="108">
        <f t="shared" si="136"/>
        <v>0.83823529411764708</v>
      </c>
      <c r="R335" s="109">
        <f t="shared" si="137"/>
        <v>0.16176470588235295</v>
      </c>
      <c r="S335" s="109">
        <f t="shared" ref="S335:S341" si="139">P335/J335</f>
        <v>0</v>
      </c>
      <c r="T335" s="109">
        <f t="shared" si="138"/>
        <v>0</v>
      </c>
      <c r="U335" s="110">
        <f t="shared" ref="U335:U341" si="140">S335+R335+Q335+T335</f>
        <v>1</v>
      </c>
      <c r="V335" s="111"/>
    </row>
    <row r="336" spans="2:22" ht="15.75" hidden="1" x14ac:dyDescent="0.2">
      <c r="B336" s="711">
        <v>46113</v>
      </c>
      <c r="C336" s="105" t="s">
        <v>12</v>
      </c>
      <c r="D336" s="105" t="s">
        <v>23</v>
      </c>
      <c r="E336" s="711">
        <v>46113</v>
      </c>
      <c r="G336" s="834"/>
      <c r="H336" s="106" t="s">
        <v>87</v>
      </c>
      <c r="I336" s="106" t="s">
        <v>22</v>
      </c>
      <c r="J336" s="106">
        <f>SUM(K336:P336)</f>
        <v>4</v>
      </c>
      <c r="K336" s="106">
        <v>4</v>
      </c>
      <c r="L336" s="106">
        <v>0</v>
      </c>
      <c r="M336" s="107">
        <v>0</v>
      </c>
      <c r="N336" s="106">
        <v>0</v>
      </c>
      <c r="O336" s="106">
        <v>0</v>
      </c>
      <c r="P336" s="107">
        <v>0</v>
      </c>
      <c r="Q336" s="108">
        <f t="shared" si="136"/>
        <v>1</v>
      </c>
      <c r="R336" s="109">
        <f t="shared" si="137"/>
        <v>0</v>
      </c>
      <c r="S336" s="109">
        <f t="shared" si="139"/>
        <v>0</v>
      </c>
      <c r="T336" s="109">
        <f t="shared" si="138"/>
        <v>0</v>
      </c>
      <c r="U336" s="110">
        <f t="shared" si="140"/>
        <v>1</v>
      </c>
      <c r="V336" s="111"/>
    </row>
    <row r="337" spans="2:22" ht="15.75" hidden="1" x14ac:dyDescent="0.2">
      <c r="B337" s="711">
        <v>46113</v>
      </c>
      <c r="C337" s="105" t="s">
        <v>12</v>
      </c>
      <c r="D337" s="105" t="s">
        <v>23</v>
      </c>
      <c r="E337" s="711">
        <v>46113</v>
      </c>
      <c r="G337" s="834"/>
      <c r="H337" s="106" t="s">
        <v>16</v>
      </c>
      <c r="I337" s="120" t="s">
        <v>83</v>
      </c>
      <c r="J337" s="106">
        <f t="shared" ref="J337:J340" si="141">SUM(K337:P337)</f>
        <v>41</v>
      </c>
      <c r="K337" s="106">
        <v>12</v>
      </c>
      <c r="L337" s="106">
        <v>20</v>
      </c>
      <c r="M337" s="107">
        <v>0</v>
      </c>
      <c r="N337" s="106">
        <v>0</v>
      </c>
      <c r="O337" s="106">
        <v>3</v>
      </c>
      <c r="P337" s="107">
        <v>6</v>
      </c>
      <c r="Q337" s="108">
        <f t="shared" si="136"/>
        <v>0.78048780487804881</v>
      </c>
      <c r="R337" s="109">
        <f t="shared" si="137"/>
        <v>0</v>
      </c>
      <c r="S337" s="109">
        <f t="shared" si="139"/>
        <v>0.14634146341463414</v>
      </c>
      <c r="T337" s="109">
        <f t="shared" si="138"/>
        <v>7.3170731707317069E-2</v>
      </c>
      <c r="U337" s="110">
        <f t="shared" si="140"/>
        <v>1</v>
      </c>
      <c r="V337" s="111"/>
    </row>
    <row r="338" spans="2:22" ht="15.75" hidden="1" x14ac:dyDescent="0.2">
      <c r="B338" s="711">
        <v>46113</v>
      </c>
      <c r="C338" s="105" t="s">
        <v>12</v>
      </c>
      <c r="D338" s="105" t="s">
        <v>23</v>
      </c>
      <c r="E338" s="711">
        <v>46113</v>
      </c>
      <c r="G338" s="834"/>
      <c r="H338" s="106" t="s">
        <v>84</v>
      </c>
      <c r="I338" s="120" t="s">
        <v>22</v>
      </c>
      <c r="J338" s="106">
        <f t="shared" si="141"/>
        <v>3</v>
      </c>
      <c r="K338" s="106">
        <v>3</v>
      </c>
      <c r="L338" s="106">
        <v>0</v>
      </c>
      <c r="M338" s="107">
        <v>0</v>
      </c>
      <c r="N338" s="106">
        <v>0</v>
      </c>
      <c r="O338" s="106">
        <v>0</v>
      </c>
      <c r="P338" s="107">
        <v>0</v>
      </c>
      <c r="Q338" s="108">
        <f t="shared" si="136"/>
        <v>1</v>
      </c>
      <c r="R338" s="109">
        <f t="shared" si="137"/>
        <v>0</v>
      </c>
      <c r="S338" s="109">
        <f t="shared" si="139"/>
        <v>0</v>
      </c>
      <c r="T338" s="109">
        <f t="shared" si="138"/>
        <v>0</v>
      </c>
      <c r="U338" s="110">
        <f t="shared" si="140"/>
        <v>1</v>
      </c>
      <c r="V338" s="111"/>
    </row>
    <row r="339" spans="2:22" ht="15.75" hidden="1" x14ac:dyDescent="0.2">
      <c r="B339" s="711">
        <v>46113</v>
      </c>
      <c r="C339" s="105" t="s">
        <v>12</v>
      </c>
      <c r="D339" s="105" t="s">
        <v>23</v>
      </c>
      <c r="E339" s="711">
        <v>46113</v>
      </c>
      <c r="G339" s="834"/>
      <c r="H339" s="120" t="s">
        <v>14</v>
      </c>
      <c r="I339" s="120" t="s">
        <v>12</v>
      </c>
      <c r="J339" s="106">
        <v>207</v>
      </c>
      <c r="K339" s="106">
        <v>184</v>
      </c>
      <c r="L339" s="106">
        <v>12</v>
      </c>
      <c r="M339" s="107">
        <v>2</v>
      </c>
      <c r="N339" s="106">
        <v>0</v>
      </c>
      <c r="O339" s="106">
        <v>7</v>
      </c>
      <c r="P339" s="107">
        <v>2</v>
      </c>
      <c r="Q339" s="108">
        <f t="shared" si="136"/>
        <v>0.9468599033816425</v>
      </c>
      <c r="R339" s="109">
        <f t="shared" si="137"/>
        <v>0</v>
      </c>
      <c r="S339" s="109">
        <f t="shared" si="139"/>
        <v>9.6618357487922701E-3</v>
      </c>
      <c r="T339" s="109">
        <f t="shared" si="138"/>
        <v>3.3816425120772944E-2</v>
      </c>
      <c r="U339" s="110">
        <f t="shared" si="140"/>
        <v>0.9903381642512078</v>
      </c>
      <c r="V339" s="111"/>
    </row>
    <row r="340" spans="2:22" ht="15.75" hidden="1" x14ac:dyDescent="0.2">
      <c r="B340" s="711">
        <v>46113</v>
      </c>
      <c r="C340" s="105" t="s">
        <v>12</v>
      </c>
      <c r="D340" s="105" t="s">
        <v>23</v>
      </c>
      <c r="E340" s="711">
        <v>46113</v>
      </c>
      <c r="G340" s="834"/>
      <c r="H340" s="120" t="s">
        <v>17</v>
      </c>
      <c r="I340" s="120" t="s">
        <v>18</v>
      </c>
      <c r="J340" s="106">
        <f t="shared" si="141"/>
        <v>181</v>
      </c>
      <c r="K340" s="106">
        <v>126</v>
      </c>
      <c r="L340" s="106">
        <v>20</v>
      </c>
      <c r="M340" s="107">
        <v>0</v>
      </c>
      <c r="N340" s="106">
        <v>13</v>
      </c>
      <c r="O340" s="106">
        <v>20</v>
      </c>
      <c r="P340" s="107">
        <v>2</v>
      </c>
      <c r="Q340" s="108">
        <f t="shared" si="136"/>
        <v>0.8066298342541437</v>
      </c>
      <c r="R340" s="109">
        <f t="shared" si="137"/>
        <v>7.18232044198895E-2</v>
      </c>
      <c r="S340" s="109">
        <f t="shared" si="139"/>
        <v>1.1049723756906077E-2</v>
      </c>
      <c r="T340" s="109">
        <f t="shared" si="138"/>
        <v>0.11049723756906077</v>
      </c>
      <c r="U340" s="110">
        <f t="shared" si="140"/>
        <v>1</v>
      </c>
      <c r="V340" s="111"/>
    </row>
    <row r="341" spans="2:22" ht="15.75" hidden="1" x14ac:dyDescent="0.2">
      <c r="B341" s="711">
        <v>46113</v>
      </c>
      <c r="C341" s="105" t="s">
        <v>12</v>
      </c>
      <c r="D341" s="105" t="s">
        <v>23</v>
      </c>
      <c r="E341" s="711">
        <v>46113</v>
      </c>
      <c r="G341" s="835"/>
      <c r="H341" s="113" t="s">
        <v>19</v>
      </c>
      <c r="I341" s="113"/>
      <c r="J341" s="113">
        <f>SUM(J335:J340)</f>
        <v>504</v>
      </c>
      <c r="K341" s="113">
        <f>SUM(K335:K340)</f>
        <v>372</v>
      </c>
      <c r="L341" s="113">
        <f>SUM(L335:L340)</f>
        <v>66</v>
      </c>
      <c r="M341" s="114">
        <f>SUM(M335:M340)</f>
        <v>2</v>
      </c>
      <c r="N341" s="113">
        <f>SUM(N335:N340)</f>
        <v>24</v>
      </c>
      <c r="O341" s="113">
        <v>0</v>
      </c>
      <c r="P341" s="114">
        <f>SUM(P335:P340)</f>
        <v>10</v>
      </c>
      <c r="Q341" s="115">
        <f t="shared" ref="Q341:Q342" si="142">(K341+L341)/J341</f>
        <v>0.86904761904761907</v>
      </c>
      <c r="R341" s="116">
        <f t="shared" ref="R341:R342" si="143">N341/J341</f>
        <v>4.7619047619047616E-2</v>
      </c>
      <c r="S341" s="116">
        <f t="shared" si="139"/>
        <v>1.984126984126984E-2</v>
      </c>
      <c r="T341" s="116">
        <f t="shared" ref="T341:T342" si="144">O341/J341</f>
        <v>0</v>
      </c>
      <c r="U341" s="117">
        <f t="shared" si="140"/>
        <v>0.93650793650793651</v>
      </c>
      <c r="V341" s="127"/>
    </row>
    <row r="342" spans="2:22" ht="15.75" hidden="1" x14ac:dyDescent="0.2">
      <c r="B342" s="711">
        <v>46113</v>
      </c>
      <c r="C342" s="105" t="s">
        <v>12</v>
      </c>
      <c r="D342" s="105" t="s">
        <v>23</v>
      </c>
      <c r="E342" s="711">
        <v>46114</v>
      </c>
      <c r="G342" s="833">
        <v>46114</v>
      </c>
      <c r="H342" s="106" t="s">
        <v>87</v>
      </c>
      <c r="I342" s="106" t="s">
        <v>22</v>
      </c>
      <c r="J342" s="106">
        <v>70</v>
      </c>
      <c r="K342" s="106">
        <v>0</v>
      </c>
      <c r="L342" s="106">
        <v>0</v>
      </c>
      <c r="M342" s="107">
        <v>50</v>
      </c>
      <c r="N342" s="106">
        <v>20</v>
      </c>
      <c r="O342" s="106">
        <v>0</v>
      </c>
      <c r="P342" s="107">
        <v>0</v>
      </c>
      <c r="Q342" s="108">
        <f t="shared" si="142"/>
        <v>0</v>
      </c>
      <c r="R342" s="109">
        <f t="shared" si="143"/>
        <v>0.2857142857142857</v>
      </c>
      <c r="S342" s="109">
        <f t="shared" ref="S342:S359" si="145">P342/J342</f>
        <v>0</v>
      </c>
      <c r="T342" s="109">
        <f t="shared" si="144"/>
        <v>0</v>
      </c>
      <c r="U342" s="110">
        <f t="shared" ref="U342:U359" si="146">S342+R342+Q342+T342</f>
        <v>0.2857142857142857</v>
      </c>
      <c r="V342" s="111"/>
    </row>
    <row r="343" spans="2:22" ht="15.75" hidden="1" x14ac:dyDescent="0.2">
      <c r="B343" s="711">
        <v>46113</v>
      </c>
      <c r="C343" s="105" t="s">
        <v>12</v>
      </c>
      <c r="D343" s="105" t="s">
        <v>23</v>
      </c>
      <c r="E343" s="711">
        <v>46114</v>
      </c>
      <c r="G343" s="835"/>
      <c r="H343" s="113" t="s">
        <v>19</v>
      </c>
      <c r="I343" s="113"/>
      <c r="J343" s="113">
        <f>SUM(J342:J342)</f>
        <v>70</v>
      </c>
      <c r="K343" s="113">
        <f>SUM(K342:K342)</f>
        <v>0</v>
      </c>
      <c r="L343" s="113">
        <f>SUM(L342:L342)</f>
        <v>0</v>
      </c>
      <c r="M343" s="114">
        <f>SUM(M342:M342)</f>
        <v>50</v>
      </c>
      <c r="N343" s="113">
        <f>SUM(N342:N342)</f>
        <v>20</v>
      </c>
      <c r="O343" s="113">
        <v>0</v>
      </c>
      <c r="P343" s="114">
        <f>SUM(P342:P342)</f>
        <v>0</v>
      </c>
      <c r="Q343" s="115">
        <f t="shared" ref="Q343:Q359" si="147">(K343+L343)/J343</f>
        <v>0</v>
      </c>
      <c r="R343" s="116">
        <f t="shared" ref="R343:R359" si="148">N343/J343</f>
        <v>0.2857142857142857</v>
      </c>
      <c r="S343" s="116">
        <f t="shared" si="145"/>
        <v>0</v>
      </c>
      <c r="T343" s="116">
        <f t="shared" ref="T343:T359" si="149">O343/J343</f>
        <v>0</v>
      </c>
      <c r="U343" s="117">
        <f t="shared" si="146"/>
        <v>0.2857142857142857</v>
      </c>
      <c r="V343" s="127"/>
    </row>
    <row r="344" spans="2:22" ht="15.75" hidden="1" x14ac:dyDescent="0.2">
      <c r="B344" s="711">
        <v>46113</v>
      </c>
      <c r="C344" s="105" t="s">
        <v>18</v>
      </c>
      <c r="D344" s="105" t="s">
        <v>13</v>
      </c>
      <c r="E344" s="711">
        <v>46113</v>
      </c>
      <c r="G344" s="833">
        <v>46113</v>
      </c>
      <c r="H344" s="106" t="s">
        <v>16</v>
      </c>
      <c r="I344" s="120" t="s">
        <v>83</v>
      </c>
      <c r="J344" s="106">
        <v>238</v>
      </c>
      <c r="K344" s="106">
        <f t="shared" ref="K344" si="150">(J344)-(L344+M344+N344+P344+O344)</f>
        <v>171</v>
      </c>
      <c r="L344" s="106">
        <v>45</v>
      </c>
      <c r="M344" s="107">
        <v>0</v>
      </c>
      <c r="N344" s="106">
        <v>0</v>
      </c>
      <c r="O344" s="106">
        <v>16</v>
      </c>
      <c r="P344" s="107">
        <v>6</v>
      </c>
      <c r="Q344" s="108">
        <f t="shared" si="147"/>
        <v>0.90756302521008403</v>
      </c>
      <c r="R344" s="109">
        <f t="shared" si="148"/>
        <v>0</v>
      </c>
      <c r="S344" s="109">
        <f t="shared" si="145"/>
        <v>2.5210084033613446E-2</v>
      </c>
      <c r="T344" s="109">
        <f t="shared" si="149"/>
        <v>6.7226890756302518E-2</v>
      </c>
      <c r="U344" s="110">
        <f t="shared" si="146"/>
        <v>1</v>
      </c>
    </row>
    <row r="345" spans="2:22" ht="15.75" hidden="1" x14ac:dyDescent="0.2">
      <c r="B345" s="711">
        <v>46113</v>
      </c>
      <c r="C345" s="105" t="s">
        <v>18</v>
      </c>
      <c r="D345" s="105" t="s">
        <v>13</v>
      </c>
      <c r="E345" s="711">
        <v>46113</v>
      </c>
      <c r="G345" s="834"/>
      <c r="H345" s="120" t="s">
        <v>17</v>
      </c>
      <c r="I345" s="120" t="s">
        <v>18</v>
      </c>
      <c r="J345" s="106">
        <f t="shared" ref="J345" si="151">SUM(K345:P345)</f>
        <v>181</v>
      </c>
      <c r="K345" s="106">
        <v>126</v>
      </c>
      <c r="L345" s="106">
        <v>20</v>
      </c>
      <c r="M345" s="107">
        <v>0</v>
      </c>
      <c r="N345" s="106">
        <v>13</v>
      </c>
      <c r="O345" s="106">
        <v>20</v>
      </c>
      <c r="P345" s="107">
        <v>2</v>
      </c>
      <c r="Q345" s="108">
        <f t="shared" si="147"/>
        <v>0.8066298342541437</v>
      </c>
      <c r="R345" s="109">
        <f t="shared" si="148"/>
        <v>7.18232044198895E-2</v>
      </c>
      <c r="S345" s="109">
        <f t="shared" si="145"/>
        <v>1.1049723756906077E-2</v>
      </c>
      <c r="T345" s="109">
        <f t="shared" si="149"/>
        <v>0.11049723756906077</v>
      </c>
      <c r="U345" s="110">
        <f t="shared" si="146"/>
        <v>1</v>
      </c>
    </row>
    <row r="346" spans="2:22" ht="15.75" hidden="1" x14ac:dyDescent="0.2">
      <c r="B346" s="711">
        <v>46113</v>
      </c>
      <c r="C346" s="105" t="s">
        <v>18</v>
      </c>
      <c r="D346" s="105" t="s">
        <v>13</v>
      </c>
      <c r="E346" s="711">
        <v>46113</v>
      </c>
      <c r="G346" s="835"/>
      <c r="H346" s="113" t="s">
        <v>19</v>
      </c>
      <c r="I346" s="113"/>
      <c r="J346" s="113">
        <f>SUM(J344:J345)</f>
        <v>419</v>
      </c>
      <c r="K346" s="113">
        <f>SUM(K344:K345)</f>
        <v>297</v>
      </c>
      <c r="L346" s="113">
        <f>SUM(L344:L345)</f>
        <v>65</v>
      </c>
      <c r="M346" s="114">
        <f>SUM(M344:M345)</f>
        <v>0</v>
      </c>
      <c r="N346" s="113">
        <f>SUM(N344:N345)</f>
        <v>13</v>
      </c>
      <c r="O346" s="113">
        <v>0</v>
      </c>
      <c r="P346" s="114">
        <f>SUM(P344:P345)</f>
        <v>8</v>
      </c>
      <c r="Q346" s="115">
        <f t="shared" si="147"/>
        <v>0.86396181384248205</v>
      </c>
      <c r="R346" s="116">
        <f t="shared" si="148"/>
        <v>3.1026252983293555E-2</v>
      </c>
      <c r="S346" s="116">
        <f t="shared" si="145"/>
        <v>1.9093078758949882E-2</v>
      </c>
      <c r="T346" s="116">
        <f t="shared" si="149"/>
        <v>0</v>
      </c>
      <c r="U346" s="117">
        <f t="shared" si="146"/>
        <v>0.91408114558472553</v>
      </c>
    </row>
    <row r="347" spans="2:22" ht="15.75" hidden="1" x14ac:dyDescent="0.2">
      <c r="B347" s="711">
        <v>46113</v>
      </c>
      <c r="C347" s="105" t="s">
        <v>18</v>
      </c>
      <c r="D347" s="105" t="s">
        <v>13</v>
      </c>
      <c r="E347" s="711">
        <v>46114</v>
      </c>
      <c r="G347" s="833">
        <v>46114</v>
      </c>
      <c r="H347" s="106" t="s">
        <v>24</v>
      </c>
      <c r="I347" s="120" t="s">
        <v>83</v>
      </c>
      <c r="J347" s="106">
        <v>237</v>
      </c>
      <c r="K347" s="106">
        <f t="shared" ref="K347:K352" si="152">(J347)-(L347+M347+N347+P347+O347)</f>
        <v>111</v>
      </c>
      <c r="L347" s="106">
        <v>56</v>
      </c>
      <c r="M347" s="107">
        <v>46</v>
      </c>
      <c r="N347" s="106">
        <v>0</v>
      </c>
      <c r="O347" s="106">
        <v>16</v>
      </c>
      <c r="P347" s="107">
        <v>8</v>
      </c>
      <c r="Q347" s="108">
        <f t="shared" si="147"/>
        <v>0.70464135021097052</v>
      </c>
      <c r="R347" s="109">
        <f t="shared" si="148"/>
        <v>0</v>
      </c>
      <c r="S347" s="109">
        <f t="shared" si="145"/>
        <v>3.3755274261603373E-2</v>
      </c>
      <c r="T347" s="109">
        <f t="shared" si="149"/>
        <v>6.7510548523206745E-2</v>
      </c>
      <c r="U347" s="110">
        <f t="shared" si="146"/>
        <v>0.80590717299578063</v>
      </c>
    </row>
    <row r="348" spans="2:22" ht="15.75" hidden="1" x14ac:dyDescent="0.2">
      <c r="B348" s="711">
        <v>46113</v>
      </c>
      <c r="C348" s="105" t="s">
        <v>18</v>
      </c>
      <c r="D348" s="105" t="s">
        <v>13</v>
      </c>
      <c r="E348" s="711">
        <v>46114</v>
      </c>
      <c r="G348" s="834"/>
      <c r="H348" s="106" t="s">
        <v>87</v>
      </c>
      <c r="I348" s="106" t="s">
        <v>43</v>
      </c>
      <c r="J348" s="106">
        <v>70</v>
      </c>
      <c r="K348" s="106">
        <f t="shared" si="152"/>
        <v>70</v>
      </c>
      <c r="L348" s="106">
        <v>0</v>
      </c>
      <c r="M348" s="107">
        <v>0</v>
      </c>
      <c r="N348" s="106">
        <v>0</v>
      </c>
      <c r="O348" s="106">
        <v>0</v>
      </c>
      <c r="P348" s="107">
        <v>0</v>
      </c>
      <c r="Q348" s="108">
        <f t="shared" si="147"/>
        <v>1</v>
      </c>
      <c r="R348" s="109">
        <f t="shared" si="148"/>
        <v>0</v>
      </c>
      <c r="S348" s="109">
        <f t="shared" si="145"/>
        <v>0</v>
      </c>
      <c r="T348" s="109">
        <f t="shared" si="149"/>
        <v>0</v>
      </c>
      <c r="U348" s="110">
        <f t="shared" si="146"/>
        <v>1</v>
      </c>
    </row>
    <row r="349" spans="2:22" ht="15.75" hidden="1" x14ac:dyDescent="0.2">
      <c r="B349" s="711">
        <v>46113</v>
      </c>
      <c r="C349" s="105" t="s">
        <v>18</v>
      </c>
      <c r="D349" s="105" t="s">
        <v>13</v>
      </c>
      <c r="E349" s="711">
        <v>46114</v>
      </c>
      <c r="G349" s="834"/>
      <c r="H349" s="106" t="s">
        <v>84</v>
      </c>
      <c r="I349" s="120" t="s">
        <v>22</v>
      </c>
      <c r="J349" s="106">
        <v>29</v>
      </c>
      <c r="K349" s="106">
        <f t="shared" si="152"/>
        <v>0</v>
      </c>
      <c r="L349" s="106">
        <v>0</v>
      </c>
      <c r="M349" s="107">
        <v>29</v>
      </c>
      <c r="N349" s="106">
        <v>0</v>
      </c>
      <c r="O349" s="106">
        <v>0</v>
      </c>
      <c r="P349" s="107">
        <v>0</v>
      </c>
      <c r="Q349" s="108">
        <f t="shared" si="147"/>
        <v>0</v>
      </c>
      <c r="R349" s="109">
        <f t="shared" si="148"/>
        <v>0</v>
      </c>
      <c r="S349" s="109">
        <f t="shared" si="145"/>
        <v>0</v>
      </c>
      <c r="T349" s="109">
        <f t="shared" si="149"/>
        <v>0</v>
      </c>
      <c r="U349" s="110">
        <f t="shared" si="146"/>
        <v>0</v>
      </c>
    </row>
    <row r="350" spans="2:22" ht="15.75" hidden="1" x14ac:dyDescent="0.2">
      <c r="B350" s="711">
        <v>46113</v>
      </c>
      <c r="C350" s="105" t="s">
        <v>18</v>
      </c>
      <c r="D350" s="105" t="s">
        <v>13</v>
      </c>
      <c r="E350" s="711">
        <v>46114</v>
      </c>
      <c r="G350" s="834"/>
      <c r="H350" s="106" t="s">
        <v>32</v>
      </c>
      <c r="I350" s="120" t="s">
        <v>22</v>
      </c>
      <c r="J350" s="106">
        <v>2</v>
      </c>
      <c r="K350" s="106">
        <f t="shared" si="152"/>
        <v>0</v>
      </c>
      <c r="L350" s="106">
        <v>0</v>
      </c>
      <c r="M350" s="107">
        <v>2</v>
      </c>
      <c r="N350" s="106">
        <v>0</v>
      </c>
      <c r="O350" s="106">
        <v>0</v>
      </c>
      <c r="P350" s="107">
        <v>0</v>
      </c>
      <c r="Q350" s="108">
        <f t="shared" si="147"/>
        <v>0</v>
      </c>
      <c r="R350" s="109">
        <f t="shared" si="148"/>
        <v>0</v>
      </c>
      <c r="S350" s="109">
        <f t="shared" si="145"/>
        <v>0</v>
      </c>
      <c r="T350" s="109">
        <f t="shared" si="149"/>
        <v>0</v>
      </c>
      <c r="U350" s="110">
        <f t="shared" si="146"/>
        <v>0</v>
      </c>
    </row>
    <row r="351" spans="2:22" ht="15.75" hidden="1" x14ac:dyDescent="0.2">
      <c r="B351" s="711">
        <v>46113</v>
      </c>
      <c r="C351" s="105" t="s">
        <v>18</v>
      </c>
      <c r="D351" s="105" t="s">
        <v>13</v>
      </c>
      <c r="E351" s="711">
        <v>46114</v>
      </c>
      <c r="G351" s="834"/>
      <c r="H351" s="120" t="s">
        <v>14</v>
      </c>
      <c r="I351" s="120" t="s">
        <v>12</v>
      </c>
      <c r="J351" s="106">
        <v>233</v>
      </c>
      <c r="K351" s="106">
        <f t="shared" si="152"/>
        <v>0</v>
      </c>
      <c r="L351" s="106">
        <v>0</v>
      </c>
      <c r="M351" s="107">
        <v>225</v>
      </c>
      <c r="N351" s="106">
        <v>0</v>
      </c>
      <c r="O351" s="106">
        <v>0</v>
      </c>
      <c r="P351" s="107">
        <v>8</v>
      </c>
      <c r="Q351" s="108">
        <f t="shared" si="147"/>
        <v>0</v>
      </c>
      <c r="R351" s="109">
        <f t="shared" si="148"/>
        <v>0</v>
      </c>
      <c r="S351" s="109">
        <f t="shared" si="145"/>
        <v>3.4334763948497854E-2</v>
      </c>
      <c r="T351" s="109">
        <f t="shared" si="149"/>
        <v>0</v>
      </c>
      <c r="U351" s="110">
        <f t="shared" si="146"/>
        <v>3.4334763948497854E-2</v>
      </c>
    </row>
    <row r="352" spans="2:22" ht="15.75" hidden="1" x14ac:dyDescent="0.2">
      <c r="B352" s="711">
        <v>46113</v>
      </c>
      <c r="C352" s="105" t="s">
        <v>18</v>
      </c>
      <c r="D352" s="105" t="s">
        <v>13</v>
      </c>
      <c r="E352" s="711">
        <v>46114</v>
      </c>
      <c r="G352" s="834"/>
      <c r="H352" s="120" t="s">
        <v>25</v>
      </c>
      <c r="I352" s="120" t="s">
        <v>18</v>
      </c>
      <c r="J352" s="106">
        <v>186</v>
      </c>
      <c r="K352" s="106">
        <f t="shared" si="152"/>
        <v>0</v>
      </c>
      <c r="L352" s="106">
        <v>0</v>
      </c>
      <c r="M352" s="107">
        <v>186</v>
      </c>
      <c r="N352" s="106">
        <v>0</v>
      </c>
      <c r="O352" s="106">
        <v>0</v>
      </c>
      <c r="P352" s="107">
        <v>0</v>
      </c>
      <c r="Q352" s="108">
        <f t="shared" si="147"/>
        <v>0</v>
      </c>
      <c r="R352" s="109">
        <f t="shared" si="148"/>
        <v>0</v>
      </c>
      <c r="S352" s="109">
        <f t="shared" si="145"/>
        <v>0</v>
      </c>
      <c r="T352" s="109">
        <f t="shared" si="149"/>
        <v>0</v>
      </c>
      <c r="U352" s="110">
        <f t="shared" si="146"/>
        <v>0</v>
      </c>
    </row>
    <row r="353" spans="2:22" ht="15.75" hidden="1" x14ac:dyDescent="0.2">
      <c r="B353" s="711">
        <v>46113</v>
      </c>
      <c r="C353" s="105" t="s">
        <v>18</v>
      </c>
      <c r="D353" s="105" t="s">
        <v>13</v>
      </c>
      <c r="E353" s="711">
        <v>46114</v>
      </c>
      <c r="G353" s="835"/>
      <c r="H353" s="113" t="s">
        <v>19</v>
      </c>
      <c r="I353" s="113"/>
      <c r="J353" s="113">
        <f>SUM(J347:J352)</f>
        <v>757</v>
      </c>
      <c r="K353" s="113">
        <f>SUM(K347:K352)</f>
        <v>181</v>
      </c>
      <c r="L353" s="113">
        <f>SUM(L347:L352)</f>
        <v>56</v>
      </c>
      <c r="M353" s="114">
        <f>SUM(M347:M352)</f>
        <v>488</v>
      </c>
      <c r="N353" s="113">
        <f>SUM(N347:N352)</f>
        <v>0</v>
      </c>
      <c r="O353" s="113">
        <v>0</v>
      </c>
      <c r="P353" s="114">
        <f>SUM(P347:P352)</f>
        <v>16</v>
      </c>
      <c r="Q353" s="115">
        <f t="shared" si="147"/>
        <v>0.31307793923381771</v>
      </c>
      <c r="R353" s="116">
        <f t="shared" si="148"/>
        <v>0</v>
      </c>
      <c r="S353" s="116">
        <f t="shared" si="145"/>
        <v>2.1136063408190225E-2</v>
      </c>
      <c r="T353" s="116">
        <f t="shared" si="149"/>
        <v>0</v>
      </c>
      <c r="U353" s="117">
        <f t="shared" si="146"/>
        <v>0.33421400264200796</v>
      </c>
    </row>
    <row r="354" spans="2:22" ht="15.75" hidden="1" x14ac:dyDescent="0.2">
      <c r="B354" s="711">
        <v>46114</v>
      </c>
      <c r="C354" s="105" t="s">
        <v>22</v>
      </c>
      <c r="D354" s="105" t="s">
        <v>20</v>
      </c>
      <c r="E354" s="711">
        <v>46114</v>
      </c>
      <c r="G354" s="833">
        <v>46114</v>
      </c>
      <c r="H354" s="106" t="s">
        <v>32</v>
      </c>
      <c r="I354" s="106" t="s">
        <v>22</v>
      </c>
      <c r="J354" s="106">
        <f>SUM(K354:P354)</f>
        <v>8</v>
      </c>
      <c r="K354" s="106">
        <v>8</v>
      </c>
      <c r="L354" s="106">
        <v>0</v>
      </c>
      <c r="M354" s="107">
        <v>0</v>
      </c>
      <c r="N354" s="106">
        <v>0</v>
      </c>
      <c r="O354" s="106">
        <v>0</v>
      </c>
      <c r="P354" s="107">
        <v>0</v>
      </c>
      <c r="Q354" s="108">
        <f t="shared" si="147"/>
        <v>1</v>
      </c>
      <c r="R354" s="109">
        <f t="shared" si="148"/>
        <v>0</v>
      </c>
      <c r="S354" s="109">
        <f t="shared" si="145"/>
        <v>0</v>
      </c>
      <c r="T354" s="109">
        <f t="shared" si="149"/>
        <v>0</v>
      </c>
      <c r="U354" s="110">
        <f t="shared" si="146"/>
        <v>1</v>
      </c>
      <c r="V354" s="111"/>
    </row>
    <row r="355" spans="2:22" ht="15.75" hidden="1" x14ac:dyDescent="0.2">
      <c r="B355" s="711">
        <v>46114</v>
      </c>
      <c r="C355" s="105" t="s">
        <v>22</v>
      </c>
      <c r="D355" s="105" t="s">
        <v>20</v>
      </c>
      <c r="E355" s="711">
        <v>46114</v>
      </c>
      <c r="G355" s="834"/>
      <c r="H355" s="106" t="s">
        <v>16</v>
      </c>
      <c r="I355" s="120" t="s">
        <v>83</v>
      </c>
      <c r="J355" s="106">
        <f t="shared" ref="J355:J358" si="153">SUM(K355:P355)</f>
        <v>67</v>
      </c>
      <c r="K355" s="106">
        <v>25</v>
      </c>
      <c r="L355" s="106">
        <v>27</v>
      </c>
      <c r="M355" s="107">
        <v>0</v>
      </c>
      <c r="N355" s="106">
        <v>0</v>
      </c>
      <c r="O355" s="106">
        <v>13</v>
      </c>
      <c r="P355" s="107">
        <v>2</v>
      </c>
      <c r="Q355" s="108">
        <f t="shared" si="147"/>
        <v>0.77611940298507465</v>
      </c>
      <c r="R355" s="109">
        <f t="shared" si="148"/>
        <v>0</v>
      </c>
      <c r="S355" s="109">
        <f t="shared" si="145"/>
        <v>2.9850746268656716E-2</v>
      </c>
      <c r="T355" s="109">
        <f t="shared" si="149"/>
        <v>0.19402985074626866</v>
      </c>
      <c r="U355" s="110">
        <f t="shared" si="146"/>
        <v>1</v>
      </c>
      <c r="V355" s="111"/>
    </row>
    <row r="356" spans="2:22" ht="15.75" hidden="1" x14ac:dyDescent="0.2">
      <c r="B356" s="711">
        <v>46114</v>
      </c>
      <c r="C356" s="105" t="s">
        <v>22</v>
      </c>
      <c r="D356" s="105" t="s">
        <v>20</v>
      </c>
      <c r="E356" s="711">
        <v>46114</v>
      </c>
      <c r="G356" s="834"/>
      <c r="H356" s="106" t="s">
        <v>84</v>
      </c>
      <c r="I356" s="120" t="s">
        <v>22</v>
      </c>
      <c r="J356" s="106">
        <f t="shared" si="153"/>
        <v>26</v>
      </c>
      <c r="K356" s="106">
        <v>24</v>
      </c>
      <c r="L356" s="106">
        <v>1</v>
      </c>
      <c r="M356" s="107">
        <v>1</v>
      </c>
      <c r="N356" s="106">
        <v>0</v>
      </c>
      <c r="O356" s="106">
        <v>0</v>
      </c>
      <c r="P356" s="107">
        <v>0</v>
      </c>
      <c r="Q356" s="108">
        <f t="shared" si="147"/>
        <v>0.96153846153846156</v>
      </c>
      <c r="R356" s="109">
        <f t="shared" si="148"/>
        <v>0</v>
      </c>
      <c r="S356" s="109">
        <f t="shared" si="145"/>
        <v>0</v>
      </c>
      <c r="T356" s="109">
        <f t="shared" si="149"/>
        <v>0</v>
      </c>
      <c r="U356" s="110">
        <f t="shared" si="146"/>
        <v>0.96153846153846156</v>
      </c>
      <c r="V356" s="111"/>
    </row>
    <row r="357" spans="2:22" ht="15.75" hidden="1" x14ac:dyDescent="0.2">
      <c r="B357" s="711">
        <v>46114</v>
      </c>
      <c r="C357" s="105" t="s">
        <v>22</v>
      </c>
      <c r="D357" s="105" t="s">
        <v>20</v>
      </c>
      <c r="E357" s="711">
        <v>46114</v>
      </c>
      <c r="G357" s="834"/>
      <c r="H357" s="120" t="s">
        <v>14</v>
      </c>
      <c r="I357" s="120" t="s">
        <v>12</v>
      </c>
      <c r="J357" s="106">
        <f t="shared" si="153"/>
        <v>223</v>
      </c>
      <c r="K357" s="106">
        <v>102</v>
      </c>
      <c r="L357" s="106">
        <v>26</v>
      </c>
      <c r="M357" s="107">
        <v>59</v>
      </c>
      <c r="N357" s="106">
        <v>27</v>
      </c>
      <c r="O357" s="106">
        <v>9</v>
      </c>
      <c r="P357" s="107">
        <v>0</v>
      </c>
      <c r="Q357" s="108">
        <f t="shared" si="147"/>
        <v>0.57399103139013452</v>
      </c>
      <c r="R357" s="109">
        <f t="shared" si="148"/>
        <v>0.1210762331838565</v>
      </c>
      <c r="S357" s="109">
        <f t="shared" si="145"/>
        <v>0</v>
      </c>
      <c r="T357" s="109">
        <f t="shared" si="149"/>
        <v>4.0358744394618833E-2</v>
      </c>
      <c r="U357" s="110">
        <f t="shared" si="146"/>
        <v>0.73542600896860988</v>
      </c>
      <c r="V357" s="111"/>
    </row>
    <row r="358" spans="2:22" ht="15.75" hidden="1" x14ac:dyDescent="0.2">
      <c r="B358" s="711">
        <v>46114</v>
      </c>
      <c r="C358" s="105" t="s">
        <v>22</v>
      </c>
      <c r="D358" s="105" t="s">
        <v>20</v>
      </c>
      <c r="E358" s="711">
        <v>46114</v>
      </c>
      <c r="G358" s="834"/>
      <c r="H358" s="120" t="s">
        <v>25</v>
      </c>
      <c r="I358" s="120" t="s">
        <v>18</v>
      </c>
      <c r="J358" s="106">
        <f t="shared" si="153"/>
        <v>186</v>
      </c>
      <c r="K358" s="106">
        <v>0</v>
      </c>
      <c r="L358" s="106">
        <v>0</v>
      </c>
      <c r="M358" s="107">
        <v>186</v>
      </c>
      <c r="N358" s="106">
        <v>0</v>
      </c>
      <c r="O358" s="106">
        <v>0</v>
      </c>
      <c r="P358" s="107">
        <v>0</v>
      </c>
      <c r="Q358" s="108">
        <f t="shared" si="147"/>
        <v>0</v>
      </c>
      <c r="R358" s="109">
        <f t="shared" si="148"/>
        <v>0</v>
      </c>
      <c r="S358" s="109">
        <f t="shared" si="145"/>
        <v>0</v>
      </c>
      <c r="T358" s="109">
        <f t="shared" si="149"/>
        <v>0</v>
      </c>
      <c r="U358" s="110">
        <f t="shared" si="146"/>
        <v>0</v>
      </c>
      <c r="V358" s="111"/>
    </row>
    <row r="359" spans="2:22" ht="15.75" hidden="1" x14ac:dyDescent="0.2">
      <c r="B359" s="711">
        <v>46114</v>
      </c>
      <c r="C359" s="105" t="s">
        <v>22</v>
      </c>
      <c r="D359" s="105" t="s">
        <v>20</v>
      </c>
      <c r="E359" s="711">
        <v>46114</v>
      </c>
      <c r="G359" s="835"/>
      <c r="H359" s="113" t="s">
        <v>19</v>
      </c>
      <c r="I359" s="113"/>
      <c r="J359" s="113">
        <f>SUM(J354:J358)</f>
        <v>510</v>
      </c>
      <c r="K359" s="113">
        <f>SUM(K354:K358)</f>
        <v>159</v>
      </c>
      <c r="L359" s="113">
        <f>SUM(L354:L358)</f>
        <v>54</v>
      </c>
      <c r="M359" s="114">
        <f>SUM(M354:M358)</f>
        <v>246</v>
      </c>
      <c r="N359" s="113">
        <f>SUM(N354:N358)</f>
        <v>27</v>
      </c>
      <c r="O359" s="113">
        <v>0</v>
      </c>
      <c r="P359" s="114">
        <f>SUM(P354:P358)</f>
        <v>2</v>
      </c>
      <c r="Q359" s="115">
        <f t="shared" si="147"/>
        <v>0.41764705882352943</v>
      </c>
      <c r="R359" s="116">
        <f t="shared" si="148"/>
        <v>5.2941176470588235E-2</v>
      </c>
      <c r="S359" s="116">
        <f t="shared" si="145"/>
        <v>3.9215686274509803E-3</v>
      </c>
      <c r="T359" s="116">
        <f t="shared" si="149"/>
        <v>0</v>
      </c>
      <c r="U359" s="117">
        <f t="shared" si="146"/>
        <v>0.47450980392156866</v>
      </c>
      <c r="V359" s="127"/>
    </row>
    <row r="360" spans="2:22" ht="15.75" hidden="1" x14ac:dyDescent="0.2">
      <c r="B360" s="711">
        <v>46114</v>
      </c>
      <c r="C360" s="105" t="s">
        <v>12</v>
      </c>
      <c r="D360" s="105" t="s">
        <v>23</v>
      </c>
      <c r="E360" s="711">
        <v>46114</v>
      </c>
      <c r="G360" s="833">
        <v>46114</v>
      </c>
      <c r="H360" s="106" t="s">
        <v>16</v>
      </c>
      <c r="I360" s="120" t="s">
        <v>83</v>
      </c>
      <c r="J360" s="106">
        <v>237</v>
      </c>
      <c r="K360" s="106">
        <v>12</v>
      </c>
      <c r="L360" s="106">
        <v>8</v>
      </c>
      <c r="M360" s="107">
        <v>0</v>
      </c>
      <c r="N360" s="106">
        <v>0</v>
      </c>
      <c r="O360" s="106">
        <v>13</v>
      </c>
      <c r="P360" s="107">
        <v>6</v>
      </c>
      <c r="Q360" s="108">
        <f t="shared" ref="Q360:Q363" si="154">(K360+L360)/J360</f>
        <v>8.4388185654008435E-2</v>
      </c>
      <c r="R360" s="109">
        <f t="shared" ref="R360:R363" si="155">N360/J360</f>
        <v>0</v>
      </c>
      <c r="S360" s="109">
        <f t="shared" ref="S360:S363" si="156">P360/J360</f>
        <v>2.5316455696202531E-2</v>
      </c>
      <c r="T360" s="109">
        <f t="shared" ref="T360:T363" si="157">O360/J360</f>
        <v>5.4852320675105488E-2</v>
      </c>
      <c r="U360" s="110">
        <f t="shared" ref="U360:U363" si="158">S360+R360+Q360+T360</f>
        <v>0.16455696202531644</v>
      </c>
      <c r="V360" s="111"/>
    </row>
    <row r="361" spans="2:22" ht="15.75" hidden="1" x14ac:dyDescent="0.2">
      <c r="B361" s="711">
        <v>46114</v>
      </c>
      <c r="C361" s="105" t="s">
        <v>12</v>
      </c>
      <c r="D361" s="105" t="s">
        <v>23</v>
      </c>
      <c r="E361" s="711">
        <v>46114</v>
      </c>
      <c r="G361" s="834"/>
      <c r="H361" s="120" t="s">
        <v>14</v>
      </c>
      <c r="I361" s="120" t="s">
        <v>12</v>
      </c>
      <c r="J361" s="106">
        <f t="shared" ref="J361:J362" si="159">SUM(K361:P361)</f>
        <v>152</v>
      </c>
      <c r="K361" s="106">
        <v>96</v>
      </c>
      <c r="L361" s="106">
        <v>12</v>
      </c>
      <c r="M361" s="107">
        <v>1</v>
      </c>
      <c r="N361" s="106">
        <v>27</v>
      </c>
      <c r="O361" s="106">
        <v>9</v>
      </c>
      <c r="P361" s="107">
        <v>7</v>
      </c>
      <c r="Q361" s="108">
        <f t="shared" si="154"/>
        <v>0.71052631578947367</v>
      </c>
      <c r="R361" s="109">
        <f t="shared" si="155"/>
        <v>0.17763157894736842</v>
      </c>
      <c r="S361" s="109">
        <f t="shared" si="156"/>
        <v>4.6052631578947366E-2</v>
      </c>
      <c r="T361" s="109">
        <f t="shared" si="157"/>
        <v>5.921052631578947E-2</v>
      </c>
      <c r="U361" s="110">
        <f t="shared" si="158"/>
        <v>0.99342105263157898</v>
      </c>
      <c r="V361" s="111"/>
    </row>
    <row r="362" spans="2:22" ht="15.75" hidden="1" x14ac:dyDescent="0.2">
      <c r="B362" s="711">
        <v>46114</v>
      </c>
      <c r="C362" s="105" t="s">
        <v>12</v>
      </c>
      <c r="D362" s="105" t="s">
        <v>23</v>
      </c>
      <c r="E362" s="711">
        <v>46114</v>
      </c>
      <c r="G362" s="834"/>
      <c r="H362" s="120" t="s">
        <v>25</v>
      </c>
      <c r="I362" s="120" t="s">
        <v>18</v>
      </c>
      <c r="J362" s="106">
        <f t="shared" si="159"/>
        <v>186</v>
      </c>
      <c r="K362" s="106">
        <v>151</v>
      </c>
      <c r="L362" s="106">
        <v>29</v>
      </c>
      <c r="M362" s="107">
        <v>0</v>
      </c>
      <c r="N362" s="106">
        <v>5</v>
      </c>
      <c r="O362" s="106">
        <v>0</v>
      </c>
      <c r="P362" s="107">
        <v>1</v>
      </c>
      <c r="Q362" s="108">
        <f t="shared" si="154"/>
        <v>0.967741935483871</v>
      </c>
      <c r="R362" s="109">
        <f t="shared" si="155"/>
        <v>2.6881720430107527E-2</v>
      </c>
      <c r="S362" s="109">
        <f t="shared" si="156"/>
        <v>5.3763440860215058E-3</v>
      </c>
      <c r="T362" s="109">
        <f t="shared" si="157"/>
        <v>0</v>
      </c>
      <c r="U362" s="110">
        <f t="shared" si="158"/>
        <v>1</v>
      </c>
      <c r="V362" s="111"/>
    </row>
    <row r="363" spans="2:22" ht="15.75" hidden="1" x14ac:dyDescent="0.2">
      <c r="B363" s="711">
        <v>46114</v>
      </c>
      <c r="C363" s="105" t="s">
        <v>12</v>
      </c>
      <c r="D363" s="105" t="s">
        <v>23</v>
      </c>
      <c r="E363" s="711">
        <v>46114</v>
      </c>
      <c r="G363" s="835"/>
      <c r="H363" s="113" t="s">
        <v>19</v>
      </c>
      <c r="I363" s="113"/>
      <c r="J363" s="113">
        <f>SUM(J360:J362)</f>
        <v>575</v>
      </c>
      <c r="K363" s="113">
        <f>SUM(K360:K362)</f>
        <v>259</v>
      </c>
      <c r="L363" s="113">
        <f>SUM(L360:L362)</f>
        <v>49</v>
      </c>
      <c r="M363" s="114">
        <f>SUM(M360:M362)</f>
        <v>1</v>
      </c>
      <c r="N363" s="113">
        <f>SUM(N360:N362)</f>
        <v>32</v>
      </c>
      <c r="O363" s="113">
        <v>0</v>
      </c>
      <c r="P363" s="114">
        <f>SUM(P360:P362)</f>
        <v>14</v>
      </c>
      <c r="Q363" s="115">
        <f t="shared" si="154"/>
        <v>0.53565217391304343</v>
      </c>
      <c r="R363" s="116">
        <f t="shared" si="155"/>
        <v>5.565217391304348E-2</v>
      </c>
      <c r="S363" s="116">
        <f t="shared" si="156"/>
        <v>2.4347826086956521E-2</v>
      </c>
      <c r="T363" s="116">
        <f t="shared" si="157"/>
        <v>0</v>
      </c>
      <c r="U363" s="117">
        <f t="shared" si="158"/>
        <v>0.61565217391304339</v>
      </c>
      <c r="V363" s="127"/>
    </row>
    <row r="364" spans="2:22" ht="15.75" hidden="1" x14ac:dyDescent="0.2">
      <c r="B364" s="711">
        <v>46114</v>
      </c>
      <c r="C364" s="105" t="s">
        <v>18</v>
      </c>
      <c r="D364" s="105" t="s">
        <v>13</v>
      </c>
      <c r="E364" s="711">
        <v>46114</v>
      </c>
      <c r="G364" s="833">
        <v>46114</v>
      </c>
      <c r="H364" s="106" t="s">
        <v>16</v>
      </c>
      <c r="I364" s="120" t="s">
        <v>83</v>
      </c>
      <c r="J364" s="106">
        <v>31</v>
      </c>
      <c r="K364" s="106">
        <f t="shared" ref="K364:K365" si="160">(J364)-(L364+M364+N364+P364+O364)</f>
        <v>7</v>
      </c>
      <c r="L364" s="106">
        <v>2</v>
      </c>
      <c r="M364" s="107">
        <v>0</v>
      </c>
      <c r="N364" s="106">
        <v>0</v>
      </c>
      <c r="O364" s="106">
        <v>16</v>
      </c>
      <c r="P364" s="107">
        <v>6</v>
      </c>
      <c r="Q364" s="108">
        <f t="shared" ref="Q364:Q377" si="161">(K364+L364)/J364</f>
        <v>0.29032258064516131</v>
      </c>
      <c r="R364" s="109">
        <f t="shared" ref="R364:R377" si="162">N364/J364</f>
        <v>0</v>
      </c>
      <c r="S364" s="109">
        <f t="shared" ref="S364:S377" si="163">P364/J364</f>
        <v>0.19354838709677419</v>
      </c>
      <c r="T364" s="109">
        <f t="shared" ref="T364:T377" si="164">O364/J364</f>
        <v>0.5161290322580645</v>
      </c>
      <c r="U364" s="110">
        <f t="shared" ref="U364:U377" si="165">S364+R364+Q364+T364</f>
        <v>1</v>
      </c>
    </row>
    <row r="365" spans="2:22" ht="15.75" hidden="1" x14ac:dyDescent="0.2">
      <c r="B365" s="711">
        <v>46114</v>
      </c>
      <c r="C365" s="105" t="s">
        <v>18</v>
      </c>
      <c r="D365" s="105" t="s">
        <v>13</v>
      </c>
      <c r="E365" s="711">
        <v>46114</v>
      </c>
      <c r="G365" s="834"/>
      <c r="H365" s="120" t="s">
        <v>25</v>
      </c>
      <c r="I365" s="120" t="s">
        <v>18</v>
      </c>
      <c r="J365" s="106">
        <v>36</v>
      </c>
      <c r="K365" s="106">
        <f t="shared" si="160"/>
        <v>14</v>
      </c>
      <c r="L365" s="106">
        <v>8</v>
      </c>
      <c r="M365" s="107">
        <v>0</v>
      </c>
      <c r="N365" s="106">
        <v>0</v>
      </c>
      <c r="O365" s="106">
        <v>13</v>
      </c>
      <c r="P365" s="107">
        <v>1</v>
      </c>
      <c r="Q365" s="108">
        <f t="shared" si="161"/>
        <v>0.61111111111111116</v>
      </c>
      <c r="R365" s="109">
        <f t="shared" si="162"/>
        <v>0</v>
      </c>
      <c r="S365" s="109">
        <f t="shared" si="163"/>
        <v>2.7777777777777776E-2</v>
      </c>
      <c r="T365" s="109">
        <f t="shared" si="164"/>
        <v>0.3611111111111111</v>
      </c>
      <c r="U365" s="110">
        <f t="shared" si="165"/>
        <v>1</v>
      </c>
    </row>
    <row r="366" spans="2:22" ht="15.75" hidden="1" x14ac:dyDescent="0.2">
      <c r="B366" s="711">
        <v>46114</v>
      </c>
      <c r="C366" s="105" t="s">
        <v>18</v>
      </c>
      <c r="D366" s="105" t="s">
        <v>13</v>
      </c>
      <c r="E366" s="711">
        <v>46114</v>
      </c>
      <c r="G366" s="835"/>
      <c r="H366" s="113" t="s">
        <v>19</v>
      </c>
      <c r="I366" s="113"/>
      <c r="J366" s="113">
        <f>SUM(J364:J365)</f>
        <v>67</v>
      </c>
      <c r="K366" s="113">
        <f>SUM(K364:K365)</f>
        <v>21</v>
      </c>
      <c r="L366" s="113">
        <f>SUM(L364:L365)</f>
        <v>10</v>
      </c>
      <c r="M366" s="114">
        <f>SUM(M364:M365)</f>
        <v>0</v>
      </c>
      <c r="N366" s="113">
        <f>SUM(N364:N365)</f>
        <v>0</v>
      </c>
      <c r="O366" s="113">
        <v>0</v>
      </c>
      <c r="P366" s="114">
        <f>SUM(P364:P365)</f>
        <v>7</v>
      </c>
      <c r="Q366" s="115">
        <f t="shared" si="161"/>
        <v>0.46268656716417911</v>
      </c>
      <c r="R366" s="116">
        <f t="shared" si="162"/>
        <v>0</v>
      </c>
      <c r="S366" s="116">
        <f t="shared" si="163"/>
        <v>0.1044776119402985</v>
      </c>
      <c r="T366" s="116">
        <f t="shared" si="164"/>
        <v>0</v>
      </c>
      <c r="U366" s="117">
        <f t="shared" si="165"/>
        <v>0.56716417910447758</v>
      </c>
    </row>
    <row r="367" spans="2:22" ht="15.75" hidden="1" x14ac:dyDescent="0.2">
      <c r="B367" s="711">
        <v>46114</v>
      </c>
      <c r="C367" s="105" t="s">
        <v>18</v>
      </c>
      <c r="D367" s="105" t="s">
        <v>13</v>
      </c>
      <c r="E367" s="711">
        <v>46115</v>
      </c>
      <c r="G367" s="833">
        <v>46115</v>
      </c>
      <c r="H367" s="106" t="s">
        <v>24</v>
      </c>
      <c r="I367" s="120" t="s">
        <v>83</v>
      </c>
      <c r="J367" s="106">
        <v>236</v>
      </c>
      <c r="K367" s="106">
        <f t="shared" ref="K367:K370" si="166">(J367)-(L367+M367+N367+P367+O367)</f>
        <v>121</v>
      </c>
      <c r="L367" s="106">
        <v>68</v>
      </c>
      <c r="M367" s="107">
        <v>20</v>
      </c>
      <c r="N367" s="106">
        <v>0</v>
      </c>
      <c r="O367" s="106">
        <v>16</v>
      </c>
      <c r="P367" s="107">
        <v>11</v>
      </c>
      <c r="Q367" s="108">
        <f t="shared" si="161"/>
        <v>0.80084745762711862</v>
      </c>
      <c r="R367" s="109">
        <f t="shared" si="162"/>
        <v>0</v>
      </c>
      <c r="S367" s="109">
        <f t="shared" si="163"/>
        <v>4.6610169491525424E-2</v>
      </c>
      <c r="T367" s="109">
        <f t="shared" si="164"/>
        <v>6.7796610169491525E-2</v>
      </c>
      <c r="U367" s="110">
        <f t="shared" si="165"/>
        <v>0.9152542372881356</v>
      </c>
    </row>
    <row r="368" spans="2:22" ht="15.75" hidden="1" x14ac:dyDescent="0.2">
      <c r="B368" s="711">
        <v>46114</v>
      </c>
      <c r="C368" s="105" t="s">
        <v>18</v>
      </c>
      <c r="D368" s="105" t="s">
        <v>13</v>
      </c>
      <c r="E368" s="711">
        <v>46115</v>
      </c>
      <c r="G368" s="834"/>
      <c r="H368" s="106" t="s">
        <v>87</v>
      </c>
      <c r="I368" s="106" t="s">
        <v>43</v>
      </c>
      <c r="J368" s="106">
        <v>16</v>
      </c>
      <c r="K368" s="106">
        <f t="shared" si="166"/>
        <v>9</v>
      </c>
      <c r="L368" s="106">
        <v>3</v>
      </c>
      <c r="M368" s="107">
        <v>0</v>
      </c>
      <c r="N368" s="106">
        <v>0</v>
      </c>
      <c r="O368" s="106">
        <v>0</v>
      </c>
      <c r="P368" s="107">
        <v>4</v>
      </c>
      <c r="Q368" s="108">
        <f t="shared" si="161"/>
        <v>0.75</v>
      </c>
      <c r="R368" s="109">
        <f t="shared" si="162"/>
        <v>0</v>
      </c>
      <c r="S368" s="109">
        <f t="shared" si="163"/>
        <v>0.25</v>
      </c>
      <c r="T368" s="109">
        <f t="shared" si="164"/>
        <v>0</v>
      </c>
      <c r="U368" s="110">
        <f t="shared" si="165"/>
        <v>1</v>
      </c>
    </row>
    <row r="369" spans="2:22" ht="15.75" hidden="1" x14ac:dyDescent="0.2">
      <c r="B369" s="711">
        <v>46114</v>
      </c>
      <c r="C369" s="105" t="s">
        <v>18</v>
      </c>
      <c r="D369" s="105" t="s">
        <v>13</v>
      </c>
      <c r="E369" s="711">
        <v>46115</v>
      </c>
      <c r="G369" s="834"/>
      <c r="H369" s="120" t="s">
        <v>14</v>
      </c>
      <c r="I369" s="120" t="s">
        <v>12</v>
      </c>
      <c r="J369" s="106">
        <v>216</v>
      </c>
      <c r="K369" s="106">
        <f t="shared" si="166"/>
        <v>9</v>
      </c>
      <c r="L369" s="106">
        <v>0</v>
      </c>
      <c r="M369" s="107">
        <v>199</v>
      </c>
      <c r="N369" s="106">
        <v>0</v>
      </c>
      <c r="O369" s="106">
        <v>0</v>
      </c>
      <c r="P369" s="107">
        <v>8</v>
      </c>
      <c r="Q369" s="108">
        <f t="shared" si="161"/>
        <v>4.1666666666666664E-2</v>
      </c>
      <c r="R369" s="109">
        <f t="shared" si="162"/>
        <v>0</v>
      </c>
      <c r="S369" s="109">
        <f t="shared" si="163"/>
        <v>3.7037037037037035E-2</v>
      </c>
      <c r="T369" s="109">
        <f t="shared" si="164"/>
        <v>0</v>
      </c>
      <c r="U369" s="110">
        <f t="shared" si="165"/>
        <v>7.8703703703703692E-2</v>
      </c>
    </row>
    <row r="370" spans="2:22" ht="15.75" hidden="1" x14ac:dyDescent="0.2">
      <c r="B370" s="711">
        <v>46114</v>
      </c>
      <c r="C370" s="105" t="s">
        <v>18</v>
      </c>
      <c r="D370" s="105" t="s">
        <v>13</v>
      </c>
      <c r="E370" s="711">
        <v>46115</v>
      </c>
      <c r="G370" s="834"/>
      <c r="H370" s="120" t="s">
        <v>17</v>
      </c>
      <c r="I370" s="120" t="s">
        <v>18</v>
      </c>
      <c r="J370" s="106">
        <v>164</v>
      </c>
      <c r="K370" s="106">
        <f t="shared" si="166"/>
        <v>0</v>
      </c>
      <c r="L370" s="106">
        <v>0</v>
      </c>
      <c r="M370" s="107">
        <v>164</v>
      </c>
      <c r="N370" s="106">
        <v>0</v>
      </c>
      <c r="O370" s="106">
        <v>0</v>
      </c>
      <c r="P370" s="107">
        <v>0</v>
      </c>
      <c r="Q370" s="108">
        <f t="shared" si="161"/>
        <v>0</v>
      </c>
      <c r="R370" s="109">
        <f t="shared" si="162"/>
        <v>0</v>
      </c>
      <c r="S370" s="109">
        <f t="shared" si="163"/>
        <v>0</v>
      </c>
      <c r="T370" s="109">
        <f t="shared" si="164"/>
        <v>0</v>
      </c>
      <c r="U370" s="110">
        <f t="shared" si="165"/>
        <v>0</v>
      </c>
    </row>
    <row r="371" spans="2:22" ht="15.75" hidden="1" x14ac:dyDescent="0.2">
      <c r="B371" s="711">
        <v>46114</v>
      </c>
      <c r="C371" s="105" t="s">
        <v>18</v>
      </c>
      <c r="D371" s="105" t="s">
        <v>13</v>
      </c>
      <c r="E371" s="711">
        <v>46115</v>
      </c>
      <c r="G371" s="835"/>
      <c r="H371" s="113" t="s">
        <v>19</v>
      </c>
      <c r="I371" s="113"/>
      <c r="J371" s="113">
        <f>SUM(J367:J370)</f>
        <v>632</v>
      </c>
      <c r="K371" s="113">
        <f>SUM(K367:K370)</f>
        <v>139</v>
      </c>
      <c r="L371" s="113">
        <f>SUM(L367:L370)</f>
        <v>71</v>
      </c>
      <c r="M371" s="114">
        <f>SUM(M367:M370)</f>
        <v>383</v>
      </c>
      <c r="N371" s="113">
        <f>SUM(N367:N370)</f>
        <v>0</v>
      </c>
      <c r="O371" s="113">
        <v>0</v>
      </c>
      <c r="P371" s="114">
        <f>SUM(P367:P370)</f>
        <v>23</v>
      </c>
      <c r="Q371" s="115">
        <f t="shared" si="161"/>
        <v>0.33227848101265822</v>
      </c>
      <c r="R371" s="116">
        <f t="shared" si="162"/>
        <v>0</v>
      </c>
      <c r="S371" s="116">
        <f t="shared" si="163"/>
        <v>3.6392405063291139E-2</v>
      </c>
      <c r="T371" s="116">
        <f t="shared" si="164"/>
        <v>0</v>
      </c>
      <c r="U371" s="117">
        <f t="shared" si="165"/>
        <v>0.36867088607594933</v>
      </c>
    </row>
    <row r="372" spans="2:22" ht="15.75" hidden="1" x14ac:dyDescent="0.2">
      <c r="B372" s="711">
        <v>46115</v>
      </c>
      <c r="C372" s="105" t="s">
        <v>22</v>
      </c>
      <c r="D372" s="105" t="s">
        <v>20</v>
      </c>
      <c r="E372" s="711">
        <v>46115</v>
      </c>
      <c r="G372" s="833">
        <v>46115</v>
      </c>
      <c r="H372" s="106" t="s">
        <v>32</v>
      </c>
      <c r="I372" s="106" t="s">
        <v>22</v>
      </c>
      <c r="J372" s="106">
        <f>SUM(K372:P372)</f>
        <v>7</v>
      </c>
      <c r="K372" s="106">
        <v>7</v>
      </c>
      <c r="L372" s="106">
        <v>0</v>
      </c>
      <c r="M372" s="107">
        <v>0</v>
      </c>
      <c r="N372" s="106">
        <v>0</v>
      </c>
      <c r="O372" s="106">
        <v>0</v>
      </c>
      <c r="P372" s="107">
        <v>0</v>
      </c>
      <c r="Q372" s="108">
        <f t="shared" si="161"/>
        <v>1</v>
      </c>
      <c r="R372" s="109">
        <f t="shared" si="162"/>
        <v>0</v>
      </c>
      <c r="S372" s="109">
        <f t="shared" si="163"/>
        <v>0</v>
      </c>
      <c r="T372" s="109">
        <f t="shared" si="164"/>
        <v>0</v>
      </c>
      <c r="U372" s="110">
        <f t="shared" si="165"/>
        <v>1</v>
      </c>
      <c r="V372" s="111"/>
    </row>
    <row r="373" spans="2:22" ht="15.75" hidden="1" x14ac:dyDescent="0.2">
      <c r="B373" s="711">
        <v>46115</v>
      </c>
      <c r="C373" s="105" t="s">
        <v>22</v>
      </c>
      <c r="D373" s="105" t="s">
        <v>20</v>
      </c>
      <c r="E373" s="711">
        <v>46115</v>
      </c>
      <c r="G373" s="834"/>
      <c r="H373" s="106" t="s">
        <v>87</v>
      </c>
      <c r="I373" s="106" t="s">
        <v>22</v>
      </c>
      <c r="J373" s="106">
        <f>SUM(K373:P373)</f>
        <v>7</v>
      </c>
      <c r="K373" s="106">
        <v>7</v>
      </c>
      <c r="L373" s="106">
        <v>0</v>
      </c>
      <c r="M373" s="107">
        <v>0</v>
      </c>
      <c r="N373" s="106">
        <v>0</v>
      </c>
      <c r="O373" s="106">
        <v>0</v>
      </c>
      <c r="P373" s="107">
        <v>0</v>
      </c>
      <c r="Q373" s="108">
        <f t="shared" ref="Q373" si="167">(K373+L373)/J373</f>
        <v>1</v>
      </c>
      <c r="R373" s="109">
        <f t="shared" ref="R373" si="168">N373/J373</f>
        <v>0</v>
      </c>
      <c r="S373" s="109">
        <f t="shared" ref="S373" si="169">P373/J373</f>
        <v>0</v>
      </c>
      <c r="T373" s="109">
        <f t="shared" ref="T373" si="170">O373/J373</f>
        <v>0</v>
      </c>
      <c r="U373" s="110">
        <f t="shared" ref="U373" si="171">S373+R373+Q373+T373</f>
        <v>1</v>
      </c>
      <c r="V373" s="111"/>
    </row>
    <row r="374" spans="2:22" ht="15.75" hidden="1" x14ac:dyDescent="0.2">
      <c r="B374" s="711">
        <v>46115</v>
      </c>
      <c r="C374" s="105" t="s">
        <v>22</v>
      </c>
      <c r="D374" s="105" t="s">
        <v>20</v>
      </c>
      <c r="E374" s="711">
        <v>46115</v>
      </c>
      <c r="G374" s="834"/>
      <c r="H374" s="106" t="s">
        <v>16</v>
      </c>
      <c r="I374" s="120" t="s">
        <v>83</v>
      </c>
      <c r="J374" s="106">
        <f t="shared" ref="J374:J376" si="172">SUM(K374:P374)</f>
        <v>51</v>
      </c>
      <c r="K374" s="106">
        <v>11</v>
      </c>
      <c r="L374" s="106">
        <v>27</v>
      </c>
      <c r="M374" s="107">
        <v>0</v>
      </c>
      <c r="N374" s="106">
        <v>0</v>
      </c>
      <c r="O374" s="106">
        <v>8</v>
      </c>
      <c r="P374" s="107">
        <v>5</v>
      </c>
      <c r="Q374" s="108">
        <f t="shared" si="161"/>
        <v>0.74509803921568629</v>
      </c>
      <c r="R374" s="109">
        <f t="shared" si="162"/>
        <v>0</v>
      </c>
      <c r="S374" s="109">
        <f t="shared" si="163"/>
        <v>9.8039215686274508E-2</v>
      </c>
      <c r="T374" s="109">
        <f t="shared" si="164"/>
        <v>0.15686274509803921</v>
      </c>
      <c r="U374" s="110">
        <f t="shared" si="165"/>
        <v>1</v>
      </c>
      <c r="V374" s="111"/>
    </row>
    <row r="375" spans="2:22" ht="15.75" hidden="1" x14ac:dyDescent="0.2">
      <c r="B375" s="711">
        <v>46115</v>
      </c>
      <c r="C375" s="105" t="s">
        <v>22</v>
      </c>
      <c r="D375" s="105" t="s">
        <v>20</v>
      </c>
      <c r="E375" s="711">
        <v>46115</v>
      </c>
      <c r="G375" s="834"/>
      <c r="H375" s="120" t="s">
        <v>14</v>
      </c>
      <c r="I375" s="120" t="s">
        <v>12</v>
      </c>
      <c r="J375" s="106">
        <f t="shared" si="172"/>
        <v>213</v>
      </c>
      <c r="K375" s="106">
        <v>120</v>
      </c>
      <c r="L375" s="106">
        <v>33</v>
      </c>
      <c r="M375" s="107">
        <v>7</v>
      </c>
      <c r="N375" s="106">
        <v>31</v>
      </c>
      <c r="O375" s="106">
        <v>13</v>
      </c>
      <c r="P375" s="107">
        <v>9</v>
      </c>
      <c r="Q375" s="108">
        <f t="shared" si="161"/>
        <v>0.71830985915492962</v>
      </c>
      <c r="R375" s="109">
        <f t="shared" si="162"/>
        <v>0.14553990610328638</v>
      </c>
      <c r="S375" s="109">
        <f t="shared" si="163"/>
        <v>4.2253521126760563E-2</v>
      </c>
      <c r="T375" s="109">
        <f t="shared" si="164"/>
        <v>6.1032863849765258E-2</v>
      </c>
      <c r="U375" s="110">
        <f t="shared" si="165"/>
        <v>0.96713615023474175</v>
      </c>
      <c r="V375" s="111" t="s">
        <v>96</v>
      </c>
    </row>
    <row r="376" spans="2:22" ht="15.75" hidden="1" x14ac:dyDescent="0.2">
      <c r="B376" s="711">
        <v>46115</v>
      </c>
      <c r="C376" s="105" t="s">
        <v>22</v>
      </c>
      <c r="D376" s="105" t="s">
        <v>20</v>
      </c>
      <c r="E376" s="711">
        <v>46115</v>
      </c>
      <c r="G376" s="834"/>
      <c r="H376" s="120" t="s">
        <v>17</v>
      </c>
      <c r="I376" s="120" t="s">
        <v>18</v>
      </c>
      <c r="J376" s="106">
        <f t="shared" si="172"/>
        <v>164</v>
      </c>
      <c r="K376" s="106">
        <v>0</v>
      </c>
      <c r="L376" s="106">
        <v>0</v>
      </c>
      <c r="M376" s="107">
        <v>115</v>
      </c>
      <c r="N376" s="106">
        <v>49</v>
      </c>
      <c r="O376" s="106">
        <v>0</v>
      </c>
      <c r="P376" s="107">
        <v>0</v>
      </c>
      <c r="Q376" s="108">
        <f t="shared" si="161"/>
        <v>0</v>
      </c>
      <c r="R376" s="109">
        <f t="shared" si="162"/>
        <v>0.29878048780487804</v>
      </c>
      <c r="S376" s="109">
        <f t="shared" si="163"/>
        <v>0</v>
      </c>
      <c r="T376" s="109">
        <f t="shared" si="164"/>
        <v>0</v>
      </c>
      <c r="U376" s="110">
        <f t="shared" si="165"/>
        <v>0.29878048780487804</v>
      </c>
      <c r="V376" s="111"/>
    </row>
    <row r="377" spans="2:22" ht="15.75" hidden="1" x14ac:dyDescent="0.2">
      <c r="B377" s="711">
        <v>46115</v>
      </c>
      <c r="C377" s="105" t="s">
        <v>22</v>
      </c>
      <c r="D377" s="105" t="s">
        <v>20</v>
      </c>
      <c r="E377" s="711">
        <v>46115</v>
      </c>
      <c r="G377" s="835"/>
      <c r="H377" s="113" t="s">
        <v>19</v>
      </c>
      <c r="I377" s="113"/>
      <c r="J377" s="113">
        <f>SUM(J372:J376)</f>
        <v>442</v>
      </c>
      <c r="K377" s="113">
        <f>SUM(K372:K376)</f>
        <v>145</v>
      </c>
      <c r="L377" s="113">
        <f>SUM(L372:L376)</f>
        <v>60</v>
      </c>
      <c r="M377" s="114">
        <f>SUM(M372:M376)</f>
        <v>122</v>
      </c>
      <c r="N377" s="113">
        <f>SUM(N372:N376)</f>
        <v>80</v>
      </c>
      <c r="O377" s="113">
        <v>0</v>
      </c>
      <c r="P377" s="114">
        <f>SUM(P372:P376)</f>
        <v>14</v>
      </c>
      <c r="Q377" s="115">
        <f t="shared" si="161"/>
        <v>0.46380090497737558</v>
      </c>
      <c r="R377" s="116">
        <f t="shared" si="162"/>
        <v>0.18099547511312217</v>
      </c>
      <c r="S377" s="116">
        <f t="shared" si="163"/>
        <v>3.1674208144796379E-2</v>
      </c>
      <c r="T377" s="116">
        <f t="shared" si="164"/>
        <v>0</v>
      </c>
      <c r="U377" s="117">
        <f t="shared" si="165"/>
        <v>0.67647058823529416</v>
      </c>
      <c r="V377" s="127"/>
    </row>
    <row r="378" spans="2:22" ht="15.75" hidden="1" x14ac:dyDescent="0.2">
      <c r="B378" s="711">
        <v>46115</v>
      </c>
      <c r="C378" s="105" t="s">
        <v>12</v>
      </c>
      <c r="D378" s="105" t="s">
        <v>23</v>
      </c>
      <c r="E378" s="711">
        <v>46115</v>
      </c>
      <c r="G378" s="833">
        <v>46115</v>
      </c>
      <c r="H378" s="106" t="s">
        <v>32</v>
      </c>
      <c r="I378" s="106" t="s">
        <v>22</v>
      </c>
      <c r="J378" s="106">
        <f>SUM(K378:P378)</f>
        <v>7</v>
      </c>
      <c r="K378" s="106">
        <v>7</v>
      </c>
      <c r="L378" s="106">
        <v>0</v>
      </c>
      <c r="M378" s="107">
        <v>0</v>
      </c>
      <c r="N378" s="106">
        <v>0</v>
      </c>
      <c r="O378" s="106">
        <v>0</v>
      </c>
      <c r="P378" s="107">
        <v>0</v>
      </c>
      <c r="Q378" s="108">
        <f t="shared" ref="Q378:Q382" si="173">(K378+L378)/J378</f>
        <v>1</v>
      </c>
      <c r="R378" s="109">
        <f t="shared" ref="R378:R381" si="174">N378/J378</f>
        <v>0</v>
      </c>
      <c r="S378" s="109">
        <f t="shared" ref="S378:S382" si="175">P378/J378</f>
        <v>0</v>
      </c>
      <c r="T378" s="109">
        <f t="shared" ref="T378:T382" si="176">O378/J378</f>
        <v>0</v>
      </c>
      <c r="U378" s="110">
        <f t="shared" ref="U378:U382" si="177">S378+R378+Q378+T378</f>
        <v>1</v>
      </c>
      <c r="V378" s="111"/>
    </row>
    <row r="379" spans="2:22" ht="15.75" hidden="1" x14ac:dyDescent="0.2">
      <c r="B379" s="711">
        <v>46115</v>
      </c>
      <c r="C379" s="105" t="s">
        <v>12</v>
      </c>
      <c r="D379" s="105" t="s">
        <v>23</v>
      </c>
      <c r="E379" s="711">
        <v>46115</v>
      </c>
      <c r="G379" s="834"/>
      <c r="H379" s="106" t="s">
        <v>16</v>
      </c>
      <c r="I379" s="120" t="s">
        <v>83</v>
      </c>
      <c r="J379" s="106">
        <v>236</v>
      </c>
      <c r="K379" s="106">
        <f>236-42</f>
        <v>194</v>
      </c>
      <c r="L379" s="106">
        <v>27</v>
      </c>
      <c r="M379" s="107">
        <v>2</v>
      </c>
      <c r="N379" s="106">
        <v>0</v>
      </c>
      <c r="O379" s="106">
        <v>8</v>
      </c>
      <c r="P379" s="107">
        <v>5</v>
      </c>
      <c r="Q379" s="108">
        <f t="shared" si="173"/>
        <v>0.93644067796610164</v>
      </c>
      <c r="R379" s="109">
        <f t="shared" si="174"/>
        <v>0</v>
      </c>
      <c r="S379" s="109">
        <f t="shared" si="175"/>
        <v>2.1186440677966101E-2</v>
      </c>
      <c r="T379" s="109">
        <f t="shared" si="176"/>
        <v>3.3898305084745763E-2</v>
      </c>
      <c r="U379" s="110">
        <f t="shared" si="177"/>
        <v>0.99152542372881347</v>
      </c>
      <c r="V379" s="111"/>
    </row>
    <row r="380" spans="2:22" ht="15.75" hidden="1" x14ac:dyDescent="0.2">
      <c r="B380" s="711">
        <v>46115</v>
      </c>
      <c r="C380" s="105" t="s">
        <v>12</v>
      </c>
      <c r="D380" s="105" t="s">
        <v>23</v>
      </c>
      <c r="E380" s="711">
        <v>46115</v>
      </c>
      <c r="G380" s="834"/>
      <c r="H380" s="120" t="s">
        <v>14</v>
      </c>
      <c r="I380" s="120" t="s">
        <v>12</v>
      </c>
      <c r="J380" s="106">
        <v>216</v>
      </c>
      <c r="K380" s="106">
        <f>216-59</f>
        <v>157</v>
      </c>
      <c r="L380" s="106">
        <v>33</v>
      </c>
      <c r="M380" s="107">
        <v>3</v>
      </c>
      <c r="N380" s="106">
        <v>3</v>
      </c>
      <c r="O380" s="106">
        <v>13</v>
      </c>
      <c r="P380" s="107">
        <v>7</v>
      </c>
      <c r="Q380" s="108">
        <f t="shared" si="173"/>
        <v>0.87962962962962965</v>
      </c>
      <c r="R380" s="109">
        <f t="shared" si="174"/>
        <v>1.3888888888888888E-2</v>
      </c>
      <c r="S380" s="109">
        <f t="shared" si="175"/>
        <v>3.2407407407407406E-2</v>
      </c>
      <c r="T380" s="109">
        <f t="shared" si="176"/>
        <v>6.0185185185185182E-2</v>
      </c>
      <c r="U380" s="110">
        <f t="shared" si="177"/>
        <v>0.98611111111111116</v>
      </c>
      <c r="V380" s="111"/>
    </row>
    <row r="381" spans="2:22" ht="15.75" hidden="1" x14ac:dyDescent="0.2">
      <c r="B381" s="711">
        <v>46115</v>
      </c>
      <c r="C381" s="105" t="s">
        <v>12</v>
      </c>
      <c r="D381" s="105" t="s">
        <v>23</v>
      </c>
      <c r="E381" s="711">
        <v>46115</v>
      </c>
      <c r="G381" s="834"/>
      <c r="H381" s="120" t="s">
        <v>17</v>
      </c>
      <c r="I381" s="120" t="s">
        <v>18</v>
      </c>
      <c r="J381" s="106">
        <f t="shared" ref="J381" si="178">SUM(K381:P381)</f>
        <v>182</v>
      </c>
      <c r="K381" s="106">
        <v>119</v>
      </c>
      <c r="L381" s="106">
        <v>38</v>
      </c>
      <c r="M381" s="107">
        <v>3</v>
      </c>
      <c r="N381" s="106">
        <v>1</v>
      </c>
      <c r="O381" s="106">
        <v>21</v>
      </c>
      <c r="P381" s="107">
        <v>0</v>
      </c>
      <c r="Q381" s="108">
        <f t="shared" si="173"/>
        <v>0.86263736263736268</v>
      </c>
      <c r="R381" s="109">
        <f t="shared" si="174"/>
        <v>5.4945054945054949E-3</v>
      </c>
      <c r="S381" s="109">
        <f t="shared" si="175"/>
        <v>0</v>
      </c>
      <c r="T381" s="109">
        <f t="shared" si="176"/>
        <v>0.11538461538461539</v>
      </c>
      <c r="U381" s="110">
        <f t="shared" si="177"/>
        <v>0.98351648351648358</v>
      </c>
      <c r="V381" s="111"/>
    </row>
    <row r="382" spans="2:22" ht="15.75" hidden="1" x14ac:dyDescent="0.2">
      <c r="B382" s="711">
        <v>46115</v>
      </c>
      <c r="C382" s="105" t="s">
        <v>12</v>
      </c>
      <c r="D382" s="105" t="s">
        <v>23</v>
      </c>
      <c r="E382" s="711">
        <v>46115</v>
      </c>
      <c r="G382" s="835"/>
      <c r="H382" s="113" t="s">
        <v>19</v>
      </c>
      <c r="I382" s="113"/>
      <c r="J382" s="113">
        <f>SUM(J378:J381)</f>
        <v>641</v>
      </c>
      <c r="K382" s="113">
        <f t="shared" ref="K382:P382" si="179">SUM(K378:K381)</f>
        <v>477</v>
      </c>
      <c r="L382" s="113">
        <f t="shared" si="179"/>
        <v>98</v>
      </c>
      <c r="M382" s="113">
        <f t="shared" si="179"/>
        <v>8</v>
      </c>
      <c r="N382" s="113">
        <f t="shared" si="179"/>
        <v>4</v>
      </c>
      <c r="O382" s="113">
        <f t="shared" si="179"/>
        <v>42</v>
      </c>
      <c r="P382" s="113">
        <f t="shared" si="179"/>
        <v>12</v>
      </c>
      <c r="Q382" s="115">
        <f t="shared" si="173"/>
        <v>0.89703588143525737</v>
      </c>
      <c r="R382" s="116">
        <f>N382/J382</f>
        <v>6.2402496099843996E-3</v>
      </c>
      <c r="S382" s="116">
        <f t="shared" si="175"/>
        <v>1.8720748829953199E-2</v>
      </c>
      <c r="T382" s="116">
        <f t="shared" si="176"/>
        <v>6.5522620904836196E-2</v>
      </c>
      <c r="U382" s="117">
        <f t="shared" si="177"/>
        <v>0.98751950078003115</v>
      </c>
      <c r="V382" s="127"/>
    </row>
    <row r="383" spans="2:22" ht="15.75" hidden="1" x14ac:dyDescent="0.2">
      <c r="B383" s="711">
        <v>46115</v>
      </c>
      <c r="C383" s="105" t="s">
        <v>18</v>
      </c>
      <c r="D383" s="105" t="s">
        <v>13</v>
      </c>
      <c r="E383" s="711">
        <v>46115</v>
      </c>
      <c r="G383" s="833">
        <v>46115</v>
      </c>
      <c r="H383" s="106" t="s">
        <v>16</v>
      </c>
      <c r="I383" s="120" t="s">
        <v>83</v>
      </c>
      <c r="J383" s="106">
        <v>236</v>
      </c>
      <c r="K383" s="106">
        <f t="shared" ref="K383:K384" si="180">(J383)-(L383+M383+N383+P383+O383)</f>
        <v>155</v>
      </c>
      <c r="L383" s="106">
        <v>55</v>
      </c>
      <c r="M383" s="107">
        <v>0</v>
      </c>
      <c r="N383" s="106">
        <v>0</v>
      </c>
      <c r="O383" s="106">
        <v>16</v>
      </c>
      <c r="P383" s="107">
        <v>10</v>
      </c>
      <c r="Q383" s="108">
        <f t="shared" ref="Q383:Q393" si="181">(K383+L383)/J383</f>
        <v>0.88983050847457623</v>
      </c>
      <c r="R383" s="109">
        <f t="shared" ref="R383:R384" si="182">N383/J383</f>
        <v>0</v>
      </c>
      <c r="S383" s="109">
        <f t="shared" ref="S383:S393" si="183">P383/J383</f>
        <v>4.2372881355932202E-2</v>
      </c>
      <c r="T383" s="109">
        <f t="shared" ref="T383:T393" si="184">O383/J383</f>
        <v>6.7796610169491525E-2</v>
      </c>
      <c r="U383" s="110">
        <f t="shared" ref="U383:U393" si="185">S383+R383+Q383+T383</f>
        <v>1</v>
      </c>
      <c r="V383" s="111"/>
    </row>
    <row r="384" spans="2:22" ht="15.75" hidden="1" x14ac:dyDescent="0.2">
      <c r="B384" s="711">
        <v>46115</v>
      </c>
      <c r="C384" s="105" t="s">
        <v>18</v>
      </c>
      <c r="D384" s="105" t="s">
        <v>13</v>
      </c>
      <c r="E384" s="711">
        <v>46115</v>
      </c>
      <c r="G384" s="834"/>
      <c r="H384" s="120" t="s">
        <v>17</v>
      </c>
      <c r="I384" s="120" t="s">
        <v>18</v>
      </c>
      <c r="J384" s="106">
        <v>119</v>
      </c>
      <c r="K384" s="106">
        <f t="shared" si="180"/>
        <v>68</v>
      </c>
      <c r="L384" s="106">
        <v>28</v>
      </c>
      <c r="M384" s="107">
        <v>0</v>
      </c>
      <c r="N384" s="106">
        <v>0</v>
      </c>
      <c r="O384" s="106">
        <v>23</v>
      </c>
      <c r="P384" s="107">
        <v>0</v>
      </c>
      <c r="Q384" s="108">
        <f t="shared" si="181"/>
        <v>0.80672268907563027</v>
      </c>
      <c r="R384" s="109">
        <f t="shared" si="182"/>
        <v>0</v>
      </c>
      <c r="S384" s="109">
        <f t="shared" si="183"/>
        <v>0</v>
      </c>
      <c r="T384" s="109">
        <f t="shared" si="184"/>
        <v>0.19327731092436976</v>
      </c>
      <c r="U384" s="110">
        <f t="shared" si="185"/>
        <v>1</v>
      </c>
      <c r="V384" s="111"/>
    </row>
    <row r="385" spans="2:22" ht="15.75" hidden="1" x14ac:dyDescent="0.2">
      <c r="B385" s="711">
        <v>46115</v>
      </c>
      <c r="C385" s="105" t="s">
        <v>18</v>
      </c>
      <c r="D385" s="105" t="s">
        <v>13</v>
      </c>
      <c r="E385" s="711">
        <v>46115</v>
      </c>
      <c r="G385" s="835"/>
      <c r="H385" s="113" t="s">
        <v>19</v>
      </c>
      <c r="I385" s="113"/>
      <c r="J385" s="113">
        <f t="shared" ref="J385:P385" si="186">SUM(J383:J384)</f>
        <v>355</v>
      </c>
      <c r="K385" s="113">
        <f t="shared" si="186"/>
        <v>223</v>
      </c>
      <c r="L385" s="113">
        <f t="shared" si="186"/>
        <v>83</v>
      </c>
      <c r="M385" s="113">
        <f t="shared" si="186"/>
        <v>0</v>
      </c>
      <c r="N385" s="113">
        <f t="shared" si="186"/>
        <v>0</v>
      </c>
      <c r="O385" s="113">
        <f t="shared" si="186"/>
        <v>39</v>
      </c>
      <c r="P385" s="113">
        <f t="shared" si="186"/>
        <v>10</v>
      </c>
      <c r="Q385" s="115">
        <f t="shared" si="181"/>
        <v>0.86197183098591545</v>
      </c>
      <c r="R385" s="116">
        <f>N385/J385</f>
        <v>0</v>
      </c>
      <c r="S385" s="116">
        <f t="shared" si="183"/>
        <v>2.8169014084507043E-2</v>
      </c>
      <c r="T385" s="116">
        <f t="shared" si="184"/>
        <v>0.10985915492957747</v>
      </c>
      <c r="U385" s="117">
        <f t="shared" si="185"/>
        <v>0.99999999999999989</v>
      </c>
      <c r="V385" s="127"/>
    </row>
    <row r="386" spans="2:22" ht="15.75" hidden="1" x14ac:dyDescent="0.2">
      <c r="B386" s="711">
        <v>46115</v>
      </c>
      <c r="C386" s="105" t="s">
        <v>18</v>
      </c>
      <c r="D386" s="105" t="s">
        <v>13</v>
      </c>
      <c r="E386" s="711">
        <v>46116</v>
      </c>
      <c r="G386" s="833">
        <v>46116</v>
      </c>
      <c r="H386" s="106" t="s">
        <v>24</v>
      </c>
      <c r="I386" s="120" t="s">
        <v>83</v>
      </c>
      <c r="J386" s="106">
        <v>232</v>
      </c>
      <c r="K386" s="106">
        <f t="shared" ref="K386:K388" si="187">(J386)-(L386+M386+N386+P386+O386)</f>
        <v>103</v>
      </c>
      <c r="L386" s="106">
        <v>104</v>
      </c>
      <c r="M386" s="107">
        <v>5</v>
      </c>
      <c r="N386" s="106">
        <v>0</v>
      </c>
      <c r="O386" s="106">
        <v>11</v>
      </c>
      <c r="P386" s="107">
        <v>9</v>
      </c>
      <c r="Q386" s="108">
        <f t="shared" si="181"/>
        <v>0.89224137931034486</v>
      </c>
      <c r="R386" s="109">
        <f t="shared" ref="R386:R393" si="188">N386/J386</f>
        <v>0</v>
      </c>
      <c r="S386" s="109">
        <f t="shared" si="183"/>
        <v>3.8793103448275863E-2</v>
      </c>
      <c r="T386" s="109">
        <f t="shared" si="184"/>
        <v>4.7413793103448273E-2</v>
      </c>
      <c r="U386" s="110">
        <f t="shared" si="185"/>
        <v>0.97844827586206906</v>
      </c>
      <c r="V386" s="111" t="s">
        <v>98</v>
      </c>
    </row>
    <row r="387" spans="2:22" ht="15.75" hidden="1" x14ac:dyDescent="0.2">
      <c r="B387" s="711">
        <v>46115</v>
      </c>
      <c r="C387" s="105" t="s">
        <v>18</v>
      </c>
      <c r="D387" s="105" t="s">
        <v>13</v>
      </c>
      <c r="E387" s="711">
        <v>46116</v>
      </c>
      <c r="G387" s="834"/>
      <c r="H387" s="106" t="s">
        <v>87</v>
      </c>
      <c r="I387" s="106" t="s">
        <v>43</v>
      </c>
      <c r="J387" s="106">
        <v>19</v>
      </c>
      <c r="K387" s="106">
        <f t="shared" si="187"/>
        <v>16</v>
      </c>
      <c r="L387" s="106">
        <v>3</v>
      </c>
      <c r="M387" s="107">
        <v>0</v>
      </c>
      <c r="N387" s="106">
        <v>0</v>
      </c>
      <c r="O387" s="106">
        <v>0</v>
      </c>
      <c r="P387" s="107">
        <v>0</v>
      </c>
      <c r="Q387" s="108">
        <f t="shared" si="181"/>
        <v>1</v>
      </c>
      <c r="R387" s="109">
        <f t="shared" si="188"/>
        <v>0</v>
      </c>
      <c r="S387" s="109">
        <f t="shared" si="183"/>
        <v>0</v>
      </c>
      <c r="T387" s="109">
        <f t="shared" si="184"/>
        <v>0</v>
      </c>
      <c r="U387" s="110">
        <f t="shared" si="185"/>
        <v>1</v>
      </c>
      <c r="V387" s="111"/>
    </row>
    <row r="388" spans="2:22" ht="15.75" hidden="1" x14ac:dyDescent="0.2">
      <c r="B388" s="711">
        <v>46115</v>
      </c>
      <c r="C388" s="105" t="s">
        <v>18</v>
      </c>
      <c r="D388" s="105" t="s">
        <v>13</v>
      </c>
      <c r="E388" s="711">
        <v>46116</v>
      </c>
      <c r="G388" s="834"/>
      <c r="H388" s="120" t="s">
        <v>14</v>
      </c>
      <c r="I388" s="120" t="s">
        <v>27</v>
      </c>
      <c r="J388" s="106">
        <v>230</v>
      </c>
      <c r="K388" s="106">
        <f t="shared" si="187"/>
        <v>0</v>
      </c>
      <c r="L388" s="106">
        <v>0</v>
      </c>
      <c r="M388" s="107">
        <v>194</v>
      </c>
      <c r="N388" s="106">
        <v>32</v>
      </c>
      <c r="O388" s="106">
        <v>0</v>
      </c>
      <c r="P388" s="107">
        <v>4</v>
      </c>
      <c r="Q388" s="108">
        <f t="shared" si="181"/>
        <v>0</v>
      </c>
      <c r="R388" s="109">
        <f t="shared" si="188"/>
        <v>0.1391304347826087</v>
      </c>
      <c r="S388" s="109">
        <f t="shared" si="183"/>
        <v>1.7391304347826087E-2</v>
      </c>
      <c r="T388" s="109">
        <f t="shared" si="184"/>
        <v>0</v>
      </c>
      <c r="U388" s="110">
        <f t="shared" si="185"/>
        <v>0.15652173913043479</v>
      </c>
      <c r="V388" s="111"/>
    </row>
    <row r="389" spans="2:22" ht="15.75" hidden="1" x14ac:dyDescent="0.2">
      <c r="B389" s="711">
        <v>46115</v>
      </c>
      <c r="C389" s="105" t="s">
        <v>18</v>
      </c>
      <c r="D389" s="105" t="s">
        <v>13</v>
      </c>
      <c r="E389" s="711">
        <v>46116</v>
      </c>
      <c r="G389" s="835"/>
      <c r="H389" s="113" t="s">
        <v>19</v>
      </c>
      <c r="I389" s="113"/>
      <c r="J389" s="113">
        <f>SUM(J386:J388)</f>
        <v>481</v>
      </c>
      <c r="K389" s="113">
        <f>SUM(K386:K388)</f>
        <v>119</v>
      </c>
      <c r="L389" s="113">
        <f>SUM(L386:L388)</f>
        <v>107</v>
      </c>
      <c r="M389" s="114">
        <f>SUM(M386:M388)</f>
        <v>199</v>
      </c>
      <c r="N389" s="113">
        <f>SUM(N386:N388)</f>
        <v>32</v>
      </c>
      <c r="O389" s="113">
        <v>0</v>
      </c>
      <c r="P389" s="114">
        <f>SUM(P386:P388)</f>
        <v>13</v>
      </c>
      <c r="Q389" s="115">
        <f t="shared" si="181"/>
        <v>0.46985446985446988</v>
      </c>
      <c r="R389" s="116">
        <f t="shared" si="188"/>
        <v>6.6528066528066532E-2</v>
      </c>
      <c r="S389" s="116">
        <f t="shared" si="183"/>
        <v>2.7027027027027029E-2</v>
      </c>
      <c r="T389" s="116">
        <f t="shared" si="184"/>
        <v>0</v>
      </c>
      <c r="U389" s="117">
        <f t="shared" si="185"/>
        <v>0.5634095634095635</v>
      </c>
      <c r="V389" s="127"/>
    </row>
    <row r="390" spans="2:22" ht="15.75" hidden="1" x14ac:dyDescent="0.2">
      <c r="B390" s="711">
        <v>46116</v>
      </c>
      <c r="C390" s="105" t="s">
        <v>22</v>
      </c>
      <c r="D390" s="105" t="s">
        <v>20</v>
      </c>
      <c r="E390" s="711">
        <v>46116</v>
      </c>
      <c r="G390" s="833">
        <v>46116</v>
      </c>
      <c r="H390" s="106" t="s">
        <v>32</v>
      </c>
      <c r="I390" s="106" t="s">
        <v>22</v>
      </c>
      <c r="J390" s="106">
        <f>SUM(K390:P390)</f>
        <v>9</v>
      </c>
      <c r="K390" s="106">
        <v>9</v>
      </c>
      <c r="L390" s="106">
        <v>0</v>
      </c>
      <c r="M390" s="107">
        <v>0</v>
      </c>
      <c r="N390" s="106">
        <v>0</v>
      </c>
      <c r="O390" s="106">
        <v>0</v>
      </c>
      <c r="P390" s="107">
        <v>0</v>
      </c>
      <c r="Q390" s="108">
        <f t="shared" si="181"/>
        <v>1</v>
      </c>
      <c r="R390" s="109">
        <f t="shared" si="188"/>
        <v>0</v>
      </c>
      <c r="S390" s="109">
        <f t="shared" si="183"/>
        <v>0</v>
      </c>
      <c r="T390" s="109">
        <f t="shared" si="184"/>
        <v>0</v>
      </c>
      <c r="U390" s="110">
        <f t="shared" si="185"/>
        <v>1</v>
      </c>
      <c r="V390" s="111"/>
    </row>
    <row r="391" spans="2:22" ht="15.75" hidden="1" x14ac:dyDescent="0.2">
      <c r="B391" s="711">
        <v>46116</v>
      </c>
      <c r="C391" s="105" t="s">
        <v>22</v>
      </c>
      <c r="D391" s="105" t="s">
        <v>20</v>
      </c>
      <c r="E391" s="711">
        <v>46116</v>
      </c>
      <c r="G391" s="834"/>
      <c r="H391" s="106" t="s">
        <v>16</v>
      </c>
      <c r="I391" s="120" t="s">
        <v>83</v>
      </c>
      <c r="J391" s="106">
        <f t="shared" ref="J391:J392" si="189">SUM(K391:P391)</f>
        <v>25</v>
      </c>
      <c r="K391" s="106">
        <v>2</v>
      </c>
      <c r="L391" s="106">
        <v>12</v>
      </c>
      <c r="M391" s="107">
        <v>0</v>
      </c>
      <c r="N391" s="106">
        <v>0</v>
      </c>
      <c r="O391" s="106">
        <v>3</v>
      </c>
      <c r="P391" s="107">
        <v>8</v>
      </c>
      <c r="Q391" s="108">
        <f t="shared" si="181"/>
        <v>0.56000000000000005</v>
      </c>
      <c r="R391" s="109">
        <f t="shared" si="188"/>
        <v>0</v>
      </c>
      <c r="S391" s="109">
        <f t="shared" si="183"/>
        <v>0.32</v>
      </c>
      <c r="T391" s="109">
        <f t="shared" si="184"/>
        <v>0.12</v>
      </c>
      <c r="U391" s="110">
        <f t="shared" si="185"/>
        <v>1</v>
      </c>
      <c r="V391" s="111"/>
    </row>
    <row r="392" spans="2:22" ht="15.75" hidden="1" x14ac:dyDescent="0.2">
      <c r="B392" s="711">
        <v>46116</v>
      </c>
      <c r="C392" s="105" t="s">
        <v>22</v>
      </c>
      <c r="D392" s="105" t="s">
        <v>20</v>
      </c>
      <c r="E392" s="711">
        <v>46116</v>
      </c>
      <c r="G392" s="834"/>
      <c r="H392" s="120" t="s">
        <v>14</v>
      </c>
      <c r="I392" s="120" t="s">
        <v>27</v>
      </c>
      <c r="J392" s="106">
        <f t="shared" si="189"/>
        <v>232</v>
      </c>
      <c r="K392" s="106">
        <v>150</v>
      </c>
      <c r="L392" s="106">
        <v>61</v>
      </c>
      <c r="M392" s="107">
        <v>15</v>
      </c>
      <c r="N392" s="106">
        <v>0</v>
      </c>
      <c r="O392" s="106">
        <v>0</v>
      </c>
      <c r="P392" s="107">
        <v>6</v>
      </c>
      <c r="Q392" s="108">
        <f t="shared" si="181"/>
        <v>0.90948275862068961</v>
      </c>
      <c r="R392" s="109">
        <f t="shared" si="188"/>
        <v>0</v>
      </c>
      <c r="S392" s="109">
        <f t="shared" si="183"/>
        <v>2.5862068965517241E-2</v>
      </c>
      <c r="T392" s="109">
        <f t="shared" si="184"/>
        <v>0</v>
      </c>
      <c r="U392" s="110">
        <f t="shared" si="185"/>
        <v>0.93534482758620685</v>
      </c>
      <c r="V392" s="111" t="s">
        <v>96</v>
      </c>
    </row>
    <row r="393" spans="2:22" ht="15.75" hidden="1" x14ac:dyDescent="0.2">
      <c r="B393" s="711">
        <v>46116</v>
      </c>
      <c r="C393" s="105" t="s">
        <v>22</v>
      </c>
      <c r="D393" s="105" t="s">
        <v>20</v>
      </c>
      <c r="E393" s="711">
        <v>46116</v>
      </c>
      <c r="G393" s="835"/>
      <c r="H393" s="113" t="s">
        <v>19</v>
      </c>
      <c r="I393" s="113"/>
      <c r="J393" s="113">
        <f>SUM(J390:J392)</f>
        <v>266</v>
      </c>
      <c r="K393" s="113">
        <f>SUM(K390:K392)</f>
        <v>161</v>
      </c>
      <c r="L393" s="113">
        <f>SUM(L390:L392)</f>
        <v>73</v>
      </c>
      <c r="M393" s="114">
        <f>SUM(M390:M392)</f>
        <v>15</v>
      </c>
      <c r="N393" s="113">
        <f>SUM(N390:N392)</f>
        <v>0</v>
      </c>
      <c r="O393" s="113">
        <v>0</v>
      </c>
      <c r="P393" s="114">
        <f>SUM(P390:P392)</f>
        <v>14</v>
      </c>
      <c r="Q393" s="115">
        <f t="shared" si="181"/>
        <v>0.87969924812030076</v>
      </c>
      <c r="R393" s="116">
        <f t="shared" si="188"/>
        <v>0</v>
      </c>
      <c r="S393" s="116">
        <f t="shared" si="183"/>
        <v>5.2631578947368418E-2</v>
      </c>
      <c r="T393" s="116">
        <f t="shared" si="184"/>
        <v>0</v>
      </c>
      <c r="U393" s="117">
        <f t="shared" si="185"/>
        <v>0.93233082706766912</v>
      </c>
      <c r="V393" s="127"/>
    </row>
    <row r="394" spans="2:22" ht="15.75" hidden="1" x14ac:dyDescent="0.2">
      <c r="B394" s="711">
        <v>46116</v>
      </c>
      <c r="C394" s="105" t="s">
        <v>12</v>
      </c>
      <c r="D394" s="105" t="s">
        <v>23</v>
      </c>
      <c r="E394" s="711">
        <v>46116</v>
      </c>
      <c r="G394" s="833">
        <v>46116</v>
      </c>
      <c r="H394" s="106" t="s">
        <v>32</v>
      </c>
      <c r="I394" s="106" t="s">
        <v>22</v>
      </c>
      <c r="J394" s="106">
        <f>SUM(K394:P394)</f>
        <v>9</v>
      </c>
      <c r="K394" s="106">
        <v>9</v>
      </c>
      <c r="L394" s="106">
        <v>0</v>
      </c>
      <c r="M394" s="107">
        <v>0</v>
      </c>
      <c r="N394" s="106">
        <v>0</v>
      </c>
      <c r="O394" s="106">
        <v>0</v>
      </c>
      <c r="P394" s="107">
        <v>0</v>
      </c>
      <c r="Q394" s="108">
        <f t="shared" ref="Q394:Q397" si="190">(K394+L394)/J394</f>
        <v>1</v>
      </c>
      <c r="R394" s="109">
        <f t="shared" ref="R394:R397" si="191">N394/J394</f>
        <v>0</v>
      </c>
      <c r="S394" s="109">
        <f t="shared" ref="S394:S397" si="192">P394/J394</f>
        <v>0</v>
      </c>
      <c r="T394" s="109">
        <f t="shared" ref="T394:T397" si="193">O394/J394</f>
        <v>0</v>
      </c>
      <c r="U394" s="110">
        <f t="shared" ref="U394:U397" si="194">S394+R394+Q394+T394</f>
        <v>1</v>
      </c>
      <c r="V394" s="111"/>
    </row>
    <row r="395" spans="2:22" ht="15.75" hidden="1" x14ac:dyDescent="0.2">
      <c r="B395" s="711">
        <v>46116</v>
      </c>
      <c r="C395" s="105" t="s">
        <v>12</v>
      </c>
      <c r="D395" s="105" t="s">
        <v>23</v>
      </c>
      <c r="E395" s="711">
        <v>46116</v>
      </c>
      <c r="G395" s="834"/>
      <c r="H395" s="106" t="s">
        <v>16</v>
      </c>
      <c r="I395" s="120" t="s">
        <v>83</v>
      </c>
      <c r="J395" s="106">
        <v>25</v>
      </c>
      <c r="K395" s="106">
        <v>2</v>
      </c>
      <c r="L395" s="106">
        <v>12</v>
      </c>
      <c r="M395" s="107">
        <v>0</v>
      </c>
      <c r="N395" s="106">
        <v>0</v>
      </c>
      <c r="O395" s="106">
        <v>3</v>
      </c>
      <c r="P395" s="107">
        <v>8</v>
      </c>
      <c r="Q395" s="108">
        <f t="shared" si="190"/>
        <v>0.56000000000000005</v>
      </c>
      <c r="R395" s="109">
        <f t="shared" si="191"/>
        <v>0</v>
      </c>
      <c r="S395" s="109">
        <f t="shared" si="192"/>
        <v>0.32</v>
      </c>
      <c r="T395" s="109">
        <f t="shared" si="193"/>
        <v>0.12</v>
      </c>
      <c r="U395" s="110">
        <f t="shared" si="194"/>
        <v>1</v>
      </c>
      <c r="V395" s="111"/>
    </row>
    <row r="396" spans="2:22" ht="15.75" hidden="1" x14ac:dyDescent="0.2">
      <c r="B396" s="711">
        <v>46116</v>
      </c>
      <c r="C396" s="105" t="s">
        <v>12</v>
      </c>
      <c r="D396" s="105" t="s">
        <v>23</v>
      </c>
      <c r="E396" s="711">
        <v>46116</v>
      </c>
      <c r="G396" s="834"/>
      <c r="H396" s="120" t="s">
        <v>14</v>
      </c>
      <c r="I396" s="120" t="s">
        <v>27</v>
      </c>
      <c r="J396" s="106">
        <f t="shared" ref="J396" si="195">SUM(K396:P396)</f>
        <v>222</v>
      </c>
      <c r="K396" s="106">
        <f>222-72</f>
        <v>150</v>
      </c>
      <c r="L396" s="106">
        <v>66</v>
      </c>
      <c r="M396" s="107">
        <v>3</v>
      </c>
      <c r="N396" s="106">
        <v>0</v>
      </c>
      <c r="O396" s="106">
        <v>0</v>
      </c>
      <c r="P396" s="107">
        <v>3</v>
      </c>
      <c r="Q396" s="108">
        <f t="shared" si="190"/>
        <v>0.97297297297297303</v>
      </c>
      <c r="R396" s="109">
        <f t="shared" si="191"/>
        <v>0</v>
      </c>
      <c r="S396" s="109">
        <f t="shared" si="192"/>
        <v>1.3513513513513514E-2</v>
      </c>
      <c r="T396" s="109">
        <f t="shared" si="193"/>
        <v>0</v>
      </c>
      <c r="U396" s="110">
        <f t="shared" si="194"/>
        <v>0.98648648648648651</v>
      </c>
      <c r="V396" s="111"/>
    </row>
    <row r="397" spans="2:22" ht="15.75" hidden="1" x14ac:dyDescent="0.2">
      <c r="B397" s="711">
        <v>46116</v>
      </c>
      <c r="C397" s="105" t="s">
        <v>12</v>
      </c>
      <c r="D397" s="105" t="s">
        <v>23</v>
      </c>
      <c r="E397" s="711">
        <v>46116</v>
      </c>
      <c r="G397" s="835"/>
      <c r="H397" s="113" t="s">
        <v>19</v>
      </c>
      <c r="I397" s="113"/>
      <c r="J397" s="113">
        <f>SUM(J394:J396)</f>
        <v>256</v>
      </c>
      <c r="K397" s="113">
        <f t="shared" ref="K397:N397" si="196">SUM(K394:K396)</f>
        <v>161</v>
      </c>
      <c r="L397" s="113">
        <f t="shared" si="196"/>
        <v>78</v>
      </c>
      <c r="M397" s="113">
        <f t="shared" si="196"/>
        <v>3</v>
      </c>
      <c r="N397" s="113">
        <f t="shared" si="196"/>
        <v>0</v>
      </c>
      <c r="O397" s="113">
        <f>SUM(O394:O396)</f>
        <v>3</v>
      </c>
      <c r="P397" s="113">
        <f>SUM(P394:P396)</f>
        <v>11</v>
      </c>
      <c r="Q397" s="115">
        <f t="shared" si="190"/>
        <v>0.93359375</v>
      </c>
      <c r="R397" s="116">
        <f t="shared" si="191"/>
        <v>0</v>
      </c>
      <c r="S397" s="116">
        <f t="shared" si="192"/>
        <v>4.296875E-2</v>
      </c>
      <c r="T397" s="116">
        <f t="shared" si="193"/>
        <v>1.171875E-2</v>
      </c>
      <c r="U397" s="117">
        <f t="shared" si="194"/>
        <v>0.98828125</v>
      </c>
      <c r="V397" s="127"/>
    </row>
    <row r="398" spans="2:22" ht="15.75" hidden="1" x14ac:dyDescent="0.2">
      <c r="B398" s="711">
        <v>46116</v>
      </c>
      <c r="C398" s="105" t="s">
        <v>12</v>
      </c>
      <c r="D398" s="105" t="s">
        <v>23</v>
      </c>
      <c r="E398" s="711">
        <v>46117</v>
      </c>
      <c r="G398" s="833">
        <v>46117</v>
      </c>
      <c r="H398" s="106" t="s">
        <v>16</v>
      </c>
      <c r="I398" s="120" t="s">
        <v>83</v>
      </c>
      <c r="J398" s="106">
        <v>232</v>
      </c>
      <c r="K398" s="106">
        <f>232-152</f>
        <v>80</v>
      </c>
      <c r="L398" s="106">
        <v>27</v>
      </c>
      <c r="M398" s="107">
        <v>32</v>
      </c>
      <c r="N398" s="106">
        <v>99</v>
      </c>
      <c r="O398" s="106">
        <v>16</v>
      </c>
      <c r="P398" s="107">
        <v>10</v>
      </c>
      <c r="Q398" s="108">
        <f t="shared" ref="Q398:Q402" si="197">(K398+L398)/J398</f>
        <v>0.46120689655172414</v>
      </c>
      <c r="R398" s="109">
        <f t="shared" ref="R398:R402" si="198">N398/J398</f>
        <v>0.42672413793103448</v>
      </c>
      <c r="S398" s="109">
        <f t="shared" ref="S398:S402" si="199">P398/J398</f>
        <v>4.3103448275862072E-2</v>
      </c>
      <c r="T398" s="109">
        <f t="shared" ref="T398:T402" si="200">O398/J398</f>
        <v>6.8965517241379309E-2</v>
      </c>
      <c r="U398" s="110">
        <f t="shared" ref="U398" si="201">S398+R398+Q398+T398</f>
        <v>1</v>
      </c>
      <c r="V398" s="111"/>
    </row>
    <row r="399" spans="2:22" ht="15.75" hidden="1" x14ac:dyDescent="0.2">
      <c r="B399" s="711">
        <v>46116</v>
      </c>
      <c r="C399" s="105" t="s">
        <v>12</v>
      </c>
      <c r="D399" s="105" t="s">
        <v>23</v>
      </c>
      <c r="E399" s="711">
        <v>46117</v>
      </c>
      <c r="G399" s="835"/>
      <c r="H399" s="113" t="s">
        <v>19</v>
      </c>
      <c r="I399" s="113"/>
      <c r="J399" s="113">
        <f>SUM(J398:J398)</f>
        <v>232</v>
      </c>
      <c r="K399" s="113">
        <f t="shared" ref="K399:P399" si="202">SUM(K398:K398)</f>
        <v>80</v>
      </c>
      <c r="L399" s="113">
        <f t="shared" si="202"/>
        <v>27</v>
      </c>
      <c r="M399" s="113">
        <f t="shared" si="202"/>
        <v>32</v>
      </c>
      <c r="N399" s="113">
        <f t="shared" si="202"/>
        <v>99</v>
      </c>
      <c r="O399" s="113">
        <f t="shared" si="202"/>
        <v>16</v>
      </c>
      <c r="P399" s="113">
        <f t="shared" si="202"/>
        <v>10</v>
      </c>
      <c r="Q399" s="115">
        <f t="shared" si="197"/>
        <v>0.46120689655172414</v>
      </c>
      <c r="R399" s="116">
        <f t="shared" si="198"/>
        <v>0.42672413793103448</v>
      </c>
      <c r="S399" s="116">
        <f t="shared" si="199"/>
        <v>4.3103448275862072E-2</v>
      </c>
      <c r="T399" s="116">
        <f t="shared" si="200"/>
        <v>6.8965517241379309E-2</v>
      </c>
      <c r="U399" s="117">
        <f>S399+R399+Q399+T399</f>
        <v>1</v>
      </c>
      <c r="V399" s="127"/>
    </row>
    <row r="400" spans="2:22" ht="15.75" hidden="1" x14ac:dyDescent="0.2">
      <c r="B400" s="711">
        <v>46116</v>
      </c>
      <c r="C400" s="105" t="s">
        <v>18</v>
      </c>
      <c r="D400" s="105" t="s">
        <v>13</v>
      </c>
      <c r="E400" s="711">
        <v>46116</v>
      </c>
      <c r="G400" s="833">
        <v>46116</v>
      </c>
      <c r="H400" s="106" t="s">
        <v>16</v>
      </c>
      <c r="I400" s="120" t="s">
        <v>83</v>
      </c>
      <c r="J400" s="106">
        <v>30</v>
      </c>
      <c r="K400" s="106">
        <v>6</v>
      </c>
      <c r="L400" s="106">
        <v>0</v>
      </c>
      <c r="M400" s="107">
        <v>0</v>
      </c>
      <c r="N400" s="106">
        <v>0</v>
      </c>
      <c r="O400" s="106">
        <v>16</v>
      </c>
      <c r="P400" s="107">
        <v>8</v>
      </c>
      <c r="Q400" s="108">
        <f t="shared" si="197"/>
        <v>0.2</v>
      </c>
      <c r="R400" s="109">
        <f t="shared" si="198"/>
        <v>0</v>
      </c>
      <c r="S400" s="109">
        <f t="shared" si="199"/>
        <v>0.26666666666666666</v>
      </c>
      <c r="T400" s="109">
        <f t="shared" si="200"/>
        <v>0.53333333333333333</v>
      </c>
      <c r="U400" s="110">
        <f t="shared" ref="U400:U403" si="203">S400+R400+Q400+T400</f>
        <v>1</v>
      </c>
      <c r="V400" s="111"/>
    </row>
    <row r="401" spans="2:22" ht="15.75" hidden="1" x14ac:dyDescent="0.2">
      <c r="B401" s="711">
        <v>46116</v>
      </c>
      <c r="C401" s="105" t="s">
        <v>18</v>
      </c>
      <c r="D401" s="105" t="s">
        <v>13</v>
      </c>
      <c r="E401" s="711">
        <v>46116</v>
      </c>
      <c r="G401" s="834"/>
      <c r="H401" s="120" t="s">
        <v>14</v>
      </c>
      <c r="I401" s="120" t="s">
        <v>27</v>
      </c>
      <c r="J401" s="106">
        <v>29</v>
      </c>
      <c r="K401" s="106">
        <v>17</v>
      </c>
      <c r="L401" s="106">
        <v>0</v>
      </c>
      <c r="M401" s="107">
        <v>0</v>
      </c>
      <c r="N401" s="106">
        <v>0</v>
      </c>
      <c r="O401" s="106">
        <v>9</v>
      </c>
      <c r="P401" s="107">
        <v>3</v>
      </c>
      <c r="Q401" s="108">
        <f t="shared" si="197"/>
        <v>0.58620689655172409</v>
      </c>
      <c r="R401" s="109">
        <f t="shared" si="198"/>
        <v>0</v>
      </c>
      <c r="S401" s="109">
        <f t="shared" si="199"/>
        <v>0.10344827586206896</v>
      </c>
      <c r="T401" s="109">
        <f t="shared" si="200"/>
        <v>0.31034482758620691</v>
      </c>
      <c r="U401" s="110">
        <f t="shared" si="203"/>
        <v>1</v>
      </c>
      <c r="V401" s="111"/>
    </row>
    <row r="402" spans="2:22" ht="15.75" hidden="1" x14ac:dyDescent="0.2">
      <c r="B402" s="711">
        <v>46116</v>
      </c>
      <c r="C402" s="105" t="s">
        <v>18</v>
      </c>
      <c r="D402" s="105" t="s">
        <v>13</v>
      </c>
      <c r="E402" s="711">
        <v>46116</v>
      </c>
      <c r="G402" s="835"/>
      <c r="H402" s="113" t="s">
        <v>19</v>
      </c>
      <c r="I402" s="113"/>
      <c r="J402" s="113">
        <f t="shared" ref="J402:P402" si="204">SUM(J400:J401)</f>
        <v>59</v>
      </c>
      <c r="K402" s="113">
        <f t="shared" si="204"/>
        <v>23</v>
      </c>
      <c r="L402" s="113">
        <f t="shared" si="204"/>
        <v>0</v>
      </c>
      <c r="M402" s="113">
        <f t="shared" si="204"/>
        <v>0</v>
      </c>
      <c r="N402" s="113">
        <f t="shared" si="204"/>
        <v>0</v>
      </c>
      <c r="O402" s="113">
        <f t="shared" si="204"/>
        <v>25</v>
      </c>
      <c r="P402" s="113">
        <f t="shared" si="204"/>
        <v>11</v>
      </c>
      <c r="Q402" s="115">
        <f t="shared" si="197"/>
        <v>0.38983050847457629</v>
      </c>
      <c r="R402" s="116">
        <f t="shared" si="198"/>
        <v>0</v>
      </c>
      <c r="S402" s="116">
        <f t="shared" si="199"/>
        <v>0.1864406779661017</v>
      </c>
      <c r="T402" s="116">
        <f t="shared" si="200"/>
        <v>0.42372881355932202</v>
      </c>
      <c r="U402" s="117">
        <f t="shared" si="203"/>
        <v>1</v>
      </c>
      <c r="V402" s="127"/>
    </row>
    <row r="403" spans="2:22" ht="15.75" hidden="1" x14ac:dyDescent="0.2">
      <c r="B403" s="711">
        <v>46116</v>
      </c>
      <c r="C403" s="105" t="s">
        <v>18</v>
      </c>
      <c r="D403" s="105" t="s">
        <v>13</v>
      </c>
      <c r="E403" s="711">
        <v>46117</v>
      </c>
      <c r="G403" s="833">
        <v>46117</v>
      </c>
      <c r="H403" s="106" t="s">
        <v>16</v>
      </c>
      <c r="I403" s="120" t="s">
        <v>83</v>
      </c>
      <c r="J403" s="106">
        <v>232</v>
      </c>
      <c r="K403" s="106">
        <f>(J403)-(L403+M403+N403+P403+O403)</f>
        <v>160</v>
      </c>
      <c r="L403" s="106">
        <v>58</v>
      </c>
      <c r="M403" s="107">
        <v>2</v>
      </c>
      <c r="N403" s="106">
        <v>0</v>
      </c>
      <c r="O403" s="106">
        <v>0</v>
      </c>
      <c r="P403" s="107">
        <v>12</v>
      </c>
      <c r="Q403" s="108">
        <f t="shared" ref="Q403:Q415" si="205">(K403+L403)/J403</f>
        <v>0.93965517241379315</v>
      </c>
      <c r="R403" s="109">
        <f t="shared" ref="R403:R415" si="206">N403/J403</f>
        <v>0</v>
      </c>
      <c r="S403" s="109">
        <f t="shared" ref="S403:S415" si="207">P403/J403</f>
        <v>5.1724137931034482E-2</v>
      </c>
      <c r="T403" s="109">
        <f t="shared" ref="T403:T415" si="208">O403/J403</f>
        <v>0</v>
      </c>
      <c r="U403" s="110">
        <f t="shared" si="203"/>
        <v>0.99137931034482762</v>
      </c>
      <c r="V403" s="111" t="s">
        <v>101</v>
      </c>
    </row>
    <row r="404" spans="2:22" ht="15.75" hidden="1" x14ac:dyDescent="0.2">
      <c r="B404" s="711">
        <v>46116</v>
      </c>
      <c r="C404" s="105" t="s">
        <v>18</v>
      </c>
      <c r="D404" s="105" t="s">
        <v>13</v>
      </c>
      <c r="E404" s="711">
        <v>46117</v>
      </c>
      <c r="G404" s="835"/>
      <c r="H404" s="113" t="s">
        <v>19</v>
      </c>
      <c r="I404" s="113"/>
      <c r="J404" s="113">
        <f>SUM(J403:J403)</f>
        <v>232</v>
      </c>
      <c r="K404" s="113">
        <f t="shared" ref="K404:P404" si="209">SUM(K403:K403)</f>
        <v>160</v>
      </c>
      <c r="L404" s="113">
        <f t="shared" si="209"/>
        <v>58</v>
      </c>
      <c r="M404" s="113">
        <f t="shared" si="209"/>
        <v>2</v>
      </c>
      <c r="N404" s="113">
        <f t="shared" si="209"/>
        <v>0</v>
      </c>
      <c r="O404" s="113">
        <f t="shared" si="209"/>
        <v>0</v>
      </c>
      <c r="P404" s="113">
        <f t="shared" si="209"/>
        <v>12</v>
      </c>
      <c r="Q404" s="115">
        <f t="shared" si="205"/>
        <v>0.93965517241379315</v>
      </c>
      <c r="R404" s="116">
        <f t="shared" si="206"/>
        <v>0</v>
      </c>
      <c r="S404" s="116">
        <f t="shared" si="207"/>
        <v>5.1724137931034482E-2</v>
      </c>
      <c r="T404" s="116">
        <f t="shared" si="208"/>
        <v>0</v>
      </c>
      <c r="U404" s="117">
        <f>S404+R404+Q404+T404</f>
        <v>0.99137931034482762</v>
      </c>
      <c r="V404" s="127"/>
    </row>
    <row r="405" spans="2:22" ht="15.75" hidden="1" x14ac:dyDescent="0.2">
      <c r="B405" s="711">
        <v>46116</v>
      </c>
      <c r="C405" s="105" t="s">
        <v>18</v>
      </c>
      <c r="D405" s="105" t="s">
        <v>13</v>
      </c>
      <c r="E405" s="711">
        <v>46118</v>
      </c>
      <c r="G405" s="833">
        <v>46118</v>
      </c>
      <c r="H405" s="106" t="s">
        <v>16</v>
      </c>
      <c r="I405" s="120" t="s">
        <v>83</v>
      </c>
      <c r="J405" s="106">
        <v>232</v>
      </c>
      <c r="K405" s="106">
        <f>(J405)-(L405+M405+N405+P405+O405)</f>
        <v>0</v>
      </c>
      <c r="L405" s="106">
        <v>0</v>
      </c>
      <c r="M405" s="107">
        <v>232</v>
      </c>
      <c r="N405" s="106">
        <v>0</v>
      </c>
      <c r="O405" s="106">
        <v>0</v>
      </c>
      <c r="P405" s="107">
        <v>0</v>
      </c>
      <c r="Q405" s="108">
        <f t="shared" si="205"/>
        <v>0</v>
      </c>
      <c r="R405" s="109">
        <f t="shared" si="206"/>
        <v>0</v>
      </c>
      <c r="S405" s="109">
        <f t="shared" si="207"/>
        <v>0</v>
      </c>
      <c r="T405" s="109">
        <f t="shared" si="208"/>
        <v>0</v>
      </c>
      <c r="U405" s="110">
        <f t="shared" ref="U405:U415" si="210">S405+R405+Q405+T405</f>
        <v>0</v>
      </c>
      <c r="V405" s="111"/>
    </row>
    <row r="406" spans="2:22" ht="15.75" hidden="1" x14ac:dyDescent="0.2">
      <c r="B406" s="711">
        <v>46116</v>
      </c>
      <c r="C406" s="105" t="s">
        <v>18</v>
      </c>
      <c r="D406" s="105" t="s">
        <v>13</v>
      </c>
      <c r="E406" s="711">
        <v>46118</v>
      </c>
      <c r="G406" s="834"/>
      <c r="H406" s="106" t="s">
        <v>84</v>
      </c>
      <c r="I406" s="120" t="s">
        <v>22</v>
      </c>
      <c r="J406" s="106">
        <v>251</v>
      </c>
      <c r="K406" s="106">
        <f>(J406)-(L406+M406+N406+P406+O406)</f>
        <v>0</v>
      </c>
      <c r="L406" s="106">
        <v>0</v>
      </c>
      <c r="M406" s="107">
        <v>123</v>
      </c>
      <c r="N406" s="106">
        <v>128</v>
      </c>
      <c r="O406" s="106">
        <v>0</v>
      </c>
      <c r="P406" s="107">
        <v>0</v>
      </c>
      <c r="Q406" s="108">
        <f t="shared" ref="Q406" si="211">(K406+L406)/J406</f>
        <v>0</v>
      </c>
      <c r="R406" s="109">
        <f t="shared" ref="R406" si="212">N406/J406</f>
        <v>0.50996015936254979</v>
      </c>
      <c r="S406" s="109">
        <f t="shared" ref="S406" si="213">P406/J406</f>
        <v>0</v>
      </c>
      <c r="T406" s="109">
        <f t="shared" ref="T406" si="214">O406/J406</f>
        <v>0</v>
      </c>
      <c r="U406" s="110">
        <f t="shared" ref="U406" si="215">S406+R406+Q406+T406</f>
        <v>0.50996015936254979</v>
      </c>
      <c r="V406" s="111"/>
    </row>
    <row r="407" spans="2:22" ht="15.75" hidden="1" x14ac:dyDescent="0.2">
      <c r="B407" s="711">
        <v>46116</v>
      </c>
      <c r="C407" s="105" t="s">
        <v>18</v>
      </c>
      <c r="D407" s="105" t="s">
        <v>13</v>
      </c>
      <c r="E407" s="711">
        <v>46118</v>
      </c>
      <c r="G407" s="834"/>
      <c r="H407" s="120" t="s">
        <v>14</v>
      </c>
      <c r="I407" s="120" t="s">
        <v>100</v>
      </c>
      <c r="J407" s="106">
        <v>222</v>
      </c>
      <c r="K407" s="106">
        <f>(J407)-(L407+M407+N407+P407+O407)</f>
        <v>0</v>
      </c>
      <c r="L407" s="106">
        <v>0</v>
      </c>
      <c r="M407" s="107">
        <v>222</v>
      </c>
      <c r="N407" s="106">
        <v>0</v>
      </c>
      <c r="O407" s="106">
        <v>0</v>
      </c>
      <c r="P407" s="107">
        <v>0</v>
      </c>
      <c r="Q407" s="108">
        <f t="shared" si="205"/>
        <v>0</v>
      </c>
      <c r="R407" s="109">
        <f t="shared" si="206"/>
        <v>0</v>
      </c>
      <c r="S407" s="109">
        <f t="shared" si="207"/>
        <v>0</v>
      </c>
      <c r="T407" s="109">
        <f t="shared" si="208"/>
        <v>0</v>
      </c>
      <c r="U407" s="110">
        <f t="shared" si="210"/>
        <v>0</v>
      </c>
      <c r="V407" s="111"/>
    </row>
    <row r="408" spans="2:22" ht="15.75" hidden="1" x14ac:dyDescent="0.2">
      <c r="B408" s="711">
        <v>46116</v>
      </c>
      <c r="C408" s="105" t="s">
        <v>18</v>
      </c>
      <c r="D408" s="105" t="s">
        <v>13</v>
      </c>
      <c r="E408" s="711">
        <v>46118</v>
      </c>
      <c r="G408" s="835"/>
      <c r="H408" s="113" t="s">
        <v>19</v>
      </c>
      <c r="I408" s="113"/>
      <c r="J408" s="113">
        <f t="shared" ref="J408:P408" si="216">SUM(J405:J407)</f>
        <v>705</v>
      </c>
      <c r="K408" s="113">
        <f t="shared" si="216"/>
        <v>0</v>
      </c>
      <c r="L408" s="113">
        <f t="shared" si="216"/>
        <v>0</v>
      </c>
      <c r="M408" s="113">
        <f t="shared" si="216"/>
        <v>577</v>
      </c>
      <c r="N408" s="113">
        <f t="shared" si="216"/>
        <v>128</v>
      </c>
      <c r="O408" s="113">
        <f t="shared" si="216"/>
        <v>0</v>
      </c>
      <c r="P408" s="113">
        <f t="shared" si="216"/>
        <v>0</v>
      </c>
      <c r="Q408" s="115">
        <f t="shared" si="205"/>
        <v>0</v>
      </c>
      <c r="R408" s="116">
        <f t="shared" si="206"/>
        <v>0.18156028368794327</v>
      </c>
      <c r="S408" s="116">
        <f t="shared" si="207"/>
        <v>0</v>
      </c>
      <c r="T408" s="116">
        <f t="shared" si="208"/>
        <v>0</v>
      </c>
      <c r="U408" s="117">
        <f t="shared" si="210"/>
        <v>0.18156028368794327</v>
      </c>
      <c r="V408" s="127"/>
    </row>
    <row r="409" spans="2:22" ht="15.75" hidden="1" x14ac:dyDescent="0.2">
      <c r="B409" s="711">
        <v>46117</v>
      </c>
      <c r="C409" s="105" t="s">
        <v>22</v>
      </c>
      <c r="D409" s="105" t="s">
        <v>20</v>
      </c>
      <c r="E409" s="711">
        <v>46117</v>
      </c>
      <c r="G409" s="833">
        <v>46117</v>
      </c>
      <c r="H409" s="106" t="s">
        <v>16</v>
      </c>
      <c r="I409" s="120" t="s">
        <v>15</v>
      </c>
      <c r="J409" s="106">
        <f t="shared" ref="J409:J410" si="217">SUM(K409:P409)</f>
        <v>26</v>
      </c>
      <c r="K409" s="106">
        <v>4</v>
      </c>
      <c r="L409" s="106">
        <v>13</v>
      </c>
      <c r="M409" s="107">
        <v>0</v>
      </c>
      <c r="N409" s="106">
        <v>0</v>
      </c>
      <c r="O409" s="106">
        <v>0</v>
      </c>
      <c r="P409" s="107">
        <v>9</v>
      </c>
      <c r="Q409" s="108">
        <f t="shared" si="205"/>
        <v>0.65384615384615385</v>
      </c>
      <c r="R409" s="109">
        <f t="shared" si="206"/>
        <v>0</v>
      </c>
      <c r="S409" s="109">
        <f t="shared" si="207"/>
        <v>0.34615384615384615</v>
      </c>
      <c r="T409" s="109">
        <f t="shared" si="208"/>
        <v>0</v>
      </c>
      <c r="U409" s="110">
        <f t="shared" si="210"/>
        <v>1</v>
      </c>
      <c r="V409" s="111"/>
    </row>
    <row r="410" spans="2:22" ht="15.75" hidden="1" x14ac:dyDescent="0.2">
      <c r="B410" s="711">
        <v>46117</v>
      </c>
      <c r="C410" s="105" t="s">
        <v>22</v>
      </c>
      <c r="D410" s="105" t="s">
        <v>20</v>
      </c>
      <c r="E410" s="711">
        <v>46117</v>
      </c>
      <c r="G410" s="834"/>
      <c r="H410" s="120" t="s">
        <v>87</v>
      </c>
      <c r="I410" s="120" t="s">
        <v>22</v>
      </c>
      <c r="J410" s="106">
        <f t="shared" si="217"/>
        <v>1</v>
      </c>
      <c r="K410" s="106">
        <v>1</v>
      </c>
      <c r="L410" s="106">
        <v>0</v>
      </c>
      <c r="M410" s="106">
        <v>0</v>
      </c>
      <c r="N410" s="106">
        <v>0</v>
      </c>
      <c r="O410" s="106">
        <v>0</v>
      </c>
      <c r="P410" s="106">
        <v>0</v>
      </c>
      <c r="Q410" s="108">
        <f t="shared" si="205"/>
        <v>1</v>
      </c>
      <c r="R410" s="109">
        <f t="shared" si="206"/>
        <v>0</v>
      </c>
      <c r="S410" s="109">
        <f t="shared" si="207"/>
        <v>0</v>
      </c>
      <c r="T410" s="109">
        <f t="shared" si="208"/>
        <v>0</v>
      </c>
      <c r="U410" s="110">
        <f t="shared" si="210"/>
        <v>1</v>
      </c>
      <c r="V410" s="111"/>
    </row>
    <row r="411" spans="2:22" ht="15.75" hidden="1" x14ac:dyDescent="0.2">
      <c r="B411" s="711">
        <v>46117</v>
      </c>
      <c r="C411" s="105" t="s">
        <v>22</v>
      </c>
      <c r="D411" s="105" t="s">
        <v>20</v>
      </c>
      <c r="E411" s="711">
        <v>46117</v>
      </c>
      <c r="G411" s="835"/>
      <c r="H411" s="113" t="s">
        <v>19</v>
      </c>
      <c r="I411" s="113"/>
      <c r="J411" s="113">
        <f>SUM(J409:J410)</f>
        <v>27</v>
      </c>
      <c r="K411" s="113">
        <f>SUM(K409:K410)</f>
        <v>5</v>
      </c>
      <c r="L411" s="113">
        <f>SUM(L409:L410)</f>
        <v>13</v>
      </c>
      <c r="M411" s="114">
        <f>SUM(M409:M410)</f>
        <v>0</v>
      </c>
      <c r="N411" s="113">
        <f>SUM(N409:N410)</f>
        <v>0</v>
      </c>
      <c r="O411" s="113">
        <v>0</v>
      </c>
      <c r="P411" s="114">
        <f>SUM(P409:P410)</f>
        <v>9</v>
      </c>
      <c r="Q411" s="115">
        <f t="shared" si="205"/>
        <v>0.66666666666666663</v>
      </c>
      <c r="R411" s="116">
        <f t="shared" si="206"/>
        <v>0</v>
      </c>
      <c r="S411" s="116">
        <f t="shared" si="207"/>
        <v>0.33333333333333331</v>
      </c>
      <c r="T411" s="116">
        <f t="shared" si="208"/>
        <v>0</v>
      </c>
      <c r="U411" s="117">
        <f t="shared" si="210"/>
        <v>1</v>
      </c>
      <c r="V411" s="127"/>
    </row>
    <row r="412" spans="2:22" ht="15.75" hidden="1" x14ac:dyDescent="0.2">
      <c r="B412" s="711">
        <v>46117</v>
      </c>
      <c r="C412" s="105" t="s">
        <v>12</v>
      </c>
      <c r="D412" s="105" t="s">
        <v>23</v>
      </c>
      <c r="E412" s="711">
        <v>46118</v>
      </c>
      <c r="G412" s="833">
        <v>46118</v>
      </c>
      <c r="H412" s="106" t="s">
        <v>84</v>
      </c>
      <c r="I412" s="106" t="s">
        <v>22</v>
      </c>
      <c r="J412" s="106">
        <f>SUM(K412:P412)</f>
        <v>132</v>
      </c>
      <c r="K412" s="106">
        <v>0</v>
      </c>
      <c r="L412" s="106">
        <v>0</v>
      </c>
      <c r="M412" s="107">
        <v>93</v>
      </c>
      <c r="N412" s="106">
        <v>39</v>
      </c>
      <c r="O412" s="106">
        <v>0</v>
      </c>
      <c r="P412" s="107">
        <v>0</v>
      </c>
      <c r="Q412" s="108">
        <f t="shared" si="205"/>
        <v>0</v>
      </c>
      <c r="R412" s="109">
        <f t="shared" si="206"/>
        <v>0.29545454545454547</v>
      </c>
      <c r="S412" s="109">
        <f t="shared" si="207"/>
        <v>0</v>
      </c>
      <c r="T412" s="109">
        <f t="shared" si="208"/>
        <v>0</v>
      </c>
      <c r="U412" s="110">
        <f t="shared" si="210"/>
        <v>0.29545454545454547</v>
      </c>
      <c r="V412" s="111"/>
    </row>
    <row r="413" spans="2:22" ht="15.75" hidden="1" x14ac:dyDescent="0.2">
      <c r="B413" s="711">
        <v>46117</v>
      </c>
      <c r="C413" s="105" t="s">
        <v>12</v>
      </c>
      <c r="D413" s="105" t="s">
        <v>23</v>
      </c>
      <c r="E413" s="711">
        <v>46118</v>
      </c>
      <c r="G413" s="834"/>
      <c r="H413" s="106" t="s">
        <v>16</v>
      </c>
      <c r="I413" s="120" t="s">
        <v>83</v>
      </c>
      <c r="J413" s="106">
        <f>SUM(K413:P413)</f>
        <v>225</v>
      </c>
      <c r="K413" s="106">
        <v>76</v>
      </c>
      <c r="L413" s="106">
        <v>59</v>
      </c>
      <c r="M413" s="107">
        <v>81</v>
      </c>
      <c r="N413" s="106">
        <v>0</v>
      </c>
      <c r="O413" s="106">
        <v>0</v>
      </c>
      <c r="P413" s="107">
        <v>9</v>
      </c>
      <c r="Q413" s="108">
        <f t="shared" si="205"/>
        <v>0.6</v>
      </c>
      <c r="R413" s="109">
        <f t="shared" si="206"/>
        <v>0</v>
      </c>
      <c r="S413" s="109">
        <f t="shared" si="207"/>
        <v>0.04</v>
      </c>
      <c r="T413" s="109">
        <f t="shared" si="208"/>
        <v>0</v>
      </c>
      <c r="U413" s="110">
        <f t="shared" si="210"/>
        <v>0.64</v>
      </c>
      <c r="V413" s="111"/>
    </row>
    <row r="414" spans="2:22" ht="15.75" hidden="1" x14ac:dyDescent="0.2">
      <c r="B414" s="711">
        <v>46117</v>
      </c>
      <c r="C414" s="105" t="s">
        <v>12</v>
      </c>
      <c r="D414" s="105" t="s">
        <v>23</v>
      </c>
      <c r="E414" s="711">
        <v>46118</v>
      </c>
      <c r="G414" s="834"/>
      <c r="H414" s="120" t="s">
        <v>14</v>
      </c>
      <c r="I414" s="120" t="s">
        <v>100</v>
      </c>
      <c r="J414" s="106">
        <f t="shared" ref="J414" si="218">SUM(K414:P414)</f>
        <v>230</v>
      </c>
      <c r="K414" s="106">
        <v>0</v>
      </c>
      <c r="L414" s="106">
        <v>0</v>
      </c>
      <c r="M414" s="107">
        <v>225</v>
      </c>
      <c r="N414" s="106">
        <v>0</v>
      </c>
      <c r="O414" s="106">
        <v>0</v>
      </c>
      <c r="P414" s="107">
        <v>5</v>
      </c>
      <c r="Q414" s="108">
        <f t="shared" si="205"/>
        <v>0</v>
      </c>
      <c r="R414" s="109">
        <f t="shared" si="206"/>
        <v>0</v>
      </c>
      <c r="S414" s="109">
        <f t="shared" si="207"/>
        <v>2.1739130434782608E-2</v>
      </c>
      <c r="T414" s="109">
        <f t="shared" si="208"/>
        <v>0</v>
      </c>
      <c r="U414" s="110">
        <f t="shared" si="210"/>
        <v>2.1739130434782608E-2</v>
      </c>
      <c r="V414" s="111"/>
    </row>
    <row r="415" spans="2:22" ht="15.75" hidden="1" x14ac:dyDescent="0.2">
      <c r="B415" s="711">
        <v>46117</v>
      </c>
      <c r="C415" s="105" t="s">
        <v>12</v>
      </c>
      <c r="D415" s="105" t="s">
        <v>23</v>
      </c>
      <c r="E415" s="711">
        <v>46118</v>
      </c>
      <c r="G415" s="835"/>
      <c r="H415" s="113" t="s">
        <v>19</v>
      </c>
      <c r="I415" s="113"/>
      <c r="J415" s="113">
        <f t="shared" ref="J415:P415" si="219">SUM(J412:J414)</f>
        <v>587</v>
      </c>
      <c r="K415" s="113">
        <f t="shared" si="219"/>
        <v>76</v>
      </c>
      <c r="L415" s="113">
        <f t="shared" si="219"/>
        <v>59</v>
      </c>
      <c r="M415" s="113">
        <f t="shared" si="219"/>
        <v>399</v>
      </c>
      <c r="N415" s="113">
        <f t="shared" si="219"/>
        <v>39</v>
      </c>
      <c r="O415" s="113">
        <f t="shared" si="219"/>
        <v>0</v>
      </c>
      <c r="P415" s="113">
        <f t="shared" si="219"/>
        <v>14</v>
      </c>
      <c r="Q415" s="115">
        <f t="shared" si="205"/>
        <v>0.22998296422487224</v>
      </c>
      <c r="R415" s="116">
        <f t="shared" si="206"/>
        <v>6.6439522998296419E-2</v>
      </c>
      <c r="S415" s="116">
        <f t="shared" si="207"/>
        <v>2.385008517887564E-2</v>
      </c>
      <c r="T415" s="116">
        <f t="shared" si="208"/>
        <v>0</v>
      </c>
      <c r="U415" s="117">
        <f t="shared" si="210"/>
        <v>0.32027257240204432</v>
      </c>
      <c r="V415" s="127"/>
    </row>
    <row r="416" spans="2:22" ht="15.75" hidden="1" x14ac:dyDescent="0.2">
      <c r="B416" s="711">
        <v>46118</v>
      </c>
      <c r="C416" s="105" t="s">
        <v>22</v>
      </c>
      <c r="D416" s="105" t="s">
        <v>20</v>
      </c>
      <c r="E416" s="711">
        <v>46118</v>
      </c>
      <c r="G416" s="833">
        <v>46118</v>
      </c>
      <c r="H416" s="106" t="s">
        <v>16</v>
      </c>
      <c r="I416" s="120" t="s">
        <v>103</v>
      </c>
      <c r="J416" s="106">
        <f t="shared" ref="J416:J418" si="220">SUM(K416:P416)</f>
        <v>92</v>
      </c>
      <c r="K416" s="106">
        <v>32</v>
      </c>
      <c r="L416" s="106">
        <v>32</v>
      </c>
      <c r="M416" s="107">
        <v>5</v>
      </c>
      <c r="N416" s="106">
        <v>16</v>
      </c>
      <c r="O416" s="106">
        <v>0</v>
      </c>
      <c r="P416" s="107">
        <v>7</v>
      </c>
      <c r="Q416" s="108">
        <f t="shared" ref="Q416:Q419" si="221">(K416+L416)/J416</f>
        <v>0.69565217391304346</v>
      </c>
      <c r="R416" s="109">
        <f t="shared" ref="R416:R419" si="222">N416/J416</f>
        <v>0.17391304347826086</v>
      </c>
      <c r="S416" s="109">
        <f t="shared" ref="S416:S419" si="223">P416/J416</f>
        <v>7.6086956521739135E-2</v>
      </c>
      <c r="T416" s="109">
        <f t="shared" ref="T416:T419" si="224">O416/J416</f>
        <v>0</v>
      </c>
      <c r="U416" s="110">
        <f t="shared" ref="U416:U419" si="225">S416+R416+Q416+T416</f>
        <v>0.94565217391304346</v>
      </c>
      <c r="V416" s="111"/>
    </row>
    <row r="417" spans="2:22" ht="15.75" hidden="1" x14ac:dyDescent="0.2">
      <c r="B417" s="711">
        <v>46118</v>
      </c>
      <c r="C417" s="105" t="s">
        <v>22</v>
      </c>
      <c r="D417" s="105" t="s">
        <v>20</v>
      </c>
      <c r="E417" s="711">
        <v>46118</v>
      </c>
      <c r="G417" s="834"/>
      <c r="H417" s="106" t="s">
        <v>84</v>
      </c>
      <c r="I417" s="120" t="s">
        <v>22</v>
      </c>
      <c r="J417" s="106">
        <f t="shared" si="220"/>
        <v>132</v>
      </c>
      <c r="K417" s="106">
        <v>99</v>
      </c>
      <c r="L417" s="106">
        <v>7</v>
      </c>
      <c r="M417" s="107">
        <v>26</v>
      </c>
      <c r="N417" s="106">
        <v>0</v>
      </c>
      <c r="O417" s="106">
        <v>0</v>
      </c>
      <c r="P417" s="107">
        <v>0</v>
      </c>
      <c r="Q417" s="108">
        <f t="shared" ref="Q417" si="226">(K417+L417)/J417</f>
        <v>0.80303030303030298</v>
      </c>
      <c r="R417" s="109">
        <f t="shared" ref="R417" si="227">N417/J417</f>
        <v>0</v>
      </c>
      <c r="S417" s="109">
        <f t="shared" ref="S417" si="228">P417/J417</f>
        <v>0</v>
      </c>
      <c r="T417" s="109">
        <f t="shared" ref="T417" si="229">O417/J417</f>
        <v>0</v>
      </c>
      <c r="U417" s="110">
        <f t="shared" ref="U417" si="230">S417+R417+Q417+T417</f>
        <v>0.80303030303030298</v>
      </c>
      <c r="V417" s="111"/>
    </row>
    <row r="418" spans="2:22" ht="15.75" hidden="1" x14ac:dyDescent="0.2">
      <c r="B418" s="711">
        <v>46118</v>
      </c>
      <c r="C418" s="105" t="s">
        <v>22</v>
      </c>
      <c r="D418" s="105" t="s">
        <v>20</v>
      </c>
      <c r="E418" s="711">
        <v>46118</v>
      </c>
      <c r="G418" s="834"/>
      <c r="H418" s="120" t="s">
        <v>14</v>
      </c>
      <c r="I418" s="120" t="s">
        <v>100</v>
      </c>
      <c r="J418" s="106">
        <f t="shared" si="220"/>
        <v>230</v>
      </c>
      <c r="K418" s="106">
        <v>165</v>
      </c>
      <c r="L418" s="106">
        <v>53</v>
      </c>
      <c r="M418" s="106">
        <v>7</v>
      </c>
      <c r="N418" s="106">
        <v>0</v>
      </c>
      <c r="O418" s="106">
        <v>0</v>
      </c>
      <c r="P418" s="106">
        <v>5</v>
      </c>
      <c r="Q418" s="108">
        <f t="shared" si="221"/>
        <v>0.94782608695652171</v>
      </c>
      <c r="R418" s="109">
        <f t="shared" si="222"/>
        <v>0</v>
      </c>
      <c r="S418" s="109">
        <f t="shared" si="223"/>
        <v>2.1739130434782608E-2</v>
      </c>
      <c r="T418" s="109">
        <f t="shared" si="224"/>
        <v>0</v>
      </c>
      <c r="U418" s="110">
        <f t="shared" si="225"/>
        <v>0.9695652173913043</v>
      </c>
      <c r="V418" s="111"/>
    </row>
    <row r="419" spans="2:22" ht="15.75" hidden="1" x14ac:dyDescent="0.2">
      <c r="B419" s="711">
        <v>46118</v>
      </c>
      <c r="C419" s="105" t="s">
        <v>22</v>
      </c>
      <c r="D419" s="105" t="s">
        <v>20</v>
      </c>
      <c r="E419" s="711">
        <v>46118</v>
      </c>
      <c r="G419" s="835"/>
      <c r="H419" s="113" t="s">
        <v>19</v>
      </c>
      <c r="I419" s="113"/>
      <c r="J419" s="113">
        <f>SUM(J416:J418)</f>
        <v>454</v>
      </c>
      <c r="K419" s="113">
        <f>SUM(K416:K418)</f>
        <v>296</v>
      </c>
      <c r="L419" s="113">
        <f>SUM(L416:L418)</f>
        <v>92</v>
      </c>
      <c r="M419" s="114">
        <f>SUM(M416:M418)</f>
        <v>38</v>
      </c>
      <c r="N419" s="113">
        <f>SUM(N416:N418)</f>
        <v>16</v>
      </c>
      <c r="O419" s="113">
        <v>0</v>
      </c>
      <c r="P419" s="114">
        <f>SUM(P416:P418)</f>
        <v>12</v>
      </c>
      <c r="Q419" s="115">
        <f t="shared" si="221"/>
        <v>0.85462555066079293</v>
      </c>
      <c r="R419" s="116">
        <f t="shared" si="222"/>
        <v>3.5242290748898682E-2</v>
      </c>
      <c r="S419" s="116">
        <f t="shared" si="223"/>
        <v>2.643171806167401E-2</v>
      </c>
      <c r="T419" s="116">
        <f t="shared" si="224"/>
        <v>0</v>
      </c>
      <c r="U419" s="117">
        <f t="shared" si="225"/>
        <v>0.91629955947136565</v>
      </c>
      <c r="V419" s="127"/>
    </row>
    <row r="420" spans="2:22" ht="15.75" hidden="1" x14ac:dyDescent="0.2">
      <c r="B420" s="711">
        <v>46118</v>
      </c>
      <c r="C420" s="105" t="s">
        <v>12</v>
      </c>
      <c r="D420" s="105" t="s">
        <v>23</v>
      </c>
      <c r="E420" s="711">
        <v>46118</v>
      </c>
      <c r="G420" s="833">
        <v>46118</v>
      </c>
      <c r="H420" s="106" t="s">
        <v>16</v>
      </c>
      <c r="I420" s="120" t="s">
        <v>83</v>
      </c>
      <c r="J420" s="106">
        <f t="shared" ref="J420:J422" si="231">SUM(K420:P420)</f>
        <v>92</v>
      </c>
      <c r="K420" s="106">
        <v>32</v>
      </c>
      <c r="L420" s="106">
        <v>32</v>
      </c>
      <c r="M420" s="107">
        <v>5</v>
      </c>
      <c r="N420" s="106">
        <v>16</v>
      </c>
      <c r="O420" s="106">
        <v>0</v>
      </c>
      <c r="P420" s="107">
        <v>7</v>
      </c>
      <c r="Q420" s="108">
        <f t="shared" ref="Q420:Q423" si="232">(K420+L420)/J420</f>
        <v>0.69565217391304346</v>
      </c>
      <c r="R420" s="109">
        <f t="shared" ref="R420:R423" si="233">N420/J420</f>
        <v>0.17391304347826086</v>
      </c>
      <c r="S420" s="109">
        <f t="shared" ref="S420:S423" si="234">P420/J420</f>
        <v>7.6086956521739135E-2</v>
      </c>
      <c r="T420" s="109">
        <f t="shared" ref="T420:T423" si="235">O420/J420</f>
        <v>0</v>
      </c>
      <c r="U420" s="110">
        <f t="shared" ref="U420:U423" si="236">S420+R420+Q420+T420</f>
        <v>0.94565217391304346</v>
      </c>
      <c r="V420" s="111"/>
    </row>
    <row r="421" spans="2:22" ht="15.75" hidden="1" x14ac:dyDescent="0.2">
      <c r="B421" s="711">
        <v>46118</v>
      </c>
      <c r="C421" s="105" t="s">
        <v>12</v>
      </c>
      <c r="D421" s="105" t="s">
        <v>23</v>
      </c>
      <c r="E421" s="711">
        <v>46118</v>
      </c>
      <c r="G421" s="834"/>
      <c r="H421" s="106" t="s">
        <v>84</v>
      </c>
      <c r="I421" s="120" t="s">
        <v>22</v>
      </c>
      <c r="J421" s="106">
        <f t="shared" si="231"/>
        <v>117</v>
      </c>
      <c r="K421" s="106">
        <v>99</v>
      </c>
      <c r="L421" s="106">
        <v>7</v>
      </c>
      <c r="M421" s="107">
        <v>11</v>
      </c>
      <c r="N421" s="106">
        <v>0</v>
      </c>
      <c r="O421" s="106">
        <v>0</v>
      </c>
      <c r="P421" s="107">
        <v>0</v>
      </c>
      <c r="Q421" s="108">
        <f t="shared" si="232"/>
        <v>0.90598290598290598</v>
      </c>
      <c r="R421" s="109">
        <f t="shared" si="233"/>
        <v>0</v>
      </c>
      <c r="S421" s="109">
        <f t="shared" si="234"/>
        <v>0</v>
      </c>
      <c r="T421" s="109">
        <f t="shared" si="235"/>
        <v>0</v>
      </c>
      <c r="U421" s="110">
        <f t="shared" si="236"/>
        <v>0.90598290598290598</v>
      </c>
      <c r="V421" s="111"/>
    </row>
    <row r="422" spans="2:22" ht="15.75" hidden="1" x14ac:dyDescent="0.2">
      <c r="B422" s="711">
        <v>46118</v>
      </c>
      <c r="C422" s="105" t="s">
        <v>12</v>
      </c>
      <c r="D422" s="105" t="s">
        <v>23</v>
      </c>
      <c r="E422" s="711">
        <v>46118</v>
      </c>
      <c r="G422" s="834"/>
      <c r="H422" s="120" t="s">
        <v>14</v>
      </c>
      <c r="I422" s="120" t="s">
        <v>100</v>
      </c>
      <c r="J422" s="106">
        <f t="shared" si="231"/>
        <v>241</v>
      </c>
      <c r="K422" s="106">
        <v>165</v>
      </c>
      <c r="L422" s="106">
        <v>53</v>
      </c>
      <c r="M422" s="106">
        <v>9</v>
      </c>
      <c r="N422" s="106">
        <v>0</v>
      </c>
      <c r="O422" s="106">
        <v>10</v>
      </c>
      <c r="P422" s="106">
        <v>4</v>
      </c>
      <c r="Q422" s="108">
        <f t="shared" si="232"/>
        <v>0.9045643153526971</v>
      </c>
      <c r="R422" s="109">
        <f t="shared" si="233"/>
        <v>0</v>
      </c>
      <c r="S422" s="109">
        <f t="shared" si="234"/>
        <v>1.6597510373443983E-2</v>
      </c>
      <c r="T422" s="109">
        <f t="shared" si="235"/>
        <v>4.1493775933609957E-2</v>
      </c>
      <c r="U422" s="110">
        <f>S422+R422+Q422+T422</f>
        <v>0.96265560165975106</v>
      </c>
      <c r="V422" s="111"/>
    </row>
    <row r="423" spans="2:22" ht="15.75" hidden="1" x14ac:dyDescent="0.2">
      <c r="B423" s="711">
        <v>46118</v>
      </c>
      <c r="C423" s="105" t="s">
        <v>12</v>
      </c>
      <c r="D423" s="105" t="s">
        <v>23</v>
      </c>
      <c r="E423" s="711">
        <v>46118</v>
      </c>
      <c r="G423" s="835"/>
      <c r="H423" s="113" t="s">
        <v>19</v>
      </c>
      <c r="I423" s="113"/>
      <c r="J423" s="113">
        <f>SUM(J420:J422)</f>
        <v>450</v>
      </c>
      <c r="K423" s="113">
        <f>SUM(K420:K422)</f>
        <v>296</v>
      </c>
      <c r="L423" s="113">
        <f>SUM(L420:L422)</f>
        <v>92</v>
      </c>
      <c r="M423" s="114">
        <f>SUM(M420:M422)</f>
        <v>25</v>
      </c>
      <c r="N423" s="113">
        <f>SUM(N420:N422)</f>
        <v>16</v>
      </c>
      <c r="O423" s="113">
        <v>0</v>
      </c>
      <c r="P423" s="114">
        <f>SUM(P420:P422)</f>
        <v>11</v>
      </c>
      <c r="Q423" s="115">
        <f t="shared" si="232"/>
        <v>0.86222222222222222</v>
      </c>
      <c r="R423" s="116">
        <f t="shared" si="233"/>
        <v>3.5555555555555556E-2</v>
      </c>
      <c r="S423" s="116">
        <f t="shared" si="234"/>
        <v>2.4444444444444446E-2</v>
      </c>
      <c r="T423" s="116">
        <f t="shared" si="235"/>
        <v>0</v>
      </c>
      <c r="U423" s="117">
        <f t="shared" si="236"/>
        <v>0.92222222222222228</v>
      </c>
      <c r="V423" s="127"/>
    </row>
    <row r="424" spans="2:22" ht="15.75" hidden="1" x14ac:dyDescent="0.2">
      <c r="B424" s="711">
        <v>46118</v>
      </c>
      <c r="C424" s="105" t="s">
        <v>12</v>
      </c>
      <c r="D424" s="105" t="s">
        <v>23</v>
      </c>
      <c r="E424" s="711">
        <v>46119</v>
      </c>
      <c r="G424" s="833">
        <v>46119</v>
      </c>
      <c r="H424" s="106" t="s">
        <v>16</v>
      </c>
      <c r="I424" s="120" t="s">
        <v>103</v>
      </c>
      <c r="J424" s="106">
        <v>196</v>
      </c>
      <c r="K424" s="106">
        <v>0</v>
      </c>
      <c r="L424" s="106">
        <v>0</v>
      </c>
      <c r="M424" s="107">
        <v>194</v>
      </c>
      <c r="N424" s="106">
        <v>0</v>
      </c>
      <c r="O424" s="106">
        <v>0</v>
      </c>
      <c r="P424" s="107">
        <v>2</v>
      </c>
      <c r="Q424" s="108">
        <f t="shared" ref="Q424:Q430" si="237">(K424+L424)/J424</f>
        <v>0</v>
      </c>
      <c r="R424" s="109">
        <f t="shared" ref="R424:R430" si="238">N424/J424</f>
        <v>0</v>
      </c>
      <c r="S424" s="109">
        <f t="shared" ref="S424:S430" si="239">P424/J424</f>
        <v>1.020408163265306E-2</v>
      </c>
      <c r="T424" s="109">
        <f t="shared" ref="T424:T430" si="240">O424/J424</f>
        <v>0</v>
      </c>
      <c r="U424" s="110">
        <f t="shared" ref="U424:U428" si="241">S424+R424+Q424+T424</f>
        <v>1.020408163265306E-2</v>
      </c>
      <c r="V424" s="111"/>
    </row>
    <row r="425" spans="2:22" ht="15.75" hidden="1" x14ac:dyDescent="0.2">
      <c r="B425" s="711">
        <v>46118</v>
      </c>
      <c r="C425" s="105" t="s">
        <v>12</v>
      </c>
      <c r="D425" s="105" t="s">
        <v>23</v>
      </c>
      <c r="E425" s="711">
        <v>46119</v>
      </c>
      <c r="G425" s="834"/>
      <c r="H425" s="106" t="s">
        <v>84</v>
      </c>
      <c r="I425" s="120" t="s">
        <v>22</v>
      </c>
      <c r="J425" s="106">
        <v>14</v>
      </c>
      <c r="K425" s="106">
        <v>0</v>
      </c>
      <c r="L425" s="106">
        <v>0</v>
      </c>
      <c r="M425" s="107">
        <v>14</v>
      </c>
      <c r="N425" s="106">
        <v>0</v>
      </c>
      <c r="O425" s="106">
        <v>0</v>
      </c>
      <c r="P425" s="107">
        <v>0</v>
      </c>
      <c r="Q425" s="108">
        <f t="shared" si="237"/>
        <v>0</v>
      </c>
      <c r="R425" s="109">
        <f t="shared" si="238"/>
        <v>0</v>
      </c>
      <c r="S425" s="109">
        <f t="shared" si="239"/>
        <v>0</v>
      </c>
      <c r="T425" s="109">
        <f t="shared" si="240"/>
        <v>0</v>
      </c>
      <c r="U425" s="110">
        <f t="shared" si="241"/>
        <v>0</v>
      </c>
      <c r="V425" s="111"/>
    </row>
    <row r="426" spans="2:22" ht="15.75" hidden="1" x14ac:dyDescent="0.2">
      <c r="B426" s="711">
        <v>46118</v>
      </c>
      <c r="C426" s="105" t="s">
        <v>12</v>
      </c>
      <c r="D426" s="105" t="s">
        <v>23</v>
      </c>
      <c r="E426" s="711">
        <v>46119</v>
      </c>
      <c r="G426" s="834"/>
      <c r="H426" s="120" t="s">
        <v>14</v>
      </c>
      <c r="I426" s="120" t="s">
        <v>100</v>
      </c>
      <c r="J426" s="106">
        <v>244</v>
      </c>
      <c r="K426" s="106">
        <v>0</v>
      </c>
      <c r="L426" s="106">
        <v>0</v>
      </c>
      <c r="M426" s="106">
        <f>J426-N426-P426</f>
        <v>174</v>
      </c>
      <c r="N426" s="106">
        <v>60</v>
      </c>
      <c r="O426" s="106">
        <v>0</v>
      </c>
      <c r="P426" s="106">
        <v>10</v>
      </c>
      <c r="Q426" s="108">
        <f t="shared" si="237"/>
        <v>0</v>
      </c>
      <c r="R426" s="109">
        <f t="shared" si="238"/>
        <v>0.24590163934426229</v>
      </c>
      <c r="S426" s="109">
        <f t="shared" si="239"/>
        <v>4.0983606557377046E-2</v>
      </c>
      <c r="T426" s="109">
        <f t="shared" si="240"/>
        <v>0</v>
      </c>
      <c r="U426" s="110" t="s">
        <v>104</v>
      </c>
      <c r="V426" s="111"/>
    </row>
    <row r="427" spans="2:22" ht="15.75" hidden="1" x14ac:dyDescent="0.2">
      <c r="B427" s="711">
        <v>46118</v>
      </c>
      <c r="C427" s="105" t="s">
        <v>12</v>
      </c>
      <c r="D427" s="105" t="s">
        <v>23</v>
      </c>
      <c r="E427" s="711">
        <v>46119</v>
      </c>
      <c r="G427" s="835"/>
      <c r="H427" s="113" t="s">
        <v>19</v>
      </c>
      <c r="I427" s="113"/>
      <c r="J427" s="113">
        <f>SUM(J424:J426)</f>
        <v>454</v>
      </c>
      <c r="K427" s="113">
        <f>SUM(K424:K426)</f>
        <v>0</v>
      </c>
      <c r="L427" s="113">
        <f>SUM(L424:L426)</f>
        <v>0</v>
      </c>
      <c r="M427" s="114">
        <f>SUM(M424:M426)</f>
        <v>382</v>
      </c>
      <c r="N427" s="113">
        <f>SUM(N424:N426)</f>
        <v>60</v>
      </c>
      <c r="O427" s="113">
        <v>0</v>
      </c>
      <c r="P427" s="114">
        <f>SUM(P424:P426)</f>
        <v>12</v>
      </c>
      <c r="Q427" s="115">
        <f t="shared" si="237"/>
        <v>0</v>
      </c>
      <c r="R427" s="116">
        <f t="shared" si="238"/>
        <v>0.13215859030837004</v>
      </c>
      <c r="S427" s="116">
        <f t="shared" si="239"/>
        <v>2.643171806167401E-2</v>
      </c>
      <c r="T427" s="116">
        <f t="shared" si="240"/>
        <v>0</v>
      </c>
      <c r="U427" s="117">
        <f t="shared" si="241"/>
        <v>0.15859030837004406</v>
      </c>
      <c r="V427" s="127"/>
    </row>
    <row r="428" spans="2:22" ht="15.75" hidden="1" x14ac:dyDescent="0.2">
      <c r="B428" s="711">
        <v>46118</v>
      </c>
      <c r="C428" s="105" t="s">
        <v>18</v>
      </c>
      <c r="D428" s="105" t="s">
        <v>13</v>
      </c>
      <c r="E428" s="711">
        <v>46119</v>
      </c>
      <c r="G428" s="833">
        <v>46118</v>
      </c>
      <c r="H428" s="106" t="s">
        <v>16</v>
      </c>
      <c r="I428" s="120" t="s">
        <v>83</v>
      </c>
      <c r="J428" s="106">
        <v>25</v>
      </c>
      <c r="K428" s="106">
        <f t="shared" ref="K428:K432" si="242">(J428)-(L428+M428+N428+P428+O428)</f>
        <v>6</v>
      </c>
      <c r="L428" s="106">
        <v>0</v>
      </c>
      <c r="M428" s="107">
        <v>0</v>
      </c>
      <c r="N428" s="106">
        <v>0</v>
      </c>
      <c r="O428" s="106">
        <v>12</v>
      </c>
      <c r="P428" s="107">
        <v>7</v>
      </c>
      <c r="Q428" s="108">
        <f t="shared" si="237"/>
        <v>0.24</v>
      </c>
      <c r="R428" s="109">
        <f t="shared" si="238"/>
        <v>0</v>
      </c>
      <c r="S428" s="109">
        <f t="shared" si="239"/>
        <v>0.28000000000000003</v>
      </c>
      <c r="T428" s="109">
        <f t="shared" si="240"/>
        <v>0.48</v>
      </c>
      <c r="U428" s="110">
        <f t="shared" si="241"/>
        <v>1</v>
      </c>
      <c r="V428" s="111"/>
    </row>
    <row r="429" spans="2:22" ht="15.75" hidden="1" x14ac:dyDescent="0.2">
      <c r="B429" s="711">
        <v>46118</v>
      </c>
      <c r="C429" s="105" t="s">
        <v>18</v>
      </c>
      <c r="D429" s="105" t="s">
        <v>13</v>
      </c>
      <c r="E429" s="711">
        <v>46119</v>
      </c>
      <c r="G429" s="834"/>
      <c r="H429" s="120" t="s">
        <v>14</v>
      </c>
      <c r="I429" s="120" t="s">
        <v>100</v>
      </c>
      <c r="J429" s="106">
        <v>28</v>
      </c>
      <c r="K429" s="106">
        <f t="shared" si="242"/>
        <v>14</v>
      </c>
      <c r="L429" s="106">
        <v>0</v>
      </c>
      <c r="M429" s="106">
        <v>0</v>
      </c>
      <c r="N429" s="106">
        <v>0</v>
      </c>
      <c r="O429" s="106">
        <v>10</v>
      </c>
      <c r="P429" s="106">
        <v>4</v>
      </c>
      <c r="Q429" s="108">
        <f t="shared" si="237"/>
        <v>0.5</v>
      </c>
      <c r="R429" s="109">
        <f t="shared" si="238"/>
        <v>0</v>
      </c>
      <c r="S429" s="109">
        <f t="shared" si="239"/>
        <v>0.14285714285714285</v>
      </c>
      <c r="T429" s="109">
        <f t="shared" si="240"/>
        <v>0.35714285714285715</v>
      </c>
      <c r="U429" s="110">
        <f>S429+R429+Q429+T429</f>
        <v>1</v>
      </c>
      <c r="V429" s="111"/>
    </row>
    <row r="430" spans="2:22" ht="15.75" hidden="1" x14ac:dyDescent="0.2">
      <c r="B430" s="711">
        <v>46118</v>
      </c>
      <c r="C430" s="105" t="s">
        <v>18</v>
      </c>
      <c r="D430" s="105" t="s">
        <v>13</v>
      </c>
      <c r="E430" s="711">
        <v>46119</v>
      </c>
      <c r="G430" s="835"/>
      <c r="H430" s="113" t="s">
        <v>19</v>
      </c>
      <c r="I430" s="113"/>
      <c r="J430" s="113">
        <f>SUM(J428:J429)</f>
        <v>53</v>
      </c>
      <c r="K430" s="113">
        <f>SUM(K428:K429)</f>
        <v>20</v>
      </c>
      <c r="L430" s="113">
        <f>SUM(L428:L429)</f>
        <v>0</v>
      </c>
      <c r="M430" s="114">
        <f>SUM(M428:M429)</f>
        <v>0</v>
      </c>
      <c r="N430" s="113">
        <f>SUM(N428:N429)</f>
        <v>0</v>
      </c>
      <c r="O430" s="113">
        <v>0</v>
      </c>
      <c r="P430" s="114">
        <f>SUM(P428:P429)</f>
        <v>11</v>
      </c>
      <c r="Q430" s="115">
        <f t="shared" si="237"/>
        <v>0.37735849056603776</v>
      </c>
      <c r="R430" s="116">
        <f t="shared" si="238"/>
        <v>0</v>
      </c>
      <c r="S430" s="116">
        <f t="shared" si="239"/>
        <v>0.20754716981132076</v>
      </c>
      <c r="T430" s="116">
        <f t="shared" si="240"/>
        <v>0</v>
      </c>
      <c r="U430" s="117">
        <f t="shared" ref="U430:U433" si="243">S430+R430+Q430+T430</f>
        <v>0.58490566037735858</v>
      </c>
      <c r="V430" s="127"/>
    </row>
    <row r="431" spans="2:22" ht="15.75" hidden="1" x14ac:dyDescent="0.2">
      <c r="B431" s="711">
        <v>46118</v>
      </c>
      <c r="C431" s="105" t="s">
        <v>18</v>
      </c>
      <c r="D431" s="105" t="s">
        <v>13</v>
      </c>
      <c r="E431" s="711">
        <v>46119</v>
      </c>
      <c r="G431" s="833">
        <v>46119</v>
      </c>
      <c r="H431" s="106" t="s">
        <v>16</v>
      </c>
      <c r="I431" s="120" t="s">
        <v>103</v>
      </c>
      <c r="J431" s="106">
        <v>196</v>
      </c>
      <c r="K431" s="106">
        <v>65</v>
      </c>
      <c r="L431" s="106">
        <v>45</v>
      </c>
      <c r="M431" s="107">
        <v>46</v>
      </c>
      <c r="N431" s="106">
        <v>22</v>
      </c>
      <c r="O431" s="106">
        <v>16</v>
      </c>
      <c r="P431" s="107">
        <v>2</v>
      </c>
      <c r="Q431" s="108">
        <f t="shared" ref="Q431:Q440" si="244">(K431+L431)/J431</f>
        <v>0.56122448979591832</v>
      </c>
      <c r="R431" s="109">
        <f t="shared" ref="R431:R440" si="245">N431/J431</f>
        <v>0.11224489795918367</v>
      </c>
      <c r="S431" s="109">
        <f t="shared" ref="S431:S440" si="246">P431/J431</f>
        <v>1.020408163265306E-2</v>
      </c>
      <c r="T431" s="109">
        <f t="shared" ref="T431:T440" si="247">O431/J431</f>
        <v>8.1632653061224483E-2</v>
      </c>
      <c r="U431" s="110">
        <f t="shared" si="243"/>
        <v>0.76530612244897955</v>
      </c>
      <c r="V431" s="111"/>
    </row>
    <row r="432" spans="2:22" ht="15.75" hidden="1" x14ac:dyDescent="0.2">
      <c r="B432" s="711">
        <v>46118</v>
      </c>
      <c r="C432" s="105" t="s">
        <v>18</v>
      </c>
      <c r="D432" s="105" t="s">
        <v>13</v>
      </c>
      <c r="E432" s="711">
        <v>46119</v>
      </c>
      <c r="G432" s="834"/>
      <c r="H432" s="106" t="s">
        <v>84</v>
      </c>
      <c r="I432" s="120" t="s">
        <v>22</v>
      </c>
      <c r="J432" s="106">
        <v>14</v>
      </c>
      <c r="K432" s="106">
        <f t="shared" si="242"/>
        <v>0</v>
      </c>
      <c r="L432" s="106">
        <v>0</v>
      </c>
      <c r="M432" s="107">
        <v>14</v>
      </c>
      <c r="N432" s="106">
        <v>0</v>
      </c>
      <c r="O432" s="106">
        <v>0</v>
      </c>
      <c r="P432" s="107">
        <v>0</v>
      </c>
      <c r="Q432" s="108">
        <f t="shared" si="244"/>
        <v>0</v>
      </c>
      <c r="R432" s="109">
        <f t="shared" si="245"/>
        <v>0</v>
      </c>
      <c r="S432" s="109">
        <f t="shared" si="246"/>
        <v>0</v>
      </c>
      <c r="T432" s="109">
        <f t="shared" si="247"/>
        <v>0</v>
      </c>
      <c r="U432" s="110">
        <f t="shared" si="243"/>
        <v>0</v>
      </c>
      <c r="V432" s="111"/>
    </row>
    <row r="433" spans="2:22" ht="15.75" hidden="1" x14ac:dyDescent="0.2">
      <c r="B433" s="711">
        <v>46118</v>
      </c>
      <c r="C433" s="105" t="s">
        <v>18</v>
      </c>
      <c r="D433" s="105" t="s">
        <v>13</v>
      </c>
      <c r="E433" s="711">
        <v>46119</v>
      </c>
      <c r="G433" s="834"/>
      <c r="H433" s="120" t="s">
        <v>14</v>
      </c>
      <c r="I433" s="120" t="s">
        <v>100</v>
      </c>
      <c r="J433" s="106">
        <v>244</v>
      </c>
      <c r="K433" s="106">
        <v>76</v>
      </c>
      <c r="L433" s="106">
        <v>40</v>
      </c>
      <c r="M433" s="106">
        <v>108</v>
      </c>
      <c r="N433" s="106">
        <v>0</v>
      </c>
      <c r="O433" s="106">
        <v>10</v>
      </c>
      <c r="P433" s="106">
        <v>10</v>
      </c>
      <c r="Q433" s="108">
        <f t="shared" si="244"/>
        <v>0.47540983606557374</v>
      </c>
      <c r="R433" s="109">
        <f t="shared" si="245"/>
        <v>0</v>
      </c>
      <c r="S433" s="109">
        <f t="shared" si="246"/>
        <v>4.0983606557377046E-2</v>
      </c>
      <c r="T433" s="109">
        <f t="shared" si="247"/>
        <v>4.0983606557377046E-2</v>
      </c>
      <c r="U433" s="110">
        <f t="shared" si="243"/>
        <v>0.55737704918032793</v>
      </c>
      <c r="V433" s="111"/>
    </row>
    <row r="434" spans="2:22" ht="15.75" hidden="1" x14ac:dyDescent="0.2">
      <c r="B434" s="711">
        <v>46118</v>
      </c>
      <c r="C434" s="105" t="s">
        <v>18</v>
      </c>
      <c r="D434" s="105" t="s">
        <v>13</v>
      </c>
      <c r="E434" s="711">
        <v>46119</v>
      </c>
      <c r="G434" s="835"/>
      <c r="H434" s="113" t="s">
        <v>19</v>
      </c>
      <c r="I434" s="113"/>
      <c r="J434" s="113">
        <f t="shared" ref="J434:P434" si="248">SUM(J431:J433)</f>
        <v>454</v>
      </c>
      <c r="K434" s="113">
        <f t="shared" si="248"/>
        <v>141</v>
      </c>
      <c r="L434" s="113">
        <f t="shared" si="248"/>
        <v>85</v>
      </c>
      <c r="M434" s="114">
        <f t="shared" si="248"/>
        <v>168</v>
      </c>
      <c r="N434" s="113">
        <f t="shared" si="248"/>
        <v>22</v>
      </c>
      <c r="O434" s="114">
        <f t="shared" si="248"/>
        <v>26</v>
      </c>
      <c r="P434" s="114">
        <f t="shared" si="248"/>
        <v>12</v>
      </c>
      <c r="Q434" s="115">
        <f t="shared" si="244"/>
        <v>0.49779735682819382</v>
      </c>
      <c r="R434" s="116">
        <f t="shared" si="245"/>
        <v>4.8458149779735685E-2</v>
      </c>
      <c r="S434" s="116">
        <f t="shared" si="246"/>
        <v>2.643171806167401E-2</v>
      </c>
      <c r="T434" s="116">
        <f t="shared" si="247"/>
        <v>5.7268722466960353E-2</v>
      </c>
      <c r="U434" s="117">
        <f t="shared" ref="U434:U441" si="249">S434+R434+Q434+T434</f>
        <v>0.62995594713656389</v>
      </c>
      <c r="V434" s="127"/>
    </row>
    <row r="435" spans="2:22" ht="15.75" hidden="1" x14ac:dyDescent="0.2">
      <c r="B435" s="711">
        <v>46119</v>
      </c>
      <c r="C435" s="105" t="s">
        <v>22</v>
      </c>
      <c r="D435" s="105" t="s">
        <v>20</v>
      </c>
      <c r="E435" s="711">
        <v>46119</v>
      </c>
      <c r="G435" s="833">
        <v>46119</v>
      </c>
      <c r="H435" s="106" t="s">
        <v>16</v>
      </c>
      <c r="I435" s="120" t="s">
        <v>103</v>
      </c>
      <c r="J435" s="106">
        <f t="shared" ref="J435:J437" si="250">SUM(K435:P435)</f>
        <v>67</v>
      </c>
      <c r="K435" s="106">
        <v>26</v>
      </c>
      <c r="L435" s="106">
        <v>34</v>
      </c>
      <c r="M435" s="107">
        <v>0</v>
      </c>
      <c r="N435" s="106">
        <v>0</v>
      </c>
      <c r="O435" s="106">
        <v>2</v>
      </c>
      <c r="P435" s="107">
        <v>5</v>
      </c>
      <c r="Q435" s="108">
        <f t="shared" si="244"/>
        <v>0.89552238805970152</v>
      </c>
      <c r="R435" s="109">
        <f t="shared" si="245"/>
        <v>0</v>
      </c>
      <c r="S435" s="109">
        <f t="shared" si="246"/>
        <v>7.4626865671641784E-2</v>
      </c>
      <c r="T435" s="109">
        <f t="shared" si="247"/>
        <v>2.9850746268656716E-2</v>
      </c>
      <c r="U435" s="110">
        <f t="shared" si="249"/>
        <v>1</v>
      </c>
      <c r="V435" s="111"/>
    </row>
    <row r="436" spans="2:22" ht="15.75" hidden="1" x14ac:dyDescent="0.2">
      <c r="B436" s="711">
        <v>46119</v>
      </c>
      <c r="C436" s="105" t="s">
        <v>22</v>
      </c>
      <c r="D436" s="105" t="s">
        <v>20</v>
      </c>
      <c r="E436" s="711">
        <v>46119</v>
      </c>
      <c r="G436" s="834"/>
      <c r="H436" s="106" t="s">
        <v>84</v>
      </c>
      <c r="I436" s="120" t="s">
        <v>22</v>
      </c>
      <c r="J436" s="106">
        <f t="shared" si="250"/>
        <v>34</v>
      </c>
      <c r="K436" s="106">
        <v>28</v>
      </c>
      <c r="L436" s="106">
        <v>5</v>
      </c>
      <c r="M436" s="107">
        <v>0</v>
      </c>
      <c r="N436" s="106">
        <v>0</v>
      </c>
      <c r="O436" s="106">
        <v>1</v>
      </c>
      <c r="P436" s="107">
        <v>0</v>
      </c>
      <c r="Q436" s="108">
        <f t="shared" si="244"/>
        <v>0.97058823529411764</v>
      </c>
      <c r="R436" s="109">
        <f t="shared" si="245"/>
        <v>0</v>
      </c>
      <c r="S436" s="109">
        <f t="shared" si="246"/>
        <v>0</v>
      </c>
      <c r="T436" s="109">
        <f t="shared" si="247"/>
        <v>2.9411764705882353E-2</v>
      </c>
      <c r="U436" s="110">
        <f t="shared" si="249"/>
        <v>1</v>
      </c>
      <c r="V436" s="111"/>
    </row>
    <row r="437" spans="2:22" ht="15.75" hidden="1" x14ac:dyDescent="0.2">
      <c r="B437" s="711">
        <v>46119</v>
      </c>
      <c r="C437" s="105" t="s">
        <v>22</v>
      </c>
      <c r="D437" s="105" t="s">
        <v>20</v>
      </c>
      <c r="E437" s="711">
        <v>46119</v>
      </c>
      <c r="G437" s="834"/>
      <c r="H437" s="120" t="s">
        <v>14</v>
      </c>
      <c r="I437" s="120" t="s">
        <v>100</v>
      </c>
      <c r="J437" s="106">
        <f t="shared" si="250"/>
        <v>116</v>
      </c>
      <c r="K437" s="106">
        <v>89</v>
      </c>
      <c r="L437" s="106">
        <v>23</v>
      </c>
      <c r="M437" s="106">
        <v>0</v>
      </c>
      <c r="N437" s="106">
        <v>0</v>
      </c>
      <c r="O437" s="106">
        <v>2</v>
      </c>
      <c r="P437" s="106">
        <v>2</v>
      </c>
      <c r="Q437" s="108">
        <f t="shared" si="244"/>
        <v>0.96551724137931039</v>
      </c>
      <c r="R437" s="109">
        <f t="shared" si="245"/>
        <v>0</v>
      </c>
      <c r="S437" s="109">
        <f t="shared" si="246"/>
        <v>1.7241379310344827E-2</v>
      </c>
      <c r="T437" s="109">
        <f t="shared" si="247"/>
        <v>1.7241379310344827E-2</v>
      </c>
      <c r="U437" s="110">
        <f t="shared" si="249"/>
        <v>1</v>
      </c>
      <c r="V437" s="111"/>
    </row>
    <row r="438" spans="2:22" ht="15.75" hidden="1" x14ac:dyDescent="0.2">
      <c r="B438" s="711">
        <v>46119</v>
      </c>
      <c r="C438" s="105" t="s">
        <v>22</v>
      </c>
      <c r="D438" s="105" t="s">
        <v>20</v>
      </c>
      <c r="E438" s="711">
        <v>46119</v>
      </c>
      <c r="G438" s="834"/>
      <c r="H438" s="120" t="s">
        <v>17</v>
      </c>
      <c r="I438" s="120" t="s">
        <v>22</v>
      </c>
      <c r="J438" s="106">
        <f t="shared" ref="J438:J439" si="251">SUM(K438:P438)</f>
        <v>9</v>
      </c>
      <c r="K438" s="106">
        <v>6</v>
      </c>
      <c r="L438" s="106">
        <v>2</v>
      </c>
      <c r="M438" s="106">
        <v>1</v>
      </c>
      <c r="N438" s="106">
        <v>0</v>
      </c>
      <c r="O438" s="106">
        <v>0</v>
      </c>
      <c r="P438" s="106">
        <v>0</v>
      </c>
      <c r="Q438" s="108">
        <f t="shared" ref="Q438:Q439" si="252">(K438+L438)/J438</f>
        <v>0.88888888888888884</v>
      </c>
      <c r="R438" s="109">
        <f t="shared" ref="R438:R439" si="253">N438/J438</f>
        <v>0</v>
      </c>
      <c r="S438" s="109">
        <f t="shared" ref="S438:S439" si="254">P438/J438</f>
        <v>0</v>
      </c>
      <c r="T438" s="109">
        <f t="shared" ref="T438:T439" si="255">O438/J438</f>
        <v>0</v>
      </c>
      <c r="U438" s="110">
        <f t="shared" ref="U438:U439" si="256">S438+R438+Q438+T438</f>
        <v>0.88888888888888884</v>
      </c>
      <c r="V438" s="136"/>
    </row>
    <row r="439" spans="2:22" ht="15.75" hidden="1" x14ac:dyDescent="0.2">
      <c r="B439" s="711">
        <v>46119</v>
      </c>
      <c r="C439" s="105" t="s">
        <v>22</v>
      </c>
      <c r="D439" s="105" t="s">
        <v>20</v>
      </c>
      <c r="E439" s="711">
        <v>46119</v>
      </c>
      <c r="G439" s="834"/>
      <c r="H439" s="120" t="s">
        <v>25</v>
      </c>
      <c r="I439" s="120" t="s">
        <v>22</v>
      </c>
      <c r="J439" s="106">
        <f t="shared" si="251"/>
        <v>4</v>
      </c>
      <c r="K439" s="106">
        <v>1</v>
      </c>
      <c r="L439" s="106">
        <v>3</v>
      </c>
      <c r="M439" s="106">
        <v>0</v>
      </c>
      <c r="N439" s="106">
        <v>0</v>
      </c>
      <c r="O439" s="106">
        <v>0</v>
      </c>
      <c r="P439" s="106">
        <v>0</v>
      </c>
      <c r="Q439" s="108">
        <f t="shared" si="252"/>
        <v>1</v>
      </c>
      <c r="R439" s="109">
        <f t="shared" si="253"/>
        <v>0</v>
      </c>
      <c r="S439" s="109">
        <f t="shared" si="254"/>
        <v>0</v>
      </c>
      <c r="T439" s="109">
        <f t="shared" si="255"/>
        <v>0</v>
      </c>
      <c r="U439" s="110">
        <f t="shared" si="256"/>
        <v>1</v>
      </c>
      <c r="V439" s="136"/>
    </row>
    <row r="440" spans="2:22" ht="15.75" hidden="1" x14ac:dyDescent="0.2">
      <c r="B440" s="711">
        <v>46119</v>
      </c>
      <c r="C440" s="105" t="s">
        <v>22</v>
      </c>
      <c r="D440" s="105" t="s">
        <v>20</v>
      </c>
      <c r="E440" s="711">
        <v>46119</v>
      </c>
      <c r="G440" s="835"/>
      <c r="H440" s="113" t="s">
        <v>19</v>
      </c>
      <c r="I440" s="113"/>
      <c r="J440" s="113">
        <f>SUM(J435:J437)</f>
        <v>217</v>
      </c>
      <c r="K440" s="113">
        <f>SUM(K435:K439)</f>
        <v>150</v>
      </c>
      <c r="L440" s="113">
        <f>SUM(L435:L439)</f>
        <v>67</v>
      </c>
      <c r="M440" s="114">
        <f>SUM(M435:M437)</f>
        <v>0</v>
      </c>
      <c r="N440" s="113">
        <f>SUM(N435:N439)</f>
        <v>0</v>
      </c>
      <c r="O440" s="113">
        <v>0</v>
      </c>
      <c r="P440" s="114">
        <f>SUM(P435:P437)</f>
        <v>7</v>
      </c>
      <c r="Q440" s="115">
        <f t="shared" si="244"/>
        <v>1</v>
      </c>
      <c r="R440" s="116">
        <f t="shared" si="245"/>
        <v>0</v>
      </c>
      <c r="S440" s="116">
        <f t="shared" si="246"/>
        <v>3.2258064516129031E-2</v>
      </c>
      <c r="T440" s="116">
        <f t="shared" si="247"/>
        <v>0</v>
      </c>
      <c r="U440" s="117">
        <f t="shared" si="249"/>
        <v>1.032258064516129</v>
      </c>
      <c r="V440" s="127"/>
    </row>
    <row r="441" spans="2:22" ht="15.75" hidden="1" x14ac:dyDescent="0.2">
      <c r="B441" s="711">
        <v>46119</v>
      </c>
      <c r="C441" s="105" t="s">
        <v>12</v>
      </c>
      <c r="D441" s="105" t="s">
        <v>13</v>
      </c>
      <c r="E441" s="711">
        <v>46120</v>
      </c>
      <c r="G441" s="833">
        <v>46120</v>
      </c>
      <c r="H441" s="120" t="s">
        <v>14</v>
      </c>
      <c r="I441" s="120" t="s">
        <v>100</v>
      </c>
      <c r="J441" s="106">
        <v>244</v>
      </c>
      <c r="K441" s="106">
        <v>0</v>
      </c>
      <c r="L441" s="106">
        <v>0</v>
      </c>
      <c r="M441" s="106">
        <v>247</v>
      </c>
      <c r="N441" s="106">
        <v>37</v>
      </c>
      <c r="O441" s="106">
        <v>0</v>
      </c>
      <c r="P441" s="106">
        <v>12</v>
      </c>
      <c r="Q441" s="108">
        <f t="shared" ref="Q441:Q445" si="257">(K441+L441)/J441</f>
        <v>0</v>
      </c>
      <c r="R441" s="109">
        <f t="shared" ref="R441:R454" si="258">N441/J441</f>
        <v>0.15163934426229508</v>
      </c>
      <c r="S441" s="109">
        <f t="shared" ref="S441:S454" si="259">P441/J441</f>
        <v>4.9180327868852458E-2</v>
      </c>
      <c r="T441" s="109">
        <f t="shared" ref="T441:T454" si="260">O441/J441</f>
        <v>0</v>
      </c>
      <c r="U441" s="110">
        <f t="shared" si="249"/>
        <v>0.20081967213114754</v>
      </c>
      <c r="V441" s="111"/>
    </row>
    <row r="442" spans="2:22" ht="15.75" hidden="1" x14ac:dyDescent="0.2">
      <c r="B442" s="711">
        <v>46119</v>
      </c>
      <c r="C442" s="105" t="s">
        <v>12</v>
      </c>
      <c r="D442" s="105" t="s">
        <v>13</v>
      </c>
      <c r="E442" s="711">
        <v>46120</v>
      </c>
      <c r="G442" s="835"/>
      <c r="H442" s="113" t="s">
        <v>19</v>
      </c>
      <c r="I442" s="113"/>
      <c r="J442" s="113">
        <f t="shared" ref="J442" si="261">SUM(J437:J441)</f>
        <v>590</v>
      </c>
      <c r="K442" s="113">
        <f t="shared" ref="K442" si="262">SUM(K437:K441)</f>
        <v>246</v>
      </c>
      <c r="L442" s="113">
        <f t="shared" ref="L442" si="263">SUM(L437:L441)</f>
        <v>95</v>
      </c>
      <c r="M442" s="114">
        <f t="shared" ref="M442" si="264">SUM(M437:M441)</f>
        <v>248</v>
      </c>
      <c r="N442" s="113">
        <f t="shared" ref="N442" si="265">SUM(N437:N441)</f>
        <v>37</v>
      </c>
      <c r="O442" s="114">
        <f t="shared" ref="O442" si="266">SUM(O437:O441)</f>
        <v>2</v>
      </c>
      <c r="P442" s="114">
        <f t="shared" ref="P442" si="267">SUM(P437:P441)</f>
        <v>21</v>
      </c>
      <c r="Q442" s="115">
        <f t="shared" si="257"/>
        <v>0.57796610169491525</v>
      </c>
      <c r="R442" s="116">
        <f t="shared" si="258"/>
        <v>6.2711864406779658E-2</v>
      </c>
      <c r="S442" s="116">
        <f t="shared" si="259"/>
        <v>3.5593220338983052E-2</v>
      </c>
      <c r="T442" s="116">
        <f t="shared" si="260"/>
        <v>3.3898305084745762E-3</v>
      </c>
      <c r="U442" s="117">
        <f t="shared" ref="U442:U454" si="268">S442+R442+Q442+T442</f>
        <v>0.67966101694915249</v>
      </c>
      <c r="V442" s="127"/>
    </row>
    <row r="443" spans="2:22" ht="15.75" hidden="1" x14ac:dyDescent="0.2">
      <c r="B443" s="711">
        <v>46119</v>
      </c>
      <c r="C443" s="105" t="s">
        <v>12</v>
      </c>
      <c r="D443" s="105" t="s">
        <v>23</v>
      </c>
      <c r="E443" s="711">
        <v>46120</v>
      </c>
      <c r="G443" s="833">
        <v>46119</v>
      </c>
      <c r="H443" s="106" t="s">
        <v>16</v>
      </c>
      <c r="I443" s="120" t="s">
        <v>83</v>
      </c>
      <c r="J443" s="106">
        <v>224</v>
      </c>
      <c r="K443" s="106">
        <v>52</v>
      </c>
      <c r="L443" s="106">
        <v>33</v>
      </c>
      <c r="M443" s="107">
        <v>135</v>
      </c>
      <c r="N443" s="106">
        <v>0</v>
      </c>
      <c r="O443" s="106">
        <v>0</v>
      </c>
      <c r="P443" s="107">
        <v>4</v>
      </c>
      <c r="Q443" s="108">
        <f t="shared" si="257"/>
        <v>0.3794642857142857</v>
      </c>
      <c r="R443" s="109">
        <f t="shared" si="258"/>
        <v>0</v>
      </c>
      <c r="S443" s="109">
        <f t="shared" si="259"/>
        <v>1.7857142857142856E-2</v>
      </c>
      <c r="T443" s="109">
        <f t="shared" si="260"/>
        <v>0</v>
      </c>
      <c r="U443" s="110">
        <f t="shared" si="268"/>
        <v>0.39732142857142855</v>
      </c>
      <c r="V443" s="111"/>
    </row>
    <row r="444" spans="2:22" ht="15.75" hidden="1" x14ac:dyDescent="0.2">
      <c r="B444" s="711">
        <v>46119</v>
      </c>
      <c r="C444" s="105" t="s">
        <v>12</v>
      </c>
      <c r="D444" s="105" t="s">
        <v>23</v>
      </c>
      <c r="E444" s="711">
        <v>46120</v>
      </c>
      <c r="G444" s="834"/>
      <c r="H444" s="106" t="s">
        <v>84</v>
      </c>
      <c r="I444" s="120" t="s">
        <v>22</v>
      </c>
      <c r="J444" s="106">
        <v>26</v>
      </c>
      <c r="K444" s="106">
        <v>0</v>
      </c>
      <c r="L444" s="106">
        <v>0</v>
      </c>
      <c r="M444" s="107">
        <v>0</v>
      </c>
      <c r="N444" s="106">
        <v>0</v>
      </c>
      <c r="O444" s="106">
        <v>0</v>
      </c>
      <c r="P444" s="107">
        <v>0</v>
      </c>
      <c r="Q444" s="108">
        <f t="shared" si="257"/>
        <v>0</v>
      </c>
      <c r="R444" s="109">
        <f t="shared" si="258"/>
        <v>0</v>
      </c>
      <c r="S444" s="109">
        <f t="shared" si="259"/>
        <v>0</v>
      </c>
      <c r="T444" s="109">
        <f t="shared" si="260"/>
        <v>0</v>
      </c>
      <c r="U444" s="110">
        <f t="shared" si="268"/>
        <v>0</v>
      </c>
      <c r="V444" s="111"/>
    </row>
    <row r="445" spans="2:22" ht="15.75" hidden="1" x14ac:dyDescent="0.2">
      <c r="B445" s="711">
        <v>46119</v>
      </c>
      <c r="C445" s="105" t="s">
        <v>12</v>
      </c>
      <c r="D445" s="105" t="s">
        <v>23</v>
      </c>
      <c r="E445" s="711">
        <v>46120</v>
      </c>
      <c r="G445" s="834"/>
      <c r="H445" s="120" t="s">
        <v>14</v>
      </c>
      <c r="I445" s="120" t="s">
        <v>100</v>
      </c>
      <c r="J445" s="106">
        <v>296</v>
      </c>
      <c r="K445" s="106">
        <v>1</v>
      </c>
      <c r="L445" s="106">
        <v>0</v>
      </c>
      <c r="M445" s="106">
        <v>108</v>
      </c>
      <c r="N445" s="106">
        <v>175</v>
      </c>
      <c r="O445" s="106">
        <v>0</v>
      </c>
      <c r="P445" s="106">
        <v>12</v>
      </c>
      <c r="Q445" s="108">
        <f t="shared" si="257"/>
        <v>3.3783783783783786E-3</v>
      </c>
      <c r="R445" s="109">
        <f t="shared" si="258"/>
        <v>0.59121621621621623</v>
      </c>
      <c r="S445" s="109">
        <f t="shared" si="259"/>
        <v>4.0540540540540543E-2</v>
      </c>
      <c r="T445" s="109">
        <f t="shared" si="260"/>
        <v>0</v>
      </c>
      <c r="U445" s="110">
        <f t="shared" si="268"/>
        <v>0.6351351351351352</v>
      </c>
      <c r="V445" s="111"/>
    </row>
    <row r="446" spans="2:22" ht="15.75" hidden="1" x14ac:dyDescent="0.2">
      <c r="B446" s="711">
        <v>46119</v>
      </c>
      <c r="C446" s="105" t="s">
        <v>12</v>
      </c>
      <c r="D446" s="105" t="s">
        <v>23</v>
      </c>
      <c r="E446" s="711">
        <v>46120</v>
      </c>
      <c r="G446" s="835"/>
      <c r="H446" s="113" t="s">
        <v>19</v>
      </c>
      <c r="I446" s="113"/>
      <c r="J446" s="113">
        <f>SUM(J443:J445)</f>
        <v>546</v>
      </c>
      <c r="K446" s="113">
        <f t="shared" ref="K446:P446" si="269">SUM(K443:K445)</f>
        <v>53</v>
      </c>
      <c r="L446" s="113">
        <f t="shared" si="269"/>
        <v>33</v>
      </c>
      <c r="M446" s="113">
        <f t="shared" si="269"/>
        <v>243</v>
      </c>
      <c r="N446" s="113">
        <f t="shared" si="269"/>
        <v>175</v>
      </c>
      <c r="O446" s="113">
        <f t="shared" si="269"/>
        <v>0</v>
      </c>
      <c r="P446" s="113">
        <f t="shared" si="269"/>
        <v>16</v>
      </c>
      <c r="Q446" s="115">
        <f>(K446+L446)/J446</f>
        <v>0.1575091575091575</v>
      </c>
      <c r="R446" s="116">
        <f t="shared" si="258"/>
        <v>0.32051282051282054</v>
      </c>
      <c r="S446" s="116">
        <f t="shared" si="259"/>
        <v>2.9304029304029304E-2</v>
      </c>
      <c r="T446" s="116">
        <f t="shared" si="260"/>
        <v>0</v>
      </c>
      <c r="U446" s="117">
        <f t="shared" si="268"/>
        <v>0.5073260073260073</v>
      </c>
      <c r="V446" s="127"/>
    </row>
    <row r="447" spans="2:22" ht="15.75" hidden="1" x14ac:dyDescent="0.2">
      <c r="B447" s="711">
        <v>46119</v>
      </c>
      <c r="C447" s="105" t="s">
        <v>18</v>
      </c>
      <c r="D447" s="105" t="s">
        <v>13</v>
      </c>
      <c r="E447" s="711">
        <v>46119</v>
      </c>
      <c r="G447" s="833">
        <v>46119</v>
      </c>
      <c r="H447" s="106" t="s">
        <v>16</v>
      </c>
      <c r="I447" s="120" t="s">
        <v>83</v>
      </c>
      <c r="J447" s="106">
        <v>26</v>
      </c>
      <c r="K447" s="106">
        <f>J447-L447-M447-N447-O447-P447</f>
        <v>10</v>
      </c>
      <c r="L447" s="106">
        <v>0</v>
      </c>
      <c r="M447" s="107">
        <v>0</v>
      </c>
      <c r="N447" s="106">
        <v>0</v>
      </c>
      <c r="O447" s="106">
        <v>16</v>
      </c>
      <c r="P447" s="107">
        <v>0</v>
      </c>
      <c r="Q447" s="108">
        <f t="shared" ref="Q447:Q449" si="270">(K447+L447)/J447</f>
        <v>0.38461538461538464</v>
      </c>
      <c r="R447" s="109">
        <f t="shared" ref="R447:R449" si="271">N447/J447</f>
        <v>0</v>
      </c>
      <c r="S447" s="109">
        <f t="shared" ref="S447:S449" si="272">P447/J447</f>
        <v>0</v>
      </c>
      <c r="T447" s="109">
        <f t="shared" ref="T447:T449" si="273">O447/J447</f>
        <v>0.61538461538461542</v>
      </c>
      <c r="U447" s="110">
        <f t="shared" ref="U447:U449" si="274">S447+R447+Q447+T447</f>
        <v>1</v>
      </c>
      <c r="V447" s="111"/>
    </row>
    <row r="448" spans="2:22" ht="15.75" hidden="1" x14ac:dyDescent="0.2">
      <c r="B448" s="711">
        <v>46119</v>
      </c>
      <c r="C448" s="105" t="s">
        <v>18</v>
      </c>
      <c r="D448" s="105" t="s">
        <v>13</v>
      </c>
      <c r="E448" s="711">
        <v>46119</v>
      </c>
      <c r="G448" s="834"/>
      <c r="H448" s="106" t="s">
        <v>14</v>
      </c>
      <c r="I448" s="120" t="s">
        <v>100</v>
      </c>
      <c r="J448" s="106">
        <v>25</v>
      </c>
      <c r="K448" s="106">
        <f>J448-L448-M448-N448-O448-P448</f>
        <v>14</v>
      </c>
      <c r="L448" s="106">
        <v>1</v>
      </c>
      <c r="M448" s="107">
        <v>0</v>
      </c>
      <c r="N448" s="106">
        <v>0</v>
      </c>
      <c r="O448" s="106">
        <v>10</v>
      </c>
      <c r="P448" s="107">
        <v>0</v>
      </c>
      <c r="Q448" s="108">
        <f t="shared" si="270"/>
        <v>0.6</v>
      </c>
      <c r="R448" s="109">
        <f t="shared" si="271"/>
        <v>0</v>
      </c>
      <c r="S448" s="109">
        <f t="shared" si="272"/>
        <v>0</v>
      </c>
      <c r="T448" s="109">
        <f t="shared" si="273"/>
        <v>0.4</v>
      </c>
      <c r="U448" s="110">
        <f t="shared" si="274"/>
        <v>1</v>
      </c>
      <c r="V448" s="111"/>
    </row>
    <row r="449" spans="2:22" ht="15.75" hidden="1" x14ac:dyDescent="0.2">
      <c r="B449" s="711">
        <v>46119</v>
      </c>
      <c r="C449" s="105" t="s">
        <v>18</v>
      </c>
      <c r="D449" s="105" t="s">
        <v>13</v>
      </c>
      <c r="E449" s="711">
        <v>46119</v>
      </c>
      <c r="G449" s="835"/>
      <c r="H449" s="113" t="s">
        <v>19</v>
      </c>
      <c r="I449" s="113"/>
      <c r="J449" s="113">
        <f t="shared" ref="J449:P449" si="275">SUM(J447:J448)</f>
        <v>51</v>
      </c>
      <c r="K449" s="113">
        <f t="shared" si="275"/>
        <v>24</v>
      </c>
      <c r="L449" s="113">
        <f t="shared" si="275"/>
        <v>1</v>
      </c>
      <c r="M449" s="113">
        <f t="shared" si="275"/>
        <v>0</v>
      </c>
      <c r="N449" s="113">
        <f t="shared" si="275"/>
        <v>0</v>
      </c>
      <c r="O449" s="113">
        <f t="shared" si="275"/>
        <v>26</v>
      </c>
      <c r="P449" s="113">
        <f t="shared" si="275"/>
        <v>0</v>
      </c>
      <c r="Q449" s="115">
        <f t="shared" si="270"/>
        <v>0.49019607843137253</v>
      </c>
      <c r="R449" s="116">
        <f t="shared" si="271"/>
        <v>0</v>
      </c>
      <c r="S449" s="116">
        <f t="shared" si="272"/>
        <v>0</v>
      </c>
      <c r="T449" s="116">
        <f t="shared" si="273"/>
        <v>0.50980392156862742</v>
      </c>
      <c r="U449" s="117">
        <f t="shared" si="274"/>
        <v>1</v>
      </c>
      <c r="V449" s="127"/>
    </row>
    <row r="450" spans="2:22" ht="15.75" hidden="1" x14ac:dyDescent="0.2">
      <c r="B450" s="711">
        <v>46119</v>
      </c>
      <c r="C450" s="105" t="s">
        <v>18</v>
      </c>
      <c r="D450" s="105" t="s">
        <v>13</v>
      </c>
      <c r="E450" s="711">
        <v>46120</v>
      </c>
      <c r="G450" s="833">
        <v>46120</v>
      </c>
      <c r="H450" s="106" t="s">
        <v>16</v>
      </c>
      <c r="I450" s="120" t="s">
        <v>103</v>
      </c>
      <c r="J450" s="106">
        <v>225</v>
      </c>
      <c r="K450" s="106">
        <f>J450-L450-M450-N450-O450-P450</f>
        <v>116</v>
      </c>
      <c r="L450" s="106">
        <v>53</v>
      </c>
      <c r="M450" s="107">
        <v>36</v>
      </c>
      <c r="N450" s="106">
        <v>0</v>
      </c>
      <c r="O450" s="106">
        <v>16</v>
      </c>
      <c r="P450" s="107">
        <v>4</v>
      </c>
      <c r="Q450" s="108">
        <f t="shared" ref="Q450:Q454" si="276">(K450+L450)/J450</f>
        <v>0.75111111111111106</v>
      </c>
      <c r="R450" s="109">
        <f t="shared" si="258"/>
        <v>0</v>
      </c>
      <c r="S450" s="109">
        <f t="shared" si="259"/>
        <v>1.7777777777777778E-2</v>
      </c>
      <c r="T450" s="109">
        <f t="shared" si="260"/>
        <v>7.1111111111111111E-2</v>
      </c>
      <c r="U450" s="110">
        <f t="shared" si="268"/>
        <v>0.84</v>
      </c>
      <c r="V450" s="111"/>
    </row>
    <row r="451" spans="2:22" ht="15.75" hidden="1" x14ac:dyDescent="0.2">
      <c r="B451" s="711">
        <v>46119</v>
      </c>
      <c r="C451" s="105" t="s">
        <v>18</v>
      </c>
      <c r="D451" s="105" t="s">
        <v>13</v>
      </c>
      <c r="E451" s="711">
        <v>46120</v>
      </c>
      <c r="G451" s="834"/>
      <c r="H451" s="106" t="s">
        <v>84</v>
      </c>
      <c r="I451" s="120" t="s">
        <v>22</v>
      </c>
      <c r="J451" s="106">
        <v>26</v>
      </c>
      <c r="K451" s="106">
        <f t="shared" ref="K451:K453" si="277">J451-L451-M451-N451-P451</f>
        <v>0</v>
      </c>
      <c r="L451" s="106">
        <v>0</v>
      </c>
      <c r="M451" s="107">
        <v>26</v>
      </c>
      <c r="N451" s="106">
        <v>0</v>
      </c>
      <c r="O451" s="106">
        <v>0</v>
      </c>
      <c r="P451" s="107">
        <v>0</v>
      </c>
      <c r="Q451" s="108">
        <f t="shared" si="276"/>
        <v>0</v>
      </c>
      <c r="R451" s="109">
        <f t="shared" si="258"/>
        <v>0</v>
      </c>
      <c r="S451" s="109">
        <f t="shared" si="259"/>
        <v>0</v>
      </c>
      <c r="T451" s="109">
        <f t="shared" si="260"/>
        <v>0</v>
      </c>
      <c r="U451" s="110">
        <f t="shared" si="268"/>
        <v>0</v>
      </c>
      <c r="V451" s="111"/>
    </row>
    <row r="452" spans="2:22" ht="15.75" hidden="1" x14ac:dyDescent="0.2">
      <c r="B452" s="711">
        <v>46119</v>
      </c>
      <c r="C452" s="105" t="s">
        <v>18</v>
      </c>
      <c r="D452" s="105" t="s">
        <v>13</v>
      </c>
      <c r="E452" s="711">
        <v>46120</v>
      </c>
      <c r="G452" s="834"/>
      <c r="H452" s="120" t="s">
        <v>14</v>
      </c>
      <c r="I452" s="120" t="s">
        <v>100</v>
      </c>
      <c r="J452" s="106">
        <v>297</v>
      </c>
      <c r="K452" s="106">
        <f t="shared" si="277"/>
        <v>124</v>
      </c>
      <c r="L452" s="106">
        <v>59</v>
      </c>
      <c r="M452" s="107">
        <v>62</v>
      </c>
      <c r="N452" s="106">
        <v>40</v>
      </c>
      <c r="O452" s="106">
        <v>10</v>
      </c>
      <c r="P452" s="107">
        <v>12</v>
      </c>
      <c r="Q452" s="108">
        <f t="shared" si="276"/>
        <v>0.61616161616161613</v>
      </c>
      <c r="R452" s="109">
        <f t="shared" si="258"/>
        <v>0.13468013468013468</v>
      </c>
      <c r="S452" s="109">
        <f t="shared" si="259"/>
        <v>4.0404040404040407E-2</v>
      </c>
      <c r="T452" s="109">
        <f t="shared" si="260"/>
        <v>3.3670033670033669E-2</v>
      </c>
      <c r="U452" s="110">
        <f t="shared" si="268"/>
        <v>0.82491582491582482</v>
      </c>
      <c r="V452" s="111"/>
    </row>
    <row r="453" spans="2:22" ht="15.75" hidden="1" x14ac:dyDescent="0.2">
      <c r="B453" s="711">
        <v>46119</v>
      </c>
      <c r="C453" s="105" t="s">
        <v>18</v>
      </c>
      <c r="D453" s="105" t="s">
        <v>13</v>
      </c>
      <c r="E453" s="711">
        <v>46120</v>
      </c>
      <c r="G453" s="834"/>
      <c r="H453" s="120" t="s">
        <v>42</v>
      </c>
      <c r="I453" s="120" t="s">
        <v>22</v>
      </c>
      <c r="J453" s="106">
        <v>7</v>
      </c>
      <c r="K453" s="106">
        <f t="shared" si="277"/>
        <v>0</v>
      </c>
      <c r="L453" s="106">
        <v>0</v>
      </c>
      <c r="M453" s="107">
        <v>7</v>
      </c>
      <c r="N453" s="106">
        <v>0</v>
      </c>
      <c r="O453" s="106">
        <v>0</v>
      </c>
      <c r="P453" s="107">
        <v>0</v>
      </c>
      <c r="Q453" s="108">
        <f t="shared" si="276"/>
        <v>0</v>
      </c>
      <c r="R453" s="109">
        <f t="shared" si="258"/>
        <v>0</v>
      </c>
      <c r="S453" s="109">
        <f t="shared" si="259"/>
        <v>0</v>
      </c>
      <c r="T453" s="109">
        <f t="shared" si="260"/>
        <v>0</v>
      </c>
      <c r="U453" s="110">
        <f t="shared" si="268"/>
        <v>0</v>
      </c>
      <c r="V453" s="136"/>
    </row>
    <row r="454" spans="2:22" ht="15.75" hidden="1" x14ac:dyDescent="0.2">
      <c r="B454" s="711">
        <v>46119</v>
      </c>
      <c r="C454" s="105" t="s">
        <v>18</v>
      </c>
      <c r="D454" s="105" t="s">
        <v>13</v>
      </c>
      <c r="E454" s="711">
        <v>46120</v>
      </c>
      <c r="G454" s="835"/>
      <c r="H454" s="113" t="s">
        <v>19</v>
      </c>
      <c r="I454" s="113"/>
      <c r="J454" s="113">
        <f>SUM(J450:J452)</f>
        <v>548</v>
      </c>
      <c r="K454" s="113">
        <f>SUM(K450:K453)</f>
        <v>240</v>
      </c>
      <c r="L454" s="113">
        <f>SUM(L450:L453)</f>
        <v>112</v>
      </c>
      <c r="M454" s="114">
        <f>SUM(M450:M452)</f>
        <v>124</v>
      </c>
      <c r="N454" s="113">
        <f>SUM(N450:N453)</f>
        <v>40</v>
      </c>
      <c r="O454" s="113">
        <v>0</v>
      </c>
      <c r="P454" s="114">
        <f>SUM(P450:P452)</f>
        <v>16</v>
      </c>
      <c r="Q454" s="115">
        <f t="shared" si="276"/>
        <v>0.64233576642335766</v>
      </c>
      <c r="R454" s="116">
        <f t="shared" si="258"/>
        <v>7.2992700729927001E-2</v>
      </c>
      <c r="S454" s="116">
        <f t="shared" si="259"/>
        <v>2.9197080291970802E-2</v>
      </c>
      <c r="T454" s="116">
        <f t="shared" si="260"/>
        <v>0</v>
      </c>
      <c r="U454" s="117">
        <f t="shared" si="268"/>
        <v>0.74452554744525545</v>
      </c>
      <c r="V454" s="127"/>
    </row>
    <row r="455" spans="2:22" ht="15.75" hidden="1" x14ac:dyDescent="0.2">
      <c r="B455" s="711">
        <v>46120</v>
      </c>
      <c r="C455" s="105" t="s">
        <v>22</v>
      </c>
      <c r="D455" s="105" t="s">
        <v>20</v>
      </c>
      <c r="E455" s="711">
        <v>46120</v>
      </c>
      <c r="G455" s="833">
        <v>46120</v>
      </c>
      <c r="H455" s="106" t="s">
        <v>16</v>
      </c>
      <c r="I455" s="120" t="s">
        <v>103</v>
      </c>
      <c r="J455" s="106">
        <f>SUM(K455:P455)</f>
        <v>40</v>
      </c>
      <c r="K455" s="106">
        <v>9</v>
      </c>
      <c r="L455" s="106">
        <v>19</v>
      </c>
      <c r="M455" s="107">
        <v>0</v>
      </c>
      <c r="N455" s="106">
        <v>0</v>
      </c>
      <c r="O455" s="106">
        <v>10</v>
      </c>
      <c r="P455" s="107">
        <v>2</v>
      </c>
      <c r="Q455" s="108">
        <f t="shared" ref="Q455:Q459" si="278">(K455+L455)/J455</f>
        <v>0.7</v>
      </c>
      <c r="R455" s="109">
        <f t="shared" ref="R455:R459" si="279">N455/J455</f>
        <v>0</v>
      </c>
      <c r="S455" s="109">
        <f t="shared" ref="S455:S459" si="280">P455/J455</f>
        <v>0.05</v>
      </c>
      <c r="T455" s="109">
        <f t="shared" ref="T455:T459" si="281">O455/J455</f>
        <v>0.25</v>
      </c>
      <c r="U455" s="110">
        <f t="shared" ref="U455:U459" si="282">S455+R455+Q455+T455</f>
        <v>1</v>
      </c>
      <c r="V455" s="111"/>
    </row>
    <row r="456" spans="2:22" ht="15.75" hidden="1" x14ac:dyDescent="0.2">
      <c r="B456" s="711">
        <v>46120</v>
      </c>
      <c r="C456" s="105" t="s">
        <v>22</v>
      </c>
      <c r="D456" s="105" t="s">
        <v>20</v>
      </c>
      <c r="E456" s="711">
        <v>46120</v>
      </c>
      <c r="G456" s="834"/>
      <c r="H456" s="106" t="s">
        <v>84</v>
      </c>
      <c r="I456" s="120" t="s">
        <v>22</v>
      </c>
      <c r="J456" s="106">
        <f t="shared" ref="J456:J458" si="283">SUM(K456:P456)</f>
        <v>53</v>
      </c>
      <c r="K456" s="106">
        <v>39</v>
      </c>
      <c r="L456" s="106">
        <v>6</v>
      </c>
      <c r="M456" s="107">
        <v>7</v>
      </c>
      <c r="N456" s="106">
        <v>1</v>
      </c>
      <c r="O456" s="106">
        <v>0</v>
      </c>
      <c r="P456" s="107">
        <v>0</v>
      </c>
      <c r="Q456" s="108">
        <f t="shared" si="278"/>
        <v>0.84905660377358494</v>
      </c>
      <c r="R456" s="109">
        <f t="shared" si="279"/>
        <v>1.8867924528301886E-2</v>
      </c>
      <c r="S456" s="109">
        <f t="shared" si="280"/>
        <v>0</v>
      </c>
      <c r="T456" s="109">
        <f t="shared" si="281"/>
        <v>0</v>
      </c>
      <c r="U456" s="110">
        <f t="shared" si="282"/>
        <v>0.86792452830188682</v>
      </c>
      <c r="V456" s="111"/>
    </row>
    <row r="457" spans="2:22" ht="15.75" hidden="1" x14ac:dyDescent="0.2">
      <c r="B457" s="711">
        <v>46119</v>
      </c>
      <c r="C457" s="105" t="s">
        <v>18</v>
      </c>
      <c r="D457" s="105" t="s">
        <v>13</v>
      </c>
      <c r="E457" s="711">
        <v>46120</v>
      </c>
      <c r="G457" s="835"/>
      <c r="H457" s="120" t="s">
        <v>14</v>
      </c>
      <c r="I457" s="120" t="s">
        <v>100</v>
      </c>
      <c r="J457" s="106">
        <f t="shared" si="283"/>
        <v>105</v>
      </c>
      <c r="K457" s="106">
        <v>66</v>
      </c>
      <c r="L457" s="106">
        <v>29</v>
      </c>
      <c r="M457" s="107">
        <v>0</v>
      </c>
      <c r="N457" s="106">
        <v>0</v>
      </c>
      <c r="O457" s="106">
        <v>0</v>
      </c>
      <c r="P457" s="107">
        <v>10</v>
      </c>
      <c r="Q457" s="108">
        <f t="shared" ref="Q457" si="284">(K457+L457)/J457</f>
        <v>0.90476190476190477</v>
      </c>
      <c r="R457" s="109">
        <f t="shared" ref="R457" si="285">N457/J457</f>
        <v>0</v>
      </c>
      <c r="S457" s="109">
        <f t="shared" ref="S457" si="286">P457/J457</f>
        <v>9.5238095238095233E-2</v>
      </c>
      <c r="T457" s="109">
        <f t="shared" ref="T457" si="287">O457/J457</f>
        <v>0</v>
      </c>
      <c r="U457" s="110">
        <f t="shared" ref="U457" si="288">S457+R457+Q457+T457</f>
        <v>1</v>
      </c>
      <c r="V457" s="136"/>
    </row>
    <row r="458" spans="2:22" ht="15.75" hidden="1" x14ac:dyDescent="0.2">
      <c r="B458" s="711">
        <v>46120</v>
      </c>
      <c r="C458" s="105" t="s">
        <v>22</v>
      </c>
      <c r="D458" s="105" t="s">
        <v>20</v>
      </c>
      <c r="E458" s="711">
        <v>46120</v>
      </c>
      <c r="G458" s="174">
        <v>46121</v>
      </c>
      <c r="H458" s="120" t="s">
        <v>25</v>
      </c>
      <c r="I458" s="120" t="s">
        <v>22</v>
      </c>
      <c r="J458" s="106">
        <f t="shared" si="283"/>
        <v>225</v>
      </c>
      <c r="K458" s="106">
        <v>0</v>
      </c>
      <c r="L458" s="106">
        <v>0</v>
      </c>
      <c r="M458" s="107">
        <v>66</v>
      </c>
      <c r="N458" s="106">
        <v>154</v>
      </c>
      <c r="O458" s="106">
        <v>5</v>
      </c>
      <c r="P458" s="107"/>
      <c r="Q458" s="108">
        <f t="shared" si="278"/>
        <v>0</v>
      </c>
      <c r="R458" s="109">
        <f t="shared" si="279"/>
        <v>0.68444444444444441</v>
      </c>
      <c r="S458" s="109">
        <f t="shared" si="280"/>
        <v>0</v>
      </c>
      <c r="T458" s="109">
        <f t="shared" si="281"/>
        <v>2.2222222222222223E-2</v>
      </c>
      <c r="U458" s="110">
        <f t="shared" si="282"/>
        <v>0.70666666666666667</v>
      </c>
      <c r="V458" s="136"/>
    </row>
    <row r="459" spans="2:22" ht="15.75" hidden="1" x14ac:dyDescent="0.2">
      <c r="B459" s="711">
        <v>46120</v>
      </c>
      <c r="C459" s="105" t="s">
        <v>22</v>
      </c>
      <c r="D459" s="105" t="s">
        <v>20</v>
      </c>
      <c r="E459" s="711">
        <v>46120</v>
      </c>
      <c r="G459" s="175"/>
      <c r="H459" s="113" t="s">
        <v>19</v>
      </c>
      <c r="I459" s="113"/>
      <c r="J459" s="113">
        <f>SUM(J455:J456)</f>
        <v>93</v>
      </c>
      <c r="K459" s="113">
        <f>SUM(K455:K458)</f>
        <v>114</v>
      </c>
      <c r="L459" s="113">
        <f>SUM(L455:L458)</f>
        <v>54</v>
      </c>
      <c r="M459" s="114">
        <f>SUM(M455:M456)</f>
        <v>7</v>
      </c>
      <c r="N459" s="113">
        <f>SUM(N455:N458)</f>
        <v>155</v>
      </c>
      <c r="O459" s="113">
        <v>0</v>
      </c>
      <c r="P459" s="114">
        <f>SUM(P455:P456)</f>
        <v>2</v>
      </c>
      <c r="Q459" s="115">
        <f t="shared" si="278"/>
        <v>1.8064516129032258</v>
      </c>
      <c r="R459" s="116">
        <f t="shared" si="279"/>
        <v>1.6666666666666667</v>
      </c>
      <c r="S459" s="116">
        <f t="shared" si="280"/>
        <v>2.1505376344086023E-2</v>
      </c>
      <c r="T459" s="116">
        <f t="shared" si="281"/>
        <v>0</v>
      </c>
      <c r="U459" s="117">
        <f t="shared" si="282"/>
        <v>3.4946236559139785</v>
      </c>
      <c r="V459" s="127"/>
    </row>
    <row r="460" spans="2:22" ht="15.75" hidden="1" x14ac:dyDescent="0.2">
      <c r="B460" s="711">
        <v>46120</v>
      </c>
      <c r="C460" s="105" t="s">
        <v>12</v>
      </c>
      <c r="D460" s="105" t="s">
        <v>23</v>
      </c>
      <c r="E460" s="711">
        <v>46121</v>
      </c>
      <c r="G460" s="833">
        <v>46121</v>
      </c>
      <c r="H460" s="106" t="s">
        <v>16</v>
      </c>
      <c r="I460" s="120" t="s">
        <v>83</v>
      </c>
      <c r="J460" s="106">
        <v>241</v>
      </c>
      <c r="K460" s="106">
        <v>78</v>
      </c>
      <c r="L460" s="106">
        <v>47</v>
      </c>
      <c r="M460" s="107">
        <v>88</v>
      </c>
      <c r="N460" s="106">
        <v>9</v>
      </c>
      <c r="O460" s="106">
        <v>16</v>
      </c>
      <c r="P460" s="107">
        <v>3</v>
      </c>
      <c r="Q460" s="108">
        <f t="shared" ref="Q460:Q467" si="289">(K460+L460)/J460</f>
        <v>0.51867219917012453</v>
      </c>
      <c r="R460" s="109">
        <f t="shared" ref="R460:R467" si="290">N460/J460</f>
        <v>3.7344398340248962E-2</v>
      </c>
      <c r="S460" s="109">
        <f t="shared" ref="S460:S467" si="291">P460/J460</f>
        <v>1.2448132780082987E-2</v>
      </c>
      <c r="T460" s="109">
        <f t="shared" ref="T460:T467" si="292">O460/J460</f>
        <v>6.6390041493775934E-2</v>
      </c>
      <c r="U460" s="110">
        <f t="shared" ref="U460:U467" si="293">S460+R460+Q460+T460</f>
        <v>0.63485477178423244</v>
      </c>
      <c r="V460" s="111"/>
    </row>
    <row r="461" spans="2:22" ht="15.75" hidden="1" x14ac:dyDescent="0.2">
      <c r="B461" s="711">
        <v>46120</v>
      </c>
      <c r="C461" s="105" t="s">
        <v>12</v>
      </c>
      <c r="D461" s="105" t="s">
        <v>23</v>
      </c>
      <c r="E461" s="711">
        <v>46121</v>
      </c>
      <c r="G461" s="834"/>
      <c r="H461" s="106" t="s">
        <v>84</v>
      </c>
      <c r="I461" s="120" t="s">
        <v>22</v>
      </c>
      <c r="J461" s="106">
        <v>57</v>
      </c>
      <c r="K461" s="106">
        <v>0</v>
      </c>
      <c r="L461" s="106">
        <v>0</v>
      </c>
      <c r="M461" s="107">
        <v>57</v>
      </c>
      <c r="N461" s="106">
        <v>0</v>
      </c>
      <c r="O461" s="106">
        <v>28</v>
      </c>
      <c r="P461" s="107">
        <v>0</v>
      </c>
      <c r="Q461" s="108">
        <f t="shared" si="289"/>
        <v>0</v>
      </c>
      <c r="R461" s="109">
        <f t="shared" si="290"/>
        <v>0</v>
      </c>
      <c r="S461" s="109">
        <f t="shared" si="291"/>
        <v>0</v>
      </c>
      <c r="T461" s="109">
        <f t="shared" si="292"/>
        <v>0.49122807017543857</v>
      </c>
      <c r="U461" s="110">
        <f t="shared" si="293"/>
        <v>0.49122807017543857</v>
      </c>
      <c r="V461" s="111"/>
    </row>
    <row r="462" spans="2:22" ht="15.75" hidden="1" x14ac:dyDescent="0.2">
      <c r="B462" s="711">
        <v>46120</v>
      </c>
      <c r="C462" s="105" t="s">
        <v>12</v>
      </c>
      <c r="D462" s="105" t="s">
        <v>23</v>
      </c>
      <c r="E462" s="711">
        <v>46121</v>
      </c>
      <c r="G462" s="834"/>
      <c r="H462" s="120" t="s">
        <v>14</v>
      </c>
      <c r="I462" s="120" t="s">
        <v>105</v>
      </c>
      <c r="J462" s="106">
        <v>228</v>
      </c>
      <c r="K462" s="106">
        <v>0</v>
      </c>
      <c r="L462" s="106">
        <v>0</v>
      </c>
      <c r="M462" s="107">
        <v>219</v>
      </c>
      <c r="N462" s="106">
        <v>0</v>
      </c>
      <c r="O462" s="106">
        <v>10</v>
      </c>
      <c r="P462" s="107">
        <v>9</v>
      </c>
      <c r="Q462" s="108">
        <f t="shared" si="289"/>
        <v>0</v>
      </c>
      <c r="R462" s="109">
        <f t="shared" si="290"/>
        <v>0</v>
      </c>
      <c r="S462" s="109">
        <f t="shared" si="291"/>
        <v>3.9473684210526314E-2</v>
      </c>
      <c r="T462" s="109">
        <f t="shared" si="292"/>
        <v>4.3859649122807015E-2</v>
      </c>
      <c r="U462" s="110">
        <f t="shared" si="293"/>
        <v>8.3333333333333329E-2</v>
      </c>
      <c r="V462" s="136"/>
    </row>
    <row r="463" spans="2:22" ht="15.75" hidden="1" x14ac:dyDescent="0.2">
      <c r="B463" s="711">
        <v>46120</v>
      </c>
      <c r="C463" s="105" t="s">
        <v>12</v>
      </c>
      <c r="D463" s="105" t="s">
        <v>23</v>
      </c>
      <c r="E463" s="711">
        <v>46121</v>
      </c>
      <c r="G463" s="835"/>
      <c r="H463" s="120" t="s">
        <v>25</v>
      </c>
      <c r="I463" s="120" t="s">
        <v>106</v>
      </c>
      <c r="J463" s="106">
        <v>221</v>
      </c>
      <c r="K463" s="106">
        <v>0</v>
      </c>
      <c r="L463" s="106">
        <v>0</v>
      </c>
      <c r="M463" s="107">
        <v>1</v>
      </c>
      <c r="N463" s="106">
        <v>191</v>
      </c>
      <c r="O463" s="106">
        <v>24</v>
      </c>
      <c r="P463" s="107">
        <v>5</v>
      </c>
      <c r="Q463" s="108">
        <f t="shared" si="289"/>
        <v>0</v>
      </c>
      <c r="R463" s="109">
        <f t="shared" si="290"/>
        <v>0.86425339366515841</v>
      </c>
      <c r="S463" s="109">
        <f t="shared" si="291"/>
        <v>2.2624434389140271E-2</v>
      </c>
      <c r="T463" s="109">
        <f t="shared" si="292"/>
        <v>0.10859728506787331</v>
      </c>
      <c r="U463" s="110">
        <f t="shared" si="293"/>
        <v>0.99547511312217196</v>
      </c>
      <c r="V463" s="136"/>
    </row>
    <row r="464" spans="2:22" ht="15.75" hidden="1" x14ac:dyDescent="0.2">
      <c r="B464" s="711">
        <v>46120</v>
      </c>
      <c r="C464" s="105" t="s">
        <v>12</v>
      </c>
      <c r="D464" s="105" t="s">
        <v>23</v>
      </c>
      <c r="E464" s="711">
        <v>46121</v>
      </c>
      <c r="G464" s="175"/>
      <c r="H464" s="113" t="s">
        <v>19</v>
      </c>
      <c r="I464" s="113"/>
      <c r="J464" s="113">
        <f>SUM(J460:J461)</f>
        <v>298</v>
      </c>
      <c r="K464" s="113">
        <f>SUM(K460:K463)</f>
        <v>78</v>
      </c>
      <c r="L464" s="113">
        <f>SUM(L460:L463)</f>
        <v>47</v>
      </c>
      <c r="M464" s="114">
        <f>SUM(M460:M461)</f>
        <v>145</v>
      </c>
      <c r="N464" s="113">
        <f>SUM(N460:N463)</f>
        <v>200</v>
      </c>
      <c r="O464" s="113">
        <v>0</v>
      </c>
      <c r="P464" s="114">
        <f>SUM(P460:P461)</f>
        <v>3</v>
      </c>
      <c r="Q464" s="115">
        <f t="shared" si="289"/>
        <v>0.41946308724832215</v>
      </c>
      <c r="R464" s="116">
        <f t="shared" si="290"/>
        <v>0.67114093959731547</v>
      </c>
      <c r="S464" s="116">
        <f t="shared" si="291"/>
        <v>1.0067114093959731E-2</v>
      </c>
      <c r="T464" s="116">
        <f t="shared" si="292"/>
        <v>0</v>
      </c>
      <c r="U464" s="117">
        <f t="shared" si="293"/>
        <v>1.1006711409395975</v>
      </c>
      <c r="V464" s="127"/>
    </row>
    <row r="465" spans="2:22" ht="15.75" hidden="1" x14ac:dyDescent="0.2">
      <c r="B465" s="711">
        <v>46120</v>
      </c>
      <c r="C465" s="105" t="s">
        <v>18</v>
      </c>
      <c r="D465" s="105" t="s">
        <v>13</v>
      </c>
      <c r="E465" s="711">
        <v>46120</v>
      </c>
      <c r="G465" s="833">
        <v>46120</v>
      </c>
      <c r="H465" s="106" t="s">
        <v>16</v>
      </c>
      <c r="I465" s="120" t="s">
        <v>103</v>
      </c>
      <c r="J465" s="106">
        <v>38</v>
      </c>
      <c r="K465" s="106">
        <f>J465-L465-M465-N465-O465-P465</f>
        <v>22</v>
      </c>
      <c r="L465" s="106">
        <v>0</v>
      </c>
      <c r="M465" s="107">
        <v>0</v>
      </c>
      <c r="N465" s="106">
        <v>0</v>
      </c>
      <c r="O465" s="106">
        <v>16</v>
      </c>
      <c r="P465" s="107">
        <v>0</v>
      </c>
      <c r="Q465" s="108">
        <f t="shared" si="289"/>
        <v>0.57894736842105265</v>
      </c>
      <c r="R465" s="109">
        <f t="shared" si="290"/>
        <v>0</v>
      </c>
      <c r="S465" s="109">
        <f t="shared" si="291"/>
        <v>0</v>
      </c>
      <c r="T465" s="109">
        <f t="shared" si="292"/>
        <v>0.42105263157894735</v>
      </c>
      <c r="U465" s="110">
        <f t="shared" si="293"/>
        <v>1</v>
      </c>
      <c r="V465" s="111"/>
    </row>
    <row r="466" spans="2:22" ht="15.75" hidden="1" x14ac:dyDescent="0.2">
      <c r="B466" s="711">
        <v>46120</v>
      </c>
      <c r="C466" s="105" t="s">
        <v>18</v>
      </c>
      <c r="D466" s="105" t="s">
        <v>13</v>
      </c>
      <c r="E466" s="711">
        <v>46120</v>
      </c>
      <c r="G466" s="834"/>
      <c r="H466" s="120" t="s">
        <v>14</v>
      </c>
      <c r="I466" s="120" t="s">
        <v>100</v>
      </c>
      <c r="J466" s="106">
        <v>28</v>
      </c>
      <c r="K466" s="106">
        <v>18</v>
      </c>
      <c r="L466" s="106">
        <v>0</v>
      </c>
      <c r="M466" s="107">
        <v>0</v>
      </c>
      <c r="N466" s="106">
        <v>0</v>
      </c>
      <c r="O466" s="106">
        <v>10</v>
      </c>
      <c r="P466" s="107">
        <v>0</v>
      </c>
      <c r="Q466" s="108">
        <f t="shared" si="289"/>
        <v>0.6428571428571429</v>
      </c>
      <c r="R466" s="109">
        <f t="shared" si="290"/>
        <v>0</v>
      </c>
      <c r="S466" s="109">
        <f t="shared" si="291"/>
        <v>0</v>
      </c>
      <c r="T466" s="109">
        <f t="shared" si="292"/>
        <v>0.35714285714285715</v>
      </c>
      <c r="U466" s="110">
        <f t="shared" si="293"/>
        <v>1</v>
      </c>
      <c r="V466" s="136"/>
    </row>
    <row r="467" spans="2:22" ht="15.75" hidden="1" x14ac:dyDescent="0.2">
      <c r="B467" s="711">
        <v>46120</v>
      </c>
      <c r="C467" s="105" t="s">
        <v>18</v>
      </c>
      <c r="D467" s="105" t="s">
        <v>13</v>
      </c>
      <c r="E467" s="711">
        <v>46120</v>
      </c>
      <c r="G467" s="835"/>
      <c r="H467" s="113" t="s">
        <v>19</v>
      </c>
      <c r="I467" s="113"/>
      <c r="J467" s="113">
        <f>SUM(J465:J466)</f>
        <v>66</v>
      </c>
      <c r="K467" s="113">
        <f>SUM(K465:K466)</f>
        <v>40</v>
      </c>
      <c r="L467" s="113">
        <f>SUM(L465:L466)</f>
        <v>0</v>
      </c>
      <c r="M467" s="114">
        <f>SUM(M465:M466)</f>
        <v>0</v>
      </c>
      <c r="N467" s="113">
        <f>SUM(N465:N466)</f>
        <v>0</v>
      </c>
      <c r="O467" s="113">
        <v>0</v>
      </c>
      <c r="P467" s="114">
        <f>SUM(P465:P466)</f>
        <v>0</v>
      </c>
      <c r="Q467" s="115">
        <f t="shared" si="289"/>
        <v>0.60606060606060608</v>
      </c>
      <c r="R467" s="116">
        <f t="shared" si="290"/>
        <v>0</v>
      </c>
      <c r="S467" s="116">
        <f t="shared" si="291"/>
        <v>0</v>
      </c>
      <c r="T467" s="116">
        <f t="shared" si="292"/>
        <v>0</v>
      </c>
      <c r="U467" s="117">
        <f t="shared" si="293"/>
        <v>0.60606060606060608</v>
      </c>
      <c r="V467" s="127"/>
    </row>
    <row r="468" spans="2:22" ht="15.75" hidden="1" x14ac:dyDescent="0.2">
      <c r="B468" s="711">
        <v>46120</v>
      </c>
      <c r="C468" s="105" t="s">
        <v>18</v>
      </c>
      <c r="D468" s="105" t="s">
        <v>13</v>
      </c>
      <c r="E468" s="711">
        <v>46121</v>
      </c>
      <c r="G468" s="833">
        <v>46121</v>
      </c>
      <c r="H468" s="106" t="s">
        <v>16</v>
      </c>
      <c r="I468" s="120" t="s">
        <v>83</v>
      </c>
      <c r="J468" s="106">
        <v>241</v>
      </c>
      <c r="K468" s="106">
        <f>J468-L468-M468-N468-O468-P468</f>
        <v>175</v>
      </c>
      <c r="L468" s="106">
        <v>40</v>
      </c>
      <c r="M468" s="107">
        <v>7</v>
      </c>
      <c r="N468" s="106">
        <v>0</v>
      </c>
      <c r="O468" s="106">
        <v>16</v>
      </c>
      <c r="P468" s="107">
        <v>3</v>
      </c>
      <c r="Q468" s="108">
        <f t="shared" ref="Q468:Q482" si="294">(K468+L468)/J468</f>
        <v>0.89211618257261416</v>
      </c>
      <c r="R468" s="109">
        <f t="shared" ref="R468:R482" si="295">N468/J468</f>
        <v>0</v>
      </c>
      <c r="S468" s="109">
        <f t="shared" ref="S468:S482" si="296">P468/J468</f>
        <v>1.2448132780082987E-2</v>
      </c>
      <c r="T468" s="109">
        <f t="shared" ref="T468:T482" si="297">O468/J468</f>
        <v>6.6390041493775934E-2</v>
      </c>
      <c r="U468" s="110">
        <f t="shared" ref="U468:U482" si="298">S468+R468+Q468+T468</f>
        <v>0.97095435684647302</v>
      </c>
      <c r="V468" s="111" t="s">
        <v>21</v>
      </c>
    </row>
    <row r="469" spans="2:22" ht="15.75" hidden="1" x14ac:dyDescent="0.2">
      <c r="B469" s="711">
        <v>46120</v>
      </c>
      <c r="C469" s="105" t="s">
        <v>18</v>
      </c>
      <c r="D469" s="105" t="s">
        <v>13</v>
      </c>
      <c r="E469" s="711">
        <v>46121</v>
      </c>
      <c r="G469" s="834"/>
      <c r="H469" s="106" t="s">
        <v>84</v>
      </c>
      <c r="I469" s="120" t="s">
        <v>22</v>
      </c>
      <c r="J469" s="106">
        <v>91</v>
      </c>
      <c r="K469" s="106">
        <f t="shared" ref="K469:K471" si="299">J469-L469-M469-N469-O469-P469</f>
        <v>0</v>
      </c>
      <c r="L469" s="106">
        <v>0</v>
      </c>
      <c r="M469" s="107">
        <v>39</v>
      </c>
      <c r="N469" s="106">
        <v>52</v>
      </c>
      <c r="O469" s="106">
        <v>0</v>
      </c>
      <c r="P469" s="107">
        <v>0</v>
      </c>
      <c r="Q469" s="108">
        <f t="shared" si="294"/>
        <v>0</v>
      </c>
      <c r="R469" s="109">
        <f t="shared" si="295"/>
        <v>0.5714285714285714</v>
      </c>
      <c r="S469" s="109">
        <f t="shared" si="296"/>
        <v>0</v>
      </c>
      <c r="T469" s="109">
        <f t="shared" si="297"/>
        <v>0</v>
      </c>
      <c r="U469" s="110">
        <f t="shared" si="298"/>
        <v>0.5714285714285714</v>
      </c>
      <c r="V469" s="111"/>
    </row>
    <row r="470" spans="2:22" ht="15.75" hidden="1" x14ac:dyDescent="0.2">
      <c r="B470" s="711">
        <v>46120</v>
      </c>
      <c r="C470" s="105" t="s">
        <v>18</v>
      </c>
      <c r="D470" s="105" t="s">
        <v>13</v>
      </c>
      <c r="E470" s="711">
        <v>46121</v>
      </c>
      <c r="G470" s="834"/>
      <c r="H470" s="120" t="s">
        <v>14</v>
      </c>
      <c r="I470" s="120" t="s">
        <v>105</v>
      </c>
      <c r="J470" s="106">
        <v>228</v>
      </c>
      <c r="K470" s="106">
        <f t="shared" si="299"/>
        <v>5</v>
      </c>
      <c r="L470" s="106">
        <v>0</v>
      </c>
      <c r="M470" s="107">
        <v>214</v>
      </c>
      <c r="N470" s="106">
        <v>0</v>
      </c>
      <c r="O470" s="106">
        <v>0</v>
      </c>
      <c r="P470" s="107">
        <v>9</v>
      </c>
      <c r="Q470" s="108">
        <f t="shared" si="294"/>
        <v>2.1929824561403508E-2</v>
      </c>
      <c r="R470" s="109">
        <f t="shared" si="295"/>
        <v>0</v>
      </c>
      <c r="S470" s="109">
        <f t="shared" si="296"/>
        <v>3.9473684210526314E-2</v>
      </c>
      <c r="T470" s="109">
        <f t="shared" si="297"/>
        <v>0</v>
      </c>
      <c r="U470" s="110">
        <f t="shared" si="298"/>
        <v>6.1403508771929821E-2</v>
      </c>
      <c r="V470" s="111"/>
    </row>
    <row r="471" spans="2:22" ht="15.75" hidden="1" x14ac:dyDescent="0.2">
      <c r="B471" s="711">
        <v>46120</v>
      </c>
      <c r="C471" s="105" t="s">
        <v>18</v>
      </c>
      <c r="D471" s="105" t="s">
        <v>13</v>
      </c>
      <c r="E471" s="711">
        <v>46121</v>
      </c>
      <c r="G471" s="834"/>
      <c r="H471" s="120" t="s">
        <v>25</v>
      </c>
      <c r="I471" s="120" t="s">
        <v>106</v>
      </c>
      <c r="J471" s="106">
        <v>221</v>
      </c>
      <c r="K471" s="106">
        <f t="shared" si="299"/>
        <v>127</v>
      </c>
      <c r="L471" s="106">
        <v>45</v>
      </c>
      <c r="M471" s="107">
        <v>18</v>
      </c>
      <c r="N471" s="106">
        <v>0</v>
      </c>
      <c r="O471" s="106">
        <v>26</v>
      </c>
      <c r="P471" s="107">
        <v>5</v>
      </c>
      <c r="Q471" s="108">
        <f t="shared" si="294"/>
        <v>0.77828054298642535</v>
      </c>
      <c r="R471" s="109">
        <f t="shared" si="295"/>
        <v>0</v>
      </c>
      <c r="S471" s="109">
        <f t="shared" si="296"/>
        <v>2.2624434389140271E-2</v>
      </c>
      <c r="T471" s="109">
        <f t="shared" si="297"/>
        <v>0.11764705882352941</v>
      </c>
      <c r="U471" s="110">
        <f t="shared" si="298"/>
        <v>0.91855203619909509</v>
      </c>
      <c r="V471" s="111" t="s">
        <v>21</v>
      </c>
    </row>
    <row r="472" spans="2:22" ht="15.75" hidden="1" x14ac:dyDescent="0.2">
      <c r="B472" s="711">
        <v>46120</v>
      </c>
      <c r="C472" s="105" t="s">
        <v>18</v>
      </c>
      <c r="D472" s="105" t="s">
        <v>13</v>
      </c>
      <c r="E472" s="711">
        <v>46121</v>
      </c>
      <c r="G472" s="835"/>
      <c r="H472" s="113" t="s">
        <v>19</v>
      </c>
      <c r="I472" s="113"/>
      <c r="J472" s="113">
        <f t="shared" ref="J472:P472" si="300">SUM(J468:J471)</f>
        <v>781</v>
      </c>
      <c r="K472" s="113">
        <f t="shared" si="300"/>
        <v>307</v>
      </c>
      <c r="L472" s="113">
        <f t="shared" si="300"/>
        <v>85</v>
      </c>
      <c r="M472" s="114">
        <f t="shared" si="300"/>
        <v>278</v>
      </c>
      <c r="N472" s="113">
        <f t="shared" si="300"/>
        <v>52</v>
      </c>
      <c r="O472" s="113">
        <f t="shared" si="300"/>
        <v>42</v>
      </c>
      <c r="P472" s="114">
        <f t="shared" si="300"/>
        <v>17</v>
      </c>
      <c r="Q472" s="115">
        <f t="shared" si="294"/>
        <v>0.50192061459667092</v>
      </c>
      <c r="R472" s="116">
        <f t="shared" si="295"/>
        <v>6.6581306017925737E-2</v>
      </c>
      <c r="S472" s="116">
        <f t="shared" si="296"/>
        <v>2.176696542893726E-2</v>
      </c>
      <c r="T472" s="116">
        <f t="shared" si="297"/>
        <v>5.3777208706786171E-2</v>
      </c>
      <c r="U472" s="117">
        <f t="shared" si="298"/>
        <v>0.64404609475032004</v>
      </c>
      <c r="V472" s="127"/>
    </row>
    <row r="473" spans="2:22" ht="15.75" hidden="1" x14ac:dyDescent="0.2">
      <c r="B473" s="711">
        <v>46121</v>
      </c>
      <c r="C473" s="105" t="s">
        <v>22</v>
      </c>
      <c r="D473" s="105" t="s">
        <v>20</v>
      </c>
      <c r="E473" s="711">
        <v>46121</v>
      </c>
      <c r="G473" s="833">
        <v>46121</v>
      </c>
      <c r="H473" s="106" t="s">
        <v>16</v>
      </c>
      <c r="I473" s="120" t="s">
        <v>83</v>
      </c>
      <c r="J473" s="106">
        <v>31</v>
      </c>
      <c r="K473" s="106">
        <v>3</v>
      </c>
      <c r="L473" s="106">
        <v>19</v>
      </c>
      <c r="M473" s="106">
        <v>0</v>
      </c>
      <c r="N473" s="106">
        <v>0</v>
      </c>
      <c r="O473" s="106">
        <v>6</v>
      </c>
      <c r="P473" s="107">
        <v>3</v>
      </c>
      <c r="Q473" s="108">
        <f t="shared" ref="Q473:Q477" si="301">(K473+L473)/J473</f>
        <v>0.70967741935483875</v>
      </c>
      <c r="R473" s="109">
        <f t="shared" ref="R473:R477" si="302">N473/J473</f>
        <v>0</v>
      </c>
      <c r="S473" s="109">
        <f t="shared" ref="S473:S477" si="303">P473/J473</f>
        <v>9.6774193548387094E-2</v>
      </c>
      <c r="T473" s="109">
        <f t="shared" ref="T473:T477" si="304">O473/J473</f>
        <v>0.19354838709677419</v>
      </c>
      <c r="U473" s="110">
        <f t="shared" si="298"/>
        <v>1</v>
      </c>
      <c r="V473" s="176"/>
    </row>
    <row r="474" spans="2:22" ht="15.75" hidden="1" x14ac:dyDescent="0.2">
      <c r="B474" s="711">
        <v>46121</v>
      </c>
      <c r="C474" s="105" t="s">
        <v>22</v>
      </c>
      <c r="D474" s="105" t="s">
        <v>20</v>
      </c>
      <c r="E474" s="711">
        <v>46121</v>
      </c>
      <c r="G474" s="834"/>
      <c r="H474" s="106" t="s">
        <v>84</v>
      </c>
      <c r="I474" s="120" t="s">
        <v>22</v>
      </c>
      <c r="J474" s="106">
        <v>105</v>
      </c>
      <c r="K474" s="106">
        <v>54</v>
      </c>
      <c r="L474" s="106">
        <v>14</v>
      </c>
      <c r="M474" s="106">
        <v>2</v>
      </c>
      <c r="N474" s="106">
        <v>35</v>
      </c>
      <c r="O474" s="106">
        <v>0</v>
      </c>
      <c r="P474" s="107">
        <v>0</v>
      </c>
      <c r="Q474" s="108">
        <f t="shared" si="301"/>
        <v>0.64761904761904765</v>
      </c>
      <c r="R474" s="109">
        <f t="shared" si="302"/>
        <v>0.33333333333333331</v>
      </c>
      <c r="S474" s="109">
        <f t="shared" si="303"/>
        <v>0</v>
      </c>
      <c r="T474" s="109">
        <f t="shared" si="304"/>
        <v>0</v>
      </c>
      <c r="U474" s="110">
        <f t="shared" si="298"/>
        <v>0.98095238095238102</v>
      </c>
      <c r="V474" s="176"/>
    </row>
    <row r="475" spans="2:22" ht="15.75" hidden="1" x14ac:dyDescent="0.2">
      <c r="B475" s="711">
        <v>46121</v>
      </c>
      <c r="C475" s="105" t="s">
        <v>22</v>
      </c>
      <c r="D475" s="105" t="s">
        <v>20</v>
      </c>
      <c r="E475" s="711">
        <v>46121</v>
      </c>
      <c r="G475" s="834"/>
      <c r="H475" s="120" t="s">
        <v>14</v>
      </c>
      <c r="I475" s="120" t="s">
        <v>105</v>
      </c>
      <c r="J475" s="106">
        <v>30</v>
      </c>
      <c r="K475" s="106">
        <v>7</v>
      </c>
      <c r="L475" s="106">
        <v>11</v>
      </c>
      <c r="M475" s="106">
        <v>0</v>
      </c>
      <c r="N475" s="106">
        <v>0</v>
      </c>
      <c r="O475" s="106">
        <v>7</v>
      </c>
      <c r="P475" s="107">
        <v>5</v>
      </c>
      <c r="Q475" s="108">
        <f t="shared" si="301"/>
        <v>0.6</v>
      </c>
      <c r="R475" s="109">
        <f t="shared" si="302"/>
        <v>0</v>
      </c>
      <c r="S475" s="109">
        <f t="shared" si="303"/>
        <v>0.16666666666666666</v>
      </c>
      <c r="T475" s="109">
        <f t="shared" si="304"/>
        <v>0.23333333333333334</v>
      </c>
      <c r="U475" s="110">
        <f t="shared" si="298"/>
        <v>1</v>
      </c>
      <c r="V475" s="176"/>
    </row>
    <row r="476" spans="2:22" ht="15.75" hidden="1" x14ac:dyDescent="0.2">
      <c r="B476" s="711">
        <v>46121</v>
      </c>
      <c r="C476" s="105" t="s">
        <v>22</v>
      </c>
      <c r="D476" s="105" t="s">
        <v>20</v>
      </c>
      <c r="E476" s="711">
        <v>46121</v>
      </c>
      <c r="G476" s="834"/>
      <c r="H476" s="120" t="s">
        <v>17</v>
      </c>
      <c r="I476" s="120" t="s">
        <v>106</v>
      </c>
      <c r="J476" s="106">
        <v>223</v>
      </c>
      <c r="K476" s="106">
        <v>62</v>
      </c>
      <c r="L476" s="106">
        <v>12</v>
      </c>
      <c r="M476" s="106">
        <v>43</v>
      </c>
      <c r="N476" s="106">
        <v>97</v>
      </c>
      <c r="O476" s="106">
        <v>0</v>
      </c>
      <c r="P476" s="107">
        <v>9</v>
      </c>
      <c r="Q476" s="108">
        <f t="shared" si="301"/>
        <v>0.33183856502242154</v>
      </c>
      <c r="R476" s="109">
        <f t="shared" si="302"/>
        <v>0.4349775784753363</v>
      </c>
      <c r="S476" s="109">
        <f t="shared" si="303"/>
        <v>4.0358744394618833E-2</v>
      </c>
      <c r="T476" s="109">
        <f t="shared" si="304"/>
        <v>0</v>
      </c>
      <c r="U476" s="110">
        <f t="shared" si="298"/>
        <v>0.80717488789237668</v>
      </c>
      <c r="V476" s="176"/>
    </row>
    <row r="477" spans="2:22" ht="15.75" hidden="1" x14ac:dyDescent="0.2">
      <c r="B477" s="711">
        <v>46121</v>
      </c>
      <c r="C477" s="105" t="s">
        <v>22</v>
      </c>
      <c r="D477" s="105" t="s">
        <v>20</v>
      </c>
      <c r="E477" s="711">
        <v>46121</v>
      </c>
      <c r="G477" s="835"/>
      <c r="H477" s="113" t="s">
        <v>19</v>
      </c>
      <c r="I477" s="177"/>
      <c r="J477" s="113">
        <f t="shared" ref="J477:L477" si="305">SUM(J473:J476)</f>
        <v>389</v>
      </c>
      <c r="K477" s="113">
        <f t="shared" si="305"/>
        <v>126</v>
      </c>
      <c r="L477" s="113">
        <f t="shared" si="305"/>
        <v>56</v>
      </c>
      <c r="M477" s="114">
        <f t="shared" ref="M477:O477" si="306">SUM(M473:M476)</f>
        <v>45</v>
      </c>
      <c r="N477" s="113">
        <f t="shared" si="306"/>
        <v>132</v>
      </c>
      <c r="O477" s="113">
        <f t="shared" si="306"/>
        <v>13</v>
      </c>
      <c r="P477" s="114">
        <f t="shared" ref="P477" si="307">SUM(P473:P476)</f>
        <v>17</v>
      </c>
      <c r="Q477" s="115">
        <f t="shared" si="301"/>
        <v>0.46786632390745503</v>
      </c>
      <c r="R477" s="116">
        <f t="shared" si="302"/>
        <v>0.33933161953727509</v>
      </c>
      <c r="S477" s="116">
        <f t="shared" si="303"/>
        <v>4.3701799485861184E-2</v>
      </c>
      <c r="T477" s="116">
        <f t="shared" si="304"/>
        <v>3.3419023136246784E-2</v>
      </c>
      <c r="U477" s="117">
        <f t="shared" ref="U477" si="308">S477+R477+Q477+T477</f>
        <v>0.88431876606683812</v>
      </c>
      <c r="V477" s="176"/>
    </row>
    <row r="478" spans="2:22" ht="15.75" hidden="1" x14ac:dyDescent="0.2">
      <c r="B478" s="711">
        <v>46121</v>
      </c>
      <c r="C478" s="105" t="s">
        <v>12</v>
      </c>
      <c r="D478" s="105" t="s">
        <v>23</v>
      </c>
      <c r="E478" s="711">
        <v>46122</v>
      </c>
      <c r="G478" s="833">
        <v>46122</v>
      </c>
      <c r="H478" s="106" t="s">
        <v>16</v>
      </c>
      <c r="I478" s="120" t="s">
        <v>83</v>
      </c>
      <c r="J478" s="106">
        <v>223</v>
      </c>
      <c r="K478" s="106">
        <v>79</v>
      </c>
      <c r="L478" s="106">
        <v>41</v>
      </c>
      <c r="M478" s="107">
        <v>8</v>
      </c>
      <c r="N478" s="106">
        <v>73</v>
      </c>
      <c r="O478" s="106">
        <v>16</v>
      </c>
      <c r="P478" s="107">
        <v>6</v>
      </c>
      <c r="Q478" s="108">
        <f t="shared" si="294"/>
        <v>0.53811659192825112</v>
      </c>
      <c r="R478" s="109">
        <f t="shared" si="295"/>
        <v>0.3273542600896861</v>
      </c>
      <c r="S478" s="109">
        <f t="shared" si="296"/>
        <v>2.6905829596412557E-2</v>
      </c>
      <c r="T478" s="109">
        <f t="shared" si="297"/>
        <v>7.1748878923766815E-2</v>
      </c>
      <c r="U478" s="110">
        <f t="shared" si="298"/>
        <v>0.9641255605381166</v>
      </c>
      <c r="V478" s="111"/>
    </row>
    <row r="479" spans="2:22" ht="15.75" hidden="1" x14ac:dyDescent="0.2">
      <c r="B479" s="711">
        <v>46121</v>
      </c>
      <c r="C479" s="105" t="s">
        <v>12</v>
      </c>
      <c r="D479" s="105" t="s">
        <v>23</v>
      </c>
      <c r="E479" s="711">
        <v>46122</v>
      </c>
      <c r="G479" s="834"/>
      <c r="H479" s="106" t="s">
        <v>84</v>
      </c>
      <c r="I479" s="120" t="s">
        <v>22</v>
      </c>
      <c r="J479" s="106">
        <v>17</v>
      </c>
      <c r="K479" s="106">
        <v>0</v>
      </c>
      <c r="L479" s="106">
        <v>3</v>
      </c>
      <c r="M479" s="107">
        <v>14</v>
      </c>
      <c r="N479" s="106">
        <v>0</v>
      </c>
      <c r="O479" s="106">
        <v>0</v>
      </c>
      <c r="P479" s="107">
        <v>0</v>
      </c>
      <c r="Q479" s="108">
        <f t="shared" si="294"/>
        <v>0.17647058823529413</v>
      </c>
      <c r="R479" s="109">
        <f t="shared" si="295"/>
        <v>0</v>
      </c>
      <c r="S479" s="109">
        <f t="shared" si="296"/>
        <v>0</v>
      </c>
      <c r="T479" s="109">
        <f t="shared" si="297"/>
        <v>0</v>
      </c>
      <c r="U479" s="110">
        <f t="shared" si="298"/>
        <v>0.17647058823529413</v>
      </c>
      <c r="V479" s="111"/>
    </row>
    <row r="480" spans="2:22" ht="15.75" hidden="1" x14ac:dyDescent="0.2">
      <c r="B480" s="711">
        <v>46121</v>
      </c>
      <c r="C480" s="105" t="s">
        <v>12</v>
      </c>
      <c r="D480" s="105" t="s">
        <v>23</v>
      </c>
      <c r="E480" s="711">
        <v>46122</v>
      </c>
      <c r="G480" s="834"/>
      <c r="H480" s="120" t="s">
        <v>14</v>
      </c>
      <c r="I480" s="120" t="s">
        <v>105</v>
      </c>
      <c r="J480" s="106">
        <v>195</v>
      </c>
      <c r="K480" s="106">
        <v>1</v>
      </c>
      <c r="L480" s="106">
        <v>1</v>
      </c>
      <c r="M480" s="107">
        <v>190</v>
      </c>
      <c r="N480" s="106">
        <v>0</v>
      </c>
      <c r="O480" s="106">
        <v>10</v>
      </c>
      <c r="P480" s="107">
        <v>3</v>
      </c>
      <c r="Q480" s="108">
        <f t="shared" si="294"/>
        <v>1.0256410256410256E-2</v>
      </c>
      <c r="R480" s="109">
        <f t="shared" si="295"/>
        <v>0</v>
      </c>
      <c r="S480" s="109">
        <f t="shared" si="296"/>
        <v>1.5384615384615385E-2</v>
      </c>
      <c r="T480" s="109">
        <f t="shared" si="297"/>
        <v>5.128205128205128E-2</v>
      </c>
      <c r="U480" s="110">
        <f t="shared" si="298"/>
        <v>7.6923076923076927E-2</v>
      </c>
      <c r="V480" s="136"/>
    </row>
    <row r="481" spans="2:22" ht="15.75" hidden="1" x14ac:dyDescent="0.2">
      <c r="B481" s="711">
        <v>46121</v>
      </c>
      <c r="C481" s="105" t="s">
        <v>12</v>
      </c>
      <c r="D481" s="105" t="s">
        <v>23</v>
      </c>
      <c r="E481" s="711">
        <v>46122</v>
      </c>
      <c r="G481" s="834"/>
      <c r="H481" s="120" t="s">
        <v>17</v>
      </c>
      <c r="I481" s="120" t="s">
        <v>106</v>
      </c>
      <c r="J481" s="106">
        <v>196</v>
      </c>
      <c r="K481" s="106">
        <v>0</v>
      </c>
      <c r="L481" s="106">
        <v>1</v>
      </c>
      <c r="M481" s="107">
        <v>189</v>
      </c>
      <c r="N481" s="106">
        <v>0</v>
      </c>
      <c r="O481" s="106">
        <v>24</v>
      </c>
      <c r="P481" s="107">
        <v>5</v>
      </c>
      <c r="Q481" s="108">
        <f t="shared" si="294"/>
        <v>5.1020408163265302E-3</v>
      </c>
      <c r="R481" s="109">
        <f t="shared" si="295"/>
        <v>0</v>
      </c>
      <c r="S481" s="109">
        <f t="shared" si="296"/>
        <v>2.5510204081632654E-2</v>
      </c>
      <c r="T481" s="109">
        <f t="shared" si="297"/>
        <v>0.12244897959183673</v>
      </c>
      <c r="U481" s="110">
        <f t="shared" si="298"/>
        <v>0.15306122448979592</v>
      </c>
      <c r="V481" s="136"/>
    </row>
    <row r="482" spans="2:22" ht="15.75" hidden="1" x14ac:dyDescent="0.2">
      <c r="B482" s="711">
        <v>46121</v>
      </c>
      <c r="C482" s="105" t="s">
        <v>12</v>
      </c>
      <c r="D482" s="105" t="s">
        <v>23</v>
      </c>
      <c r="E482" s="711">
        <v>46122</v>
      </c>
      <c r="G482" s="835"/>
      <c r="H482" s="113" t="s">
        <v>19</v>
      </c>
      <c r="I482" s="113"/>
      <c r="J482" s="113">
        <f>SUM(J478:J479)</f>
        <v>240</v>
      </c>
      <c r="K482" s="113">
        <f>SUM(K478:K481)</f>
        <v>80</v>
      </c>
      <c r="L482" s="113">
        <f>SUM(L478:L481)</f>
        <v>46</v>
      </c>
      <c r="M482" s="114">
        <f>SUM(M478:M479)</f>
        <v>22</v>
      </c>
      <c r="N482" s="113">
        <f>SUM(N478:N481)</f>
        <v>73</v>
      </c>
      <c r="O482" s="113">
        <v>0</v>
      </c>
      <c r="P482" s="114">
        <f>SUM(P478:P479)</f>
        <v>6</v>
      </c>
      <c r="Q482" s="115">
        <f t="shared" si="294"/>
        <v>0.52500000000000002</v>
      </c>
      <c r="R482" s="116">
        <f t="shared" si="295"/>
        <v>0.30416666666666664</v>
      </c>
      <c r="S482" s="116">
        <f t="shared" si="296"/>
        <v>2.5000000000000001E-2</v>
      </c>
      <c r="T482" s="116">
        <f t="shared" si="297"/>
        <v>0</v>
      </c>
      <c r="U482" s="117">
        <f t="shared" si="298"/>
        <v>0.85416666666666674</v>
      </c>
      <c r="V482" s="127"/>
    </row>
    <row r="483" spans="2:22" ht="15.75" hidden="1" x14ac:dyDescent="0.2">
      <c r="B483" s="711">
        <v>46121</v>
      </c>
      <c r="C483" s="105" t="s">
        <v>18</v>
      </c>
      <c r="D483" s="105" t="s">
        <v>13</v>
      </c>
      <c r="E483" s="711">
        <v>46121</v>
      </c>
      <c r="G483" s="833">
        <v>46121</v>
      </c>
      <c r="H483" s="106" t="s">
        <v>16</v>
      </c>
      <c r="I483" s="120" t="s">
        <v>83</v>
      </c>
      <c r="J483" s="106">
        <v>28</v>
      </c>
      <c r="K483" s="106">
        <f>J483-L483-M483-N483-O483-P483</f>
        <v>10</v>
      </c>
      <c r="L483" s="106">
        <v>0</v>
      </c>
      <c r="M483" s="107">
        <v>0</v>
      </c>
      <c r="N483" s="106">
        <v>0</v>
      </c>
      <c r="O483" s="106">
        <v>18</v>
      </c>
      <c r="P483" s="107">
        <v>0</v>
      </c>
      <c r="Q483" s="108">
        <f t="shared" ref="Q483:Q496" si="309">(K483+L483)/J483</f>
        <v>0.35714285714285715</v>
      </c>
      <c r="R483" s="109">
        <f t="shared" ref="R483:R496" si="310">N483/J483</f>
        <v>0</v>
      </c>
      <c r="S483" s="109">
        <f t="shared" ref="S483:S496" si="311">P483/J483</f>
        <v>0</v>
      </c>
      <c r="T483" s="109">
        <f t="shared" ref="T483:T496" si="312">O483/J483</f>
        <v>0.6428571428571429</v>
      </c>
      <c r="U483" s="110">
        <f t="shared" ref="U483:U496" si="313">S483+R483+Q483+T483</f>
        <v>1</v>
      </c>
      <c r="V483" s="111"/>
    </row>
    <row r="484" spans="2:22" ht="15.75" hidden="1" x14ac:dyDescent="0.2">
      <c r="B484" s="711">
        <v>46121</v>
      </c>
      <c r="C484" s="105" t="s">
        <v>18</v>
      </c>
      <c r="D484" s="105" t="s">
        <v>13</v>
      </c>
      <c r="E484" s="711">
        <v>46121</v>
      </c>
      <c r="G484" s="834"/>
      <c r="H484" s="120" t="s">
        <v>14</v>
      </c>
      <c r="I484" s="120" t="s">
        <v>105</v>
      </c>
      <c r="J484" s="106">
        <v>8</v>
      </c>
      <c r="K484" s="106">
        <f t="shared" ref="K484" si="314">J484-L484-M484-N484-O484-P484</f>
        <v>2</v>
      </c>
      <c r="L484" s="106">
        <v>0</v>
      </c>
      <c r="M484" s="107">
        <v>0</v>
      </c>
      <c r="N484" s="106">
        <v>0</v>
      </c>
      <c r="O484" s="106">
        <v>6</v>
      </c>
      <c r="P484" s="107">
        <v>0</v>
      </c>
      <c r="Q484" s="108">
        <f t="shared" si="309"/>
        <v>0.25</v>
      </c>
      <c r="R484" s="109">
        <f t="shared" si="310"/>
        <v>0</v>
      </c>
      <c r="S484" s="109">
        <f t="shared" si="311"/>
        <v>0</v>
      </c>
      <c r="T484" s="109">
        <f t="shared" si="312"/>
        <v>0.75</v>
      </c>
      <c r="U484" s="110">
        <f t="shared" si="313"/>
        <v>1</v>
      </c>
      <c r="V484" s="111"/>
    </row>
    <row r="485" spans="2:22" ht="15.75" hidden="1" x14ac:dyDescent="0.2">
      <c r="B485" s="711">
        <v>46121</v>
      </c>
      <c r="C485" s="105" t="s">
        <v>18</v>
      </c>
      <c r="D485" s="105" t="s">
        <v>13</v>
      </c>
      <c r="E485" s="711">
        <v>46121</v>
      </c>
      <c r="G485" s="835"/>
      <c r="H485" s="113" t="s">
        <v>19</v>
      </c>
      <c r="I485" s="113"/>
      <c r="J485" s="113">
        <f t="shared" ref="J485:P485" si="315">SUM(J483:J484)</f>
        <v>36</v>
      </c>
      <c r="K485" s="113">
        <f t="shared" si="315"/>
        <v>12</v>
      </c>
      <c r="L485" s="113">
        <f t="shared" si="315"/>
        <v>0</v>
      </c>
      <c r="M485" s="113">
        <f t="shared" si="315"/>
        <v>0</v>
      </c>
      <c r="N485" s="113">
        <f t="shared" si="315"/>
        <v>0</v>
      </c>
      <c r="O485" s="114">
        <f t="shared" si="315"/>
        <v>24</v>
      </c>
      <c r="P485" s="114">
        <f t="shared" si="315"/>
        <v>0</v>
      </c>
      <c r="Q485" s="115">
        <f t="shared" si="309"/>
        <v>0.33333333333333331</v>
      </c>
      <c r="R485" s="116">
        <f t="shared" si="310"/>
        <v>0</v>
      </c>
      <c r="S485" s="116">
        <f t="shared" si="311"/>
        <v>0</v>
      </c>
      <c r="T485" s="116">
        <f t="shared" si="312"/>
        <v>0.66666666666666663</v>
      </c>
      <c r="U485" s="117">
        <f t="shared" si="313"/>
        <v>1</v>
      </c>
      <c r="V485" s="127"/>
    </row>
    <row r="486" spans="2:22" ht="15.75" hidden="1" x14ac:dyDescent="0.2">
      <c r="B486" s="711">
        <v>46121</v>
      </c>
      <c r="C486" s="105" t="s">
        <v>18</v>
      </c>
      <c r="D486" s="105" t="s">
        <v>13</v>
      </c>
      <c r="E486" s="711">
        <v>46122</v>
      </c>
      <c r="G486" s="833">
        <v>46122</v>
      </c>
      <c r="H486" s="106" t="s">
        <v>16</v>
      </c>
      <c r="I486" s="120" t="s">
        <v>83</v>
      </c>
      <c r="J486" s="106">
        <v>223</v>
      </c>
      <c r="K486" s="106">
        <f>J486-L486-M486-N486-O486-P486</f>
        <v>149</v>
      </c>
      <c r="L486" s="106">
        <v>45</v>
      </c>
      <c r="M486" s="107">
        <v>11</v>
      </c>
      <c r="N486" s="106">
        <v>0</v>
      </c>
      <c r="O486" s="106">
        <v>18</v>
      </c>
      <c r="P486" s="107">
        <v>0</v>
      </c>
      <c r="Q486" s="108">
        <f t="shared" si="309"/>
        <v>0.8699551569506726</v>
      </c>
      <c r="R486" s="109">
        <f t="shared" si="310"/>
        <v>0</v>
      </c>
      <c r="S486" s="109">
        <f t="shared" si="311"/>
        <v>0</v>
      </c>
      <c r="T486" s="109">
        <f t="shared" si="312"/>
        <v>8.0717488789237665E-2</v>
      </c>
      <c r="U486" s="110">
        <f t="shared" si="313"/>
        <v>0.95067264573991028</v>
      </c>
      <c r="V486" s="111" t="s">
        <v>107</v>
      </c>
    </row>
    <row r="487" spans="2:22" ht="15.75" hidden="1" x14ac:dyDescent="0.2">
      <c r="B487" s="711">
        <v>46121</v>
      </c>
      <c r="C487" s="105" t="s">
        <v>18</v>
      </c>
      <c r="D487" s="105" t="s">
        <v>13</v>
      </c>
      <c r="E487" s="711">
        <v>46122</v>
      </c>
      <c r="G487" s="834"/>
      <c r="H487" s="106" t="s">
        <v>84</v>
      </c>
      <c r="I487" s="120" t="s">
        <v>22</v>
      </c>
      <c r="J487" s="106">
        <v>17</v>
      </c>
      <c r="K487" s="106">
        <f t="shared" ref="K487:K489" si="316">J487-L487-M487-N487-O487-P487</f>
        <v>3</v>
      </c>
      <c r="L487" s="106">
        <v>0</v>
      </c>
      <c r="M487" s="107">
        <v>13</v>
      </c>
      <c r="N487" s="106">
        <v>0</v>
      </c>
      <c r="O487" s="106">
        <v>0</v>
      </c>
      <c r="P487" s="107">
        <v>1</v>
      </c>
      <c r="Q487" s="108">
        <f t="shared" si="309"/>
        <v>0.17647058823529413</v>
      </c>
      <c r="R487" s="109">
        <f t="shared" si="310"/>
        <v>0</v>
      </c>
      <c r="S487" s="109">
        <f t="shared" si="311"/>
        <v>5.8823529411764705E-2</v>
      </c>
      <c r="T487" s="109">
        <f t="shared" si="312"/>
        <v>0</v>
      </c>
      <c r="U487" s="110">
        <f t="shared" si="313"/>
        <v>0.23529411764705882</v>
      </c>
      <c r="V487" s="111"/>
    </row>
    <row r="488" spans="2:22" ht="15.75" hidden="1" x14ac:dyDescent="0.2">
      <c r="B488" s="711">
        <v>46121</v>
      </c>
      <c r="C488" s="105" t="s">
        <v>18</v>
      </c>
      <c r="D488" s="105" t="s">
        <v>13</v>
      </c>
      <c r="E488" s="711">
        <v>46122</v>
      </c>
      <c r="G488" s="834"/>
      <c r="H488" s="120" t="s">
        <v>14</v>
      </c>
      <c r="I488" s="120" t="s">
        <v>105</v>
      </c>
      <c r="J488" s="106">
        <v>195</v>
      </c>
      <c r="K488" s="106">
        <f t="shared" si="316"/>
        <v>2</v>
      </c>
      <c r="L488" s="106">
        <v>0</v>
      </c>
      <c r="M488" s="107">
        <v>190</v>
      </c>
      <c r="N488" s="106">
        <v>0</v>
      </c>
      <c r="O488" s="106">
        <v>0</v>
      </c>
      <c r="P488" s="107">
        <v>3</v>
      </c>
      <c r="Q488" s="108">
        <f t="shared" si="309"/>
        <v>1.0256410256410256E-2</v>
      </c>
      <c r="R488" s="109">
        <f t="shared" si="310"/>
        <v>0</v>
      </c>
      <c r="S488" s="109">
        <f t="shared" si="311"/>
        <v>1.5384615384615385E-2</v>
      </c>
      <c r="T488" s="109">
        <f t="shared" si="312"/>
        <v>0</v>
      </c>
      <c r="U488" s="110">
        <f t="shared" si="313"/>
        <v>2.564102564102564E-2</v>
      </c>
      <c r="V488" s="136"/>
    </row>
    <row r="489" spans="2:22" ht="15.75" hidden="1" x14ac:dyDescent="0.2">
      <c r="B489" s="711">
        <v>46121</v>
      </c>
      <c r="C489" s="105" t="s">
        <v>18</v>
      </c>
      <c r="D489" s="105" t="s">
        <v>13</v>
      </c>
      <c r="E489" s="711">
        <v>46122</v>
      </c>
      <c r="G489" s="834"/>
      <c r="H489" s="120" t="s">
        <v>17</v>
      </c>
      <c r="I489" s="120" t="s">
        <v>106</v>
      </c>
      <c r="J489" s="106">
        <v>196</v>
      </c>
      <c r="K489" s="106">
        <f t="shared" si="316"/>
        <v>121</v>
      </c>
      <c r="L489" s="106">
        <v>17</v>
      </c>
      <c r="M489" s="107">
        <v>30</v>
      </c>
      <c r="N489" s="106">
        <v>0</v>
      </c>
      <c r="O489" s="106">
        <v>23</v>
      </c>
      <c r="P489" s="107">
        <v>5</v>
      </c>
      <c r="Q489" s="108">
        <f t="shared" si="309"/>
        <v>0.70408163265306123</v>
      </c>
      <c r="R489" s="109">
        <f t="shared" si="310"/>
        <v>0</v>
      </c>
      <c r="S489" s="109">
        <f t="shared" si="311"/>
        <v>2.5510204081632654E-2</v>
      </c>
      <c r="T489" s="109">
        <f t="shared" si="312"/>
        <v>0.11734693877551021</v>
      </c>
      <c r="U489" s="110">
        <f t="shared" si="313"/>
        <v>0.84693877551020402</v>
      </c>
      <c r="V489" s="136" t="s">
        <v>108</v>
      </c>
    </row>
    <row r="490" spans="2:22" ht="15.75" hidden="1" x14ac:dyDescent="0.2">
      <c r="B490" s="711">
        <v>46121</v>
      </c>
      <c r="C490" s="105" t="s">
        <v>18</v>
      </c>
      <c r="D490" s="105" t="s">
        <v>13</v>
      </c>
      <c r="E490" s="711">
        <v>46122</v>
      </c>
      <c r="G490" s="835"/>
      <c r="H490" s="113" t="s">
        <v>19</v>
      </c>
      <c r="I490" s="113"/>
      <c r="J490" s="178">
        <f t="shared" ref="J490:P490" si="317">SUM(J486:J489)</f>
        <v>631</v>
      </c>
      <c r="K490" s="178">
        <f t="shared" si="317"/>
        <v>275</v>
      </c>
      <c r="L490" s="178">
        <f t="shared" si="317"/>
        <v>62</v>
      </c>
      <c r="M490" s="178">
        <f t="shared" si="317"/>
        <v>244</v>
      </c>
      <c r="N490" s="178">
        <f t="shared" si="317"/>
        <v>0</v>
      </c>
      <c r="O490" s="178">
        <f t="shared" si="317"/>
        <v>41</v>
      </c>
      <c r="P490" s="114">
        <f t="shared" si="317"/>
        <v>9</v>
      </c>
      <c r="Q490" s="115">
        <f t="shared" si="309"/>
        <v>0.53407290015847864</v>
      </c>
      <c r="R490" s="116">
        <f t="shared" si="310"/>
        <v>0</v>
      </c>
      <c r="S490" s="116">
        <f t="shared" si="311"/>
        <v>1.4263074484944533E-2</v>
      </c>
      <c r="T490" s="116">
        <f t="shared" si="312"/>
        <v>6.4976228209191758E-2</v>
      </c>
      <c r="U490" s="117">
        <f t="shared" si="313"/>
        <v>0.61331220285261501</v>
      </c>
      <c r="V490" s="127"/>
    </row>
    <row r="491" spans="2:22" ht="15.75" hidden="1" x14ac:dyDescent="0.2">
      <c r="B491" s="711">
        <v>46122</v>
      </c>
      <c r="C491" s="105" t="s">
        <v>22</v>
      </c>
      <c r="D491" s="105" t="s">
        <v>20</v>
      </c>
      <c r="E491" s="711">
        <v>46122</v>
      </c>
      <c r="G491" s="833">
        <v>46122</v>
      </c>
      <c r="H491" s="106" t="s">
        <v>16</v>
      </c>
      <c r="I491" s="120" t="s">
        <v>103</v>
      </c>
      <c r="J491" s="106">
        <f t="shared" ref="J491:J495" si="318">SUM(K491:P491)</f>
        <v>32</v>
      </c>
      <c r="K491" s="106">
        <v>11</v>
      </c>
      <c r="L491" s="106">
        <v>12</v>
      </c>
      <c r="M491" s="107">
        <v>0</v>
      </c>
      <c r="N491" s="106">
        <v>0</v>
      </c>
      <c r="O491" s="106">
        <v>2</v>
      </c>
      <c r="P491" s="107">
        <v>7</v>
      </c>
      <c r="Q491" s="108">
        <f t="shared" si="309"/>
        <v>0.71875</v>
      </c>
      <c r="R491" s="109">
        <f t="shared" si="310"/>
        <v>0</v>
      </c>
      <c r="S491" s="109">
        <f t="shared" si="311"/>
        <v>0.21875</v>
      </c>
      <c r="T491" s="109">
        <f t="shared" si="312"/>
        <v>6.25E-2</v>
      </c>
      <c r="U491" s="110">
        <f t="shared" si="313"/>
        <v>1</v>
      </c>
      <c r="V491" s="111"/>
    </row>
    <row r="492" spans="2:22" ht="15.75" hidden="1" x14ac:dyDescent="0.2">
      <c r="B492" s="711">
        <v>46122</v>
      </c>
      <c r="C492" s="105" t="s">
        <v>22</v>
      </c>
      <c r="D492" s="105" t="s">
        <v>20</v>
      </c>
      <c r="E492" s="711">
        <v>46122</v>
      </c>
      <c r="G492" s="834"/>
      <c r="H492" s="106" t="s">
        <v>84</v>
      </c>
      <c r="I492" s="120" t="s">
        <v>22</v>
      </c>
      <c r="J492" s="106">
        <f t="shared" si="318"/>
        <v>56</v>
      </c>
      <c r="K492" s="106">
        <v>54</v>
      </c>
      <c r="L492" s="106">
        <v>1</v>
      </c>
      <c r="M492" s="107">
        <v>1</v>
      </c>
      <c r="N492" s="106">
        <v>0</v>
      </c>
      <c r="O492" s="106">
        <v>0</v>
      </c>
      <c r="P492" s="107">
        <v>0</v>
      </c>
      <c r="Q492" s="108">
        <f t="shared" si="309"/>
        <v>0.9821428571428571</v>
      </c>
      <c r="R492" s="109">
        <f t="shared" si="310"/>
        <v>0</v>
      </c>
      <c r="S492" s="109">
        <f t="shared" si="311"/>
        <v>0</v>
      </c>
      <c r="T492" s="109">
        <f t="shared" si="312"/>
        <v>0</v>
      </c>
      <c r="U492" s="110">
        <f t="shared" si="313"/>
        <v>0.9821428571428571</v>
      </c>
      <c r="V492" s="111"/>
    </row>
    <row r="493" spans="2:22" ht="15.75" hidden="1" x14ac:dyDescent="0.2">
      <c r="B493" s="711">
        <v>46122</v>
      </c>
      <c r="C493" s="105" t="s">
        <v>22</v>
      </c>
      <c r="D493" s="105" t="s">
        <v>20</v>
      </c>
      <c r="E493" s="711">
        <v>46122</v>
      </c>
      <c r="G493" s="834"/>
      <c r="H493" s="120" t="s">
        <v>17</v>
      </c>
      <c r="I493" s="120" t="s">
        <v>106</v>
      </c>
      <c r="J493" s="106">
        <f t="shared" si="318"/>
        <v>44</v>
      </c>
      <c r="K493" s="106">
        <v>22</v>
      </c>
      <c r="L493" s="106">
        <v>11</v>
      </c>
      <c r="M493" s="106">
        <v>0</v>
      </c>
      <c r="N493" s="106">
        <v>0</v>
      </c>
      <c r="O493" s="106">
        <v>10</v>
      </c>
      <c r="P493" s="106">
        <v>1</v>
      </c>
      <c r="Q493" s="108">
        <f t="shared" si="309"/>
        <v>0.75</v>
      </c>
      <c r="R493" s="109">
        <f t="shared" si="310"/>
        <v>0</v>
      </c>
      <c r="S493" s="109">
        <f t="shared" si="311"/>
        <v>2.2727272727272728E-2</v>
      </c>
      <c r="T493" s="109">
        <f t="shared" si="312"/>
        <v>0.22727272727272727</v>
      </c>
      <c r="U493" s="110">
        <f t="shared" si="313"/>
        <v>1</v>
      </c>
      <c r="V493" s="111"/>
    </row>
    <row r="494" spans="2:22" ht="15.75" hidden="1" x14ac:dyDescent="0.2">
      <c r="B494" s="711">
        <v>46122</v>
      </c>
      <c r="C494" s="105" t="s">
        <v>22</v>
      </c>
      <c r="D494" s="105" t="s">
        <v>20</v>
      </c>
      <c r="E494" s="711">
        <v>46122</v>
      </c>
      <c r="G494" s="834"/>
      <c r="H494" s="120" t="s">
        <v>14</v>
      </c>
      <c r="I494" s="120" t="s">
        <v>105</v>
      </c>
      <c r="J494" s="106">
        <f t="shared" ref="J494" si="319">SUM(K494:P494)</f>
        <v>197</v>
      </c>
      <c r="K494" s="106">
        <v>26</v>
      </c>
      <c r="L494" s="106">
        <v>4</v>
      </c>
      <c r="M494" s="106">
        <v>22</v>
      </c>
      <c r="N494" s="106">
        <v>142</v>
      </c>
      <c r="O494" s="106">
        <v>0</v>
      </c>
      <c r="P494" s="106">
        <v>3</v>
      </c>
      <c r="Q494" s="108">
        <f t="shared" ref="Q494" si="320">(K494+L494)/J494</f>
        <v>0.15228426395939088</v>
      </c>
      <c r="R494" s="109">
        <f t="shared" ref="R494" si="321">N494/J494</f>
        <v>0.7208121827411168</v>
      </c>
      <c r="S494" s="109">
        <f t="shared" ref="S494" si="322">P494/J494</f>
        <v>1.5228426395939087E-2</v>
      </c>
      <c r="T494" s="109">
        <f t="shared" ref="T494" si="323">O494/J494</f>
        <v>0</v>
      </c>
      <c r="U494" s="110">
        <f t="shared" ref="U494" si="324">S494+R494+Q494+T494</f>
        <v>0.88832487309644681</v>
      </c>
      <c r="V494" s="136"/>
    </row>
    <row r="495" spans="2:22" ht="15.75" hidden="1" x14ac:dyDescent="0.2">
      <c r="B495" s="711">
        <v>46122</v>
      </c>
      <c r="C495" s="105" t="s">
        <v>22</v>
      </c>
      <c r="D495" s="105" t="s">
        <v>20</v>
      </c>
      <c r="E495" s="711">
        <v>46122</v>
      </c>
      <c r="G495" s="834"/>
      <c r="H495" s="106" t="s">
        <v>16</v>
      </c>
      <c r="I495" s="120" t="s">
        <v>103</v>
      </c>
      <c r="J495" s="106">
        <f t="shared" si="318"/>
        <v>239</v>
      </c>
      <c r="K495" s="106">
        <v>0</v>
      </c>
      <c r="L495" s="106">
        <v>0</v>
      </c>
      <c r="M495" s="106">
        <v>217</v>
      </c>
      <c r="N495" s="106">
        <v>21</v>
      </c>
      <c r="O495" s="106">
        <v>0</v>
      </c>
      <c r="P495" s="106">
        <v>1</v>
      </c>
      <c r="Q495" s="108">
        <f t="shared" si="309"/>
        <v>0</v>
      </c>
      <c r="R495" s="109">
        <f t="shared" si="310"/>
        <v>8.7866108786610872E-2</v>
      </c>
      <c r="S495" s="109">
        <f t="shared" si="311"/>
        <v>4.1841004184100415E-3</v>
      </c>
      <c r="T495" s="109">
        <f t="shared" si="312"/>
        <v>0</v>
      </c>
      <c r="U495" s="110">
        <f t="shared" si="313"/>
        <v>9.2050209205020911E-2</v>
      </c>
      <c r="V495" s="136"/>
    </row>
    <row r="496" spans="2:22" ht="15.75" hidden="1" x14ac:dyDescent="0.2">
      <c r="B496" s="711">
        <v>46122</v>
      </c>
      <c r="C496" s="105" t="s">
        <v>22</v>
      </c>
      <c r="D496" s="105" t="s">
        <v>20</v>
      </c>
      <c r="E496" s="711">
        <v>46122</v>
      </c>
      <c r="G496" s="835"/>
      <c r="H496" s="113" t="s">
        <v>19</v>
      </c>
      <c r="I496" s="113"/>
      <c r="J496" s="113">
        <f>SUM(J491:J493)</f>
        <v>132</v>
      </c>
      <c r="K496" s="113">
        <f>SUM(K491:K495)</f>
        <v>113</v>
      </c>
      <c r="L496" s="113">
        <f>SUM(L491:L495)</f>
        <v>28</v>
      </c>
      <c r="M496" s="114">
        <f>SUM(M491:M493)</f>
        <v>1</v>
      </c>
      <c r="N496" s="113">
        <f>SUM(N491:N495)</f>
        <v>163</v>
      </c>
      <c r="O496" s="113">
        <v>0</v>
      </c>
      <c r="P496" s="114">
        <f>SUM(P491:P493)</f>
        <v>8</v>
      </c>
      <c r="Q496" s="115">
        <f t="shared" si="309"/>
        <v>1.0681818181818181</v>
      </c>
      <c r="R496" s="116">
        <f t="shared" si="310"/>
        <v>1.2348484848484849</v>
      </c>
      <c r="S496" s="116">
        <f t="shared" si="311"/>
        <v>6.0606060606060608E-2</v>
      </c>
      <c r="T496" s="116">
        <f t="shared" si="312"/>
        <v>0</v>
      </c>
      <c r="U496" s="117">
        <f t="shared" si="313"/>
        <v>2.3636363636363633</v>
      </c>
      <c r="V496" s="127"/>
    </row>
    <row r="497" spans="2:22" ht="15.75" hidden="1" x14ac:dyDescent="0.2">
      <c r="B497" s="711">
        <v>46122</v>
      </c>
      <c r="C497" s="105" t="s">
        <v>12</v>
      </c>
      <c r="D497" s="105" t="s">
        <v>23</v>
      </c>
      <c r="E497" s="711">
        <v>46123</v>
      </c>
      <c r="G497" s="833">
        <v>46123</v>
      </c>
      <c r="H497" s="106" t="s">
        <v>16</v>
      </c>
      <c r="I497" s="120" t="s">
        <v>83</v>
      </c>
      <c r="J497" s="106">
        <v>248</v>
      </c>
      <c r="K497" s="106">
        <f>248-109</f>
        <v>139</v>
      </c>
      <c r="L497" s="106">
        <v>50</v>
      </c>
      <c r="M497" s="107">
        <v>15</v>
      </c>
      <c r="N497" s="106">
        <v>23</v>
      </c>
      <c r="O497" s="106">
        <v>20</v>
      </c>
      <c r="P497" s="107">
        <v>1</v>
      </c>
      <c r="Q497" s="108">
        <f t="shared" ref="Q497:Q512" si="325">(K497+L497)/J497</f>
        <v>0.76209677419354838</v>
      </c>
      <c r="R497" s="109">
        <f t="shared" ref="R497:R512" si="326">N497/J497</f>
        <v>9.2741935483870969E-2</v>
      </c>
      <c r="S497" s="109">
        <f t="shared" ref="S497:S512" si="327">P497/J497</f>
        <v>4.0322580645161289E-3</v>
      </c>
      <c r="T497" s="109">
        <f t="shared" ref="T497:T512" si="328">O497/J497</f>
        <v>8.0645161290322578E-2</v>
      </c>
      <c r="U497" s="110">
        <f t="shared" ref="U497:U512" si="329">S497+R497+Q497+T497</f>
        <v>0.93951612903225812</v>
      </c>
      <c r="V497" s="111"/>
    </row>
    <row r="498" spans="2:22" ht="15.75" hidden="1" x14ac:dyDescent="0.2">
      <c r="B498" s="711">
        <v>46122</v>
      </c>
      <c r="C498" s="105" t="s">
        <v>12</v>
      </c>
      <c r="D498" s="105" t="s">
        <v>23</v>
      </c>
      <c r="E498" s="711">
        <v>46123</v>
      </c>
      <c r="G498" s="834"/>
      <c r="H498" s="106" t="s">
        <v>84</v>
      </c>
      <c r="I498" s="120" t="s">
        <v>22</v>
      </c>
      <c r="J498" s="106">
        <v>4</v>
      </c>
      <c r="K498" s="106">
        <v>0</v>
      </c>
      <c r="L498" s="106">
        <v>0</v>
      </c>
      <c r="M498" s="107">
        <v>4</v>
      </c>
      <c r="N498" s="106">
        <v>0</v>
      </c>
      <c r="O498" s="106">
        <v>0</v>
      </c>
      <c r="P498" s="107">
        <v>0</v>
      </c>
      <c r="Q498" s="108">
        <f t="shared" si="325"/>
        <v>0</v>
      </c>
      <c r="R498" s="109">
        <f t="shared" si="326"/>
        <v>0</v>
      </c>
      <c r="S498" s="109">
        <f t="shared" si="327"/>
        <v>0</v>
      </c>
      <c r="T498" s="109">
        <f t="shared" si="328"/>
        <v>0</v>
      </c>
      <c r="U498" s="110">
        <f t="shared" si="329"/>
        <v>0</v>
      </c>
      <c r="V498" s="111"/>
    </row>
    <row r="499" spans="2:22" ht="15.75" hidden="1" x14ac:dyDescent="0.2">
      <c r="B499" s="711">
        <v>46122</v>
      </c>
      <c r="C499" s="105" t="s">
        <v>12</v>
      </c>
      <c r="D499" s="105" t="s">
        <v>23</v>
      </c>
      <c r="E499" s="711">
        <v>46123</v>
      </c>
      <c r="G499" s="834"/>
      <c r="H499" s="120" t="s">
        <v>14</v>
      </c>
      <c r="I499" s="120" t="s">
        <v>105</v>
      </c>
      <c r="J499" s="106">
        <v>233</v>
      </c>
      <c r="K499" s="106">
        <v>2</v>
      </c>
      <c r="L499" s="106">
        <v>2</v>
      </c>
      <c r="M499" s="106">
        <v>224</v>
      </c>
      <c r="N499" s="106">
        <v>0</v>
      </c>
      <c r="O499" s="106">
        <v>0</v>
      </c>
      <c r="P499" s="106">
        <v>5</v>
      </c>
      <c r="Q499" s="108">
        <f t="shared" si="325"/>
        <v>1.7167381974248927E-2</v>
      </c>
      <c r="R499" s="109">
        <f t="shared" si="326"/>
        <v>0</v>
      </c>
      <c r="S499" s="109">
        <f t="shared" si="327"/>
        <v>2.1459227467811159E-2</v>
      </c>
      <c r="T499" s="109">
        <f t="shared" si="328"/>
        <v>0</v>
      </c>
      <c r="U499" s="110">
        <f t="shared" si="329"/>
        <v>3.8626609442060089E-2</v>
      </c>
      <c r="V499" s="136"/>
    </row>
    <row r="500" spans="2:22" ht="15.75" hidden="1" x14ac:dyDescent="0.2">
      <c r="B500" s="711">
        <v>46122</v>
      </c>
      <c r="C500" s="105" t="s">
        <v>12</v>
      </c>
      <c r="D500" s="105" t="s">
        <v>23</v>
      </c>
      <c r="E500" s="711">
        <v>46123</v>
      </c>
      <c r="G500" s="835"/>
      <c r="H500" s="113" t="s">
        <v>19</v>
      </c>
      <c r="I500" s="113"/>
      <c r="J500" s="113">
        <f t="shared" ref="J500:P500" si="330">SUM(J497:J499)</f>
        <v>485</v>
      </c>
      <c r="K500" s="113">
        <f t="shared" si="330"/>
        <v>141</v>
      </c>
      <c r="L500" s="113">
        <f t="shared" si="330"/>
        <v>52</v>
      </c>
      <c r="M500" s="114">
        <f t="shared" si="330"/>
        <v>243</v>
      </c>
      <c r="N500" s="113">
        <f t="shared" si="330"/>
        <v>23</v>
      </c>
      <c r="O500" s="113">
        <f t="shared" si="330"/>
        <v>20</v>
      </c>
      <c r="P500" s="114">
        <f t="shared" si="330"/>
        <v>6</v>
      </c>
      <c r="Q500" s="115">
        <f t="shared" si="325"/>
        <v>0.39793814432989688</v>
      </c>
      <c r="R500" s="116">
        <f t="shared" si="326"/>
        <v>4.7422680412371132E-2</v>
      </c>
      <c r="S500" s="116">
        <f t="shared" si="327"/>
        <v>1.2371134020618556E-2</v>
      </c>
      <c r="T500" s="116">
        <f t="shared" si="328"/>
        <v>4.1237113402061855E-2</v>
      </c>
      <c r="U500" s="117">
        <f t="shared" si="329"/>
        <v>0.49896907216494846</v>
      </c>
      <c r="V500" s="127"/>
    </row>
    <row r="501" spans="2:22" ht="15.75" hidden="1" x14ac:dyDescent="0.2">
      <c r="B501" s="711">
        <v>46122</v>
      </c>
      <c r="C501" s="105" t="s">
        <v>18</v>
      </c>
      <c r="D501" s="105" t="s">
        <v>13</v>
      </c>
      <c r="E501" s="711">
        <v>46123</v>
      </c>
      <c r="G501" s="833">
        <v>46122</v>
      </c>
      <c r="H501" s="106" t="s">
        <v>16</v>
      </c>
      <c r="I501" s="120" t="s">
        <v>103</v>
      </c>
      <c r="J501" s="106">
        <v>240</v>
      </c>
      <c r="K501" s="106">
        <f>J501-L501-M501-N501-O501-P501</f>
        <v>149</v>
      </c>
      <c r="L501" s="106">
        <v>45</v>
      </c>
      <c r="M501" s="107">
        <v>29</v>
      </c>
      <c r="N501" s="106">
        <v>0</v>
      </c>
      <c r="O501" s="106">
        <v>16</v>
      </c>
      <c r="P501" s="107">
        <v>1</v>
      </c>
      <c r="Q501" s="108">
        <f t="shared" si="325"/>
        <v>0.80833333333333335</v>
      </c>
      <c r="R501" s="109">
        <f t="shared" si="326"/>
        <v>0</v>
      </c>
      <c r="S501" s="109">
        <f t="shared" si="327"/>
        <v>4.1666666666666666E-3</v>
      </c>
      <c r="T501" s="109">
        <f t="shared" si="328"/>
        <v>6.6666666666666666E-2</v>
      </c>
      <c r="U501" s="110">
        <f t="shared" si="329"/>
        <v>0.87916666666666665</v>
      </c>
      <c r="V501" s="111"/>
    </row>
    <row r="502" spans="2:22" ht="15.75" hidden="1" x14ac:dyDescent="0.2">
      <c r="B502" s="711">
        <v>46122</v>
      </c>
      <c r="C502" s="105" t="s">
        <v>18</v>
      </c>
      <c r="D502" s="105" t="s">
        <v>13</v>
      </c>
      <c r="E502" s="711">
        <v>46123</v>
      </c>
      <c r="G502" s="834"/>
      <c r="H502" s="106" t="s">
        <v>84</v>
      </c>
      <c r="I502" s="120" t="s">
        <v>22</v>
      </c>
      <c r="J502" s="106">
        <v>4</v>
      </c>
      <c r="K502" s="106">
        <f t="shared" ref="K502:K503" si="331">J502-L502-M502-N502-O502-P502</f>
        <v>4</v>
      </c>
      <c r="L502" s="106">
        <v>0</v>
      </c>
      <c r="M502" s="107">
        <v>0</v>
      </c>
      <c r="N502" s="106">
        <v>0</v>
      </c>
      <c r="O502" s="106">
        <v>0</v>
      </c>
      <c r="P502" s="107">
        <v>0</v>
      </c>
      <c r="Q502" s="108">
        <f t="shared" si="325"/>
        <v>1</v>
      </c>
      <c r="R502" s="109">
        <f t="shared" si="326"/>
        <v>0</v>
      </c>
      <c r="S502" s="109">
        <f t="shared" si="327"/>
        <v>0</v>
      </c>
      <c r="T502" s="109">
        <f t="shared" si="328"/>
        <v>0</v>
      </c>
      <c r="U502" s="110">
        <f t="shared" si="329"/>
        <v>1</v>
      </c>
      <c r="V502" s="111"/>
    </row>
    <row r="503" spans="2:22" ht="15.75" hidden="1" x14ac:dyDescent="0.2">
      <c r="B503" s="711">
        <v>46122</v>
      </c>
      <c r="C503" s="105" t="s">
        <v>18</v>
      </c>
      <c r="D503" s="105" t="s">
        <v>13</v>
      </c>
      <c r="E503" s="711">
        <v>46123</v>
      </c>
      <c r="G503" s="834"/>
      <c r="H503" s="120" t="s">
        <v>14</v>
      </c>
      <c r="I503" s="120" t="s">
        <v>110</v>
      </c>
      <c r="J503" s="106">
        <v>253</v>
      </c>
      <c r="K503" s="106">
        <f t="shared" si="331"/>
        <v>82</v>
      </c>
      <c r="L503" s="106">
        <v>55</v>
      </c>
      <c r="M503" s="107">
        <v>98</v>
      </c>
      <c r="N503" s="106">
        <v>0</v>
      </c>
      <c r="O503" s="106">
        <v>15</v>
      </c>
      <c r="P503" s="107">
        <v>3</v>
      </c>
      <c r="Q503" s="108">
        <f t="shared" si="325"/>
        <v>0.54150197628458496</v>
      </c>
      <c r="R503" s="109">
        <f t="shared" si="326"/>
        <v>0</v>
      </c>
      <c r="S503" s="109">
        <f t="shared" si="327"/>
        <v>1.1857707509881422E-2</v>
      </c>
      <c r="T503" s="109">
        <f t="shared" si="328"/>
        <v>5.9288537549407112E-2</v>
      </c>
      <c r="U503" s="110">
        <f t="shared" si="329"/>
        <v>0.61264822134387353</v>
      </c>
      <c r="V503" s="136"/>
    </row>
    <row r="504" spans="2:22" ht="15.75" hidden="1" x14ac:dyDescent="0.2">
      <c r="B504" s="711">
        <v>46122</v>
      </c>
      <c r="C504" s="105" t="s">
        <v>18</v>
      </c>
      <c r="D504" s="105" t="s">
        <v>13</v>
      </c>
      <c r="E504" s="711">
        <v>46123</v>
      </c>
      <c r="G504" s="835"/>
      <c r="H504" s="113" t="s">
        <v>19</v>
      </c>
      <c r="I504" s="113"/>
      <c r="J504" s="113">
        <f t="shared" ref="J504:P504" si="332">SUM(J501:J503)</f>
        <v>497</v>
      </c>
      <c r="K504" s="113">
        <f t="shared" si="332"/>
        <v>235</v>
      </c>
      <c r="L504" s="113">
        <f t="shared" si="332"/>
        <v>100</v>
      </c>
      <c r="M504" s="114">
        <f t="shared" si="332"/>
        <v>127</v>
      </c>
      <c r="N504" s="113">
        <f t="shared" si="332"/>
        <v>0</v>
      </c>
      <c r="O504" s="113">
        <f t="shared" si="332"/>
        <v>31</v>
      </c>
      <c r="P504" s="114">
        <f t="shared" si="332"/>
        <v>4</v>
      </c>
      <c r="Q504" s="115">
        <f t="shared" si="325"/>
        <v>0.67404426559356134</v>
      </c>
      <c r="R504" s="116">
        <f t="shared" si="326"/>
        <v>0</v>
      </c>
      <c r="S504" s="116">
        <f t="shared" si="327"/>
        <v>8.0482897384305842E-3</v>
      </c>
      <c r="T504" s="116">
        <f t="shared" si="328"/>
        <v>6.2374245472837021E-2</v>
      </c>
      <c r="U504" s="117">
        <f t="shared" si="329"/>
        <v>0.74446680080482897</v>
      </c>
      <c r="V504" s="127"/>
    </row>
    <row r="505" spans="2:22" ht="15.75" hidden="1" x14ac:dyDescent="0.2">
      <c r="B505" s="711">
        <v>46123</v>
      </c>
      <c r="C505" s="105" t="s">
        <v>22</v>
      </c>
      <c r="D505" s="105" t="s">
        <v>20</v>
      </c>
      <c r="E505" s="711">
        <v>46123</v>
      </c>
      <c r="G505" s="833">
        <v>46123</v>
      </c>
      <c r="H505" s="106" t="s">
        <v>16</v>
      </c>
      <c r="I505" s="120" t="s">
        <v>103</v>
      </c>
      <c r="J505" s="106">
        <f t="shared" ref="J505:J511" si="333">SUM(K505:P505)</f>
        <v>35</v>
      </c>
      <c r="K505" s="106">
        <v>0</v>
      </c>
      <c r="L505" s="106">
        <v>17</v>
      </c>
      <c r="M505" s="107">
        <v>0</v>
      </c>
      <c r="N505" s="106">
        <v>0</v>
      </c>
      <c r="O505" s="106">
        <v>17</v>
      </c>
      <c r="P505" s="107">
        <v>1</v>
      </c>
      <c r="Q505" s="108">
        <f t="shared" si="325"/>
        <v>0.48571428571428571</v>
      </c>
      <c r="R505" s="109">
        <f t="shared" si="326"/>
        <v>0</v>
      </c>
      <c r="S505" s="109">
        <f t="shared" si="327"/>
        <v>2.8571428571428571E-2</v>
      </c>
      <c r="T505" s="109">
        <f t="shared" si="328"/>
        <v>0.48571428571428571</v>
      </c>
      <c r="U505" s="110">
        <f t="shared" si="329"/>
        <v>1</v>
      </c>
      <c r="V505" s="111"/>
    </row>
    <row r="506" spans="2:22" ht="15.75" hidden="1" x14ac:dyDescent="0.2">
      <c r="B506" s="711">
        <v>46123</v>
      </c>
      <c r="C506" s="105" t="s">
        <v>22</v>
      </c>
      <c r="D506" s="105" t="s">
        <v>20</v>
      </c>
      <c r="E506" s="711">
        <v>46123</v>
      </c>
      <c r="G506" s="834"/>
      <c r="H506" s="106" t="s">
        <v>84</v>
      </c>
      <c r="I506" s="120" t="s">
        <v>22</v>
      </c>
      <c r="J506" s="106">
        <f t="shared" si="333"/>
        <v>47</v>
      </c>
      <c r="K506" s="106">
        <v>41</v>
      </c>
      <c r="L506" s="106">
        <v>3</v>
      </c>
      <c r="M506" s="107">
        <v>3</v>
      </c>
      <c r="N506" s="106">
        <v>0</v>
      </c>
      <c r="O506" s="106">
        <v>0</v>
      </c>
      <c r="P506" s="107">
        <v>0</v>
      </c>
      <c r="Q506" s="108">
        <f t="shared" si="325"/>
        <v>0.93617021276595747</v>
      </c>
      <c r="R506" s="109">
        <f t="shared" si="326"/>
        <v>0</v>
      </c>
      <c r="S506" s="109">
        <f t="shared" si="327"/>
        <v>0</v>
      </c>
      <c r="T506" s="109">
        <f t="shared" si="328"/>
        <v>0</v>
      </c>
      <c r="U506" s="110">
        <f t="shared" si="329"/>
        <v>0.93617021276595747</v>
      </c>
      <c r="V506" s="111"/>
    </row>
    <row r="507" spans="2:22" ht="15.75" hidden="1" x14ac:dyDescent="0.2">
      <c r="B507" s="711">
        <v>46123</v>
      </c>
      <c r="C507" s="105" t="s">
        <v>22</v>
      </c>
      <c r="D507" s="105" t="s">
        <v>20</v>
      </c>
      <c r="E507" s="711">
        <v>46123</v>
      </c>
      <c r="G507" s="834"/>
      <c r="H507" s="120" t="s">
        <v>14</v>
      </c>
      <c r="I507" s="120" t="s">
        <v>110</v>
      </c>
      <c r="J507" s="106">
        <f t="shared" si="333"/>
        <v>105</v>
      </c>
      <c r="K507" s="106">
        <v>58</v>
      </c>
      <c r="L507" s="106">
        <v>31</v>
      </c>
      <c r="M507" s="106">
        <v>0</v>
      </c>
      <c r="N507" s="106">
        <v>0</v>
      </c>
      <c r="O507" s="106">
        <v>13</v>
      </c>
      <c r="P507" s="106">
        <v>3</v>
      </c>
      <c r="Q507" s="108">
        <f t="shared" si="325"/>
        <v>0.84761904761904761</v>
      </c>
      <c r="R507" s="109">
        <f t="shared" si="326"/>
        <v>0</v>
      </c>
      <c r="S507" s="109">
        <f t="shared" si="327"/>
        <v>2.8571428571428571E-2</v>
      </c>
      <c r="T507" s="109">
        <f t="shared" si="328"/>
        <v>0.12380952380952381</v>
      </c>
      <c r="U507" s="110">
        <f t="shared" si="329"/>
        <v>1</v>
      </c>
      <c r="V507" s="111"/>
    </row>
    <row r="508" spans="2:22" ht="15.75" hidden="1" x14ac:dyDescent="0.2">
      <c r="B508" s="711">
        <v>46123</v>
      </c>
      <c r="C508" s="105" t="s">
        <v>22</v>
      </c>
      <c r="D508" s="105" t="s">
        <v>20</v>
      </c>
      <c r="E508" s="711">
        <v>46123</v>
      </c>
      <c r="G508" s="834"/>
      <c r="H508" s="120" t="s">
        <v>17</v>
      </c>
      <c r="I508" s="120" t="s">
        <v>22</v>
      </c>
      <c r="J508" s="106">
        <f t="shared" si="333"/>
        <v>11</v>
      </c>
      <c r="K508" s="106">
        <v>11</v>
      </c>
      <c r="L508" s="106">
        <v>0</v>
      </c>
      <c r="M508" s="106">
        <v>0</v>
      </c>
      <c r="N508" s="106">
        <v>0</v>
      </c>
      <c r="O508" s="106">
        <v>0</v>
      </c>
      <c r="P508" s="106">
        <v>0</v>
      </c>
      <c r="Q508" s="108">
        <f t="shared" si="325"/>
        <v>1</v>
      </c>
      <c r="R508" s="109">
        <f t="shared" si="326"/>
        <v>0</v>
      </c>
      <c r="S508" s="109">
        <f t="shared" si="327"/>
        <v>0</v>
      </c>
      <c r="T508" s="109">
        <f t="shared" si="328"/>
        <v>0</v>
      </c>
      <c r="U508" s="110">
        <f t="shared" si="329"/>
        <v>1</v>
      </c>
      <c r="V508" s="136"/>
    </row>
    <row r="509" spans="2:22" ht="15.75" hidden="1" x14ac:dyDescent="0.2">
      <c r="B509" s="711">
        <v>46123</v>
      </c>
      <c r="C509" s="105" t="s">
        <v>22</v>
      </c>
      <c r="D509" s="105" t="s">
        <v>20</v>
      </c>
      <c r="E509" s="711">
        <v>46123</v>
      </c>
      <c r="G509" s="702"/>
      <c r="H509" s="120" t="s">
        <v>25</v>
      </c>
      <c r="I509" s="120" t="s">
        <v>22</v>
      </c>
      <c r="J509" s="106">
        <f t="shared" si="333"/>
        <v>16</v>
      </c>
      <c r="K509" s="106">
        <v>10</v>
      </c>
      <c r="L509" s="106">
        <v>6</v>
      </c>
      <c r="M509" s="106">
        <v>0</v>
      </c>
      <c r="N509" s="106">
        <v>0</v>
      </c>
      <c r="O509" s="106">
        <v>0</v>
      </c>
      <c r="P509" s="106">
        <v>0</v>
      </c>
      <c r="Q509" s="108">
        <f t="shared" ref="Q509" si="334">(K509+L509)/J509</f>
        <v>1</v>
      </c>
      <c r="R509" s="109">
        <f t="shared" ref="R509" si="335">N509/J509</f>
        <v>0</v>
      </c>
      <c r="S509" s="109">
        <f t="shared" ref="S509" si="336">P509/J509</f>
        <v>0</v>
      </c>
      <c r="T509" s="109">
        <f t="shared" ref="T509" si="337">O509/J509</f>
        <v>0</v>
      </c>
      <c r="U509" s="110">
        <f t="shared" ref="U509" si="338">S509+R509+Q509+T509</f>
        <v>1</v>
      </c>
      <c r="V509" s="136"/>
    </row>
    <row r="510" spans="2:22" ht="15.75" hidden="1" x14ac:dyDescent="0.2">
      <c r="B510" s="711">
        <v>46123</v>
      </c>
      <c r="C510" s="105" t="s">
        <v>22</v>
      </c>
      <c r="D510" s="105" t="s">
        <v>20</v>
      </c>
      <c r="E510" s="711">
        <v>46124</v>
      </c>
      <c r="G510" s="714">
        <v>46124</v>
      </c>
      <c r="H510" s="179" t="s">
        <v>17</v>
      </c>
      <c r="I510" s="179" t="s">
        <v>43</v>
      </c>
      <c r="J510" s="106">
        <f t="shared" si="333"/>
        <v>171</v>
      </c>
      <c r="K510" s="180">
        <v>0</v>
      </c>
      <c r="L510" s="180">
        <v>0</v>
      </c>
      <c r="M510" s="180">
        <v>42</v>
      </c>
      <c r="N510" s="180">
        <v>127</v>
      </c>
      <c r="O510" s="180">
        <v>0</v>
      </c>
      <c r="P510" s="180">
        <v>2</v>
      </c>
      <c r="Q510" s="108">
        <f t="shared" ref="Q510:Q511" si="339">(K510+L510)/J510</f>
        <v>0</v>
      </c>
      <c r="R510" s="109">
        <f t="shared" ref="R510:R511" si="340">N510/J510</f>
        <v>0.74269005847953218</v>
      </c>
      <c r="S510" s="109">
        <f t="shared" ref="S510:S511" si="341">P510/J510</f>
        <v>1.1695906432748537E-2</v>
      </c>
      <c r="T510" s="109">
        <f t="shared" ref="T510:T511" si="342">O510/J510</f>
        <v>0</v>
      </c>
      <c r="U510" s="110">
        <f t="shared" ref="U510:U511" si="343">S510+R510+Q510+T510</f>
        <v>0.75438596491228072</v>
      </c>
      <c r="V510" s="136"/>
    </row>
    <row r="511" spans="2:22" ht="15.75" hidden="1" x14ac:dyDescent="0.2">
      <c r="B511" s="711">
        <v>46123</v>
      </c>
      <c r="C511" s="105" t="s">
        <v>22</v>
      </c>
      <c r="D511" s="105" t="s">
        <v>20</v>
      </c>
      <c r="E511" s="711">
        <v>46124</v>
      </c>
      <c r="G511" s="714">
        <v>46125</v>
      </c>
      <c r="H511" s="180" t="s">
        <v>84</v>
      </c>
      <c r="I511" s="179" t="s">
        <v>106</v>
      </c>
      <c r="J511" s="106">
        <f t="shared" si="333"/>
        <v>238</v>
      </c>
      <c r="K511" s="180">
        <v>0</v>
      </c>
      <c r="L511" s="180">
        <v>0</v>
      </c>
      <c r="M511" s="180">
        <v>224</v>
      </c>
      <c r="N511" s="180">
        <v>14</v>
      </c>
      <c r="O511" s="180">
        <v>0</v>
      </c>
      <c r="P511" s="180">
        <v>0</v>
      </c>
      <c r="Q511" s="108">
        <f t="shared" si="339"/>
        <v>0</v>
      </c>
      <c r="R511" s="109">
        <f t="shared" si="340"/>
        <v>5.8823529411764705E-2</v>
      </c>
      <c r="S511" s="109">
        <f t="shared" si="341"/>
        <v>0</v>
      </c>
      <c r="T511" s="109">
        <f t="shared" si="342"/>
        <v>0</v>
      </c>
      <c r="U511" s="110">
        <f t="shared" si="343"/>
        <v>5.8823529411764705E-2</v>
      </c>
      <c r="V511" s="136"/>
    </row>
    <row r="512" spans="2:22" ht="15.75" hidden="1" x14ac:dyDescent="0.2">
      <c r="B512" s="711">
        <v>46123</v>
      </c>
      <c r="C512" s="105" t="s">
        <v>22</v>
      </c>
      <c r="D512" s="105" t="s">
        <v>20</v>
      </c>
      <c r="E512" s="711">
        <v>46123</v>
      </c>
      <c r="G512" s="175"/>
      <c r="H512" s="113" t="s">
        <v>19</v>
      </c>
      <c r="I512" s="113"/>
      <c r="J512" s="113">
        <f>SUM(J505:J507)</f>
        <v>187</v>
      </c>
      <c r="K512" s="113">
        <f>SUM(K505:K511)</f>
        <v>120</v>
      </c>
      <c r="L512" s="113">
        <f>SUM(L505:L511)</f>
        <v>57</v>
      </c>
      <c r="M512" s="114">
        <f>SUM(M505:M507)</f>
        <v>3</v>
      </c>
      <c r="N512" s="113">
        <f>SUM(N505:N511)</f>
        <v>141</v>
      </c>
      <c r="O512" s="113">
        <v>0</v>
      </c>
      <c r="P512" s="114">
        <f>SUM(P505:P507)</f>
        <v>4</v>
      </c>
      <c r="Q512" s="115">
        <f t="shared" si="325"/>
        <v>0.946524064171123</v>
      </c>
      <c r="R512" s="116">
        <f t="shared" si="326"/>
        <v>0.75401069518716579</v>
      </c>
      <c r="S512" s="116">
        <f t="shared" si="327"/>
        <v>2.1390374331550801E-2</v>
      </c>
      <c r="T512" s="116">
        <f t="shared" si="328"/>
        <v>0</v>
      </c>
      <c r="U512" s="117">
        <f t="shared" si="329"/>
        <v>1.7219251336898396</v>
      </c>
      <c r="V512" s="127"/>
    </row>
    <row r="513" spans="2:22" ht="15.75" hidden="1" x14ac:dyDescent="0.2">
      <c r="B513" s="711">
        <v>46123</v>
      </c>
      <c r="C513" s="105" t="s">
        <v>12</v>
      </c>
      <c r="D513" s="105" t="s">
        <v>23</v>
      </c>
      <c r="E513" s="711">
        <v>46123</v>
      </c>
      <c r="G513" s="833">
        <v>46123</v>
      </c>
      <c r="H513" s="106" t="s">
        <v>16</v>
      </c>
      <c r="I513" s="120" t="s">
        <v>83</v>
      </c>
      <c r="J513" s="106">
        <v>28</v>
      </c>
      <c r="K513" s="106">
        <v>9</v>
      </c>
      <c r="L513" s="106">
        <v>2</v>
      </c>
      <c r="M513" s="107">
        <v>0</v>
      </c>
      <c r="N513" s="106">
        <v>0</v>
      </c>
      <c r="O513" s="106">
        <v>16</v>
      </c>
      <c r="P513" s="107">
        <v>1</v>
      </c>
      <c r="Q513" s="108">
        <f t="shared" ref="Q513:Q520" si="344">(K513+L513)/J513</f>
        <v>0.39285714285714285</v>
      </c>
      <c r="R513" s="109">
        <f t="shared" ref="R513:R520" si="345">N513/J513</f>
        <v>0</v>
      </c>
      <c r="S513" s="109">
        <f t="shared" ref="S513:S523" si="346">P513/J513</f>
        <v>3.5714285714285712E-2</v>
      </c>
      <c r="T513" s="109">
        <f t="shared" ref="T513:T523" si="347">O513/J513</f>
        <v>0.5714285714285714</v>
      </c>
      <c r="U513" s="110">
        <f t="shared" ref="U513:U523" si="348">S513+R513+Q513+T513</f>
        <v>1</v>
      </c>
      <c r="V513" s="111"/>
    </row>
    <row r="514" spans="2:22" ht="15.75" hidden="1" x14ac:dyDescent="0.2">
      <c r="B514" s="711">
        <v>46123</v>
      </c>
      <c r="C514" s="105" t="s">
        <v>12</v>
      </c>
      <c r="D514" s="105" t="s">
        <v>23</v>
      </c>
      <c r="E514" s="711">
        <v>46123</v>
      </c>
      <c r="G514" s="835"/>
      <c r="H514" s="120" t="s">
        <v>14</v>
      </c>
      <c r="I514" s="120" t="s">
        <v>110</v>
      </c>
      <c r="J514" s="106">
        <f t="shared" ref="J514:J519" si="349">SUM(K514:P514)</f>
        <v>51</v>
      </c>
      <c r="K514" s="106">
        <v>28</v>
      </c>
      <c r="L514" s="106">
        <v>5</v>
      </c>
      <c r="M514" s="106">
        <v>0</v>
      </c>
      <c r="N514" s="106">
        <v>0</v>
      </c>
      <c r="O514" s="106">
        <v>13</v>
      </c>
      <c r="P514" s="106">
        <v>5</v>
      </c>
      <c r="Q514" s="108">
        <f t="shared" si="344"/>
        <v>0.6470588235294118</v>
      </c>
      <c r="R514" s="109">
        <f t="shared" si="345"/>
        <v>0</v>
      </c>
      <c r="S514" s="109">
        <f t="shared" si="346"/>
        <v>9.8039215686274508E-2</v>
      </c>
      <c r="T514" s="109">
        <f t="shared" si="347"/>
        <v>0.25490196078431371</v>
      </c>
      <c r="U514" s="110">
        <f t="shared" si="348"/>
        <v>1</v>
      </c>
      <c r="V514" s="111"/>
    </row>
    <row r="515" spans="2:22" ht="15.75" hidden="1" x14ac:dyDescent="0.2">
      <c r="B515" s="711">
        <v>46123</v>
      </c>
      <c r="C515" s="105" t="s">
        <v>12</v>
      </c>
      <c r="D515" s="105" t="s">
        <v>23</v>
      </c>
      <c r="E515" s="711">
        <v>46124</v>
      </c>
      <c r="G515" s="833">
        <v>46124</v>
      </c>
      <c r="H515" s="179" t="s">
        <v>17</v>
      </c>
      <c r="I515" s="179" t="s">
        <v>43</v>
      </c>
      <c r="J515" s="106">
        <f t="shared" si="349"/>
        <v>177</v>
      </c>
      <c r="K515" s="180">
        <v>0</v>
      </c>
      <c r="L515" s="180">
        <v>1</v>
      </c>
      <c r="M515" s="180">
        <v>19</v>
      </c>
      <c r="N515" s="180">
        <v>132</v>
      </c>
      <c r="O515" s="180">
        <v>23</v>
      </c>
      <c r="P515" s="180">
        <v>2</v>
      </c>
      <c r="Q515" s="108">
        <f t="shared" si="344"/>
        <v>5.6497175141242938E-3</v>
      </c>
      <c r="R515" s="109">
        <f t="shared" si="345"/>
        <v>0.74576271186440679</v>
      </c>
      <c r="S515" s="109">
        <f t="shared" si="346"/>
        <v>1.1299435028248588E-2</v>
      </c>
      <c r="T515" s="109">
        <f t="shared" si="347"/>
        <v>0.12994350282485875</v>
      </c>
      <c r="U515" s="110">
        <f t="shared" si="348"/>
        <v>0.89265536723163841</v>
      </c>
      <c r="V515" s="136"/>
    </row>
    <row r="516" spans="2:22" ht="15.75" hidden="1" x14ac:dyDescent="0.2">
      <c r="B516" s="711">
        <v>46123</v>
      </c>
      <c r="C516" s="105" t="s">
        <v>12</v>
      </c>
      <c r="D516" s="105" t="s">
        <v>23</v>
      </c>
      <c r="E516" s="711">
        <v>46124</v>
      </c>
      <c r="G516" s="834"/>
      <c r="H516" s="179" t="s">
        <v>14</v>
      </c>
      <c r="I516" s="179" t="s">
        <v>43</v>
      </c>
      <c r="J516" s="106">
        <v>15</v>
      </c>
      <c r="K516" s="180">
        <v>0</v>
      </c>
      <c r="L516" s="180">
        <v>0</v>
      </c>
      <c r="M516" s="180">
        <v>15</v>
      </c>
      <c r="N516" s="180">
        <v>0</v>
      </c>
      <c r="O516" s="180">
        <v>0</v>
      </c>
      <c r="P516" s="180">
        <v>2</v>
      </c>
      <c r="Q516" s="108">
        <f t="shared" ref="Q516" si="350">(K516+L516)/J516</f>
        <v>0</v>
      </c>
      <c r="R516" s="109">
        <f t="shared" ref="R516" si="351">N516/J516</f>
        <v>0</v>
      </c>
      <c r="S516" s="109">
        <f t="shared" ref="S516" si="352">P516/J516</f>
        <v>0.13333333333333333</v>
      </c>
      <c r="T516" s="109">
        <f t="shared" ref="T516" si="353">O516/J516</f>
        <v>0</v>
      </c>
      <c r="U516" s="110">
        <f t="shared" ref="U516" si="354">S516+R516+Q516+T516</f>
        <v>0.13333333333333333</v>
      </c>
      <c r="V516" s="136"/>
    </row>
    <row r="517" spans="2:22" ht="15.75" hidden="1" x14ac:dyDescent="0.2">
      <c r="B517" s="711">
        <v>46123</v>
      </c>
      <c r="C517" s="105" t="s">
        <v>12</v>
      </c>
      <c r="D517" s="105" t="s">
        <v>23</v>
      </c>
      <c r="E517" s="711">
        <v>46124</v>
      </c>
      <c r="G517" s="834"/>
      <c r="H517" s="179" t="s">
        <v>25</v>
      </c>
      <c r="I517" s="179" t="s">
        <v>43</v>
      </c>
      <c r="J517" s="106">
        <v>26</v>
      </c>
      <c r="K517" s="180">
        <v>0</v>
      </c>
      <c r="L517" s="180">
        <v>0</v>
      </c>
      <c r="M517" s="180">
        <v>26</v>
      </c>
      <c r="N517" s="180">
        <v>0</v>
      </c>
      <c r="O517" s="180">
        <v>0</v>
      </c>
      <c r="P517" s="180">
        <v>1</v>
      </c>
      <c r="Q517" s="108">
        <f t="shared" ref="Q517" si="355">(K517+L517)/J517</f>
        <v>0</v>
      </c>
      <c r="R517" s="109">
        <f t="shared" ref="R517" si="356">N517/J517</f>
        <v>0</v>
      </c>
      <c r="S517" s="109">
        <f t="shared" ref="S517" si="357">P517/J517</f>
        <v>3.8461538461538464E-2</v>
      </c>
      <c r="T517" s="109">
        <f t="shared" ref="T517" si="358">O517/J517</f>
        <v>0</v>
      </c>
      <c r="U517" s="110">
        <f t="shared" ref="U517" si="359">S517+R517+Q517+T517</f>
        <v>3.8461538461538464E-2</v>
      </c>
      <c r="V517" s="136"/>
    </row>
    <row r="518" spans="2:22" ht="15.75" hidden="1" x14ac:dyDescent="0.2">
      <c r="B518" s="711">
        <v>46123</v>
      </c>
      <c r="C518" s="105" t="s">
        <v>12</v>
      </c>
      <c r="D518" s="105" t="s">
        <v>23</v>
      </c>
      <c r="E518" s="711">
        <v>46124</v>
      </c>
      <c r="G518" s="835"/>
      <c r="H518" s="179" t="s">
        <v>16</v>
      </c>
      <c r="I518" s="120" t="s">
        <v>83</v>
      </c>
      <c r="J518" s="106">
        <v>236</v>
      </c>
      <c r="K518" s="180">
        <v>20</v>
      </c>
      <c r="L518" s="180">
        <v>18</v>
      </c>
      <c r="M518" s="180">
        <v>177</v>
      </c>
      <c r="N518" s="180">
        <v>0</v>
      </c>
      <c r="O518" s="180">
        <v>18</v>
      </c>
      <c r="P518" s="180">
        <v>6</v>
      </c>
      <c r="Q518" s="108">
        <f t="shared" ref="Q518" si="360">(K518+L518)/J518</f>
        <v>0.16101694915254236</v>
      </c>
      <c r="R518" s="109">
        <f t="shared" ref="R518" si="361">N518/J518</f>
        <v>0</v>
      </c>
      <c r="S518" s="109">
        <f t="shared" ref="S518" si="362">P518/J518</f>
        <v>2.5423728813559324E-2</v>
      </c>
      <c r="T518" s="109">
        <f t="shared" ref="T518" si="363">O518/J518</f>
        <v>7.6271186440677971E-2</v>
      </c>
      <c r="U518" s="110">
        <f t="shared" ref="U518" si="364">S518+R518+Q518+T518</f>
        <v>0.26271186440677968</v>
      </c>
      <c r="V518" s="136"/>
    </row>
    <row r="519" spans="2:22" ht="15.75" hidden="1" x14ac:dyDescent="0.2">
      <c r="B519" s="711">
        <v>46123</v>
      </c>
      <c r="C519" s="105" t="s">
        <v>12</v>
      </c>
      <c r="D519" s="105" t="s">
        <v>23</v>
      </c>
      <c r="E519" s="711">
        <v>46124</v>
      </c>
      <c r="G519" s="833">
        <v>46125</v>
      </c>
      <c r="H519" s="180" t="s">
        <v>84</v>
      </c>
      <c r="I519" s="179" t="s">
        <v>106</v>
      </c>
      <c r="J519" s="106">
        <f t="shared" si="349"/>
        <v>255</v>
      </c>
      <c r="K519" s="180">
        <v>60</v>
      </c>
      <c r="L519" s="180">
        <v>19</v>
      </c>
      <c r="M519" s="180">
        <v>128</v>
      </c>
      <c r="N519" s="180">
        <v>40</v>
      </c>
      <c r="O519" s="180">
        <v>5</v>
      </c>
      <c r="P519" s="180">
        <v>3</v>
      </c>
      <c r="Q519" s="108">
        <f t="shared" si="344"/>
        <v>0.30980392156862746</v>
      </c>
      <c r="R519" s="109">
        <f t="shared" si="345"/>
        <v>0.15686274509803921</v>
      </c>
      <c r="S519" s="109">
        <f t="shared" si="346"/>
        <v>1.1764705882352941E-2</v>
      </c>
      <c r="T519" s="109">
        <f t="shared" si="347"/>
        <v>1.9607843137254902E-2</v>
      </c>
      <c r="U519" s="110">
        <f t="shared" si="348"/>
        <v>0.49803921568627452</v>
      </c>
      <c r="V519" s="136"/>
    </row>
    <row r="520" spans="2:22" ht="15.75" hidden="1" x14ac:dyDescent="0.2">
      <c r="B520" s="711">
        <v>46123</v>
      </c>
      <c r="C520" s="105" t="s">
        <v>12</v>
      </c>
      <c r="D520" s="105" t="s">
        <v>23</v>
      </c>
      <c r="E520" s="711">
        <v>46124</v>
      </c>
      <c r="G520" s="834"/>
      <c r="H520" s="181" t="s">
        <v>16</v>
      </c>
      <c r="I520" s="120" t="s">
        <v>83</v>
      </c>
      <c r="J520" s="106">
        <v>233</v>
      </c>
      <c r="K520" s="181">
        <v>0</v>
      </c>
      <c r="L520" s="181">
        <v>0</v>
      </c>
      <c r="M520" s="181">
        <v>233</v>
      </c>
      <c r="N520" s="181">
        <v>0</v>
      </c>
      <c r="O520" s="181">
        <v>0</v>
      </c>
      <c r="P520" s="181">
        <v>0</v>
      </c>
      <c r="Q520" s="108">
        <f t="shared" si="344"/>
        <v>0</v>
      </c>
      <c r="R520" s="109">
        <f t="shared" si="345"/>
        <v>0</v>
      </c>
      <c r="S520" s="109">
        <f t="shared" si="346"/>
        <v>0</v>
      </c>
      <c r="T520" s="109">
        <f t="shared" si="347"/>
        <v>0</v>
      </c>
      <c r="U520" s="110">
        <f t="shared" si="348"/>
        <v>0</v>
      </c>
      <c r="V520" s="136"/>
    </row>
    <row r="521" spans="2:22" ht="15.75" hidden="1" x14ac:dyDescent="0.2">
      <c r="B521" s="711">
        <v>46123</v>
      </c>
      <c r="C521" s="105" t="s">
        <v>12</v>
      </c>
      <c r="D521" s="105" t="s">
        <v>23</v>
      </c>
      <c r="E521" s="711">
        <v>46124</v>
      </c>
      <c r="G521" s="834"/>
      <c r="H521" s="181" t="s">
        <v>17</v>
      </c>
      <c r="I521" s="120" t="s">
        <v>112</v>
      </c>
      <c r="J521" s="106">
        <v>30</v>
      </c>
      <c r="K521" s="181">
        <v>0</v>
      </c>
      <c r="L521" s="181">
        <v>0</v>
      </c>
      <c r="M521" s="181">
        <v>30</v>
      </c>
      <c r="N521" s="181">
        <v>0</v>
      </c>
      <c r="O521" s="181">
        <v>0</v>
      </c>
      <c r="P521" s="181">
        <v>0</v>
      </c>
      <c r="Q521" s="108">
        <f t="shared" ref="Q521" si="365">(K521+L521)/J521</f>
        <v>0</v>
      </c>
      <c r="R521" s="109">
        <f t="shared" ref="R521" si="366">N521/J521</f>
        <v>0</v>
      </c>
      <c r="S521" s="109">
        <f t="shared" ref="S521" si="367">P521/J521</f>
        <v>0</v>
      </c>
      <c r="T521" s="109">
        <f t="shared" ref="T521" si="368">O521/J521</f>
        <v>0</v>
      </c>
      <c r="U521" s="110">
        <f t="shared" ref="U521" si="369">S521+R521+Q521+T521</f>
        <v>0</v>
      </c>
      <c r="V521" s="136"/>
    </row>
    <row r="522" spans="2:22" ht="15.75" hidden="1" x14ac:dyDescent="0.2">
      <c r="B522" s="711">
        <v>46123</v>
      </c>
      <c r="C522" s="105" t="s">
        <v>12</v>
      </c>
      <c r="D522" s="105" t="s">
        <v>23</v>
      </c>
      <c r="E522" s="711">
        <v>46124</v>
      </c>
      <c r="G522" s="835"/>
      <c r="H522" s="181" t="s">
        <v>14</v>
      </c>
      <c r="I522" s="120" t="s">
        <v>100</v>
      </c>
      <c r="J522" s="106">
        <v>233</v>
      </c>
      <c r="K522" s="181">
        <v>0</v>
      </c>
      <c r="L522" s="181">
        <v>0</v>
      </c>
      <c r="M522" s="181">
        <v>233</v>
      </c>
      <c r="N522" s="181">
        <v>0</v>
      </c>
      <c r="O522" s="181">
        <v>0</v>
      </c>
      <c r="P522" s="181">
        <v>0</v>
      </c>
      <c r="Q522" s="108">
        <f t="shared" ref="Q522" si="370">(K522+L522)/J522</f>
        <v>0</v>
      </c>
      <c r="R522" s="109">
        <f t="shared" ref="R522" si="371">N522/J522</f>
        <v>0</v>
      </c>
      <c r="S522" s="109">
        <f t="shared" ref="S522" si="372">P522/J522</f>
        <v>0</v>
      </c>
      <c r="T522" s="109">
        <f t="shared" ref="T522" si="373">O522/J522</f>
        <v>0</v>
      </c>
      <c r="U522" s="110">
        <f t="shared" ref="U522" si="374">S522+R522+Q522+T522</f>
        <v>0</v>
      </c>
      <c r="V522" s="136"/>
    </row>
    <row r="523" spans="2:22" ht="15.75" hidden="1" x14ac:dyDescent="0.2">
      <c r="B523" s="711">
        <v>46123</v>
      </c>
      <c r="C523" s="105" t="s">
        <v>12</v>
      </c>
      <c r="D523" s="105" t="s">
        <v>23</v>
      </c>
      <c r="E523" s="711">
        <v>46123</v>
      </c>
      <c r="G523" s="175"/>
      <c r="H523" s="113" t="s">
        <v>19</v>
      </c>
      <c r="I523" s="113"/>
      <c r="J523" s="113">
        <f>SUM(J513:J519)</f>
        <v>788</v>
      </c>
      <c r="K523" s="113">
        <f t="shared" ref="K523:P523" si="375">SUM(K513:K522)</f>
        <v>117</v>
      </c>
      <c r="L523" s="113">
        <f t="shared" si="375"/>
        <v>45</v>
      </c>
      <c r="M523" s="114">
        <f t="shared" si="375"/>
        <v>861</v>
      </c>
      <c r="N523" s="113">
        <f t="shared" si="375"/>
        <v>172</v>
      </c>
      <c r="O523" s="113">
        <f t="shared" si="375"/>
        <v>75</v>
      </c>
      <c r="P523" s="114">
        <f t="shared" si="375"/>
        <v>20</v>
      </c>
      <c r="Q523" s="115">
        <f>(K523+L523)/J523</f>
        <v>0.20558375634517767</v>
      </c>
      <c r="R523" s="116">
        <f>N523/J523</f>
        <v>0.21827411167512689</v>
      </c>
      <c r="S523" s="116">
        <f t="shared" si="346"/>
        <v>2.5380710659898477E-2</v>
      </c>
      <c r="T523" s="116">
        <f t="shared" si="347"/>
        <v>9.5177664974619283E-2</v>
      </c>
      <c r="U523" s="117">
        <f t="shared" si="348"/>
        <v>0.54441624365482233</v>
      </c>
      <c r="V523" s="127"/>
    </row>
    <row r="524" spans="2:22" ht="15.75" hidden="1" x14ac:dyDescent="0.2">
      <c r="B524" s="711">
        <v>46123</v>
      </c>
      <c r="C524" s="105" t="s">
        <v>18</v>
      </c>
      <c r="D524" s="105" t="s">
        <v>13</v>
      </c>
      <c r="E524" s="711">
        <v>46124</v>
      </c>
      <c r="G524" s="833">
        <v>46124</v>
      </c>
      <c r="H524" s="60" t="s">
        <v>17</v>
      </c>
      <c r="I524" s="60" t="s">
        <v>43</v>
      </c>
      <c r="J524" s="60">
        <f t="shared" ref="J524" si="376">SUM(K524:P524)</f>
        <v>173</v>
      </c>
      <c r="K524" s="60">
        <v>127</v>
      </c>
      <c r="L524" s="60">
        <v>21</v>
      </c>
      <c r="M524" s="60">
        <v>0</v>
      </c>
      <c r="N524" s="60">
        <v>0</v>
      </c>
      <c r="O524" s="60">
        <v>23</v>
      </c>
      <c r="P524" s="60">
        <v>2</v>
      </c>
      <c r="Q524" s="182">
        <f t="shared" ref="Q524:Q532" si="377">(K524+L524)/J524</f>
        <v>0.8554913294797688</v>
      </c>
      <c r="R524" s="183">
        <f t="shared" ref="R524:R532" si="378">N524/J524</f>
        <v>0</v>
      </c>
      <c r="S524" s="183">
        <f t="shared" ref="S524:S541" si="379">P524/J524</f>
        <v>1.1560693641618497E-2</v>
      </c>
      <c r="T524" s="183">
        <f t="shared" ref="T524:T541" si="380">O524/J524</f>
        <v>0.13294797687861271</v>
      </c>
      <c r="U524" s="184">
        <f t="shared" ref="U524:U541" si="381">S524+R524+Q524+T524</f>
        <v>1</v>
      </c>
      <c r="V524" s="185" t="s">
        <v>21</v>
      </c>
    </row>
    <row r="525" spans="2:22" ht="15.75" hidden="1" x14ac:dyDescent="0.2">
      <c r="B525" s="711">
        <v>46123</v>
      </c>
      <c r="C525" s="105" t="s">
        <v>18</v>
      </c>
      <c r="D525" s="105" t="s">
        <v>13</v>
      </c>
      <c r="E525" s="711">
        <v>46124</v>
      </c>
      <c r="G525" s="834"/>
      <c r="H525" s="60" t="s">
        <v>14</v>
      </c>
      <c r="I525" s="60" t="s">
        <v>43</v>
      </c>
      <c r="J525" s="60">
        <v>15</v>
      </c>
      <c r="K525" s="60">
        <v>0</v>
      </c>
      <c r="L525" s="60">
        <v>0</v>
      </c>
      <c r="M525" s="60">
        <v>15</v>
      </c>
      <c r="N525" s="60">
        <v>0</v>
      </c>
      <c r="O525" s="60">
        <v>0</v>
      </c>
      <c r="P525" s="60">
        <v>2</v>
      </c>
      <c r="Q525" s="182">
        <f t="shared" si="377"/>
        <v>0</v>
      </c>
      <c r="R525" s="183">
        <f t="shared" si="378"/>
        <v>0</v>
      </c>
      <c r="S525" s="183">
        <f t="shared" si="379"/>
        <v>0.13333333333333333</v>
      </c>
      <c r="T525" s="183">
        <f t="shared" si="380"/>
        <v>0</v>
      </c>
      <c r="U525" s="184">
        <f t="shared" si="381"/>
        <v>0.13333333333333333</v>
      </c>
      <c r="V525" s="185"/>
    </row>
    <row r="526" spans="2:22" ht="15.75" hidden="1" x14ac:dyDescent="0.2">
      <c r="B526" s="711">
        <v>46123</v>
      </c>
      <c r="C526" s="105" t="s">
        <v>18</v>
      </c>
      <c r="D526" s="105" t="s">
        <v>13</v>
      </c>
      <c r="E526" s="711">
        <v>46124</v>
      </c>
      <c r="G526" s="834"/>
      <c r="H526" s="60" t="s">
        <v>25</v>
      </c>
      <c r="I526" s="60" t="s">
        <v>43</v>
      </c>
      <c r="J526" s="60">
        <v>26</v>
      </c>
      <c r="K526" s="60">
        <v>0</v>
      </c>
      <c r="L526" s="60">
        <v>0</v>
      </c>
      <c r="M526" s="60">
        <v>26</v>
      </c>
      <c r="N526" s="60">
        <v>0</v>
      </c>
      <c r="O526" s="60">
        <v>0</v>
      </c>
      <c r="P526" s="60">
        <v>1</v>
      </c>
      <c r="Q526" s="182">
        <f t="shared" si="377"/>
        <v>0</v>
      </c>
      <c r="R526" s="183">
        <f t="shared" si="378"/>
        <v>0</v>
      </c>
      <c r="S526" s="183">
        <f t="shared" si="379"/>
        <v>3.8461538461538464E-2</v>
      </c>
      <c r="T526" s="183">
        <f t="shared" si="380"/>
        <v>0</v>
      </c>
      <c r="U526" s="184">
        <f t="shared" si="381"/>
        <v>3.8461538461538464E-2</v>
      </c>
      <c r="V526" s="185"/>
    </row>
    <row r="527" spans="2:22" ht="16.5" hidden="1" thickBot="1" x14ac:dyDescent="0.25">
      <c r="B527" s="711">
        <v>46123</v>
      </c>
      <c r="C527" s="105" t="s">
        <v>18</v>
      </c>
      <c r="D527" s="105" t="s">
        <v>13</v>
      </c>
      <c r="E527" s="711">
        <v>46124</v>
      </c>
      <c r="G527" s="864"/>
      <c r="H527" s="186" t="s">
        <v>16</v>
      </c>
      <c r="I527" s="186" t="s">
        <v>83</v>
      </c>
      <c r="J527" s="186">
        <v>236</v>
      </c>
      <c r="K527" s="186">
        <v>98</v>
      </c>
      <c r="L527" s="186">
        <v>83</v>
      </c>
      <c r="M527" s="186">
        <v>16</v>
      </c>
      <c r="N527" s="186">
        <v>15</v>
      </c>
      <c r="O527" s="186">
        <v>18</v>
      </c>
      <c r="P527" s="186">
        <v>6</v>
      </c>
      <c r="Q527" s="187">
        <f t="shared" si="377"/>
        <v>0.76694915254237284</v>
      </c>
      <c r="R527" s="188">
        <f t="shared" si="378"/>
        <v>6.3559322033898302E-2</v>
      </c>
      <c r="S527" s="188">
        <f>P527/J527</f>
        <v>2.5423728813559324E-2</v>
      </c>
      <c r="T527" s="188">
        <f t="shared" si="380"/>
        <v>7.6271186440677971E-2</v>
      </c>
      <c r="U527" s="189">
        <f t="shared" si="381"/>
        <v>0.93220338983050843</v>
      </c>
      <c r="V527" s="185" t="s">
        <v>21</v>
      </c>
    </row>
    <row r="528" spans="2:22" ht="15.75" hidden="1" x14ac:dyDescent="0.2">
      <c r="B528" s="711">
        <v>46123</v>
      </c>
      <c r="C528" s="105" t="s">
        <v>18</v>
      </c>
      <c r="D528" s="105" t="s">
        <v>13</v>
      </c>
      <c r="E528" s="711">
        <v>46124</v>
      </c>
      <c r="G528" s="127"/>
      <c r="H528" s="190" t="s">
        <v>19</v>
      </c>
      <c r="I528" s="190"/>
      <c r="J528" s="190">
        <f t="shared" ref="J528:P528" si="382">SUM(J524:J527)</f>
        <v>450</v>
      </c>
      <c r="K528" s="190">
        <f t="shared" si="382"/>
        <v>225</v>
      </c>
      <c r="L528" s="190">
        <f t="shared" si="382"/>
        <v>104</v>
      </c>
      <c r="M528" s="190">
        <f t="shared" si="382"/>
        <v>57</v>
      </c>
      <c r="N528" s="190">
        <f t="shared" si="382"/>
        <v>15</v>
      </c>
      <c r="O528" s="190">
        <f t="shared" si="382"/>
        <v>41</v>
      </c>
      <c r="P528" s="190">
        <f t="shared" si="382"/>
        <v>11</v>
      </c>
      <c r="Q528" s="191">
        <f>(K528+L528)/J528</f>
        <v>0.73111111111111116</v>
      </c>
      <c r="R528" s="192">
        <f>N528/J528</f>
        <v>3.3333333333333333E-2</v>
      </c>
      <c r="S528" s="192">
        <f>P528/J528</f>
        <v>2.4444444444444446E-2</v>
      </c>
      <c r="T528" s="192">
        <f>O528/J528</f>
        <v>9.1111111111111115E-2</v>
      </c>
      <c r="U528" s="193">
        <f>S528+R528+Q528+T528</f>
        <v>0.88000000000000012</v>
      </c>
      <c r="V528" s="127"/>
    </row>
    <row r="529" spans="2:25" ht="15.75" hidden="1" x14ac:dyDescent="0.2">
      <c r="B529" s="711">
        <v>46123</v>
      </c>
      <c r="C529" s="105" t="s">
        <v>18</v>
      </c>
      <c r="D529" s="105" t="s">
        <v>13</v>
      </c>
      <c r="E529" s="711">
        <v>46125</v>
      </c>
      <c r="G529" s="833">
        <v>46125</v>
      </c>
      <c r="H529" s="194" t="s">
        <v>84</v>
      </c>
      <c r="I529" s="194" t="s">
        <v>106</v>
      </c>
      <c r="J529" s="194">
        <f t="shared" ref="J529" si="383">SUM(K529:P529)</f>
        <v>268</v>
      </c>
      <c r="K529" s="194">
        <v>60</v>
      </c>
      <c r="L529" s="194">
        <v>19</v>
      </c>
      <c r="M529" s="194">
        <v>128</v>
      </c>
      <c r="N529" s="194">
        <v>53</v>
      </c>
      <c r="O529" s="194">
        <v>5</v>
      </c>
      <c r="P529" s="194">
        <v>3</v>
      </c>
      <c r="Q529" s="195">
        <f t="shared" si="377"/>
        <v>0.29477611940298509</v>
      </c>
      <c r="R529" s="196">
        <f t="shared" si="378"/>
        <v>0.19776119402985073</v>
      </c>
      <c r="S529" s="196">
        <f t="shared" si="379"/>
        <v>1.1194029850746268E-2</v>
      </c>
      <c r="T529" s="196">
        <f t="shared" si="380"/>
        <v>1.8656716417910446E-2</v>
      </c>
      <c r="U529" s="197">
        <f t="shared" si="381"/>
        <v>0.5223880597014926</v>
      </c>
      <c r="V529" s="185"/>
    </row>
    <row r="530" spans="2:25" ht="15.75" hidden="1" x14ac:dyDescent="0.2">
      <c r="B530" s="711">
        <v>46123</v>
      </c>
      <c r="C530" s="105" t="s">
        <v>18</v>
      </c>
      <c r="D530" s="105" t="s">
        <v>13</v>
      </c>
      <c r="E530" s="711">
        <v>46125</v>
      </c>
      <c r="G530" s="834"/>
      <c r="H530" s="60" t="s">
        <v>16</v>
      </c>
      <c r="I530" s="60" t="s">
        <v>83</v>
      </c>
      <c r="J530" s="60">
        <v>233</v>
      </c>
      <c r="K530" s="60">
        <v>0</v>
      </c>
      <c r="L530" s="60">
        <v>0</v>
      </c>
      <c r="M530" s="60">
        <v>233</v>
      </c>
      <c r="N530" s="60">
        <v>0</v>
      </c>
      <c r="O530" s="60">
        <v>0</v>
      </c>
      <c r="P530" s="60">
        <v>0</v>
      </c>
      <c r="Q530" s="182">
        <f t="shared" si="377"/>
        <v>0</v>
      </c>
      <c r="R530" s="183">
        <f t="shared" si="378"/>
        <v>0</v>
      </c>
      <c r="S530" s="183">
        <f t="shared" si="379"/>
        <v>0</v>
      </c>
      <c r="T530" s="183">
        <f t="shared" si="380"/>
        <v>0</v>
      </c>
      <c r="U530" s="184">
        <f t="shared" si="381"/>
        <v>0</v>
      </c>
      <c r="V530" s="185"/>
    </row>
    <row r="531" spans="2:25" ht="15.75" hidden="1" x14ac:dyDescent="0.2">
      <c r="B531" s="711">
        <v>46123</v>
      </c>
      <c r="C531" s="105" t="s">
        <v>18</v>
      </c>
      <c r="D531" s="105" t="s">
        <v>13</v>
      </c>
      <c r="E531" s="711">
        <v>46125</v>
      </c>
      <c r="G531" s="834"/>
      <c r="H531" s="60" t="s">
        <v>17</v>
      </c>
      <c r="I531" s="60" t="s">
        <v>112</v>
      </c>
      <c r="J531" s="60">
        <v>30</v>
      </c>
      <c r="K531" s="60">
        <v>0</v>
      </c>
      <c r="L531" s="60">
        <v>0</v>
      </c>
      <c r="M531" s="60">
        <v>30</v>
      </c>
      <c r="N531" s="60">
        <v>0</v>
      </c>
      <c r="O531" s="60">
        <v>0</v>
      </c>
      <c r="P531" s="60">
        <v>0</v>
      </c>
      <c r="Q531" s="182">
        <f t="shared" si="377"/>
        <v>0</v>
      </c>
      <c r="R531" s="183">
        <f t="shared" si="378"/>
        <v>0</v>
      </c>
      <c r="S531" s="183">
        <f t="shared" si="379"/>
        <v>0</v>
      </c>
      <c r="T531" s="183">
        <f t="shared" si="380"/>
        <v>0</v>
      </c>
      <c r="U531" s="184">
        <f t="shared" si="381"/>
        <v>0</v>
      </c>
      <c r="V531" s="185"/>
    </row>
    <row r="532" spans="2:25" ht="15.75" hidden="1" x14ac:dyDescent="0.2">
      <c r="B532" s="711">
        <v>46123</v>
      </c>
      <c r="C532" s="105" t="s">
        <v>18</v>
      </c>
      <c r="D532" s="105" t="s">
        <v>13</v>
      </c>
      <c r="E532" s="711">
        <v>46125</v>
      </c>
      <c r="G532" s="834"/>
      <c r="H532" s="60" t="s">
        <v>14</v>
      </c>
      <c r="I532" s="60" t="s">
        <v>100</v>
      </c>
      <c r="J532" s="60">
        <v>233</v>
      </c>
      <c r="K532" s="60">
        <v>0</v>
      </c>
      <c r="L532" s="60">
        <v>0</v>
      </c>
      <c r="M532" s="60">
        <v>233</v>
      </c>
      <c r="N532" s="60">
        <v>0</v>
      </c>
      <c r="O532" s="60">
        <v>0</v>
      </c>
      <c r="P532" s="60">
        <v>0</v>
      </c>
      <c r="Q532" s="182">
        <f t="shared" si="377"/>
        <v>0</v>
      </c>
      <c r="R532" s="183">
        <f t="shared" si="378"/>
        <v>0</v>
      </c>
      <c r="S532" s="183">
        <f t="shared" si="379"/>
        <v>0</v>
      </c>
      <c r="T532" s="183">
        <f t="shared" si="380"/>
        <v>0</v>
      </c>
      <c r="U532" s="184">
        <f t="shared" si="381"/>
        <v>0</v>
      </c>
      <c r="V532" s="185"/>
    </row>
    <row r="533" spans="2:25" ht="15.75" hidden="1" x14ac:dyDescent="0.2">
      <c r="B533" s="711">
        <v>46123</v>
      </c>
      <c r="C533" s="105" t="s">
        <v>12</v>
      </c>
      <c r="D533" s="105" t="s">
        <v>13</v>
      </c>
      <c r="E533" s="711">
        <v>46125</v>
      </c>
      <c r="G533" s="835"/>
      <c r="H533" s="113" t="s">
        <v>19</v>
      </c>
      <c r="I533" s="113"/>
      <c r="J533" s="113">
        <f t="shared" ref="J533:P533" si="384">SUM(J529:J532)</f>
        <v>764</v>
      </c>
      <c r="K533" s="113">
        <f t="shared" si="384"/>
        <v>60</v>
      </c>
      <c r="L533" s="113">
        <f t="shared" si="384"/>
        <v>19</v>
      </c>
      <c r="M533" s="113">
        <f t="shared" si="384"/>
        <v>624</v>
      </c>
      <c r="N533" s="113">
        <f t="shared" si="384"/>
        <v>53</v>
      </c>
      <c r="O533" s="113">
        <f t="shared" si="384"/>
        <v>5</v>
      </c>
      <c r="P533" s="113">
        <f t="shared" si="384"/>
        <v>3</v>
      </c>
      <c r="Q533" s="115">
        <f>(K533+L533)/J533</f>
        <v>0.10340314136125654</v>
      </c>
      <c r="R533" s="116">
        <f>N533/J533</f>
        <v>6.9371727748691103E-2</v>
      </c>
      <c r="S533" s="116">
        <f t="shared" si="379"/>
        <v>3.9267015706806281E-3</v>
      </c>
      <c r="T533" s="116">
        <f t="shared" si="380"/>
        <v>6.5445026178010471E-3</v>
      </c>
      <c r="U533" s="117">
        <f t="shared" si="381"/>
        <v>0.18324607329842932</v>
      </c>
      <c r="V533" s="127"/>
    </row>
    <row r="534" spans="2:25" ht="15.75" hidden="1" x14ac:dyDescent="0.2">
      <c r="B534" s="711">
        <v>46124</v>
      </c>
      <c r="C534" s="105" t="s">
        <v>22</v>
      </c>
      <c r="D534" s="105" t="s">
        <v>20</v>
      </c>
      <c r="E534" s="711">
        <v>46124</v>
      </c>
      <c r="G534" s="833">
        <v>46124</v>
      </c>
      <c r="H534" s="106" t="s">
        <v>16</v>
      </c>
      <c r="I534" s="120" t="s">
        <v>103</v>
      </c>
      <c r="J534" s="106">
        <f t="shared" ref="J534:J540" si="385">SUM(K534:P534)</f>
        <v>44</v>
      </c>
      <c r="K534" s="106">
        <v>4</v>
      </c>
      <c r="L534" s="106">
        <v>20</v>
      </c>
      <c r="M534" s="107">
        <v>0</v>
      </c>
      <c r="N534" s="106">
        <v>0</v>
      </c>
      <c r="O534" s="106">
        <v>17</v>
      </c>
      <c r="P534" s="107">
        <v>3</v>
      </c>
      <c r="Q534" s="108">
        <f t="shared" ref="Q534:Q540" si="386">(K534+L534)/J534</f>
        <v>0.54545454545454541</v>
      </c>
      <c r="R534" s="109">
        <f t="shared" ref="R534:R541" si="387">N534/J534</f>
        <v>0</v>
      </c>
      <c r="S534" s="109">
        <f t="shared" si="379"/>
        <v>6.8181818181818177E-2</v>
      </c>
      <c r="T534" s="109">
        <f t="shared" si="380"/>
        <v>0.38636363636363635</v>
      </c>
      <c r="U534" s="110">
        <f t="shared" si="381"/>
        <v>0.99999999999999989</v>
      </c>
      <c r="V534" s="111"/>
    </row>
    <row r="535" spans="2:25" ht="15.75" hidden="1" x14ac:dyDescent="0.2">
      <c r="B535" s="711">
        <v>46124</v>
      </c>
      <c r="C535" s="105" t="s">
        <v>22</v>
      </c>
      <c r="D535" s="105" t="s">
        <v>20</v>
      </c>
      <c r="E535" s="711">
        <v>46124</v>
      </c>
      <c r="G535" s="834"/>
      <c r="H535" s="120" t="s">
        <v>14</v>
      </c>
      <c r="I535" s="120" t="s">
        <v>43</v>
      </c>
      <c r="J535" s="106">
        <f t="shared" si="385"/>
        <v>4</v>
      </c>
      <c r="K535" s="106">
        <v>4</v>
      </c>
      <c r="L535" s="106">
        <v>0</v>
      </c>
      <c r="M535" s="106">
        <v>0</v>
      </c>
      <c r="N535" s="106">
        <v>0</v>
      </c>
      <c r="O535" s="106">
        <v>0</v>
      </c>
      <c r="P535" s="106">
        <v>0</v>
      </c>
      <c r="Q535" s="108">
        <f t="shared" si="386"/>
        <v>1</v>
      </c>
      <c r="R535" s="109">
        <f t="shared" si="387"/>
        <v>0</v>
      </c>
      <c r="S535" s="109">
        <f t="shared" si="379"/>
        <v>0</v>
      </c>
      <c r="T535" s="109">
        <f t="shared" si="380"/>
        <v>0</v>
      </c>
      <c r="U535" s="110">
        <f t="shared" si="381"/>
        <v>1</v>
      </c>
      <c r="V535" s="111"/>
    </row>
    <row r="536" spans="2:25" ht="15.75" hidden="1" x14ac:dyDescent="0.2">
      <c r="B536" s="711">
        <v>46124</v>
      </c>
      <c r="C536" s="105" t="s">
        <v>22</v>
      </c>
      <c r="D536" s="105" t="s">
        <v>20</v>
      </c>
      <c r="E536" s="711">
        <v>46124</v>
      </c>
      <c r="G536" s="834"/>
      <c r="H536" s="120" t="s">
        <v>17</v>
      </c>
      <c r="I536" s="120" t="s">
        <v>43</v>
      </c>
      <c r="J536" s="106">
        <f t="shared" si="385"/>
        <v>41</v>
      </c>
      <c r="K536" s="106">
        <v>19</v>
      </c>
      <c r="L536" s="106">
        <v>8</v>
      </c>
      <c r="M536" s="106">
        <v>0</v>
      </c>
      <c r="N536" s="106">
        <v>0</v>
      </c>
      <c r="O536" s="106">
        <v>13</v>
      </c>
      <c r="P536" s="106">
        <v>1</v>
      </c>
      <c r="Q536" s="108">
        <f t="shared" si="386"/>
        <v>0.65853658536585369</v>
      </c>
      <c r="R536" s="109">
        <f t="shared" si="387"/>
        <v>0</v>
      </c>
      <c r="S536" s="109">
        <f t="shared" si="379"/>
        <v>2.4390243902439025E-2</v>
      </c>
      <c r="T536" s="109">
        <f t="shared" si="380"/>
        <v>0.31707317073170732</v>
      </c>
      <c r="U536" s="110">
        <f t="shared" si="381"/>
        <v>1</v>
      </c>
      <c r="V536" s="136"/>
    </row>
    <row r="537" spans="2:25" ht="15.75" hidden="1" x14ac:dyDescent="0.2">
      <c r="B537" s="711">
        <v>46124</v>
      </c>
      <c r="C537" s="105" t="s">
        <v>22</v>
      </c>
      <c r="D537" s="105" t="s">
        <v>20</v>
      </c>
      <c r="E537" s="711">
        <v>46124</v>
      </c>
      <c r="G537" s="702"/>
      <c r="H537" s="120" t="s">
        <v>25</v>
      </c>
      <c r="I537" s="120" t="s">
        <v>43</v>
      </c>
      <c r="J537" s="106">
        <f t="shared" si="385"/>
        <v>28</v>
      </c>
      <c r="K537" s="106">
        <v>27</v>
      </c>
      <c r="L537" s="106">
        <v>1</v>
      </c>
      <c r="M537" s="106">
        <v>0</v>
      </c>
      <c r="N537" s="106">
        <v>0</v>
      </c>
      <c r="O537" s="106">
        <v>0</v>
      </c>
      <c r="P537" s="106">
        <v>0</v>
      </c>
      <c r="Q537" s="108">
        <f t="shared" si="386"/>
        <v>1</v>
      </c>
      <c r="R537" s="109">
        <f t="shared" si="387"/>
        <v>0</v>
      </c>
      <c r="S537" s="109">
        <f t="shared" si="379"/>
        <v>0</v>
      </c>
      <c r="T537" s="109">
        <f t="shared" si="380"/>
        <v>0</v>
      </c>
      <c r="U537" s="110">
        <f t="shared" si="381"/>
        <v>1</v>
      </c>
      <c r="V537" s="136"/>
    </row>
    <row r="538" spans="2:25" ht="15.75" hidden="1" x14ac:dyDescent="0.2">
      <c r="B538" s="711">
        <v>46124</v>
      </c>
      <c r="C538" s="105" t="s">
        <v>22</v>
      </c>
      <c r="D538" s="105" t="s">
        <v>20</v>
      </c>
      <c r="E538" s="711">
        <v>46125</v>
      </c>
      <c r="G538" s="866">
        <v>46125</v>
      </c>
      <c r="H538" s="120" t="s">
        <v>16</v>
      </c>
      <c r="I538" s="120" t="s">
        <v>103</v>
      </c>
      <c r="J538" s="106">
        <f t="shared" si="385"/>
        <v>242</v>
      </c>
      <c r="K538" s="106">
        <v>0</v>
      </c>
      <c r="L538" s="106">
        <v>1</v>
      </c>
      <c r="M538" s="106">
        <v>237</v>
      </c>
      <c r="N538" s="106">
        <v>0</v>
      </c>
      <c r="O538" s="106">
        <v>0</v>
      </c>
      <c r="P538" s="106">
        <v>4</v>
      </c>
      <c r="Q538" s="108">
        <f t="shared" si="386"/>
        <v>4.1322314049586778E-3</v>
      </c>
      <c r="R538" s="109">
        <f t="shared" si="387"/>
        <v>0</v>
      </c>
      <c r="S538" s="109">
        <f t="shared" si="379"/>
        <v>1.6528925619834711E-2</v>
      </c>
      <c r="T538" s="109">
        <f t="shared" si="380"/>
        <v>0</v>
      </c>
      <c r="U538" s="110">
        <f t="shared" si="381"/>
        <v>2.0661157024793389E-2</v>
      </c>
      <c r="V538" s="136"/>
    </row>
    <row r="539" spans="2:25" ht="15.75" hidden="1" x14ac:dyDescent="0.2">
      <c r="B539" s="711">
        <v>46124</v>
      </c>
      <c r="C539" s="105" t="s">
        <v>22</v>
      </c>
      <c r="D539" s="105" t="s">
        <v>20</v>
      </c>
      <c r="E539" s="711">
        <v>46125</v>
      </c>
      <c r="G539" s="867"/>
      <c r="H539" s="106" t="s">
        <v>84</v>
      </c>
      <c r="I539" s="120" t="s">
        <v>106</v>
      </c>
      <c r="J539" s="106">
        <f t="shared" ref="J539" si="388">SUM(K539:P539)</f>
        <v>176</v>
      </c>
      <c r="K539" s="106">
        <v>48</v>
      </c>
      <c r="L539" s="106">
        <v>13</v>
      </c>
      <c r="M539" s="106">
        <v>16</v>
      </c>
      <c r="N539" s="106">
        <v>96</v>
      </c>
      <c r="O539" s="106">
        <v>0</v>
      </c>
      <c r="P539" s="106">
        <v>3</v>
      </c>
      <c r="Q539" s="108">
        <f t="shared" ref="Q539" si="389">(K539+L539)/J539</f>
        <v>0.34659090909090912</v>
      </c>
      <c r="R539" s="109">
        <f t="shared" ref="R539" si="390">N539/J539</f>
        <v>0.54545454545454541</v>
      </c>
      <c r="S539" s="109">
        <f t="shared" ref="S539" si="391">P539/J539</f>
        <v>1.7045454545454544E-2</v>
      </c>
      <c r="T539" s="109">
        <f t="shared" ref="T539" si="392">O539/J539</f>
        <v>0</v>
      </c>
      <c r="U539" s="110">
        <f t="shared" ref="U539" si="393">S539+R539+Q539+T539</f>
        <v>0.90909090909090917</v>
      </c>
      <c r="V539" s="136"/>
    </row>
    <row r="540" spans="2:25" ht="15.75" hidden="1" x14ac:dyDescent="0.2">
      <c r="B540" s="711">
        <v>46124</v>
      </c>
      <c r="C540" s="105" t="s">
        <v>22</v>
      </c>
      <c r="D540" s="105" t="s">
        <v>20</v>
      </c>
      <c r="E540" s="711">
        <v>46125</v>
      </c>
      <c r="G540" s="867"/>
      <c r="H540" s="106" t="s">
        <v>14</v>
      </c>
      <c r="I540" s="120" t="s">
        <v>110</v>
      </c>
      <c r="J540" s="106">
        <f t="shared" si="385"/>
        <v>233</v>
      </c>
      <c r="K540" s="106">
        <v>0</v>
      </c>
      <c r="L540" s="106">
        <v>0</v>
      </c>
      <c r="M540" s="106">
        <v>202</v>
      </c>
      <c r="N540" s="106">
        <v>29</v>
      </c>
      <c r="O540" s="106">
        <v>0</v>
      </c>
      <c r="P540" s="106">
        <v>2</v>
      </c>
      <c r="Q540" s="108">
        <f t="shared" si="386"/>
        <v>0</v>
      </c>
      <c r="R540" s="109">
        <f t="shared" si="387"/>
        <v>0.12446351931330472</v>
      </c>
      <c r="S540" s="109">
        <f t="shared" si="379"/>
        <v>8.5836909871244635E-3</v>
      </c>
      <c r="T540" s="109">
        <f t="shared" si="380"/>
        <v>0</v>
      </c>
      <c r="U540" s="110">
        <f t="shared" si="381"/>
        <v>0.13304721030042918</v>
      </c>
      <c r="V540" s="136"/>
    </row>
    <row r="541" spans="2:25" s="97" customFormat="1" ht="16.5" hidden="1" customHeight="1" x14ac:dyDescent="0.2">
      <c r="B541" s="711">
        <v>46124</v>
      </c>
      <c r="C541" s="105" t="s">
        <v>22</v>
      </c>
      <c r="D541" s="105" t="s">
        <v>20</v>
      </c>
      <c r="E541" s="711">
        <v>46125</v>
      </c>
      <c r="F541" s="89"/>
      <c r="G541" s="868"/>
      <c r="H541" s="113" t="s">
        <v>19</v>
      </c>
      <c r="I541" s="113"/>
      <c r="J541" s="113">
        <f>SUM(J534:J540)</f>
        <v>768</v>
      </c>
      <c r="K541" s="113">
        <f t="shared" ref="K541:P541" si="394">SUM(K534:K540)</f>
        <v>102</v>
      </c>
      <c r="L541" s="113">
        <f t="shared" si="394"/>
        <v>43</v>
      </c>
      <c r="M541" s="113">
        <f t="shared" si="394"/>
        <v>455</v>
      </c>
      <c r="N541" s="113">
        <f t="shared" si="394"/>
        <v>125</v>
      </c>
      <c r="O541" s="113">
        <f t="shared" si="394"/>
        <v>30</v>
      </c>
      <c r="P541" s="113">
        <f t="shared" si="394"/>
        <v>13</v>
      </c>
      <c r="Q541" s="115">
        <f>(K541+L541)/J541</f>
        <v>0.18880208333333334</v>
      </c>
      <c r="R541" s="116">
        <f t="shared" si="387"/>
        <v>0.16276041666666666</v>
      </c>
      <c r="S541" s="116">
        <f t="shared" si="379"/>
        <v>1.6927083333333332E-2</v>
      </c>
      <c r="T541" s="116">
        <f t="shared" si="380"/>
        <v>3.90625E-2</v>
      </c>
      <c r="U541" s="117">
        <f t="shared" si="381"/>
        <v>0.40755208333333337</v>
      </c>
      <c r="V541" s="127"/>
      <c r="W541" s="88"/>
      <c r="X541" s="88"/>
      <c r="Y541" s="118"/>
    </row>
    <row r="542" spans="2:25" ht="15.75" hidden="1" x14ac:dyDescent="0.2">
      <c r="B542" s="711">
        <v>46124</v>
      </c>
      <c r="C542" s="105" t="s">
        <v>12</v>
      </c>
      <c r="D542" s="105" t="s">
        <v>23</v>
      </c>
      <c r="E542" s="711">
        <v>46124</v>
      </c>
      <c r="G542" s="701">
        <v>46124</v>
      </c>
      <c r="H542" s="106" t="s">
        <v>16</v>
      </c>
      <c r="I542" s="120" t="s">
        <v>103</v>
      </c>
      <c r="J542" s="106">
        <f t="shared" ref="J542:J543" si="395">SUM(K542:P542)</f>
        <v>60</v>
      </c>
      <c r="K542" s="106">
        <v>19</v>
      </c>
      <c r="L542" s="106">
        <v>20</v>
      </c>
      <c r="M542" s="107">
        <v>0</v>
      </c>
      <c r="N542" s="106">
        <v>0</v>
      </c>
      <c r="O542" s="106">
        <v>18</v>
      </c>
      <c r="P542" s="107">
        <v>3</v>
      </c>
      <c r="Q542" s="108">
        <f t="shared" ref="Q542:Q546" si="396">(K542+L542)/J542</f>
        <v>0.65</v>
      </c>
      <c r="R542" s="109">
        <f t="shared" ref="R542:R547" si="397">N542/J542</f>
        <v>0</v>
      </c>
      <c r="S542" s="109">
        <f t="shared" ref="S542:S547" si="398">P542/J542</f>
        <v>0.05</v>
      </c>
      <c r="T542" s="109">
        <f t="shared" ref="T542:T547" si="399">O542/J542</f>
        <v>0.3</v>
      </c>
      <c r="U542" s="110">
        <f t="shared" ref="U542:U547" si="400">S542+R542+Q542+T542</f>
        <v>1</v>
      </c>
      <c r="V542" s="111"/>
    </row>
    <row r="543" spans="2:25" ht="15.75" hidden="1" x14ac:dyDescent="0.2">
      <c r="B543" s="711">
        <v>46124</v>
      </c>
      <c r="C543" s="105" t="s">
        <v>12</v>
      </c>
      <c r="D543" s="105" t="s">
        <v>23</v>
      </c>
      <c r="E543" s="711">
        <v>46125</v>
      </c>
      <c r="G543" s="866">
        <v>46125</v>
      </c>
      <c r="H543" s="120" t="s">
        <v>16</v>
      </c>
      <c r="I543" s="120" t="s">
        <v>103</v>
      </c>
      <c r="J543" s="106">
        <f t="shared" si="395"/>
        <v>241</v>
      </c>
      <c r="K543" s="106">
        <v>0</v>
      </c>
      <c r="L543" s="106">
        <v>1</v>
      </c>
      <c r="M543" s="106">
        <f>31+205</f>
        <v>236</v>
      </c>
      <c r="N543" s="106">
        <v>0</v>
      </c>
      <c r="O543" s="106">
        <v>0</v>
      </c>
      <c r="P543" s="106">
        <v>4</v>
      </c>
      <c r="Q543" s="108">
        <f t="shared" si="396"/>
        <v>4.1493775933609959E-3</v>
      </c>
      <c r="R543" s="109">
        <f t="shared" si="397"/>
        <v>0</v>
      </c>
      <c r="S543" s="109">
        <f t="shared" si="398"/>
        <v>1.6597510373443983E-2</v>
      </c>
      <c r="T543" s="109">
        <f t="shared" si="399"/>
        <v>0</v>
      </c>
      <c r="U543" s="110">
        <f t="shared" si="400"/>
        <v>2.0746887966804978E-2</v>
      </c>
      <c r="V543" s="136"/>
    </row>
    <row r="544" spans="2:25" ht="15.75" hidden="1" x14ac:dyDescent="0.2">
      <c r="B544" s="711">
        <v>46124</v>
      </c>
      <c r="C544" s="105" t="s">
        <v>12</v>
      </c>
      <c r="D544" s="105" t="s">
        <v>23</v>
      </c>
      <c r="E544" s="711">
        <v>46125</v>
      </c>
      <c r="G544" s="867"/>
      <c r="H544" s="106" t="s">
        <v>84</v>
      </c>
      <c r="I544" s="120" t="s">
        <v>106</v>
      </c>
      <c r="J544" s="106">
        <f t="shared" ref="J544" si="401">SUM(K544:P544)</f>
        <v>133</v>
      </c>
      <c r="K544" s="106">
        <v>0</v>
      </c>
      <c r="L544" s="106">
        <v>18</v>
      </c>
      <c r="M544" s="106">
        <v>11</v>
      </c>
      <c r="N544" s="106">
        <v>96</v>
      </c>
      <c r="O544" s="106">
        <v>5</v>
      </c>
      <c r="P544" s="106">
        <v>3</v>
      </c>
      <c r="Q544" s="108">
        <f t="shared" si="396"/>
        <v>0.13533834586466165</v>
      </c>
      <c r="R544" s="109">
        <f t="shared" si="397"/>
        <v>0.72180451127819545</v>
      </c>
      <c r="S544" s="109">
        <f t="shared" si="398"/>
        <v>2.2556390977443608E-2</v>
      </c>
      <c r="T544" s="109">
        <f t="shared" si="399"/>
        <v>3.7593984962406013E-2</v>
      </c>
      <c r="U544" s="110">
        <f t="shared" si="400"/>
        <v>0.9172932330827066</v>
      </c>
      <c r="V544" s="136"/>
    </row>
    <row r="545" spans="2:22" ht="15.75" hidden="1" x14ac:dyDescent="0.2">
      <c r="B545" s="711">
        <v>46124</v>
      </c>
      <c r="C545" s="105" t="s">
        <v>12</v>
      </c>
      <c r="D545" s="105" t="s">
        <v>23</v>
      </c>
      <c r="E545" s="711">
        <v>46125</v>
      </c>
      <c r="G545" s="867"/>
      <c r="H545" s="106" t="s">
        <v>17</v>
      </c>
      <c r="I545" s="120" t="s">
        <v>22</v>
      </c>
      <c r="J545" s="106">
        <f t="shared" ref="J545" si="402">SUM(K545:P545)</f>
        <v>30</v>
      </c>
      <c r="K545" s="106">
        <v>0</v>
      </c>
      <c r="L545" s="106">
        <v>0</v>
      </c>
      <c r="M545" s="106">
        <v>5</v>
      </c>
      <c r="N545" s="106">
        <v>22</v>
      </c>
      <c r="O545" s="106">
        <v>2</v>
      </c>
      <c r="P545" s="106">
        <v>1</v>
      </c>
      <c r="Q545" s="108">
        <f t="shared" ref="Q545" si="403">(K545+L545)/J545</f>
        <v>0</v>
      </c>
      <c r="R545" s="109">
        <f t="shared" ref="R545" si="404">N545/J545</f>
        <v>0.73333333333333328</v>
      </c>
      <c r="S545" s="109">
        <f t="shared" ref="S545" si="405">P545/J545</f>
        <v>3.3333333333333333E-2</v>
      </c>
      <c r="T545" s="109">
        <f t="shared" ref="T545" si="406">O545/J545</f>
        <v>6.6666666666666666E-2</v>
      </c>
      <c r="U545" s="110">
        <f t="shared" ref="U545" si="407">S545+R545+Q545+T545</f>
        <v>0.83333333333333326</v>
      </c>
      <c r="V545" s="136"/>
    </row>
    <row r="546" spans="2:22" ht="15.75" hidden="1" x14ac:dyDescent="0.2">
      <c r="B546" s="711">
        <v>46124</v>
      </c>
      <c r="C546" s="105" t="s">
        <v>12</v>
      </c>
      <c r="D546" s="105" t="s">
        <v>23</v>
      </c>
      <c r="E546" s="711">
        <v>46125</v>
      </c>
      <c r="G546" s="867"/>
      <c r="H546" s="106" t="s">
        <v>14</v>
      </c>
      <c r="I546" s="120" t="s">
        <v>100</v>
      </c>
      <c r="J546" s="106">
        <f t="shared" ref="J546" si="408">SUM(K546:P546)</f>
        <v>233</v>
      </c>
      <c r="K546" s="106">
        <v>10</v>
      </c>
      <c r="L546" s="106">
        <v>2</v>
      </c>
      <c r="M546" s="106">
        <v>95</v>
      </c>
      <c r="N546" s="106">
        <v>113</v>
      </c>
      <c r="O546" s="106">
        <v>11</v>
      </c>
      <c r="P546" s="106">
        <v>2</v>
      </c>
      <c r="Q546" s="108">
        <f t="shared" si="396"/>
        <v>5.1502145922746781E-2</v>
      </c>
      <c r="R546" s="109">
        <f t="shared" si="397"/>
        <v>0.48497854077253216</v>
      </c>
      <c r="S546" s="109">
        <f t="shared" si="398"/>
        <v>8.5836909871244635E-3</v>
      </c>
      <c r="T546" s="109">
        <f t="shared" si="399"/>
        <v>4.7210300429184553E-2</v>
      </c>
      <c r="U546" s="110">
        <f t="shared" si="400"/>
        <v>0.59227467811158796</v>
      </c>
      <c r="V546" s="136"/>
    </row>
    <row r="547" spans="2:22" ht="15.75" hidden="1" x14ac:dyDescent="0.2">
      <c r="B547" s="711">
        <v>46124</v>
      </c>
      <c r="C547" s="105" t="s">
        <v>12</v>
      </c>
      <c r="D547" s="105" t="s">
        <v>23</v>
      </c>
      <c r="E547" s="711">
        <v>46125</v>
      </c>
      <c r="G547" s="868"/>
      <c r="H547" s="113" t="s">
        <v>19</v>
      </c>
      <c r="I547" s="113"/>
      <c r="J547" s="113">
        <f t="shared" ref="J547:P547" si="409">SUM(J542:J546)</f>
        <v>697</v>
      </c>
      <c r="K547" s="113">
        <f t="shared" si="409"/>
        <v>29</v>
      </c>
      <c r="L547" s="113">
        <f t="shared" si="409"/>
        <v>41</v>
      </c>
      <c r="M547" s="113">
        <f t="shared" si="409"/>
        <v>347</v>
      </c>
      <c r="N547" s="113">
        <f t="shared" si="409"/>
        <v>231</v>
      </c>
      <c r="O547" s="113">
        <f t="shared" si="409"/>
        <v>36</v>
      </c>
      <c r="P547" s="113">
        <f t="shared" si="409"/>
        <v>13</v>
      </c>
      <c r="Q547" s="115">
        <f>(K547+L547)/J547</f>
        <v>0.10043041606886657</v>
      </c>
      <c r="R547" s="116">
        <f t="shared" si="397"/>
        <v>0.33142037302725968</v>
      </c>
      <c r="S547" s="116">
        <f t="shared" si="398"/>
        <v>1.8651362984218076E-2</v>
      </c>
      <c r="T547" s="116">
        <f t="shared" si="399"/>
        <v>5.1649928263988523E-2</v>
      </c>
      <c r="U547" s="117">
        <f t="shared" si="400"/>
        <v>0.5021520803443329</v>
      </c>
      <c r="V547" s="127"/>
    </row>
    <row r="548" spans="2:22" ht="15.75" hidden="1" x14ac:dyDescent="0.2">
      <c r="B548" s="711">
        <v>46124</v>
      </c>
      <c r="C548" s="105" t="s">
        <v>18</v>
      </c>
      <c r="D548" s="105" t="s">
        <v>13</v>
      </c>
      <c r="E548" s="711">
        <v>46124</v>
      </c>
      <c r="G548" s="833">
        <v>46124</v>
      </c>
      <c r="H548" s="198" t="s">
        <v>16</v>
      </c>
      <c r="I548" s="198" t="s">
        <v>103</v>
      </c>
      <c r="J548" s="198">
        <v>22</v>
      </c>
      <c r="K548" s="198">
        <f>J548-L548-M548-N548-O548-P548</f>
        <v>8</v>
      </c>
      <c r="L548" s="198">
        <v>8</v>
      </c>
      <c r="M548" s="199">
        <v>0</v>
      </c>
      <c r="N548" s="198">
        <v>0</v>
      </c>
      <c r="O548" s="198">
        <v>6</v>
      </c>
      <c r="P548" s="199">
        <v>0</v>
      </c>
      <c r="Q548" s="200">
        <f t="shared" ref="Q548:Q553" si="410">(K548+L548)/J548</f>
        <v>0.72727272727272729</v>
      </c>
      <c r="R548" s="201">
        <f t="shared" ref="R548:R563" si="411">N548/J548</f>
        <v>0</v>
      </c>
      <c r="S548" s="201">
        <f t="shared" ref="S548:S563" si="412">P548/J548</f>
        <v>0</v>
      </c>
      <c r="T548" s="201">
        <f t="shared" ref="T548:T563" si="413">O548/J548</f>
        <v>0.27272727272727271</v>
      </c>
      <c r="U548" s="202">
        <f t="shared" ref="U548:U563" si="414">S548+R548+Q548+T548</f>
        <v>1</v>
      </c>
      <c r="V548" s="185"/>
    </row>
    <row r="549" spans="2:22" ht="16.5" hidden="1" thickBot="1" x14ac:dyDescent="0.25">
      <c r="B549" s="711">
        <v>46124</v>
      </c>
      <c r="C549" s="105" t="s">
        <v>18</v>
      </c>
      <c r="D549" s="105" t="s">
        <v>13</v>
      </c>
      <c r="E549" s="711">
        <v>46125</v>
      </c>
      <c r="G549" s="864"/>
      <c r="H549" s="875" t="s">
        <v>19</v>
      </c>
      <c r="I549" s="876"/>
      <c r="J549" s="203">
        <f t="shared" ref="J549:P549" si="415">SUM(J548)</f>
        <v>22</v>
      </c>
      <c r="K549" s="203">
        <f t="shared" si="415"/>
        <v>8</v>
      </c>
      <c r="L549" s="203">
        <f t="shared" si="415"/>
        <v>8</v>
      </c>
      <c r="M549" s="204">
        <f t="shared" si="415"/>
        <v>0</v>
      </c>
      <c r="N549" s="203">
        <f t="shared" si="415"/>
        <v>0</v>
      </c>
      <c r="O549" s="203">
        <f t="shared" si="415"/>
        <v>6</v>
      </c>
      <c r="P549" s="204">
        <f t="shared" si="415"/>
        <v>0</v>
      </c>
      <c r="Q549" s="205">
        <f>(K549+L549)/J549</f>
        <v>0.72727272727272729</v>
      </c>
      <c r="R549" s="206">
        <f t="shared" ref="R549" si="416">N549/J549</f>
        <v>0</v>
      </c>
      <c r="S549" s="206">
        <f t="shared" ref="S549" si="417">P549/J549</f>
        <v>0</v>
      </c>
      <c r="T549" s="206">
        <f t="shared" ref="T549" si="418">O549/J549</f>
        <v>0.27272727272727271</v>
      </c>
      <c r="U549" s="207">
        <f t="shared" ref="U549" si="419">S549+R549+Q549+T549</f>
        <v>1</v>
      </c>
      <c r="V549" s="208"/>
    </row>
    <row r="550" spans="2:22" ht="15.75" hidden="1" x14ac:dyDescent="0.2">
      <c r="B550" s="711">
        <v>46124</v>
      </c>
      <c r="C550" s="105" t="s">
        <v>18</v>
      </c>
      <c r="D550" s="105" t="s">
        <v>13</v>
      </c>
      <c r="E550" s="711">
        <v>46125</v>
      </c>
      <c r="G550" s="865">
        <v>46125</v>
      </c>
      <c r="H550" s="106" t="s">
        <v>16</v>
      </c>
      <c r="I550" s="106" t="s">
        <v>103</v>
      </c>
      <c r="J550" s="106">
        <v>241</v>
      </c>
      <c r="K550" s="106">
        <f>J550-L550-M550-N550-O550-P550</f>
        <v>152</v>
      </c>
      <c r="L550" s="106">
        <v>28</v>
      </c>
      <c r="M550" s="106">
        <v>38</v>
      </c>
      <c r="N550" s="106">
        <v>0</v>
      </c>
      <c r="O550" s="106">
        <v>19</v>
      </c>
      <c r="P550" s="106">
        <v>4</v>
      </c>
      <c r="Q550" s="108">
        <f t="shared" si="410"/>
        <v>0.74688796680497926</v>
      </c>
      <c r="R550" s="109">
        <f t="shared" si="411"/>
        <v>0</v>
      </c>
      <c r="S550" s="109">
        <f t="shared" si="412"/>
        <v>1.6597510373443983E-2</v>
      </c>
      <c r="T550" s="109">
        <f t="shared" si="413"/>
        <v>7.8838174273858919E-2</v>
      </c>
      <c r="U550" s="110">
        <f t="shared" si="414"/>
        <v>0.84232365145228227</v>
      </c>
      <c r="V550" s="136"/>
    </row>
    <row r="551" spans="2:22" ht="15.75" hidden="1" x14ac:dyDescent="0.2">
      <c r="B551" s="711">
        <v>46124</v>
      </c>
      <c r="C551" s="105" t="s">
        <v>18</v>
      </c>
      <c r="D551" s="105" t="s">
        <v>13</v>
      </c>
      <c r="E551" s="711">
        <v>46125</v>
      </c>
      <c r="G551" s="834"/>
      <c r="H551" s="106" t="s">
        <v>84</v>
      </c>
      <c r="I551" s="120" t="s">
        <v>106</v>
      </c>
      <c r="J551" s="106">
        <v>133</v>
      </c>
      <c r="K551" s="106">
        <f t="shared" ref="K551:K553" si="420">J551-L551-M551-N551-O551-P551</f>
        <v>103</v>
      </c>
      <c r="L551" s="106">
        <v>6</v>
      </c>
      <c r="M551" s="106">
        <v>21</v>
      </c>
      <c r="N551" s="106">
        <v>0</v>
      </c>
      <c r="O551" s="106">
        <v>0</v>
      </c>
      <c r="P551" s="106">
        <v>3</v>
      </c>
      <c r="Q551" s="108">
        <f t="shared" si="410"/>
        <v>0.81954887218045114</v>
      </c>
      <c r="R551" s="109">
        <f t="shared" si="411"/>
        <v>0</v>
      </c>
      <c r="S551" s="109">
        <f t="shared" si="412"/>
        <v>2.2556390977443608E-2</v>
      </c>
      <c r="T551" s="109">
        <f t="shared" si="413"/>
        <v>0</v>
      </c>
      <c r="U551" s="110">
        <f t="shared" si="414"/>
        <v>0.84210526315789469</v>
      </c>
      <c r="V551" s="136"/>
    </row>
    <row r="552" spans="2:22" ht="15.75" hidden="1" x14ac:dyDescent="0.2">
      <c r="B552" s="711">
        <v>46124</v>
      </c>
      <c r="C552" s="105" t="s">
        <v>18</v>
      </c>
      <c r="D552" s="105" t="s">
        <v>13</v>
      </c>
      <c r="E552" s="711">
        <v>46125</v>
      </c>
      <c r="G552" s="834"/>
      <c r="H552" s="106" t="s">
        <v>17</v>
      </c>
      <c r="I552" s="120" t="s">
        <v>22</v>
      </c>
      <c r="J552" s="106">
        <v>30</v>
      </c>
      <c r="K552" s="106">
        <f t="shared" si="420"/>
        <v>16</v>
      </c>
      <c r="L552" s="106">
        <v>6</v>
      </c>
      <c r="M552" s="106">
        <v>7</v>
      </c>
      <c r="N552" s="106">
        <v>0</v>
      </c>
      <c r="O552" s="106">
        <v>0</v>
      </c>
      <c r="P552" s="106">
        <v>1</v>
      </c>
      <c r="Q552" s="108">
        <f t="shared" si="410"/>
        <v>0.73333333333333328</v>
      </c>
      <c r="R552" s="109">
        <f t="shared" si="411"/>
        <v>0</v>
      </c>
      <c r="S552" s="109">
        <f t="shared" si="412"/>
        <v>3.3333333333333333E-2</v>
      </c>
      <c r="T552" s="109">
        <f t="shared" si="413"/>
        <v>0</v>
      </c>
      <c r="U552" s="110">
        <f t="shared" si="414"/>
        <v>0.76666666666666661</v>
      </c>
      <c r="V552" s="136"/>
    </row>
    <row r="553" spans="2:22" ht="15.75" hidden="1" x14ac:dyDescent="0.2">
      <c r="B553" s="711">
        <v>46124</v>
      </c>
      <c r="C553" s="105" t="s">
        <v>18</v>
      </c>
      <c r="D553" s="105" t="s">
        <v>13</v>
      </c>
      <c r="E553" s="711">
        <v>46125</v>
      </c>
      <c r="G553" s="834"/>
      <c r="H553" s="106" t="s">
        <v>14</v>
      </c>
      <c r="I553" s="120" t="s">
        <v>100</v>
      </c>
      <c r="J553" s="106">
        <v>233</v>
      </c>
      <c r="K553" s="106">
        <f t="shared" si="420"/>
        <v>100</v>
      </c>
      <c r="L553" s="106">
        <v>22</v>
      </c>
      <c r="M553" s="106">
        <v>110</v>
      </c>
      <c r="N553" s="106">
        <v>0</v>
      </c>
      <c r="O553" s="106">
        <v>0</v>
      </c>
      <c r="P553" s="106">
        <v>1</v>
      </c>
      <c r="Q553" s="108">
        <f t="shared" si="410"/>
        <v>0.52360515021459231</v>
      </c>
      <c r="R553" s="109">
        <f t="shared" si="411"/>
        <v>0</v>
      </c>
      <c r="S553" s="109">
        <f t="shared" si="412"/>
        <v>4.2918454935622317E-3</v>
      </c>
      <c r="T553" s="109">
        <f t="shared" si="413"/>
        <v>0</v>
      </c>
      <c r="U553" s="110">
        <f t="shared" si="414"/>
        <v>0.52789699570815452</v>
      </c>
      <c r="V553" s="136"/>
    </row>
    <row r="554" spans="2:22" ht="15.75" hidden="1" x14ac:dyDescent="0.2">
      <c r="B554" s="711">
        <v>46124</v>
      </c>
      <c r="C554" s="105" t="s">
        <v>18</v>
      </c>
      <c r="D554" s="105" t="s">
        <v>13</v>
      </c>
      <c r="E554" s="711">
        <v>46125</v>
      </c>
      <c r="G554" s="835"/>
      <c r="H554" s="840" t="s">
        <v>19</v>
      </c>
      <c r="I554" s="841"/>
      <c r="J554" s="113">
        <f t="shared" ref="J554:P554" si="421">SUM(J550:J553)</f>
        <v>637</v>
      </c>
      <c r="K554" s="113">
        <f t="shared" si="421"/>
        <v>371</v>
      </c>
      <c r="L554" s="113">
        <f t="shared" si="421"/>
        <v>62</v>
      </c>
      <c r="M554" s="114">
        <f t="shared" si="421"/>
        <v>176</v>
      </c>
      <c r="N554" s="113">
        <f t="shared" si="421"/>
        <v>0</v>
      </c>
      <c r="O554" s="113">
        <f t="shared" si="421"/>
        <v>19</v>
      </c>
      <c r="P554" s="114">
        <f t="shared" si="421"/>
        <v>9</v>
      </c>
      <c r="Q554" s="115">
        <f>(K554+L554)/J554</f>
        <v>0.67974882260596547</v>
      </c>
      <c r="R554" s="116">
        <f t="shared" si="411"/>
        <v>0</v>
      </c>
      <c r="S554" s="116">
        <f t="shared" si="412"/>
        <v>1.4128728414442701E-2</v>
      </c>
      <c r="T554" s="116">
        <f t="shared" si="413"/>
        <v>2.9827315541601257E-2</v>
      </c>
      <c r="U554" s="117">
        <f t="shared" si="414"/>
        <v>0.72370486656200939</v>
      </c>
      <c r="V554" s="127"/>
    </row>
    <row r="555" spans="2:22" ht="15.75" hidden="1" x14ac:dyDescent="0.2">
      <c r="B555" s="711">
        <v>46125</v>
      </c>
      <c r="C555" s="105" t="s">
        <v>22</v>
      </c>
      <c r="D555" s="105" t="s">
        <v>20</v>
      </c>
      <c r="E555" s="711">
        <v>46124</v>
      </c>
      <c r="G555" s="833">
        <v>46125</v>
      </c>
      <c r="H555" s="106" t="s">
        <v>16</v>
      </c>
      <c r="I555" s="120" t="s">
        <v>103</v>
      </c>
      <c r="J555" s="106">
        <f t="shared" ref="J555:J559" si="422">SUM(K555:P555)</f>
        <v>80</v>
      </c>
      <c r="K555" s="106">
        <v>27</v>
      </c>
      <c r="L555" s="106">
        <v>28</v>
      </c>
      <c r="M555" s="107">
        <v>13</v>
      </c>
      <c r="N555" s="106">
        <v>0</v>
      </c>
      <c r="O555" s="106">
        <v>10</v>
      </c>
      <c r="P555" s="107">
        <v>2</v>
      </c>
      <c r="Q555" s="108">
        <f t="shared" ref="Q555:Q562" si="423">(K555+L555)/J555</f>
        <v>0.6875</v>
      </c>
      <c r="R555" s="109">
        <f t="shared" si="411"/>
        <v>0</v>
      </c>
      <c r="S555" s="109">
        <f t="shared" si="412"/>
        <v>2.5000000000000001E-2</v>
      </c>
      <c r="T555" s="109">
        <f t="shared" si="413"/>
        <v>0.125</v>
      </c>
      <c r="U555" s="110">
        <f t="shared" si="414"/>
        <v>0.83750000000000002</v>
      </c>
      <c r="V555" s="111"/>
    </row>
    <row r="556" spans="2:22" ht="15.75" hidden="1" x14ac:dyDescent="0.2">
      <c r="B556" s="711">
        <v>46125</v>
      </c>
      <c r="C556" s="105" t="s">
        <v>22</v>
      </c>
      <c r="D556" s="105" t="s">
        <v>20</v>
      </c>
      <c r="E556" s="711">
        <v>46124</v>
      </c>
      <c r="G556" s="834"/>
      <c r="H556" s="120" t="s">
        <v>84</v>
      </c>
      <c r="I556" s="120" t="s">
        <v>106</v>
      </c>
      <c r="J556" s="106">
        <f t="shared" si="422"/>
        <v>24</v>
      </c>
      <c r="K556" s="106">
        <v>13</v>
      </c>
      <c r="L556" s="106">
        <v>0</v>
      </c>
      <c r="M556" s="106">
        <v>6</v>
      </c>
      <c r="N556" s="106">
        <v>0</v>
      </c>
      <c r="O556" s="106">
        <v>0</v>
      </c>
      <c r="P556" s="106">
        <v>5</v>
      </c>
      <c r="Q556" s="108">
        <f t="shared" si="423"/>
        <v>0.54166666666666663</v>
      </c>
      <c r="R556" s="109">
        <f t="shared" si="411"/>
        <v>0</v>
      </c>
      <c r="S556" s="109">
        <f t="shared" si="412"/>
        <v>0.20833333333333334</v>
      </c>
      <c r="T556" s="109">
        <f t="shared" si="413"/>
        <v>0</v>
      </c>
      <c r="U556" s="110">
        <f t="shared" si="414"/>
        <v>0.75</v>
      </c>
      <c r="V556" s="111"/>
    </row>
    <row r="557" spans="2:22" ht="15.75" hidden="1" x14ac:dyDescent="0.2">
      <c r="B557" s="711">
        <v>46125</v>
      </c>
      <c r="C557" s="105" t="s">
        <v>22</v>
      </c>
      <c r="D557" s="105" t="s">
        <v>20</v>
      </c>
      <c r="E557" s="711">
        <v>46124</v>
      </c>
      <c r="G557" s="834"/>
      <c r="H557" s="120" t="s">
        <v>14</v>
      </c>
      <c r="I557" s="120" t="s">
        <v>100</v>
      </c>
      <c r="J557" s="106">
        <f t="shared" si="422"/>
        <v>120</v>
      </c>
      <c r="K557" s="106">
        <v>88</v>
      </c>
      <c r="L557" s="106">
        <v>24</v>
      </c>
      <c r="M557" s="106">
        <v>6</v>
      </c>
      <c r="N557" s="106">
        <v>0</v>
      </c>
      <c r="O557" s="106">
        <v>0</v>
      </c>
      <c r="P557" s="106">
        <v>2</v>
      </c>
      <c r="Q557" s="108">
        <f t="shared" si="423"/>
        <v>0.93333333333333335</v>
      </c>
      <c r="R557" s="109">
        <f t="shared" si="411"/>
        <v>0</v>
      </c>
      <c r="S557" s="109">
        <f t="shared" si="412"/>
        <v>1.6666666666666666E-2</v>
      </c>
      <c r="T557" s="109">
        <f t="shared" si="413"/>
        <v>0</v>
      </c>
      <c r="U557" s="110">
        <f t="shared" si="414"/>
        <v>0.95000000000000007</v>
      </c>
      <c r="V557" s="136"/>
    </row>
    <row r="558" spans="2:22" ht="15.75" hidden="1" x14ac:dyDescent="0.2">
      <c r="B558" s="711">
        <v>46125</v>
      </c>
      <c r="C558" s="105" t="s">
        <v>22</v>
      </c>
      <c r="D558" s="105" t="s">
        <v>20</v>
      </c>
      <c r="E558" s="711">
        <v>46124</v>
      </c>
      <c r="G558" s="702"/>
      <c r="H558" s="120" t="s">
        <v>17</v>
      </c>
      <c r="I558" s="120" t="s">
        <v>22</v>
      </c>
      <c r="J558" s="106">
        <f t="shared" si="422"/>
        <v>14</v>
      </c>
      <c r="K558" s="106">
        <v>14</v>
      </c>
      <c r="L558" s="106">
        <v>0</v>
      </c>
      <c r="M558" s="106">
        <v>0</v>
      </c>
      <c r="N558" s="106">
        <v>0</v>
      </c>
      <c r="O558" s="106">
        <v>0</v>
      </c>
      <c r="P558" s="106">
        <v>0</v>
      </c>
      <c r="Q558" s="108">
        <f t="shared" ref="Q558" si="424">(K558+L558)/J558</f>
        <v>1</v>
      </c>
      <c r="R558" s="109">
        <f t="shared" ref="R558" si="425">N558/J558</f>
        <v>0</v>
      </c>
      <c r="S558" s="109">
        <f t="shared" ref="S558" si="426">P558/J558</f>
        <v>0</v>
      </c>
      <c r="T558" s="109">
        <f t="shared" ref="T558" si="427">O558/J558</f>
        <v>0</v>
      </c>
      <c r="U558" s="110">
        <f t="shared" ref="U558" si="428">S558+R558+Q558+T558</f>
        <v>1</v>
      </c>
      <c r="V558" s="136"/>
    </row>
    <row r="559" spans="2:22" ht="15.75" hidden="1" x14ac:dyDescent="0.2">
      <c r="B559" s="711">
        <v>46125</v>
      </c>
      <c r="C559" s="105" t="s">
        <v>22</v>
      </c>
      <c r="D559" s="105" t="s">
        <v>20</v>
      </c>
      <c r="E559" s="711">
        <v>46125</v>
      </c>
      <c r="G559" s="866">
        <v>46126</v>
      </c>
      <c r="H559" s="120" t="s">
        <v>16</v>
      </c>
      <c r="I559" s="120" t="s">
        <v>103</v>
      </c>
      <c r="J559" s="106">
        <f t="shared" si="422"/>
        <v>225</v>
      </c>
      <c r="K559" s="106">
        <v>0</v>
      </c>
      <c r="L559" s="106">
        <v>0</v>
      </c>
      <c r="M559" s="106">
        <v>225</v>
      </c>
      <c r="N559" s="106">
        <v>0</v>
      </c>
      <c r="O559" s="106">
        <v>0</v>
      </c>
      <c r="P559" s="106">
        <v>0</v>
      </c>
      <c r="Q559" s="108">
        <f t="shared" si="423"/>
        <v>0</v>
      </c>
      <c r="R559" s="109">
        <f t="shared" si="411"/>
        <v>0</v>
      </c>
      <c r="S559" s="109">
        <f t="shared" si="412"/>
        <v>0</v>
      </c>
      <c r="T559" s="109">
        <f t="shared" si="413"/>
        <v>0</v>
      </c>
      <c r="U559" s="110">
        <f t="shared" si="414"/>
        <v>0</v>
      </c>
      <c r="V559" s="136"/>
    </row>
    <row r="560" spans="2:22" ht="15.75" hidden="1" x14ac:dyDescent="0.2">
      <c r="B560" s="711">
        <v>46125</v>
      </c>
      <c r="C560" s="105" t="s">
        <v>22</v>
      </c>
      <c r="D560" s="105" t="s">
        <v>20</v>
      </c>
      <c r="E560" s="711">
        <v>46125</v>
      </c>
      <c r="G560" s="867"/>
      <c r="H560" s="106" t="s">
        <v>84</v>
      </c>
      <c r="I560" s="120" t="s">
        <v>106</v>
      </c>
      <c r="J560" s="106">
        <f t="shared" ref="J560" si="429">SUM(K560:P560)</f>
        <v>156</v>
      </c>
      <c r="K560" s="106">
        <v>23</v>
      </c>
      <c r="L560" s="106">
        <v>3</v>
      </c>
      <c r="M560" s="106">
        <v>130</v>
      </c>
      <c r="N560" s="106">
        <v>0</v>
      </c>
      <c r="O560" s="106">
        <v>0</v>
      </c>
      <c r="P560" s="106">
        <v>0</v>
      </c>
      <c r="Q560" s="108">
        <f t="shared" si="423"/>
        <v>0.16666666666666666</v>
      </c>
      <c r="R560" s="109">
        <f t="shared" si="411"/>
        <v>0</v>
      </c>
      <c r="S560" s="109">
        <f t="shared" si="412"/>
        <v>0</v>
      </c>
      <c r="T560" s="109">
        <f t="shared" si="413"/>
        <v>0</v>
      </c>
      <c r="U560" s="110">
        <f t="shared" si="414"/>
        <v>0.16666666666666666</v>
      </c>
      <c r="V560" s="136"/>
    </row>
    <row r="561" spans="2:25" ht="15.75" hidden="1" x14ac:dyDescent="0.2">
      <c r="B561" s="711">
        <v>46125</v>
      </c>
      <c r="C561" s="105" t="s">
        <v>22</v>
      </c>
      <c r="D561" s="105" t="s">
        <v>20</v>
      </c>
      <c r="E561" s="711">
        <v>46125</v>
      </c>
      <c r="G561" s="867"/>
      <c r="H561" s="106" t="s">
        <v>25</v>
      </c>
      <c r="I561" s="120" t="s">
        <v>106</v>
      </c>
      <c r="J561" s="106">
        <f t="shared" ref="J561" si="430">SUM(K561:P561)</f>
        <v>171</v>
      </c>
      <c r="K561" s="106">
        <v>2</v>
      </c>
      <c r="L561" s="106">
        <v>2</v>
      </c>
      <c r="M561" s="106">
        <v>124</v>
      </c>
      <c r="N561" s="106">
        <v>42</v>
      </c>
      <c r="O561" s="106">
        <v>0</v>
      </c>
      <c r="P561" s="106">
        <v>1</v>
      </c>
      <c r="Q561" s="108">
        <f t="shared" ref="Q561" si="431">(K561+L561)/J561</f>
        <v>2.3391812865497075E-2</v>
      </c>
      <c r="R561" s="109">
        <f t="shared" ref="R561" si="432">N561/J561</f>
        <v>0.24561403508771928</v>
      </c>
      <c r="S561" s="109">
        <f t="shared" ref="S561" si="433">P561/J561</f>
        <v>5.8479532163742687E-3</v>
      </c>
      <c r="T561" s="109">
        <f t="shared" ref="T561" si="434">O561/J561</f>
        <v>0</v>
      </c>
      <c r="U561" s="110">
        <f t="shared" ref="U561" si="435">S561+R561+Q561+T561</f>
        <v>0.27485380116959063</v>
      </c>
      <c r="V561" s="136"/>
    </row>
    <row r="562" spans="2:25" ht="15.75" hidden="1" x14ac:dyDescent="0.2">
      <c r="B562" s="711">
        <v>46125</v>
      </c>
      <c r="C562" s="105" t="s">
        <v>22</v>
      </c>
      <c r="D562" s="105" t="s">
        <v>20</v>
      </c>
      <c r="E562" s="711">
        <v>46125</v>
      </c>
      <c r="G562" s="867"/>
      <c r="H562" s="106" t="s">
        <v>14</v>
      </c>
      <c r="I562" s="120" t="s">
        <v>105</v>
      </c>
      <c r="J562" s="106">
        <f t="shared" ref="J562" si="436">SUM(K562:P562)</f>
        <v>195</v>
      </c>
      <c r="K562" s="106">
        <v>0</v>
      </c>
      <c r="L562" s="106">
        <v>0</v>
      </c>
      <c r="M562" s="106">
        <v>195</v>
      </c>
      <c r="N562" s="106">
        <v>0</v>
      </c>
      <c r="O562" s="106">
        <v>0</v>
      </c>
      <c r="P562" s="106">
        <v>0</v>
      </c>
      <c r="Q562" s="108">
        <f t="shared" si="423"/>
        <v>0</v>
      </c>
      <c r="R562" s="109">
        <f t="shared" si="411"/>
        <v>0</v>
      </c>
      <c r="S562" s="109">
        <f t="shared" si="412"/>
        <v>0</v>
      </c>
      <c r="T562" s="109">
        <f t="shared" si="413"/>
        <v>0</v>
      </c>
      <c r="U562" s="110">
        <f t="shared" si="414"/>
        <v>0</v>
      </c>
      <c r="V562" s="136"/>
    </row>
    <row r="563" spans="2:25" s="97" customFormat="1" ht="16.5" hidden="1" customHeight="1" x14ac:dyDescent="0.2">
      <c r="B563" s="711">
        <v>46125</v>
      </c>
      <c r="C563" s="105" t="s">
        <v>22</v>
      </c>
      <c r="D563" s="105" t="s">
        <v>20</v>
      </c>
      <c r="E563" s="711">
        <v>46125</v>
      </c>
      <c r="F563" s="89"/>
      <c r="G563" s="868"/>
      <c r="H563" s="113" t="s">
        <v>19</v>
      </c>
      <c r="I563" s="113"/>
      <c r="J563" s="113">
        <f t="shared" ref="J563:P563" si="437">SUM(J555:J562)</f>
        <v>985</v>
      </c>
      <c r="K563" s="113">
        <f t="shared" si="437"/>
        <v>167</v>
      </c>
      <c r="L563" s="113">
        <f t="shared" si="437"/>
        <v>57</v>
      </c>
      <c r="M563" s="113">
        <f t="shared" si="437"/>
        <v>699</v>
      </c>
      <c r="N563" s="113">
        <f t="shared" si="437"/>
        <v>42</v>
      </c>
      <c r="O563" s="113">
        <f t="shared" si="437"/>
        <v>10</v>
      </c>
      <c r="P563" s="113">
        <f t="shared" si="437"/>
        <v>10</v>
      </c>
      <c r="Q563" s="115">
        <f>(K563+L563)/J563</f>
        <v>0.22741116751269036</v>
      </c>
      <c r="R563" s="116">
        <f t="shared" si="411"/>
        <v>4.2639593908629439E-2</v>
      </c>
      <c r="S563" s="116">
        <f t="shared" si="412"/>
        <v>1.015228426395939E-2</v>
      </c>
      <c r="T563" s="116">
        <f t="shared" si="413"/>
        <v>1.015228426395939E-2</v>
      </c>
      <c r="U563" s="117">
        <f t="shared" si="414"/>
        <v>0.29035532994923857</v>
      </c>
      <c r="V563" s="127"/>
      <c r="W563" s="88"/>
      <c r="X563" s="88"/>
      <c r="Y563" s="118"/>
    </row>
    <row r="564" spans="2:25" ht="15.75" hidden="1" x14ac:dyDescent="0.2">
      <c r="B564" s="711">
        <v>46125</v>
      </c>
      <c r="C564" s="105" t="s">
        <v>12</v>
      </c>
      <c r="D564" s="105" t="s">
        <v>23</v>
      </c>
      <c r="E564" s="711">
        <v>46124</v>
      </c>
      <c r="G564" s="833">
        <v>46125</v>
      </c>
      <c r="H564" s="106" t="s">
        <v>16</v>
      </c>
      <c r="I564" s="120" t="s">
        <v>103</v>
      </c>
      <c r="J564" s="106">
        <f t="shared" ref="J564:J566" si="438">SUM(K564:P564)</f>
        <v>41</v>
      </c>
      <c r="K564" s="106">
        <v>21</v>
      </c>
      <c r="L564" s="106">
        <v>6</v>
      </c>
      <c r="M564" s="107">
        <v>0</v>
      </c>
      <c r="N564" s="106">
        <v>0</v>
      </c>
      <c r="O564" s="106">
        <v>12</v>
      </c>
      <c r="P564" s="107">
        <v>2</v>
      </c>
      <c r="Q564" s="108">
        <f t="shared" ref="Q564:Q570" si="439">(K564+L564)/J564</f>
        <v>0.65853658536585369</v>
      </c>
      <c r="R564" s="109">
        <f t="shared" ref="R564:R571" si="440">N564/J564</f>
        <v>0</v>
      </c>
      <c r="S564" s="109">
        <f t="shared" ref="S564:S571" si="441">P564/J564</f>
        <v>4.878048780487805E-2</v>
      </c>
      <c r="T564" s="109">
        <f t="shared" ref="T564:T571" si="442">O564/J564</f>
        <v>0.29268292682926828</v>
      </c>
      <c r="U564" s="110">
        <f t="shared" ref="U564:U571" si="443">S564+R564+Q564+T564</f>
        <v>1</v>
      </c>
      <c r="V564" s="111"/>
    </row>
    <row r="565" spans="2:25" ht="15.75" hidden="1" x14ac:dyDescent="0.2">
      <c r="B565" s="711">
        <v>46125</v>
      </c>
      <c r="C565" s="105" t="s">
        <v>12</v>
      </c>
      <c r="D565" s="105" t="s">
        <v>23</v>
      </c>
      <c r="E565" s="711">
        <v>46124</v>
      </c>
      <c r="G565" s="835"/>
      <c r="H565" s="120" t="s">
        <v>14</v>
      </c>
      <c r="I565" s="120" t="s">
        <v>100</v>
      </c>
      <c r="J565" s="106">
        <f t="shared" si="438"/>
        <v>24</v>
      </c>
      <c r="K565" s="106">
        <v>2</v>
      </c>
      <c r="L565" s="106">
        <v>1</v>
      </c>
      <c r="M565" s="106">
        <v>6</v>
      </c>
      <c r="N565" s="106">
        <v>0</v>
      </c>
      <c r="O565" s="106">
        <v>13</v>
      </c>
      <c r="P565" s="106">
        <v>2</v>
      </c>
      <c r="Q565" s="108">
        <f t="shared" si="439"/>
        <v>0.125</v>
      </c>
      <c r="R565" s="109">
        <f t="shared" si="440"/>
        <v>0</v>
      </c>
      <c r="S565" s="109">
        <f t="shared" si="441"/>
        <v>8.3333333333333329E-2</v>
      </c>
      <c r="T565" s="109">
        <f t="shared" si="442"/>
        <v>0.54166666666666663</v>
      </c>
      <c r="U565" s="110">
        <f t="shared" si="443"/>
        <v>0.75</v>
      </c>
      <c r="V565" s="136"/>
    </row>
    <row r="566" spans="2:25" ht="15.75" hidden="1" x14ac:dyDescent="0.2">
      <c r="B566" s="711">
        <v>46125</v>
      </c>
      <c r="C566" s="105" t="s">
        <v>12</v>
      </c>
      <c r="D566" s="105" t="s">
        <v>23</v>
      </c>
      <c r="E566" s="711">
        <v>46125</v>
      </c>
      <c r="G566" s="866">
        <v>46126</v>
      </c>
      <c r="H566" s="120" t="s">
        <v>16</v>
      </c>
      <c r="I566" s="120" t="s">
        <v>103</v>
      </c>
      <c r="J566" s="106">
        <f t="shared" si="438"/>
        <v>229</v>
      </c>
      <c r="K566" s="106">
        <v>0</v>
      </c>
      <c r="L566" s="106">
        <v>0</v>
      </c>
      <c r="M566" s="106">
        <v>225</v>
      </c>
      <c r="N566" s="106">
        <v>0</v>
      </c>
      <c r="O566" s="106">
        <v>0</v>
      </c>
      <c r="P566" s="106">
        <v>4</v>
      </c>
      <c r="Q566" s="108">
        <f t="shared" si="439"/>
        <v>0</v>
      </c>
      <c r="R566" s="109">
        <f t="shared" si="440"/>
        <v>0</v>
      </c>
      <c r="S566" s="109">
        <f t="shared" si="441"/>
        <v>1.7467248908296942E-2</v>
      </c>
      <c r="T566" s="109">
        <f t="shared" si="442"/>
        <v>0</v>
      </c>
      <c r="U566" s="110">
        <f t="shared" si="443"/>
        <v>1.7467248908296942E-2</v>
      </c>
      <c r="V566" s="136"/>
    </row>
    <row r="567" spans="2:25" ht="15.75" hidden="1" x14ac:dyDescent="0.2">
      <c r="B567" s="711">
        <v>46125</v>
      </c>
      <c r="C567" s="105" t="s">
        <v>12</v>
      </c>
      <c r="D567" s="105" t="s">
        <v>23</v>
      </c>
      <c r="E567" s="711">
        <v>46125</v>
      </c>
      <c r="G567" s="867"/>
      <c r="H567" s="106" t="s">
        <v>84</v>
      </c>
      <c r="I567" s="120" t="s">
        <v>106</v>
      </c>
      <c r="J567" s="106">
        <f t="shared" ref="J567:J570" si="444">SUM(K567:P567)</f>
        <v>156</v>
      </c>
      <c r="K567" s="106">
        <v>23</v>
      </c>
      <c r="L567" s="106">
        <v>3</v>
      </c>
      <c r="M567" s="106">
        <v>130</v>
      </c>
      <c r="N567" s="106">
        <v>0</v>
      </c>
      <c r="O567" s="106">
        <v>0</v>
      </c>
      <c r="P567" s="106">
        <v>0</v>
      </c>
      <c r="Q567" s="108">
        <f t="shared" si="439"/>
        <v>0.16666666666666666</v>
      </c>
      <c r="R567" s="109">
        <f t="shared" si="440"/>
        <v>0</v>
      </c>
      <c r="S567" s="109">
        <f t="shared" si="441"/>
        <v>0</v>
      </c>
      <c r="T567" s="109">
        <f t="shared" si="442"/>
        <v>0</v>
      </c>
      <c r="U567" s="110">
        <f t="shared" si="443"/>
        <v>0.16666666666666666</v>
      </c>
      <c r="V567" s="136"/>
    </row>
    <row r="568" spans="2:25" ht="15.75" hidden="1" x14ac:dyDescent="0.2">
      <c r="B568" s="711">
        <v>46125</v>
      </c>
      <c r="C568" s="105" t="s">
        <v>12</v>
      </c>
      <c r="D568" s="105" t="s">
        <v>23</v>
      </c>
      <c r="E568" s="711">
        <v>46125</v>
      </c>
      <c r="G568" s="867"/>
      <c r="H568" s="106" t="s">
        <v>17</v>
      </c>
      <c r="I568" s="120" t="s">
        <v>106</v>
      </c>
      <c r="J568" s="106">
        <f t="shared" ref="J568" si="445">SUM(K568:P568)</f>
        <v>65</v>
      </c>
      <c r="K568" s="106">
        <v>12</v>
      </c>
      <c r="L568" s="106">
        <v>1</v>
      </c>
      <c r="M568" s="106">
        <v>10</v>
      </c>
      <c r="N568" s="106">
        <v>36</v>
      </c>
      <c r="O568" s="106">
        <v>5</v>
      </c>
      <c r="P568" s="106">
        <v>1</v>
      </c>
      <c r="Q568" s="108">
        <f t="shared" ref="Q568" si="446">(K568+L568)/J568</f>
        <v>0.2</v>
      </c>
      <c r="R568" s="109">
        <f t="shared" ref="R568" si="447">N568/J568</f>
        <v>0.55384615384615388</v>
      </c>
      <c r="S568" s="109">
        <f t="shared" ref="S568" si="448">P568/J568</f>
        <v>1.5384615384615385E-2</v>
      </c>
      <c r="T568" s="109">
        <f t="shared" ref="T568" si="449">O568/J568</f>
        <v>7.6923076923076927E-2</v>
      </c>
      <c r="U568" s="110">
        <f t="shared" ref="U568" si="450">S568+R568+Q568+T568</f>
        <v>0.84615384615384603</v>
      </c>
      <c r="V568" s="136"/>
    </row>
    <row r="569" spans="2:25" ht="15.75" hidden="1" x14ac:dyDescent="0.2">
      <c r="B569" s="711">
        <v>46125</v>
      </c>
      <c r="C569" s="105" t="s">
        <v>12</v>
      </c>
      <c r="D569" s="105" t="s">
        <v>23</v>
      </c>
      <c r="E569" s="711">
        <v>46125</v>
      </c>
      <c r="G569" s="867"/>
      <c r="H569" s="106" t="s">
        <v>25</v>
      </c>
      <c r="I569" s="120" t="s">
        <v>106</v>
      </c>
      <c r="J569" s="106">
        <f t="shared" si="444"/>
        <v>165</v>
      </c>
      <c r="K569" s="106">
        <v>2</v>
      </c>
      <c r="L569" s="106">
        <v>1</v>
      </c>
      <c r="M569" s="106">
        <f>38+17-28</f>
        <v>27</v>
      </c>
      <c r="N569" s="106">
        <v>106</v>
      </c>
      <c r="O569" s="106">
        <v>28</v>
      </c>
      <c r="P569" s="106">
        <v>1</v>
      </c>
      <c r="Q569" s="108">
        <f t="shared" si="439"/>
        <v>1.8181818181818181E-2</v>
      </c>
      <c r="R569" s="109">
        <f t="shared" si="440"/>
        <v>0.64242424242424245</v>
      </c>
      <c r="S569" s="109">
        <f t="shared" si="441"/>
        <v>6.0606060606060606E-3</v>
      </c>
      <c r="T569" s="109">
        <f t="shared" si="442"/>
        <v>0.16969696969696971</v>
      </c>
      <c r="U569" s="110">
        <f t="shared" si="443"/>
        <v>0.83636363636363642</v>
      </c>
      <c r="V569" s="136"/>
    </row>
    <row r="570" spans="2:25" ht="15.75" hidden="1" x14ac:dyDescent="0.2">
      <c r="B570" s="711">
        <v>46125</v>
      </c>
      <c r="C570" s="105" t="s">
        <v>12</v>
      </c>
      <c r="D570" s="105" t="s">
        <v>23</v>
      </c>
      <c r="E570" s="711">
        <v>46125</v>
      </c>
      <c r="G570" s="867"/>
      <c r="H570" s="106" t="s">
        <v>14</v>
      </c>
      <c r="I570" s="120" t="s">
        <v>105</v>
      </c>
      <c r="J570" s="106">
        <f t="shared" si="444"/>
        <v>195</v>
      </c>
      <c r="K570" s="106">
        <v>0</v>
      </c>
      <c r="L570" s="106">
        <v>0</v>
      </c>
      <c r="M570" s="106">
        <v>195</v>
      </c>
      <c r="N570" s="106">
        <v>0</v>
      </c>
      <c r="O570" s="106">
        <v>0</v>
      </c>
      <c r="P570" s="106">
        <v>0</v>
      </c>
      <c r="Q570" s="108">
        <f t="shared" si="439"/>
        <v>0</v>
      </c>
      <c r="R570" s="109">
        <f t="shared" si="440"/>
        <v>0</v>
      </c>
      <c r="S570" s="109">
        <f t="shared" si="441"/>
        <v>0</v>
      </c>
      <c r="T570" s="109">
        <f t="shared" si="442"/>
        <v>0</v>
      </c>
      <c r="U570" s="110">
        <f t="shared" si="443"/>
        <v>0</v>
      </c>
      <c r="V570" s="136"/>
    </row>
    <row r="571" spans="2:25" ht="16.5" hidden="1" thickBot="1" x14ac:dyDescent="0.25">
      <c r="B571" s="711">
        <v>46125</v>
      </c>
      <c r="C571" s="105" t="s">
        <v>12</v>
      </c>
      <c r="D571" s="105" t="s">
        <v>23</v>
      </c>
      <c r="E571" s="711">
        <v>46125</v>
      </c>
      <c r="G571" s="871"/>
      <c r="H571" s="203" t="s">
        <v>19</v>
      </c>
      <c r="I571" s="203"/>
      <c r="J571" s="203">
        <f t="shared" ref="J571:P571" si="451">SUM(J564:J570)</f>
        <v>875</v>
      </c>
      <c r="K571" s="203">
        <f t="shared" si="451"/>
        <v>60</v>
      </c>
      <c r="L571" s="203">
        <f t="shared" si="451"/>
        <v>12</v>
      </c>
      <c r="M571" s="203">
        <f t="shared" si="451"/>
        <v>593</v>
      </c>
      <c r="N571" s="203">
        <f t="shared" si="451"/>
        <v>142</v>
      </c>
      <c r="O571" s="203">
        <f t="shared" si="451"/>
        <v>58</v>
      </c>
      <c r="P571" s="203">
        <f t="shared" si="451"/>
        <v>10</v>
      </c>
      <c r="Q571" s="205">
        <f>(K571+L571)/J571</f>
        <v>8.2285714285714281E-2</v>
      </c>
      <c r="R571" s="206">
        <f t="shared" si="440"/>
        <v>0.16228571428571428</v>
      </c>
      <c r="S571" s="206">
        <f t="shared" si="441"/>
        <v>1.1428571428571429E-2</v>
      </c>
      <c r="T571" s="206">
        <f t="shared" si="442"/>
        <v>6.6285714285714281E-2</v>
      </c>
      <c r="U571" s="207">
        <f t="shared" si="443"/>
        <v>0.32228571428571429</v>
      </c>
      <c r="V571" s="208"/>
    </row>
    <row r="572" spans="2:25" ht="15.75" hidden="1" x14ac:dyDescent="0.2">
      <c r="B572" s="711">
        <v>46125</v>
      </c>
      <c r="C572" s="105" t="s">
        <v>18</v>
      </c>
      <c r="D572" s="105" t="s">
        <v>13</v>
      </c>
      <c r="E572" s="711">
        <v>46125</v>
      </c>
      <c r="G572" s="865">
        <v>46125</v>
      </c>
      <c r="H572" s="106" t="s">
        <v>16</v>
      </c>
      <c r="I572" s="106" t="s">
        <v>103</v>
      </c>
      <c r="J572" s="106">
        <v>41</v>
      </c>
      <c r="K572" s="106">
        <f t="shared" ref="K572:K573" si="452">J572-L572-M572-N572-O572-P572</f>
        <v>15</v>
      </c>
      <c r="L572" s="106">
        <v>10</v>
      </c>
      <c r="M572" s="107">
        <v>0</v>
      </c>
      <c r="N572" s="106">
        <v>0</v>
      </c>
      <c r="O572" s="106">
        <v>16</v>
      </c>
      <c r="P572" s="107">
        <v>0</v>
      </c>
      <c r="Q572" s="108">
        <f t="shared" ref="Q572:Q578" si="453">(K572+L572)/J572</f>
        <v>0.6097560975609756</v>
      </c>
      <c r="R572" s="109">
        <f t="shared" ref="R572:R584" si="454">N572/J572</f>
        <v>0</v>
      </c>
      <c r="S572" s="109">
        <f t="shared" ref="S572:S584" si="455">P572/J572</f>
        <v>0</v>
      </c>
      <c r="T572" s="109">
        <f t="shared" ref="T572:T584" si="456">O572/J572</f>
        <v>0.3902439024390244</v>
      </c>
      <c r="U572" s="110">
        <f t="shared" ref="U572:U584" si="457">S572+R572+Q572+T572</f>
        <v>1</v>
      </c>
      <c r="V572" s="111"/>
    </row>
    <row r="573" spans="2:25" ht="15.75" hidden="1" x14ac:dyDescent="0.2">
      <c r="B573" s="711">
        <v>46125</v>
      </c>
      <c r="C573" s="105" t="s">
        <v>18</v>
      </c>
      <c r="D573" s="105" t="s">
        <v>13</v>
      </c>
      <c r="E573" s="711">
        <v>46125</v>
      </c>
      <c r="G573" s="859"/>
      <c r="H573" s="120" t="s">
        <v>14</v>
      </c>
      <c r="I573" s="120" t="s">
        <v>100</v>
      </c>
      <c r="J573" s="106">
        <v>24</v>
      </c>
      <c r="K573" s="106">
        <f t="shared" si="452"/>
        <v>6</v>
      </c>
      <c r="L573" s="106">
        <v>6</v>
      </c>
      <c r="M573" s="107">
        <v>0</v>
      </c>
      <c r="N573" s="106">
        <v>0</v>
      </c>
      <c r="O573" s="106">
        <v>12</v>
      </c>
      <c r="P573" s="107">
        <v>0</v>
      </c>
      <c r="Q573" s="108">
        <f t="shared" si="453"/>
        <v>0.5</v>
      </c>
      <c r="R573" s="109">
        <f t="shared" si="454"/>
        <v>0</v>
      </c>
      <c r="S573" s="109">
        <f t="shared" si="455"/>
        <v>0</v>
      </c>
      <c r="T573" s="109">
        <f t="shared" si="456"/>
        <v>0.5</v>
      </c>
      <c r="U573" s="110">
        <f t="shared" si="457"/>
        <v>1</v>
      </c>
      <c r="V573" s="136"/>
    </row>
    <row r="574" spans="2:25" ht="16.5" hidden="1" thickBot="1" x14ac:dyDescent="0.25">
      <c r="B574" s="711">
        <v>46125</v>
      </c>
      <c r="C574" s="105" t="s">
        <v>18</v>
      </c>
      <c r="D574" s="105" t="s">
        <v>13</v>
      </c>
      <c r="E574" s="711">
        <v>46126</v>
      </c>
      <c r="G574" s="208"/>
      <c r="H574" s="203" t="s">
        <v>19</v>
      </c>
      <c r="I574" s="203"/>
      <c r="J574" s="203">
        <f t="shared" ref="J574:P574" si="458">SUM(J572:J573)</f>
        <v>65</v>
      </c>
      <c r="K574" s="203">
        <f t="shared" si="458"/>
        <v>21</v>
      </c>
      <c r="L574" s="203">
        <f t="shared" si="458"/>
        <v>16</v>
      </c>
      <c r="M574" s="204">
        <f t="shared" si="458"/>
        <v>0</v>
      </c>
      <c r="N574" s="203">
        <f t="shared" si="458"/>
        <v>0</v>
      </c>
      <c r="O574" s="203">
        <f t="shared" si="458"/>
        <v>28</v>
      </c>
      <c r="P574" s="204">
        <f t="shared" si="458"/>
        <v>0</v>
      </c>
      <c r="Q574" s="205">
        <f>(K574+L574)/J574</f>
        <v>0.56923076923076921</v>
      </c>
      <c r="R574" s="206">
        <f t="shared" ref="R574" si="459">N574/J574</f>
        <v>0</v>
      </c>
      <c r="S574" s="206">
        <f t="shared" ref="S574" si="460">P574/J574</f>
        <v>0</v>
      </c>
      <c r="T574" s="206">
        <f t="shared" ref="T574" si="461">O574/J574</f>
        <v>0.43076923076923079</v>
      </c>
      <c r="U574" s="207">
        <f t="shared" ref="U574" si="462">S574+R574+Q574+T574</f>
        <v>1</v>
      </c>
      <c r="V574" s="209"/>
    </row>
    <row r="575" spans="2:25" ht="15.75" hidden="1" x14ac:dyDescent="0.2">
      <c r="B575" s="711">
        <v>46125</v>
      </c>
      <c r="C575" s="105" t="s">
        <v>18</v>
      </c>
      <c r="D575" s="105" t="s">
        <v>13</v>
      </c>
      <c r="E575" s="711">
        <v>46126</v>
      </c>
      <c r="G575" s="865">
        <v>46126</v>
      </c>
      <c r="H575" s="106" t="s">
        <v>16</v>
      </c>
      <c r="I575" s="106" t="s">
        <v>103</v>
      </c>
      <c r="J575" s="106">
        <v>240</v>
      </c>
      <c r="K575" s="106">
        <f t="shared" ref="K575:K578" si="463">J575-L575-M575-N575-O575-P575</f>
        <v>75</v>
      </c>
      <c r="L575" s="106">
        <v>33</v>
      </c>
      <c r="M575" s="106">
        <v>112</v>
      </c>
      <c r="N575" s="106">
        <v>0</v>
      </c>
      <c r="O575" s="106">
        <v>16</v>
      </c>
      <c r="P575" s="106">
        <v>4</v>
      </c>
      <c r="Q575" s="108">
        <f t="shared" si="453"/>
        <v>0.45</v>
      </c>
      <c r="R575" s="109">
        <f t="shared" si="454"/>
        <v>0</v>
      </c>
      <c r="S575" s="109">
        <f t="shared" si="455"/>
        <v>1.6666666666666666E-2</v>
      </c>
      <c r="T575" s="109">
        <f t="shared" si="456"/>
        <v>6.6666666666666666E-2</v>
      </c>
      <c r="U575" s="110">
        <f t="shared" si="457"/>
        <v>0.53333333333333333</v>
      </c>
      <c r="V575" s="210"/>
    </row>
    <row r="576" spans="2:25" ht="15.75" hidden="1" x14ac:dyDescent="0.2">
      <c r="B576" s="711">
        <v>46125</v>
      </c>
      <c r="C576" s="105" t="s">
        <v>18</v>
      </c>
      <c r="D576" s="105" t="s">
        <v>13</v>
      </c>
      <c r="E576" s="711">
        <v>46126</v>
      </c>
      <c r="G576" s="834"/>
      <c r="H576" s="106" t="s">
        <v>84</v>
      </c>
      <c r="I576" s="120" t="s">
        <v>106</v>
      </c>
      <c r="J576" s="106">
        <v>130</v>
      </c>
      <c r="K576" s="106">
        <f t="shared" si="463"/>
        <v>0</v>
      </c>
      <c r="L576" s="106">
        <v>0</v>
      </c>
      <c r="M576" s="106">
        <v>130</v>
      </c>
      <c r="N576" s="106">
        <v>0</v>
      </c>
      <c r="O576" s="106">
        <v>0</v>
      </c>
      <c r="P576" s="106">
        <v>0</v>
      </c>
      <c r="Q576" s="108">
        <f t="shared" si="453"/>
        <v>0</v>
      </c>
      <c r="R576" s="109">
        <f t="shared" si="454"/>
        <v>0</v>
      </c>
      <c r="S576" s="109">
        <f t="shared" si="455"/>
        <v>0</v>
      </c>
      <c r="T576" s="109">
        <f t="shared" si="456"/>
        <v>0</v>
      </c>
      <c r="U576" s="110">
        <f t="shared" si="457"/>
        <v>0</v>
      </c>
      <c r="V576" s="211"/>
    </row>
    <row r="577" spans="2:25" ht="15.75" hidden="1" x14ac:dyDescent="0.2">
      <c r="B577" s="711">
        <v>46125</v>
      </c>
      <c r="C577" s="105" t="s">
        <v>18</v>
      </c>
      <c r="D577" s="105" t="s">
        <v>13</v>
      </c>
      <c r="E577" s="711">
        <v>46126</v>
      </c>
      <c r="G577" s="834"/>
      <c r="H577" s="106" t="s">
        <v>25</v>
      </c>
      <c r="I577" s="120" t="s">
        <v>106</v>
      </c>
      <c r="J577" s="106">
        <v>211</v>
      </c>
      <c r="K577" s="106">
        <f t="shared" si="463"/>
        <v>136</v>
      </c>
      <c r="L577" s="106">
        <v>35</v>
      </c>
      <c r="M577" s="106">
        <v>19</v>
      </c>
      <c r="N577" s="106">
        <v>0</v>
      </c>
      <c r="O577" s="106">
        <v>20</v>
      </c>
      <c r="P577" s="106">
        <v>1</v>
      </c>
      <c r="Q577" s="108">
        <f t="shared" si="453"/>
        <v>0.81042654028436023</v>
      </c>
      <c r="R577" s="109">
        <f t="shared" si="454"/>
        <v>0</v>
      </c>
      <c r="S577" s="109">
        <f t="shared" si="455"/>
        <v>4.7393364928909956E-3</v>
      </c>
      <c r="T577" s="109">
        <f t="shared" si="456"/>
        <v>9.4786729857819899E-2</v>
      </c>
      <c r="U577" s="110">
        <f t="shared" si="457"/>
        <v>0.90995260663507116</v>
      </c>
      <c r="V577" s="211"/>
    </row>
    <row r="578" spans="2:25" ht="15.75" hidden="1" x14ac:dyDescent="0.2">
      <c r="B578" s="711">
        <v>46125</v>
      </c>
      <c r="C578" s="105" t="s">
        <v>18</v>
      </c>
      <c r="D578" s="105" t="s">
        <v>13</v>
      </c>
      <c r="E578" s="711">
        <v>46126</v>
      </c>
      <c r="G578" s="834"/>
      <c r="H578" s="106" t="s">
        <v>14</v>
      </c>
      <c r="I578" s="120" t="s">
        <v>105</v>
      </c>
      <c r="J578" s="106">
        <v>195</v>
      </c>
      <c r="K578" s="106">
        <f t="shared" si="463"/>
        <v>0</v>
      </c>
      <c r="L578" s="106">
        <v>7</v>
      </c>
      <c r="M578" s="106">
        <v>188</v>
      </c>
      <c r="N578" s="106">
        <v>0</v>
      </c>
      <c r="O578" s="106">
        <v>0</v>
      </c>
      <c r="P578" s="106">
        <v>0</v>
      </c>
      <c r="Q578" s="108">
        <f t="shared" si="453"/>
        <v>3.5897435897435895E-2</v>
      </c>
      <c r="R578" s="109">
        <f t="shared" si="454"/>
        <v>0</v>
      </c>
      <c r="S578" s="109">
        <f t="shared" si="455"/>
        <v>0</v>
      </c>
      <c r="T578" s="109">
        <f t="shared" si="456"/>
        <v>0</v>
      </c>
      <c r="U578" s="110">
        <f t="shared" si="457"/>
        <v>3.5897435897435895E-2</v>
      </c>
      <c r="V578" s="212"/>
    </row>
    <row r="579" spans="2:25" ht="15.75" hidden="1" x14ac:dyDescent="0.2">
      <c r="B579" s="711">
        <v>46125</v>
      </c>
      <c r="C579" s="105" t="s">
        <v>18</v>
      </c>
      <c r="D579" s="105" t="s">
        <v>13</v>
      </c>
      <c r="E579" s="711">
        <v>46126</v>
      </c>
      <c r="G579" s="835"/>
      <c r="H579" s="113" t="s">
        <v>19</v>
      </c>
      <c r="I579" s="113"/>
      <c r="J579" s="113">
        <f t="shared" ref="J579:P579" si="464">SUM(J575:J578)</f>
        <v>776</v>
      </c>
      <c r="K579" s="113">
        <f t="shared" si="464"/>
        <v>211</v>
      </c>
      <c r="L579" s="113">
        <f t="shared" si="464"/>
        <v>75</v>
      </c>
      <c r="M579" s="114">
        <f t="shared" si="464"/>
        <v>449</v>
      </c>
      <c r="N579" s="113">
        <f t="shared" si="464"/>
        <v>0</v>
      </c>
      <c r="O579" s="113">
        <f t="shared" si="464"/>
        <v>36</v>
      </c>
      <c r="P579" s="114">
        <f t="shared" si="464"/>
        <v>5</v>
      </c>
      <c r="Q579" s="115">
        <f>(K579+L579)/J579</f>
        <v>0.36855670103092786</v>
      </c>
      <c r="R579" s="116">
        <f t="shared" si="454"/>
        <v>0</v>
      </c>
      <c r="S579" s="116">
        <f t="shared" si="455"/>
        <v>6.4432989690721646E-3</v>
      </c>
      <c r="T579" s="116">
        <f t="shared" si="456"/>
        <v>4.6391752577319589E-2</v>
      </c>
      <c r="U579" s="117">
        <f t="shared" si="457"/>
        <v>0.42139175257731959</v>
      </c>
      <c r="V579" s="213"/>
    </row>
    <row r="580" spans="2:25" ht="15.75" hidden="1" x14ac:dyDescent="0.2">
      <c r="B580" s="711">
        <v>46126</v>
      </c>
      <c r="C580" s="105" t="s">
        <v>22</v>
      </c>
      <c r="D580" s="105" t="s">
        <v>20</v>
      </c>
      <c r="E580" s="711">
        <v>46126</v>
      </c>
      <c r="G580" s="833">
        <v>46126</v>
      </c>
      <c r="H580" s="106" t="s">
        <v>16</v>
      </c>
      <c r="I580" s="120" t="s">
        <v>103</v>
      </c>
      <c r="J580" s="106">
        <f t="shared" ref="J580:J583" si="465">SUM(K580:P580)</f>
        <v>121</v>
      </c>
      <c r="K580" s="106">
        <v>46</v>
      </c>
      <c r="L580" s="106">
        <v>63</v>
      </c>
      <c r="M580" s="107">
        <v>9</v>
      </c>
      <c r="N580" s="106">
        <v>0</v>
      </c>
      <c r="O580" s="106">
        <v>0</v>
      </c>
      <c r="P580" s="107">
        <v>3</v>
      </c>
      <c r="Q580" s="108">
        <f t="shared" ref="Q580:Q583" si="466">(K580+L580)/J580</f>
        <v>0.90082644628099173</v>
      </c>
      <c r="R580" s="109">
        <f t="shared" si="454"/>
        <v>0</v>
      </c>
      <c r="S580" s="109">
        <f t="shared" si="455"/>
        <v>2.4793388429752067E-2</v>
      </c>
      <c r="T580" s="109">
        <f t="shared" si="456"/>
        <v>0</v>
      </c>
      <c r="U580" s="110">
        <f t="shared" si="457"/>
        <v>0.92561983471074383</v>
      </c>
      <c r="V580" s="111"/>
    </row>
    <row r="581" spans="2:25" ht="15.75" hidden="1" x14ac:dyDescent="0.2">
      <c r="B581" s="711">
        <v>46126</v>
      </c>
      <c r="C581" s="105" t="s">
        <v>22</v>
      </c>
      <c r="D581" s="105" t="s">
        <v>20</v>
      </c>
      <c r="E581" s="711">
        <v>46126</v>
      </c>
      <c r="G581" s="834"/>
      <c r="H581" s="120" t="s">
        <v>84</v>
      </c>
      <c r="I581" s="120" t="s">
        <v>106</v>
      </c>
      <c r="J581" s="106">
        <f t="shared" si="465"/>
        <v>131</v>
      </c>
      <c r="K581" s="106">
        <v>81</v>
      </c>
      <c r="L581" s="106">
        <v>9</v>
      </c>
      <c r="M581" s="106">
        <v>41</v>
      </c>
      <c r="N581" s="106">
        <v>0</v>
      </c>
      <c r="O581" s="106">
        <v>0</v>
      </c>
      <c r="P581" s="106">
        <v>0</v>
      </c>
      <c r="Q581" s="108">
        <f t="shared" si="466"/>
        <v>0.68702290076335881</v>
      </c>
      <c r="R581" s="109">
        <f t="shared" si="454"/>
        <v>0</v>
      </c>
      <c r="S581" s="109">
        <f t="shared" si="455"/>
        <v>0</v>
      </c>
      <c r="T581" s="109">
        <f t="shared" si="456"/>
        <v>0</v>
      </c>
      <c r="U581" s="110">
        <f t="shared" si="457"/>
        <v>0.68702290076335881</v>
      </c>
      <c r="V581" s="111"/>
    </row>
    <row r="582" spans="2:25" ht="15.75" hidden="1" x14ac:dyDescent="0.2">
      <c r="B582" s="711">
        <v>46126</v>
      </c>
      <c r="C582" s="105" t="s">
        <v>22</v>
      </c>
      <c r="D582" s="105" t="s">
        <v>20</v>
      </c>
      <c r="E582" s="711">
        <v>46126</v>
      </c>
      <c r="G582" s="834"/>
      <c r="H582" s="120" t="s">
        <v>25</v>
      </c>
      <c r="I582" s="120" t="s">
        <v>100</v>
      </c>
      <c r="J582" s="106">
        <f t="shared" si="465"/>
        <v>34</v>
      </c>
      <c r="K582" s="106">
        <v>17</v>
      </c>
      <c r="L582" s="106">
        <v>5</v>
      </c>
      <c r="M582" s="106">
        <v>0</v>
      </c>
      <c r="N582" s="106">
        <v>0</v>
      </c>
      <c r="O582" s="106">
        <v>11</v>
      </c>
      <c r="P582" s="106">
        <v>1</v>
      </c>
      <c r="Q582" s="108">
        <f t="shared" si="466"/>
        <v>0.6470588235294118</v>
      </c>
      <c r="R582" s="109">
        <f t="shared" si="454"/>
        <v>0</v>
      </c>
      <c r="S582" s="109">
        <f t="shared" si="455"/>
        <v>2.9411764705882353E-2</v>
      </c>
      <c r="T582" s="109">
        <f t="shared" si="456"/>
        <v>0.3235294117647059</v>
      </c>
      <c r="U582" s="110">
        <f t="shared" si="457"/>
        <v>1</v>
      </c>
      <c r="V582" s="136"/>
    </row>
    <row r="583" spans="2:25" ht="15.75" hidden="1" x14ac:dyDescent="0.2">
      <c r="B583" s="711">
        <v>46126</v>
      </c>
      <c r="C583" s="105" t="s">
        <v>22</v>
      </c>
      <c r="D583" s="105" t="s">
        <v>20</v>
      </c>
      <c r="E583" s="711">
        <v>46126</v>
      </c>
      <c r="G583" s="834"/>
      <c r="H583" s="120" t="s">
        <v>14</v>
      </c>
      <c r="I583" s="120" t="s">
        <v>22</v>
      </c>
      <c r="J583" s="106">
        <f t="shared" si="465"/>
        <v>189</v>
      </c>
      <c r="K583" s="106">
        <v>1</v>
      </c>
      <c r="L583" s="106">
        <v>0</v>
      </c>
      <c r="M583" s="106">
        <v>178</v>
      </c>
      <c r="N583" s="106">
        <v>10</v>
      </c>
      <c r="O583" s="106">
        <v>0</v>
      </c>
      <c r="P583" s="106">
        <v>0</v>
      </c>
      <c r="Q583" s="108">
        <f t="shared" si="466"/>
        <v>5.2910052910052907E-3</v>
      </c>
      <c r="R583" s="109">
        <f t="shared" si="454"/>
        <v>5.2910052910052907E-2</v>
      </c>
      <c r="S583" s="109">
        <f t="shared" si="455"/>
        <v>0</v>
      </c>
      <c r="T583" s="109">
        <f t="shared" si="456"/>
        <v>0</v>
      </c>
      <c r="U583" s="110">
        <f t="shared" si="457"/>
        <v>5.8201058201058198E-2</v>
      </c>
      <c r="V583" s="136"/>
    </row>
    <row r="584" spans="2:25" s="97" customFormat="1" ht="16.5" hidden="1" customHeight="1" x14ac:dyDescent="0.2">
      <c r="B584" s="711">
        <v>46126</v>
      </c>
      <c r="C584" s="105" t="s">
        <v>22</v>
      </c>
      <c r="D584" s="105" t="s">
        <v>20</v>
      </c>
      <c r="E584" s="711">
        <v>46126</v>
      </c>
      <c r="F584" s="89"/>
      <c r="G584" s="835"/>
      <c r="H584" s="113" t="s">
        <v>19</v>
      </c>
      <c r="I584" s="113"/>
      <c r="J584" s="113">
        <f t="shared" ref="J584:P584" si="467">SUM(J580:J583)</f>
        <v>475</v>
      </c>
      <c r="K584" s="113">
        <f t="shared" si="467"/>
        <v>145</v>
      </c>
      <c r="L584" s="113">
        <f t="shared" si="467"/>
        <v>77</v>
      </c>
      <c r="M584" s="113">
        <f t="shared" si="467"/>
        <v>228</v>
      </c>
      <c r="N584" s="113">
        <f t="shared" si="467"/>
        <v>10</v>
      </c>
      <c r="O584" s="113">
        <f t="shared" si="467"/>
        <v>11</v>
      </c>
      <c r="P584" s="113">
        <f t="shared" si="467"/>
        <v>4</v>
      </c>
      <c r="Q584" s="115">
        <f>(K584+L584)/J584</f>
        <v>0.4673684210526316</v>
      </c>
      <c r="R584" s="116">
        <f t="shared" si="454"/>
        <v>2.1052631578947368E-2</v>
      </c>
      <c r="S584" s="116">
        <f t="shared" si="455"/>
        <v>8.4210526315789472E-3</v>
      </c>
      <c r="T584" s="116">
        <f t="shared" si="456"/>
        <v>2.3157894736842106E-2</v>
      </c>
      <c r="U584" s="117">
        <f t="shared" si="457"/>
        <v>0.52</v>
      </c>
      <c r="V584" s="127"/>
      <c r="W584" s="88"/>
      <c r="X584" s="88"/>
      <c r="Y584" s="118"/>
    </row>
    <row r="585" spans="2:25" ht="15.75" hidden="1" x14ac:dyDescent="0.2">
      <c r="B585" s="711">
        <v>46126</v>
      </c>
      <c r="C585" s="105" t="s">
        <v>12</v>
      </c>
      <c r="D585" s="105" t="s">
        <v>23</v>
      </c>
      <c r="E585" s="711">
        <v>46126</v>
      </c>
      <c r="G585" s="833">
        <v>46126</v>
      </c>
      <c r="H585" s="106" t="s">
        <v>16</v>
      </c>
      <c r="I585" s="120" t="s">
        <v>103</v>
      </c>
      <c r="J585" s="106">
        <f t="shared" ref="J585:J588" si="468">SUM(K585:P585)</f>
        <v>73</v>
      </c>
      <c r="K585" s="106">
        <v>40</v>
      </c>
      <c r="L585" s="106">
        <v>21</v>
      </c>
      <c r="M585" s="107">
        <v>4</v>
      </c>
      <c r="N585" s="106">
        <v>0</v>
      </c>
      <c r="O585" s="106">
        <v>5</v>
      </c>
      <c r="P585" s="107">
        <v>3</v>
      </c>
      <c r="Q585" s="108">
        <f t="shared" ref="Q585:Q588" si="469">(K585+L585)/J585</f>
        <v>0.83561643835616439</v>
      </c>
      <c r="R585" s="109">
        <f t="shared" ref="R585:R589" si="470">N585/J585</f>
        <v>0</v>
      </c>
      <c r="S585" s="109">
        <f t="shared" ref="S585:S589" si="471">P585/J585</f>
        <v>4.1095890410958902E-2</v>
      </c>
      <c r="T585" s="109">
        <f t="shared" ref="T585:T589" si="472">O585/J585</f>
        <v>6.8493150684931503E-2</v>
      </c>
      <c r="U585" s="110">
        <f t="shared" ref="U585:U589" si="473">S585+R585+Q585+T585</f>
        <v>0.9452054794520548</v>
      </c>
      <c r="V585" s="111"/>
    </row>
    <row r="586" spans="2:25" ht="15.75" hidden="1" x14ac:dyDescent="0.2">
      <c r="B586" s="711">
        <v>46126</v>
      </c>
      <c r="C586" s="105" t="s">
        <v>12</v>
      </c>
      <c r="D586" s="105" t="s">
        <v>23</v>
      </c>
      <c r="E586" s="711">
        <v>46126</v>
      </c>
      <c r="G586" s="834"/>
      <c r="H586" s="120" t="s">
        <v>84</v>
      </c>
      <c r="I586" s="120" t="s">
        <v>106</v>
      </c>
      <c r="J586" s="106">
        <f t="shared" si="468"/>
        <v>44</v>
      </c>
      <c r="K586" s="106">
        <v>18</v>
      </c>
      <c r="L586" s="106">
        <v>2</v>
      </c>
      <c r="M586" s="106">
        <v>21</v>
      </c>
      <c r="N586" s="106">
        <v>0</v>
      </c>
      <c r="O586" s="106">
        <v>3</v>
      </c>
      <c r="P586" s="106">
        <v>0</v>
      </c>
      <c r="Q586" s="108">
        <f t="shared" si="469"/>
        <v>0.45454545454545453</v>
      </c>
      <c r="R586" s="109">
        <f t="shared" si="470"/>
        <v>0</v>
      </c>
      <c r="S586" s="109">
        <f t="shared" si="471"/>
        <v>0</v>
      </c>
      <c r="T586" s="109">
        <f t="shared" si="472"/>
        <v>6.8181818181818177E-2</v>
      </c>
      <c r="U586" s="110">
        <f t="shared" si="473"/>
        <v>0.52272727272727271</v>
      </c>
      <c r="V586" s="111"/>
    </row>
    <row r="587" spans="2:25" ht="15.75" hidden="1" x14ac:dyDescent="0.2">
      <c r="B587" s="711">
        <v>46126</v>
      </c>
      <c r="C587" s="105" t="s">
        <v>12</v>
      </c>
      <c r="D587" s="105" t="s">
        <v>23</v>
      </c>
      <c r="E587" s="711">
        <v>46126</v>
      </c>
      <c r="G587" s="834"/>
      <c r="H587" s="120" t="s">
        <v>25</v>
      </c>
      <c r="I587" s="120" t="s">
        <v>100</v>
      </c>
      <c r="J587" s="106">
        <f t="shared" si="468"/>
        <v>2</v>
      </c>
      <c r="K587" s="106">
        <v>1</v>
      </c>
      <c r="L587" s="106">
        <v>0</v>
      </c>
      <c r="M587" s="106">
        <v>0</v>
      </c>
      <c r="N587" s="106">
        <v>0</v>
      </c>
      <c r="O587" s="106">
        <v>0</v>
      </c>
      <c r="P587" s="106">
        <v>1</v>
      </c>
      <c r="Q587" s="108">
        <f t="shared" si="469"/>
        <v>0.5</v>
      </c>
      <c r="R587" s="109">
        <f t="shared" si="470"/>
        <v>0</v>
      </c>
      <c r="S587" s="109">
        <f t="shared" si="471"/>
        <v>0.5</v>
      </c>
      <c r="T587" s="109">
        <f t="shared" si="472"/>
        <v>0</v>
      </c>
      <c r="U587" s="110">
        <f t="shared" si="473"/>
        <v>1</v>
      </c>
      <c r="V587" s="136"/>
    </row>
    <row r="588" spans="2:25" ht="15.75" hidden="1" x14ac:dyDescent="0.2">
      <c r="B588" s="711">
        <v>46126</v>
      </c>
      <c r="C588" s="105" t="s">
        <v>12</v>
      </c>
      <c r="D588" s="105" t="s">
        <v>23</v>
      </c>
      <c r="E588" s="711">
        <v>46126</v>
      </c>
      <c r="G588" s="834"/>
      <c r="H588" s="120" t="s">
        <v>14</v>
      </c>
      <c r="I588" s="120" t="s">
        <v>22</v>
      </c>
      <c r="J588" s="106">
        <f t="shared" si="468"/>
        <v>204</v>
      </c>
      <c r="K588" s="106">
        <v>146</v>
      </c>
      <c r="L588" s="106">
        <v>33</v>
      </c>
      <c r="M588" s="106">
        <v>12</v>
      </c>
      <c r="N588" s="106">
        <v>0</v>
      </c>
      <c r="O588" s="106">
        <v>13</v>
      </c>
      <c r="P588" s="106">
        <v>0</v>
      </c>
      <c r="Q588" s="108">
        <f t="shared" si="469"/>
        <v>0.87745098039215685</v>
      </c>
      <c r="R588" s="109">
        <f t="shared" si="470"/>
        <v>0</v>
      </c>
      <c r="S588" s="109">
        <f t="shared" si="471"/>
        <v>0</v>
      </c>
      <c r="T588" s="109">
        <f t="shared" si="472"/>
        <v>6.3725490196078427E-2</v>
      </c>
      <c r="U588" s="110">
        <f t="shared" si="473"/>
        <v>0.94117647058823528</v>
      </c>
      <c r="V588" s="136"/>
    </row>
    <row r="589" spans="2:25" ht="15.75" hidden="1" x14ac:dyDescent="0.2">
      <c r="B589" s="711">
        <v>46126</v>
      </c>
      <c r="C589" s="105" t="s">
        <v>12</v>
      </c>
      <c r="D589" s="105" t="s">
        <v>23</v>
      </c>
      <c r="E589" s="711">
        <v>46126</v>
      </c>
      <c r="G589" s="835"/>
      <c r="H589" s="113" t="s">
        <v>19</v>
      </c>
      <c r="I589" s="113"/>
      <c r="J589" s="113">
        <f t="shared" ref="J589" si="474">SUM(J585:J588)</f>
        <v>323</v>
      </c>
      <c r="K589" s="113">
        <f t="shared" ref="K589" si="475">SUM(K585:K588)</f>
        <v>205</v>
      </c>
      <c r="L589" s="113">
        <f t="shared" ref="L589" si="476">SUM(L585:L588)</f>
        <v>56</v>
      </c>
      <c r="M589" s="113">
        <f t="shared" ref="M589" si="477">SUM(M585:M588)</f>
        <v>37</v>
      </c>
      <c r="N589" s="113">
        <f t="shared" ref="N589" si="478">SUM(N585:N588)</f>
        <v>0</v>
      </c>
      <c r="O589" s="113">
        <f t="shared" ref="O589" si="479">SUM(O585:O588)</f>
        <v>21</v>
      </c>
      <c r="P589" s="113">
        <f t="shared" ref="P589" si="480">SUM(P585:P588)</f>
        <v>4</v>
      </c>
      <c r="Q589" s="115">
        <f>(K589+L589)/J589</f>
        <v>0.80804953560371517</v>
      </c>
      <c r="R589" s="116">
        <f t="shared" si="470"/>
        <v>0</v>
      </c>
      <c r="S589" s="116">
        <f t="shared" si="471"/>
        <v>1.238390092879257E-2</v>
      </c>
      <c r="T589" s="116">
        <f t="shared" si="472"/>
        <v>6.5015479876160992E-2</v>
      </c>
      <c r="U589" s="117">
        <f t="shared" si="473"/>
        <v>0.88544891640866874</v>
      </c>
      <c r="V589" s="127"/>
    </row>
    <row r="590" spans="2:25" ht="15.75" hidden="1" x14ac:dyDescent="0.2">
      <c r="B590" s="711">
        <v>46126</v>
      </c>
      <c r="C590" s="105" t="s">
        <v>18</v>
      </c>
      <c r="D590" s="105" t="s">
        <v>13</v>
      </c>
      <c r="E590" s="711">
        <v>46126</v>
      </c>
      <c r="G590" s="833">
        <v>46126</v>
      </c>
      <c r="H590" s="106" t="s">
        <v>16</v>
      </c>
      <c r="I590" s="120" t="s">
        <v>103</v>
      </c>
      <c r="J590" s="106">
        <v>25</v>
      </c>
      <c r="K590" s="106">
        <f t="shared" ref="K590:K591" si="481">J590-L590-M590-N590-O590-P590</f>
        <v>10</v>
      </c>
      <c r="L590" s="106">
        <v>0</v>
      </c>
      <c r="M590" s="107">
        <v>0</v>
      </c>
      <c r="N590" s="106">
        <v>0</v>
      </c>
      <c r="O590" s="106">
        <v>15</v>
      </c>
      <c r="P590" s="107">
        <v>0</v>
      </c>
      <c r="Q590" s="108">
        <f t="shared" ref="Q590:Q591" si="482">(K590+L590)/J590</f>
        <v>0.4</v>
      </c>
      <c r="R590" s="109">
        <f t="shared" ref="R590:R604" si="483">N590/J590</f>
        <v>0</v>
      </c>
      <c r="S590" s="109">
        <f t="shared" ref="S590:S604" si="484">P590/J590</f>
        <v>0</v>
      </c>
      <c r="T590" s="109">
        <f t="shared" ref="T590:T604" si="485">O590/J590</f>
        <v>0.6</v>
      </c>
      <c r="U590" s="110">
        <f t="shared" ref="U590:U604" si="486">S590+R590+Q590+T590</f>
        <v>1</v>
      </c>
      <c r="V590" s="111"/>
    </row>
    <row r="591" spans="2:25" ht="15.75" hidden="1" x14ac:dyDescent="0.2">
      <c r="B591" s="711">
        <v>46126</v>
      </c>
      <c r="C591" s="105" t="s">
        <v>18</v>
      </c>
      <c r="D591" s="105" t="s">
        <v>13</v>
      </c>
      <c r="E591" s="711">
        <v>46126</v>
      </c>
      <c r="G591" s="834"/>
      <c r="H591" s="120" t="s">
        <v>14</v>
      </c>
      <c r="I591" s="120" t="s">
        <v>22</v>
      </c>
      <c r="J591" s="106">
        <v>18</v>
      </c>
      <c r="K591" s="106">
        <f t="shared" si="481"/>
        <v>8</v>
      </c>
      <c r="L591" s="106">
        <v>0</v>
      </c>
      <c r="M591" s="107">
        <v>0</v>
      </c>
      <c r="N591" s="106">
        <v>0</v>
      </c>
      <c r="O591" s="106">
        <v>10</v>
      </c>
      <c r="P591" s="107">
        <v>0</v>
      </c>
      <c r="Q591" s="108">
        <f t="shared" si="482"/>
        <v>0.44444444444444442</v>
      </c>
      <c r="R591" s="109">
        <f t="shared" si="483"/>
        <v>0</v>
      </c>
      <c r="S591" s="109">
        <f t="shared" si="484"/>
        <v>0</v>
      </c>
      <c r="T591" s="109">
        <f t="shared" si="485"/>
        <v>0.55555555555555558</v>
      </c>
      <c r="U591" s="110">
        <f t="shared" si="486"/>
        <v>1</v>
      </c>
      <c r="V591" s="136"/>
    </row>
    <row r="592" spans="2:25" ht="15.75" hidden="1" x14ac:dyDescent="0.2">
      <c r="B592" s="711">
        <v>46126</v>
      </c>
      <c r="C592" s="105" t="s">
        <v>18</v>
      </c>
      <c r="D592" s="105" t="s">
        <v>13</v>
      </c>
      <c r="E592" s="711">
        <v>46126</v>
      </c>
      <c r="G592" s="835"/>
      <c r="H592" s="113" t="s">
        <v>19</v>
      </c>
      <c r="I592" s="113"/>
      <c r="J592" s="113">
        <f t="shared" ref="J592:P592" si="487">SUM(J590:J591)</f>
        <v>43</v>
      </c>
      <c r="K592" s="113">
        <f t="shared" si="487"/>
        <v>18</v>
      </c>
      <c r="L592" s="113">
        <f t="shared" si="487"/>
        <v>0</v>
      </c>
      <c r="M592" s="114">
        <f t="shared" si="487"/>
        <v>0</v>
      </c>
      <c r="N592" s="113">
        <f t="shared" si="487"/>
        <v>0</v>
      </c>
      <c r="O592" s="113">
        <f t="shared" si="487"/>
        <v>25</v>
      </c>
      <c r="P592" s="114">
        <f t="shared" si="487"/>
        <v>0</v>
      </c>
      <c r="Q592" s="115">
        <f>(K592+L592)/J592</f>
        <v>0.41860465116279072</v>
      </c>
      <c r="R592" s="116">
        <f t="shared" si="483"/>
        <v>0</v>
      </c>
      <c r="S592" s="116">
        <f t="shared" si="484"/>
        <v>0</v>
      </c>
      <c r="T592" s="116">
        <f t="shared" si="485"/>
        <v>0.58139534883720934</v>
      </c>
      <c r="U592" s="117">
        <f t="shared" si="486"/>
        <v>1</v>
      </c>
      <c r="V592" s="127"/>
    </row>
    <row r="593" spans="2:25" ht="15.75" hidden="1" x14ac:dyDescent="0.2">
      <c r="B593" s="711">
        <v>46126</v>
      </c>
      <c r="C593" s="105" t="s">
        <v>18</v>
      </c>
      <c r="D593" s="105" t="s">
        <v>13</v>
      </c>
      <c r="E593" s="711">
        <v>46127</v>
      </c>
      <c r="G593" s="833">
        <v>46127</v>
      </c>
      <c r="H593" s="106" t="s">
        <v>16</v>
      </c>
      <c r="I593" s="106" t="s">
        <v>103</v>
      </c>
      <c r="J593" s="106">
        <v>246</v>
      </c>
      <c r="K593" s="106">
        <f t="shared" ref="K593:K594" si="488">J593-L593-M593-N593-O593-P593</f>
        <v>119</v>
      </c>
      <c r="L593" s="106">
        <v>58</v>
      </c>
      <c r="M593" s="106">
        <v>44</v>
      </c>
      <c r="N593" s="106">
        <v>0</v>
      </c>
      <c r="O593" s="106">
        <v>18</v>
      </c>
      <c r="P593" s="106">
        <v>7</v>
      </c>
      <c r="Q593" s="108">
        <f t="shared" ref="Q593:Q596" si="489">(K593+L593)/J593</f>
        <v>0.71951219512195119</v>
      </c>
      <c r="R593" s="109">
        <f t="shared" si="483"/>
        <v>0</v>
      </c>
      <c r="S593" s="109">
        <f t="shared" si="484"/>
        <v>2.8455284552845527E-2</v>
      </c>
      <c r="T593" s="109">
        <f t="shared" si="485"/>
        <v>7.3170731707317069E-2</v>
      </c>
      <c r="U593" s="110">
        <f t="shared" si="486"/>
        <v>0.82113821138211374</v>
      </c>
      <c r="V593" s="210" t="s">
        <v>113</v>
      </c>
    </row>
    <row r="594" spans="2:25" ht="15.75" hidden="1" x14ac:dyDescent="0.2">
      <c r="B594" s="711">
        <v>46126</v>
      </c>
      <c r="C594" s="105" t="s">
        <v>18</v>
      </c>
      <c r="D594" s="105" t="s">
        <v>13</v>
      </c>
      <c r="E594" s="711">
        <v>46127</v>
      </c>
      <c r="G594" s="834"/>
      <c r="H594" s="106" t="s">
        <v>84</v>
      </c>
      <c r="I594" s="120" t="s">
        <v>106</v>
      </c>
      <c r="J594" s="106">
        <v>163</v>
      </c>
      <c r="K594" s="106">
        <f t="shared" si="488"/>
        <v>0</v>
      </c>
      <c r="L594" s="106">
        <v>0</v>
      </c>
      <c r="M594" s="106">
        <v>163</v>
      </c>
      <c r="N594" s="106">
        <v>0</v>
      </c>
      <c r="O594" s="106">
        <v>0</v>
      </c>
      <c r="P594" s="106">
        <v>0</v>
      </c>
      <c r="Q594" s="108">
        <f t="shared" si="489"/>
        <v>0</v>
      </c>
      <c r="R594" s="109">
        <f t="shared" si="483"/>
        <v>0</v>
      </c>
      <c r="S594" s="109">
        <f t="shared" si="484"/>
        <v>0</v>
      </c>
      <c r="T594" s="109">
        <f t="shared" si="485"/>
        <v>0</v>
      </c>
      <c r="U594" s="110">
        <f t="shared" si="486"/>
        <v>0</v>
      </c>
      <c r="V594" s="211"/>
    </row>
    <row r="595" spans="2:25" ht="15.75" hidden="1" x14ac:dyDescent="0.2">
      <c r="B595" s="711">
        <v>46126</v>
      </c>
      <c r="C595" s="105" t="s">
        <v>18</v>
      </c>
      <c r="D595" s="105" t="s">
        <v>13</v>
      </c>
      <c r="E595" s="711">
        <v>46127</v>
      </c>
      <c r="G595" s="834"/>
      <c r="H595" s="106" t="s">
        <v>17</v>
      </c>
      <c r="I595" s="120" t="s">
        <v>106</v>
      </c>
      <c r="J595" s="106">
        <v>217</v>
      </c>
      <c r="K595" s="106">
        <v>98</v>
      </c>
      <c r="L595" s="106">
        <v>8</v>
      </c>
      <c r="M595" s="106">
        <v>108</v>
      </c>
      <c r="N595" s="106">
        <v>0</v>
      </c>
      <c r="O595" s="106">
        <v>0</v>
      </c>
      <c r="P595" s="106">
        <v>3</v>
      </c>
      <c r="Q595" s="108">
        <f t="shared" si="489"/>
        <v>0.48847926267281105</v>
      </c>
      <c r="R595" s="109">
        <f t="shared" si="483"/>
        <v>0</v>
      </c>
      <c r="S595" s="109">
        <f t="shared" si="484"/>
        <v>1.3824884792626729E-2</v>
      </c>
      <c r="T595" s="109">
        <f t="shared" si="485"/>
        <v>0</v>
      </c>
      <c r="U595" s="110">
        <f t="shared" si="486"/>
        <v>0.50230414746543783</v>
      </c>
      <c r="V595" s="211"/>
    </row>
    <row r="596" spans="2:25" ht="15.75" hidden="1" x14ac:dyDescent="0.2">
      <c r="B596" s="711">
        <v>46126</v>
      </c>
      <c r="C596" s="105" t="s">
        <v>18</v>
      </c>
      <c r="D596" s="105" t="s">
        <v>13</v>
      </c>
      <c r="E596" s="711">
        <v>46127</v>
      </c>
      <c r="G596" s="834"/>
      <c r="H596" s="106" t="s">
        <v>14</v>
      </c>
      <c r="I596" s="120" t="s">
        <v>105</v>
      </c>
      <c r="J596" s="106">
        <v>193</v>
      </c>
      <c r="K596" s="106">
        <v>0</v>
      </c>
      <c r="L596" s="106">
        <v>0</v>
      </c>
      <c r="M596" s="106">
        <v>193</v>
      </c>
      <c r="N596" s="106">
        <v>0</v>
      </c>
      <c r="O596" s="106">
        <v>0</v>
      </c>
      <c r="P596" s="106">
        <v>0</v>
      </c>
      <c r="Q596" s="108">
        <f t="shared" si="489"/>
        <v>0</v>
      </c>
      <c r="R596" s="109">
        <f t="shared" si="483"/>
        <v>0</v>
      </c>
      <c r="S596" s="109">
        <f t="shared" si="484"/>
        <v>0</v>
      </c>
      <c r="T596" s="109">
        <f t="shared" si="485"/>
        <v>0</v>
      </c>
      <c r="U596" s="110">
        <f t="shared" si="486"/>
        <v>0</v>
      </c>
      <c r="V596" s="212"/>
    </row>
    <row r="597" spans="2:25" ht="15.75" hidden="1" x14ac:dyDescent="0.2">
      <c r="B597" s="711">
        <v>46126</v>
      </c>
      <c r="C597" s="105" t="s">
        <v>18</v>
      </c>
      <c r="D597" s="105" t="s">
        <v>13</v>
      </c>
      <c r="E597" s="711">
        <v>46127</v>
      </c>
      <c r="G597" s="835"/>
      <c r="H597" s="113" t="s">
        <v>19</v>
      </c>
      <c r="I597" s="113"/>
      <c r="J597" s="113">
        <f t="shared" ref="J597:P597" si="490">SUM(J593:J596)</f>
        <v>819</v>
      </c>
      <c r="K597" s="113">
        <f t="shared" si="490"/>
        <v>217</v>
      </c>
      <c r="L597" s="113">
        <f t="shared" si="490"/>
        <v>66</v>
      </c>
      <c r="M597" s="114">
        <f t="shared" si="490"/>
        <v>508</v>
      </c>
      <c r="N597" s="113">
        <f t="shared" si="490"/>
        <v>0</v>
      </c>
      <c r="O597" s="113">
        <f t="shared" si="490"/>
        <v>18</v>
      </c>
      <c r="P597" s="114">
        <f t="shared" si="490"/>
        <v>10</v>
      </c>
      <c r="Q597" s="115">
        <f>(K597+L597)/J597</f>
        <v>0.34554334554334554</v>
      </c>
      <c r="R597" s="116">
        <f t="shared" si="483"/>
        <v>0</v>
      </c>
      <c r="S597" s="116">
        <f t="shared" si="484"/>
        <v>1.221001221001221E-2</v>
      </c>
      <c r="T597" s="116">
        <f t="shared" si="485"/>
        <v>2.197802197802198E-2</v>
      </c>
      <c r="U597" s="117">
        <f t="shared" si="486"/>
        <v>0.37973137973137971</v>
      </c>
      <c r="V597" s="213"/>
    </row>
    <row r="598" spans="2:25" ht="15.75" hidden="1" x14ac:dyDescent="0.2">
      <c r="B598" s="711">
        <v>46127</v>
      </c>
      <c r="C598" s="105" t="s">
        <v>22</v>
      </c>
      <c r="D598" s="105" t="s">
        <v>20</v>
      </c>
      <c r="E598" s="711">
        <v>46127</v>
      </c>
      <c r="G598" s="833">
        <v>46127</v>
      </c>
      <c r="H598" s="106" t="s">
        <v>16</v>
      </c>
      <c r="I598" s="120" t="s">
        <v>103</v>
      </c>
      <c r="J598" s="106">
        <f t="shared" ref="J598:J600" si="491">SUM(K598:P598)</f>
        <v>59</v>
      </c>
      <c r="K598" s="106">
        <v>14</v>
      </c>
      <c r="L598" s="106">
        <v>26</v>
      </c>
      <c r="M598" s="107">
        <v>0</v>
      </c>
      <c r="N598" s="106">
        <v>0</v>
      </c>
      <c r="O598" s="106">
        <v>13</v>
      </c>
      <c r="P598" s="107">
        <v>6</v>
      </c>
      <c r="Q598" s="108">
        <f t="shared" ref="Q598:Q600" si="492">(K598+L598)/J598</f>
        <v>0.67796610169491522</v>
      </c>
      <c r="R598" s="109">
        <f t="shared" si="483"/>
        <v>0</v>
      </c>
      <c r="S598" s="109">
        <f t="shared" si="484"/>
        <v>0.10169491525423729</v>
      </c>
      <c r="T598" s="109">
        <f t="shared" si="485"/>
        <v>0.22033898305084745</v>
      </c>
      <c r="U598" s="110">
        <f t="shared" si="486"/>
        <v>0.99999999999999989</v>
      </c>
      <c r="V598" s="111"/>
    </row>
    <row r="599" spans="2:25" ht="15.75" hidden="1" x14ac:dyDescent="0.2">
      <c r="B599" s="711">
        <v>46127</v>
      </c>
      <c r="C599" s="105" t="s">
        <v>22</v>
      </c>
      <c r="D599" s="105" t="s">
        <v>20</v>
      </c>
      <c r="E599" s="711">
        <v>46127</v>
      </c>
      <c r="G599" s="834"/>
      <c r="H599" s="120" t="s">
        <v>84</v>
      </c>
      <c r="I599" s="120" t="s">
        <v>106</v>
      </c>
      <c r="J599" s="106">
        <f t="shared" si="491"/>
        <v>240</v>
      </c>
      <c r="K599" s="106">
        <v>120</v>
      </c>
      <c r="L599" s="106">
        <v>29</v>
      </c>
      <c r="M599" s="106">
        <v>84</v>
      </c>
      <c r="N599" s="106">
        <v>7</v>
      </c>
      <c r="O599" s="106">
        <v>0</v>
      </c>
      <c r="P599" s="106">
        <v>0</v>
      </c>
      <c r="Q599" s="108">
        <f t="shared" si="492"/>
        <v>0.62083333333333335</v>
      </c>
      <c r="R599" s="109">
        <f t="shared" si="483"/>
        <v>2.9166666666666667E-2</v>
      </c>
      <c r="S599" s="109">
        <f t="shared" si="484"/>
        <v>0</v>
      </c>
      <c r="T599" s="109">
        <f t="shared" si="485"/>
        <v>0</v>
      </c>
      <c r="U599" s="110">
        <f t="shared" si="486"/>
        <v>0.65</v>
      </c>
      <c r="V599" s="111"/>
    </row>
    <row r="600" spans="2:25" ht="15.75" hidden="1" x14ac:dyDescent="0.2">
      <c r="B600" s="711">
        <v>46127</v>
      </c>
      <c r="C600" s="105" t="s">
        <v>22</v>
      </c>
      <c r="D600" s="105" t="s">
        <v>20</v>
      </c>
      <c r="E600" s="711">
        <v>46127</v>
      </c>
      <c r="G600" s="834"/>
      <c r="H600" s="120" t="s">
        <v>32</v>
      </c>
      <c r="I600" s="120" t="s">
        <v>106</v>
      </c>
      <c r="J600" s="106">
        <f t="shared" si="491"/>
        <v>95</v>
      </c>
      <c r="K600" s="106">
        <v>35</v>
      </c>
      <c r="L600" s="106">
        <v>0</v>
      </c>
      <c r="M600" s="106">
        <v>60</v>
      </c>
      <c r="N600" s="106">
        <v>0</v>
      </c>
      <c r="O600" s="106">
        <v>0</v>
      </c>
      <c r="P600" s="106">
        <v>0</v>
      </c>
      <c r="Q600" s="108">
        <f t="shared" si="492"/>
        <v>0.36842105263157893</v>
      </c>
      <c r="R600" s="109">
        <f t="shared" si="483"/>
        <v>0</v>
      </c>
      <c r="S600" s="109">
        <f t="shared" si="484"/>
        <v>0</v>
      </c>
      <c r="T600" s="109">
        <f t="shared" si="485"/>
        <v>0</v>
      </c>
      <c r="U600" s="110">
        <f t="shared" si="486"/>
        <v>0.36842105263157893</v>
      </c>
      <c r="V600" s="136"/>
    </row>
    <row r="601" spans="2:25" ht="15.75" hidden="1" x14ac:dyDescent="0.2">
      <c r="B601" s="711">
        <v>46127</v>
      </c>
      <c r="C601" s="105" t="s">
        <v>22</v>
      </c>
      <c r="D601" s="105" t="s">
        <v>20</v>
      </c>
      <c r="E601" s="711">
        <v>46127</v>
      </c>
      <c r="G601" s="834"/>
      <c r="H601" s="120" t="s">
        <v>14</v>
      </c>
      <c r="I601" s="120" t="s">
        <v>105</v>
      </c>
      <c r="J601" s="106">
        <f t="shared" ref="J601:J603" si="493">SUM(K601:P601)</f>
        <v>191</v>
      </c>
      <c r="K601" s="106">
        <v>4</v>
      </c>
      <c r="L601" s="106">
        <v>3</v>
      </c>
      <c r="M601" s="106">
        <v>170</v>
      </c>
      <c r="N601" s="106">
        <v>6</v>
      </c>
      <c r="O601" s="106">
        <v>8</v>
      </c>
      <c r="P601" s="106">
        <v>0</v>
      </c>
      <c r="Q601" s="108">
        <f t="shared" ref="Q601:Q603" si="494">(K601+L601)/J601</f>
        <v>3.6649214659685861E-2</v>
      </c>
      <c r="R601" s="109">
        <f t="shared" ref="R601:R603" si="495">N601/J601</f>
        <v>3.1413612565445025E-2</v>
      </c>
      <c r="S601" s="109">
        <f t="shared" ref="S601:S603" si="496">P601/J601</f>
        <v>0</v>
      </c>
      <c r="T601" s="109">
        <f t="shared" ref="T601:T603" si="497">O601/J601</f>
        <v>4.1884816753926704E-2</v>
      </c>
      <c r="U601" s="110">
        <f t="shared" ref="U601:U603" si="498">S601+R601+Q601+T601</f>
        <v>0.10994764397905758</v>
      </c>
      <c r="V601" s="136"/>
    </row>
    <row r="602" spans="2:25" ht="15.75" hidden="1" x14ac:dyDescent="0.2">
      <c r="B602" s="711">
        <v>46127</v>
      </c>
      <c r="C602" s="105" t="s">
        <v>22</v>
      </c>
      <c r="D602" s="105" t="s">
        <v>20</v>
      </c>
      <c r="E602" s="711">
        <v>46127</v>
      </c>
      <c r="G602" s="834"/>
      <c r="H602" s="120" t="s">
        <v>17</v>
      </c>
      <c r="I602" s="120" t="s">
        <v>106</v>
      </c>
      <c r="J602" s="106">
        <f t="shared" si="493"/>
        <v>132</v>
      </c>
      <c r="K602" s="106">
        <v>82</v>
      </c>
      <c r="L602" s="106">
        <v>27</v>
      </c>
      <c r="M602" s="106">
        <v>11</v>
      </c>
      <c r="N602" s="106">
        <v>8</v>
      </c>
      <c r="O602" s="106">
        <v>0</v>
      </c>
      <c r="P602" s="106">
        <v>4</v>
      </c>
      <c r="Q602" s="108">
        <f t="shared" si="494"/>
        <v>0.8257575757575758</v>
      </c>
      <c r="R602" s="109">
        <f t="shared" si="495"/>
        <v>6.0606060606060608E-2</v>
      </c>
      <c r="S602" s="109">
        <f t="shared" si="496"/>
        <v>3.0303030303030304E-2</v>
      </c>
      <c r="T602" s="109">
        <f t="shared" si="497"/>
        <v>0</v>
      </c>
      <c r="U602" s="110">
        <f t="shared" si="498"/>
        <v>0.91666666666666674</v>
      </c>
      <c r="V602" s="136"/>
    </row>
    <row r="603" spans="2:25" ht="15.75" hidden="1" x14ac:dyDescent="0.2">
      <c r="B603" s="711">
        <v>46127</v>
      </c>
      <c r="C603" s="105" t="s">
        <v>22</v>
      </c>
      <c r="D603" s="105" t="s">
        <v>20</v>
      </c>
      <c r="E603" s="711">
        <v>46127</v>
      </c>
      <c r="G603" s="834"/>
      <c r="H603" s="120" t="s">
        <v>25</v>
      </c>
      <c r="I603" s="120" t="s">
        <v>106</v>
      </c>
      <c r="J603" s="106">
        <f t="shared" si="493"/>
        <v>18</v>
      </c>
      <c r="K603" s="106">
        <v>4</v>
      </c>
      <c r="L603" s="106">
        <v>0</v>
      </c>
      <c r="M603" s="106">
        <v>14</v>
      </c>
      <c r="N603" s="106">
        <v>0</v>
      </c>
      <c r="O603" s="106">
        <v>0</v>
      </c>
      <c r="P603" s="106">
        <v>0</v>
      </c>
      <c r="Q603" s="108">
        <f t="shared" si="494"/>
        <v>0.22222222222222221</v>
      </c>
      <c r="R603" s="109">
        <f t="shared" si="495"/>
        <v>0</v>
      </c>
      <c r="S603" s="109">
        <f t="shared" si="496"/>
        <v>0</v>
      </c>
      <c r="T603" s="109">
        <f t="shared" si="497"/>
        <v>0</v>
      </c>
      <c r="U603" s="110">
        <f t="shared" si="498"/>
        <v>0.22222222222222221</v>
      </c>
      <c r="V603" s="136"/>
    </row>
    <row r="604" spans="2:25" s="97" customFormat="1" ht="16.5" hidden="1" customHeight="1" x14ac:dyDescent="0.2">
      <c r="B604" s="711">
        <v>46127</v>
      </c>
      <c r="C604" s="105" t="s">
        <v>22</v>
      </c>
      <c r="D604" s="105" t="s">
        <v>20</v>
      </c>
      <c r="E604" s="711">
        <v>46127</v>
      </c>
      <c r="F604" s="89"/>
      <c r="G604" s="835"/>
      <c r="H604" s="113" t="s">
        <v>19</v>
      </c>
      <c r="I604" s="113"/>
      <c r="J604" s="113">
        <f t="shared" ref="J604:P604" si="499">SUM(J598:J603)</f>
        <v>735</v>
      </c>
      <c r="K604" s="113">
        <f t="shared" si="499"/>
        <v>259</v>
      </c>
      <c r="L604" s="113">
        <f t="shared" si="499"/>
        <v>85</v>
      </c>
      <c r="M604" s="113">
        <f t="shared" si="499"/>
        <v>339</v>
      </c>
      <c r="N604" s="113">
        <f t="shared" si="499"/>
        <v>21</v>
      </c>
      <c r="O604" s="113">
        <f t="shared" si="499"/>
        <v>21</v>
      </c>
      <c r="P604" s="113">
        <f t="shared" si="499"/>
        <v>10</v>
      </c>
      <c r="Q604" s="115">
        <f>(K604+L604)/J604</f>
        <v>0.46802721088435373</v>
      </c>
      <c r="R604" s="116">
        <f t="shared" si="483"/>
        <v>2.8571428571428571E-2</v>
      </c>
      <c r="S604" s="116">
        <f t="shared" si="484"/>
        <v>1.3605442176870748E-2</v>
      </c>
      <c r="T604" s="116">
        <f t="shared" si="485"/>
        <v>2.8571428571428571E-2</v>
      </c>
      <c r="U604" s="117">
        <f t="shared" si="486"/>
        <v>0.53877551020408165</v>
      </c>
      <c r="V604" s="127"/>
      <c r="W604" s="88"/>
      <c r="X604" s="88"/>
      <c r="Y604" s="118"/>
    </row>
    <row r="605" spans="2:25" ht="15.75" hidden="1" x14ac:dyDescent="0.2">
      <c r="B605" s="711">
        <v>46127</v>
      </c>
      <c r="C605" s="105" t="s">
        <v>12</v>
      </c>
      <c r="D605" s="105" t="s">
        <v>23</v>
      </c>
      <c r="E605" s="711">
        <v>46127</v>
      </c>
      <c r="G605" s="833">
        <v>46128</v>
      </c>
      <c r="H605" s="106" t="s">
        <v>16</v>
      </c>
      <c r="I605" s="120" t="s">
        <v>83</v>
      </c>
      <c r="J605" s="106">
        <v>240</v>
      </c>
      <c r="K605" s="106">
        <v>0</v>
      </c>
      <c r="L605" s="106">
        <v>1</v>
      </c>
      <c r="M605" s="107">
        <v>233</v>
      </c>
      <c r="N605" s="106">
        <v>0</v>
      </c>
      <c r="O605" s="106">
        <v>0</v>
      </c>
      <c r="P605" s="107">
        <v>7</v>
      </c>
      <c r="Q605" s="108">
        <f t="shared" ref="Q605:Q608" si="500">(K605+L605)/J605</f>
        <v>4.1666666666666666E-3</v>
      </c>
      <c r="R605" s="109">
        <f t="shared" ref="R605:R612" si="501">N605/J605</f>
        <v>0</v>
      </c>
      <c r="S605" s="109">
        <f t="shared" ref="S605:S612" si="502">P605/J605</f>
        <v>2.9166666666666667E-2</v>
      </c>
      <c r="T605" s="109">
        <f t="shared" ref="T605:T612" si="503">O605/J605</f>
        <v>0</v>
      </c>
      <c r="U605" s="110">
        <f t="shared" ref="U605:U612" si="504">S605+R605+Q605+T605</f>
        <v>3.3333333333333333E-2</v>
      </c>
      <c r="V605" s="111"/>
    </row>
    <row r="606" spans="2:25" ht="15.75" hidden="1" x14ac:dyDescent="0.2">
      <c r="B606" s="711">
        <v>46127</v>
      </c>
      <c r="C606" s="105" t="s">
        <v>12</v>
      </c>
      <c r="D606" s="105" t="s">
        <v>23</v>
      </c>
      <c r="E606" s="711">
        <v>46127</v>
      </c>
      <c r="G606" s="834"/>
      <c r="H606" s="120" t="s">
        <v>32</v>
      </c>
      <c r="I606" s="120" t="s">
        <v>106</v>
      </c>
      <c r="J606" s="106">
        <v>56</v>
      </c>
      <c r="K606" s="106">
        <v>0</v>
      </c>
      <c r="L606" s="106">
        <v>0</v>
      </c>
      <c r="M606" s="106">
        <v>56</v>
      </c>
      <c r="N606" s="106">
        <v>0</v>
      </c>
      <c r="O606" s="106">
        <v>0</v>
      </c>
      <c r="P606" s="106">
        <v>0</v>
      </c>
      <c r="Q606" s="108">
        <f t="shared" si="500"/>
        <v>0</v>
      </c>
      <c r="R606" s="109">
        <f t="shared" si="501"/>
        <v>0</v>
      </c>
      <c r="S606" s="109">
        <f t="shared" si="502"/>
        <v>0</v>
      </c>
      <c r="T606" s="109">
        <f t="shared" si="503"/>
        <v>0</v>
      </c>
      <c r="U606" s="110">
        <f t="shared" si="504"/>
        <v>0</v>
      </c>
      <c r="V606" s="136"/>
    </row>
    <row r="607" spans="2:25" ht="15.75" hidden="1" x14ac:dyDescent="0.2">
      <c r="B607" s="711">
        <v>46127</v>
      </c>
      <c r="C607" s="105" t="s">
        <v>12</v>
      </c>
      <c r="D607" s="105" t="s">
        <v>23</v>
      </c>
      <c r="E607" s="711">
        <v>46127</v>
      </c>
      <c r="G607" s="834"/>
      <c r="H607" s="120" t="s">
        <v>14</v>
      </c>
      <c r="I607" s="120" t="s">
        <v>105</v>
      </c>
      <c r="J607" s="106">
        <v>215</v>
      </c>
      <c r="K607" s="106">
        <v>0</v>
      </c>
      <c r="L607" s="106">
        <v>0</v>
      </c>
      <c r="M607" s="106">
        <v>215</v>
      </c>
      <c r="N607" s="106">
        <v>0</v>
      </c>
      <c r="O607" s="106">
        <v>0</v>
      </c>
      <c r="P607" s="106">
        <v>0</v>
      </c>
      <c r="Q607" s="108">
        <f t="shared" si="500"/>
        <v>0</v>
      </c>
      <c r="R607" s="109">
        <f t="shared" si="501"/>
        <v>0</v>
      </c>
      <c r="S607" s="109">
        <f t="shared" si="502"/>
        <v>0</v>
      </c>
      <c r="T607" s="109">
        <f t="shared" si="503"/>
        <v>0</v>
      </c>
      <c r="U607" s="110">
        <f t="shared" si="504"/>
        <v>0</v>
      </c>
      <c r="V607" s="136"/>
    </row>
    <row r="608" spans="2:25" ht="15.75" hidden="1" x14ac:dyDescent="0.2">
      <c r="B608" s="711">
        <v>46127</v>
      </c>
      <c r="C608" s="105" t="s">
        <v>12</v>
      </c>
      <c r="D608" s="105" t="s">
        <v>23</v>
      </c>
      <c r="E608" s="711">
        <v>46128</v>
      </c>
      <c r="G608" s="834"/>
      <c r="H608" s="120" t="s">
        <v>17</v>
      </c>
      <c r="I608" s="120" t="s">
        <v>106</v>
      </c>
      <c r="J608" s="106">
        <v>210</v>
      </c>
      <c r="K608" s="106">
        <v>0</v>
      </c>
      <c r="L608" s="106">
        <v>0</v>
      </c>
      <c r="M608" s="106">
        <v>154</v>
      </c>
      <c r="N608" s="106">
        <v>49</v>
      </c>
      <c r="O608" s="106">
        <v>0</v>
      </c>
      <c r="P608" s="106">
        <v>6</v>
      </c>
      <c r="Q608" s="108">
        <f t="shared" si="500"/>
        <v>0</v>
      </c>
      <c r="R608" s="109">
        <f t="shared" si="501"/>
        <v>0.23333333333333334</v>
      </c>
      <c r="S608" s="109">
        <f t="shared" si="502"/>
        <v>2.8571428571428571E-2</v>
      </c>
      <c r="T608" s="109">
        <f t="shared" si="503"/>
        <v>0</v>
      </c>
      <c r="U608" s="110">
        <f t="shared" si="504"/>
        <v>0.26190476190476192</v>
      </c>
      <c r="V608" s="136"/>
    </row>
    <row r="609" spans="2:25" s="97" customFormat="1" ht="16.5" hidden="1" customHeight="1" x14ac:dyDescent="0.2">
      <c r="B609" s="711">
        <v>46127</v>
      </c>
      <c r="C609" s="105" t="s">
        <v>12</v>
      </c>
      <c r="D609" s="105" t="s">
        <v>23</v>
      </c>
      <c r="E609" s="711">
        <v>46127</v>
      </c>
      <c r="F609" s="89"/>
      <c r="G609" s="835"/>
      <c r="H609" s="113" t="s">
        <v>19</v>
      </c>
      <c r="I609" s="113"/>
      <c r="J609" s="113">
        <f>SUM(J605:J608)</f>
        <v>721</v>
      </c>
      <c r="K609" s="113">
        <f t="shared" ref="K609:P609" si="505">SUM(K605:K608)</f>
        <v>0</v>
      </c>
      <c r="L609" s="113">
        <f t="shared" si="505"/>
        <v>1</v>
      </c>
      <c r="M609" s="113">
        <f t="shared" si="505"/>
        <v>658</v>
      </c>
      <c r="N609" s="113">
        <f t="shared" si="505"/>
        <v>49</v>
      </c>
      <c r="O609" s="113">
        <f t="shared" si="505"/>
        <v>0</v>
      </c>
      <c r="P609" s="113">
        <f t="shared" si="505"/>
        <v>13</v>
      </c>
      <c r="Q609" s="115">
        <f>(K609+L609)/J609</f>
        <v>1.3869625520110957E-3</v>
      </c>
      <c r="R609" s="116">
        <f t="shared" si="501"/>
        <v>6.7961165048543687E-2</v>
      </c>
      <c r="S609" s="116">
        <f t="shared" si="502"/>
        <v>1.8030513176144243E-2</v>
      </c>
      <c r="T609" s="116">
        <f t="shared" si="503"/>
        <v>0</v>
      </c>
      <c r="U609" s="117">
        <f t="shared" si="504"/>
        <v>8.7378640776699018E-2</v>
      </c>
      <c r="V609" s="127"/>
      <c r="W609" s="88"/>
      <c r="X609" s="88"/>
      <c r="Y609" s="118"/>
    </row>
    <row r="610" spans="2:25" ht="15.75" hidden="1" x14ac:dyDescent="0.2">
      <c r="B610" s="711">
        <v>46127</v>
      </c>
      <c r="C610" s="105" t="s">
        <v>18</v>
      </c>
      <c r="D610" s="105" t="s">
        <v>13</v>
      </c>
      <c r="E610" s="711">
        <v>46127</v>
      </c>
      <c r="G610" s="833">
        <v>46127</v>
      </c>
      <c r="H610" s="106" t="s">
        <v>16</v>
      </c>
      <c r="I610" s="120" t="s">
        <v>103</v>
      </c>
      <c r="J610" s="106">
        <v>59</v>
      </c>
      <c r="K610" s="106">
        <f t="shared" ref="K610:K616" si="506">J610-L610-M610-N610-O610-P610</f>
        <v>23</v>
      </c>
      <c r="L610" s="106">
        <v>20</v>
      </c>
      <c r="M610" s="107">
        <v>0</v>
      </c>
      <c r="N610" s="106">
        <v>0</v>
      </c>
      <c r="O610" s="106">
        <v>16</v>
      </c>
      <c r="P610" s="107">
        <v>0</v>
      </c>
      <c r="Q610" s="108">
        <f t="shared" ref="Q610:Q611" si="507">(K610+L610)/J610</f>
        <v>0.72881355932203384</v>
      </c>
      <c r="R610" s="109">
        <f t="shared" si="501"/>
        <v>0</v>
      </c>
      <c r="S610" s="109">
        <f t="shared" si="502"/>
        <v>0</v>
      </c>
      <c r="T610" s="109">
        <f t="shared" si="503"/>
        <v>0.2711864406779661</v>
      </c>
      <c r="U610" s="110">
        <f t="shared" si="504"/>
        <v>1</v>
      </c>
      <c r="V610" s="111"/>
    </row>
    <row r="611" spans="2:25" ht="15.75" hidden="1" x14ac:dyDescent="0.2">
      <c r="B611" s="711">
        <v>46127</v>
      </c>
      <c r="C611" s="105" t="s">
        <v>18</v>
      </c>
      <c r="D611" s="105" t="s">
        <v>13</v>
      </c>
      <c r="E611" s="711">
        <v>46127</v>
      </c>
      <c r="G611" s="834"/>
      <c r="H611" s="120" t="s">
        <v>14</v>
      </c>
      <c r="I611" s="120" t="s">
        <v>105</v>
      </c>
      <c r="J611" s="106">
        <v>28</v>
      </c>
      <c r="K611" s="106">
        <f t="shared" si="506"/>
        <v>18</v>
      </c>
      <c r="L611" s="106">
        <v>0</v>
      </c>
      <c r="M611" s="107">
        <v>0</v>
      </c>
      <c r="N611" s="106">
        <v>0</v>
      </c>
      <c r="O611" s="106">
        <v>10</v>
      </c>
      <c r="P611" s="107">
        <v>0</v>
      </c>
      <c r="Q611" s="108">
        <f t="shared" si="507"/>
        <v>0.6428571428571429</v>
      </c>
      <c r="R611" s="109">
        <f t="shared" si="501"/>
        <v>0</v>
      </c>
      <c r="S611" s="109">
        <f t="shared" si="502"/>
        <v>0</v>
      </c>
      <c r="T611" s="109">
        <f t="shared" si="503"/>
        <v>0.35714285714285715</v>
      </c>
      <c r="U611" s="110">
        <f t="shared" si="504"/>
        <v>1</v>
      </c>
      <c r="V611" s="136"/>
    </row>
    <row r="612" spans="2:25" ht="15.75" hidden="1" x14ac:dyDescent="0.2">
      <c r="B612" s="711">
        <v>46127</v>
      </c>
      <c r="C612" s="105" t="s">
        <v>18</v>
      </c>
      <c r="D612" s="105" t="s">
        <v>13</v>
      </c>
      <c r="E612" s="711">
        <v>46127</v>
      </c>
      <c r="G612" s="835"/>
      <c r="H612" s="113" t="s">
        <v>19</v>
      </c>
      <c r="I612" s="113"/>
      <c r="J612" s="113">
        <f t="shared" ref="J612:P612" si="508">SUM(J610:J611)</f>
        <v>87</v>
      </c>
      <c r="K612" s="113">
        <f t="shared" si="508"/>
        <v>41</v>
      </c>
      <c r="L612" s="113">
        <f t="shared" si="508"/>
        <v>20</v>
      </c>
      <c r="M612" s="113">
        <f t="shared" si="508"/>
        <v>0</v>
      </c>
      <c r="N612" s="113">
        <f t="shared" si="508"/>
        <v>0</v>
      </c>
      <c r="O612" s="113">
        <f t="shared" si="508"/>
        <v>26</v>
      </c>
      <c r="P612" s="113">
        <f t="shared" si="508"/>
        <v>0</v>
      </c>
      <c r="Q612" s="115">
        <f>(K612+L612)/J612</f>
        <v>0.70114942528735635</v>
      </c>
      <c r="R612" s="116">
        <f t="shared" si="501"/>
        <v>0</v>
      </c>
      <c r="S612" s="116">
        <f t="shared" si="502"/>
        <v>0</v>
      </c>
      <c r="T612" s="116">
        <f t="shared" si="503"/>
        <v>0.2988505747126437</v>
      </c>
      <c r="U612" s="117">
        <f t="shared" si="504"/>
        <v>1</v>
      </c>
      <c r="V612" s="127"/>
    </row>
    <row r="613" spans="2:25" ht="15.75" hidden="1" x14ac:dyDescent="0.2">
      <c r="B613" s="711">
        <v>46127</v>
      </c>
      <c r="C613" s="105" t="s">
        <v>18</v>
      </c>
      <c r="D613" s="105" t="s">
        <v>13</v>
      </c>
      <c r="E613" s="711">
        <v>46128</v>
      </c>
      <c r="G613" s="833">
        <v>46128</v>
      </c>
      <c r="H613" s="106" t="s">
        <v>16</v>
      </c>
      <c r="I613" s="120" t="s">
        <v>83</v>
      </c>
      <c r="J613" s="106">
        <v>240</v>
      </c>
      <c r="K613" s="106">
        <f t="shared" si="506"/>
        <v>42</v>
      </c>
      <c r="L613" s="106">
        <v>39</v>
      </c>
      <c r="M613" s="107">
        <v>159</v>
      </c>
      <c r="N613" s="106">
        <v>0</v>
      </c>
      <c r="O613" s="106">
        <v>0</v>
      </c>
      <c r="P613" s="107">
        <v>0</v>
      </c>
      <c r="Q613" s="108">
        <f t="shared" ref="Q613:Q616" si="509">(K613+L613)/J613</f>
        <v>0.33750000000000002</v>
      </c>
      <c r="R613" s="109">
        <f t="shared" ref="R613:R626" si="510">N613/J613</f>
        <v>0</v>
      </c>
      <c r="S613" s="109">
        <f t="shared" ref="S613:S626" si="511">P613/J613</f>
        <v>0</v>
      </c>
      <c r="T613" s="109">
        <f t="shared" ref="T613:T626" si="512">O613/J613</f>
        <v>0</v>
      </c>
      <c r="U613" s="110">
        <f t="shared" ref="U613:U626" si="513">S613+R613+Q613+T613</f>
        <v>0.33750000000000002</v>
      </c>
      <c r="V613" s="111"/>
    </row>
    <row r="614" spans="2:25" ht="15.75" hidden="1" x14ac:dyDescent="0.2">
      <c r="B614" s="711">
        <v>46127</v>
      </c>
      <c r="C614" s="105" t="s">
        <v>18</v>
      </c>
      <c r="D614" s="105" t="s">
        <v>13</v>
      </c>
      <c r="E614" s="711">
        <v>46128</v>
      </c>
      <c r="G614" s="834"/>
      <c r="H614" s="120" t="s">
        <v>32</v>
      </c>
      <c r="I614" s="120" t="s">
        <v>106</v>
      </c>
      <c r="J614" s="106">
        <v>76</v>
      </c>
      <c r="K614" s="106">
        <f t="shared" si="506"/>
        <v>0</v>
      </c>
      <c r="L614" s="106">
        <v>0</v>
      </c>
      <c r="M614" s="107">
        <v>76</v>
      </c>
      <c r="N614" s="106">
        <v>0</v>
      </c>
      <c r="O614" s="106">
        <v>0</v>
      </c>
      <c r="P614" s="107">
        <v>0</v>
      </c>
      <c r="Q614" s="108">
        <f t="shared" si="509"/>
        <v>0</v>
      </c>
      <c r="R614" s="109">
        <f t="shared" si="510"/>
        <v>0</v>
      </c>
      <c r="S614" s="109">
        <f t="shared" si="511"/>
        <v>0</v>
      </c>
      <c r="T614" s="109">
        <f t="shared" si="512"/>
        <v>0</v>
      </c>
      <c r="U614" s="110">
        <f t="shared" si="513"/>
        <v>0</v>
      </c>
      <c r="V614" s="136"/>
    </row>
    <row r="615" spans="2:25" ht="15.75" hidden="1" x14ac:dyDescent="0.2">
      <c r="B615" s="711">
        <v>46127</v>
      </c>
      <c r="C615" s="105" t="s">
        <v>18</v>
      </c>
      <c r="D615" s="105" t="s">
        <v>13</v>
      </c>
      <c r="E615" s="711">
        <v>46128</v>
      </c>
      <c r="G615" s="834"/>
      <c r="H615" s="120" t="s">
        <v>14</v>
      </c>
      <c r="I615" s="120" t="s">
        <v>105</v>
      </c>
      <c r="J615" s="106">
        <v>215</v>
      </c>
      <c r="K615" s="106">
        <f t="shared" si="506"/>
        <v>0</v>
      </c>
      <c r="L615" s="106">
        <v>0</v>
      </c>
      <c r="M615" s="107">
        <v>215</v>
      </c>
      <c r="N615" s="106">
        <v>0</v>
      </c>
      <c r="O615" s="106">
        <v>0</v>
      </c>
      <c r="P615" s="107">
        <v>0</v>
      </c>
      <c r="Q615" s="108">
        <f t="shared" si="509"/>
        <v>0</v>
      </c>
      <c r="R615" s="109">
        <f t="shared" si="510"/>
        <v>0</v>
      </c>
      <c r="S615" s="109">
        <f t="shared" si="511"/>
        <v>0</v>
      </c>
      <c r="T615" s="109">
        <f t="shared" si="512"/>
        <v>0</v>
      </c>
      <c r="U615" s="110">
        <f t="shared" si="513"/>
        <v>0</v>
      </c>
      <c r="V615" s="136"/>
    </row>
    <row r="616" spans="2:25" ht="15.75" hidden="1" x14ac:dyDescent="0.2">
      <c r="B616" s="711">
        <v>46127</v>
      </c>
      <c r="C616" s="105" t="s">
        <v>18</v>
      </c>
      <c r="D616" s="105" t="s">
        <v>13</v>
      </c>
      <c r="E616" s="711">
        <v>46128</v>
      </c>
      <c r="G616" s="834"/>
      <c r="H616" s="120" t="s">
        <v>17</v>
      </c>
      <c r="I616" s="120" t="s">
        <v>106</v>
      </c>
      <c r="J616" s="106">
        <v>210</v>
      </c>
      <c r="K616" s="106">
        <f t="shared" si="506"/>
        <v>125</v>
      </c>
      <c r="L616" s="106">
        <v>34</v>
      </c>
      <c r="M616" s="107">
        <v>28</v>
      </c>
      <c r="N616" s="106">
        <v>0</v>
      </c>
      <c r="O616" s="106">
        <v>23</v>
      </c>
      <c r="P616" s="107">
        <v>0</v>
      </c>
      <c r="Q616" s="108">
        <f t="shared" si="509"/>
        <v>0.75714285714285712</v>
      </c>
      <c r="R616" s="109">
        <f t="shared" si="510"/>
        <v>0</v>
      </c>
      <c r="S616" s="109">
        <f t="shared" si="511"/>
        <v>0</v>
      </c>
      <c r="T616" s="109">
        <f t="shared" si="512"/>
        <v>0.10952380952380952</v>
      </c>
      <c r="U616" s="110">
        <f t="shared" si="513"/>
        <v>0.8666666666666667</v>
      </c>
      <c r="V616" s="136" t="s">
        <v>21</v>
      </c>
    </row>
    <row r="617" spans="2:25" ht="15.75" hidden="1" x14ac:dyDescent="0.2">
      <c r="B617" s="711">
        <v>46127</v>
      </c>
      <c r="C617" s="105" t="s">
        <v>18</v>
      </c>
      <c r="D617" s="105" t="s">
        <v>13</v>
      </c>
      <c r="E617" s="711">
        <v>46128</v>
      </c>
      <c r="G617" s="835"/>
      <c r="H617" s="113" t="s">
        <v>19</v>
      </c>
      <c r="I617" s="113"/>
      <c r="J617" s="113">
        <f>SUM(J613:J616)</f>
        <v>741</v>
      </c>
      <c r="K617" s="113">
        <f t="shared" ref="K617:P617" si="514">SUM(K613:K616)</f>
        <v>167</v>
      </c>
      <c r="L617" s="113">
        <f t="shared" si="514"/>
        <v>73</v>
      </c>
      <c r="M617" s="113">
        <f t="shared" si="514"/>
        <v>478</v>
      </c>
      <c r="N617" s="113">
        <f t="shared" si="514"/>
        <v>0</v>
      </c>
      <c r="O617" s="113">
        <f t="shared" si="514"/>
        <v>23</v>
      </c>
      <c r="P617" s="113">
        <f t="shared" si="514"/>
        <v>0</v>
      </c>
      <c r="Q617" s="115">
        <f>(K617+L617)/J617</f>
        <v>0.32388663967611336</v>
      </c>
      <c r="R617" s="116">
        <f t="shared" si="510"/>
        <v>0</v>
      </c>
      <c r="S617" s="116">
        <f t="shared" si="511"/>
        <v>0</v>
      </c>
      <c r="T617" s="116">
        <f t="shared" si="512"/>
        <v>3.1039136302294199E-2</v>
      </c>
      <c r="U617" s="117">
        <f t="shared" si="513"/>
        <v>0.35492577597840758</v>
      </c>
      <c r="V617" s="127"/>
    </row>
    <row r="618" spans="2:25" ht="15.75" hidden="1" x14ac:dyDescent="0.2">
      <c r="B618" s="711">
        <v>46128</v>
      </c>
      <c r="C618" s="105" t="s">
        <v>22</v>
      </c>
      <c r="D618" s="105" t="s">
        <v>20</v>
      </c>
      <c r="E618" s="711">
        <v>46128</v>
      </c>
      <c r="G618" s="833">
        <v>46128</v>
      </c>
      <c r="H618" s="106" t="s">
        <v>16</v>
      </c>
      <c r="I618" s="120" t="s">
        <v>83</v>
      </c>
      <c r="J618" s="106">
        <v>252</v>
      </c>
      <c r="K618" s="106">
        <v>65</v>
      </c>
      <c r="L618" s="106">
        <v>86</v>
      </c>
      <c r="M618" s="107">
        <v>9</v>
      </c>
      <c r="N618" s="106">
        <v>0</v>
      </c>
      <c r="O618" s="106">
        <v>2</v>
      </c>
      <c r="P618" s="107">
        <v>9</v>
      </c>
      <c r="Q618" s="108">
        <f t="shared" ref="Q618:Q626" si="515">(K618+L618)/J618</f>
        <v>0.59920634920634919</v>
      </c>
      <c r="R618" s="109">
        <f t="shared" si="510"/>
        <v>0</v>
      </c>
      <c r="S618" s="109">
        <f t="shared" si="511"/>
        <v>3.5714285714285712E-2</v>
      </c>
      <c r="T618" s="109">
        <f t="shared" si="512"/>
        <v>7.9365079365079361E-3</v>
      </c>
      <c r="U618" s="110">
        <f t="shared" si="513"/>
        <v>0.64285714285714279</v>
      </c>
      <c r="V618" s="111"/>
    </row>
    <row r="619" spans="2:25" ht="15.75" hidden="1" x14ac:dyDescent="0.2">
      <c r="B619" s="711">
        <v>46128</v>
      </c>
      <c r="C619" s="105" t="s">
        <v>22</v>
      </c>
      <c r="D619" s="105" t="s">
        <v>20</v>
      </c>
      <c r="E619" s="711">
        <v>46128</v>
      </c>
      <c r="G619" s="834"/>
      <c r="H619" s="120" t="s">
        <v>32</v>
      </c>
      <c r="I619" s="120" t="s">
        <v>106</v>
      </c>
      <c r="J619" s="106">
        <v>115</v>
      </c>
      <c r="K619" s="106">
        <v>91</v>
      </c>
      <c r="L619" s="106">
        <v>4</v>
      </c>
      <c r="M619" s="106">
        <v>20</v>
      </c>
      <c r="N619" s="106">
        <v>0</v>
      </c>
      <c r="O619" s="106">
        <v>0</v>
      </c>
      <c r="P619" s="106">
        <v>0</v>
      </c>
      <c r="Q619" s="108">
        <f t="shared" si="515"/>
        <v>0.82608695652173914</v>
      </c>
      <c r="R619" s="109">
        <f t="shared" si="510"/>
        <v>0</v>
      </c>
      <c r="S619" s="109">
        <f t="shared" si="511"/>
        <v>0</v>
      </c>
      <c r="T619" s="109">
        <f t="shared" si="512"/>
        <v>0</v>
      </c>
      <c r="U619" s="110">
        <f t="shared" si="513"/>
        <v>0.82608695652173914</v>
      </c>
      <c r="V619" s="136"/>
    </row>
    <row r="620" spans="2:25" ht="15.75" hidden="1" x14ac:dyDescent="0.2">
      <c r="B620" s="711">
        <v>46128</v>
      </c>
      <c r="C620" s="105" t="s">
        <v>22</v>
      </c>
      <c r="D620" s="105" t="s">
        <v>20</v>
      </c>
      <c r="E620" s="711">
        <v>46128</v>
      </c>
      <c r="G620" s="834"/>
      <c r="H620" s="120" t="s">
        <v>17</v>
      </c>
      <c r="I620" s="120" t="s">
        <v>106</v>
      </c>
      <c r="J620" s="106">
        <v>210</v>
      </c>
      <c r="K620" s="106">
        <v>5</v>
      </c>
      <c r="L620" s="106">
        <v>12</v>
      </c>
      <c r="M620" s="106">
        <v>24</v>
      </c>
      <c r="N620" s="106">
        <v>0</v>
      </c>
      <c r="O620" s="106">
        <v>0</v>
      </c>
      <c r="P620" s="106">
        <v>6</v>
      </c>
      <c r="Q620" s="108">
        <f t="shared" si="515"/>
        <v>8.0952380952380956E-2</v>
      </c>
      <c r="R620" s="109">
        <f t="shared" si="510"/>
        <v>0</v>
      </c>
      <c r="S620" s="109">
        <f t="shared" si="511"/>
        <v>2.8571428571428571E-2</v>
      </c>
      <c r="T620" s="109">
        <f t="shared" si="512"/>
        <v>0</v>
      </c>
      <c r="U620" s="110">
        <f t="shared" si="513"/>
        <v>0.10952380952380952</v>
      </c>
      <c r="V620" s="136"/>
    </row>
    <row r="621" spans="2:25" ht="15.75" hidden="1" x14ac:dyDescent="0.2">
      <c r="B621" s="711">
        <v>46128</v>
      </c>
      <c r="C621" s="105" t="s">
        <v>22</v>
      </c>
      <c r="D621" s="105" t="s">
        <v>20</v>
      </c>
      <c r="E621" s="711">
        <v>46128</v>
      </c>
      <c r="G621" s="834"/>
      <c r="H621" s="120" t="s">
        <v>25</v>
      </c>
      <c r="I621" s="120" t="s">
        <v>106</v>
      </c>
      <c r="J621" s="106">
        <v>14</v>
      </c>
      <c r="K621" s="106">
        <v>2</v>
      </c>
      <c r="L621" s="106">
        <v>0</v>
      </c>
      <c r="M621" s="106">
        <v>3</v>
      </c>
      <c r="N621" s="106">
        <v>9</v>
      </c>
      <c r="O621" s="106">
        <v>0</v>
      </c>
      <c r="P621" s="106">
        <v>0</v>
      </c>
      <c r="Q621" s="108">
        <f t="shared" ref="Q621" si="516">(K621+L621)/J621</f>
        <v>0.14285714285714285</v>
      </c>
      <c r="R621" s="109">
        <f t="shared" ref="R621" si="517">N621/J621</f>
        <v>0.6428571428571429</v>
      </c>
      <c r="S621" s="109">
        <f t="shared" ref="S621" si="518">P621/J621</f>
        <v>0</v>
      </c>
      <c r="T621" s="109">
        <f t="shared" ref="T621" si="519">O621/J621</f>
        <v>0</v>
      </c>
      <c r="U621" s="110">
        <f t="shared" ref="U621" si="520">S621+R621+Q621+T621</f>
        <v>0.78571428571428581</v>
      </c>
      <c r="V621" s="136"/>
    </row>
    <row r="622" spans="2:25" ht="15.75" hidden="1" x14ac:dyDescent="0.2">
      <c r="B622" s="711">
        <v>46128</v>
      </c>
      <c r="C622" s="105" t="s">
        <v>22</v>
      </c>
      <c r="D622" s="105" t="s">
        <v>20</v>
      </c>
      <c r="E622" s="711">
        <v>46128</v>
      </c>
      <c r="G622" s="834"/>
      <c r="H622" s="120" t="s">
        <v>14</v>
      </c>
      <c r="I622" s="120" t="s">
        <v>105</v>
      </c>
      <c r="J622" s="106">
        <v>215</v>
      </c>
      <c r="K622" s="106">
        <v>10</v>
      </c>
      <c r="L622" s="106">
        <v>3</v>
      </c>
      <c r="M622" s="106">
        <v>120</v>
      </c>
      <c r="N622" s="106">
        <v>82</v>
      </c>
      <c r="O622" s="106">
        <v>0</v>
      </c>
      <c r="P622" s="106">
        <v>0</v>
      </c>
      <c r="Q622" s="108">
        <f t="shared" si="515"/>
        <v>6.0465116279069767E-2</v>
      </c>
      <c r="R622" s="109">
        <f t="shared" si="510"/>
        <v>0.38139534883720932</v>
      </c>
      <c r="S622" s="109">
        <f t="shared" si="511"/>
        <v>0</v>
      </c>
      <c r="T622" s="109">
        <f t="shared" si="512"/>
        <v>0</v>
      </c>
      <c r="U622" s="110">
        <f t="shared" si="513"/>
        <v>0.44186046511627908</v>
      </c>
      <c r="V622" s="136"/>
    </row>
    <row r="623" spans="2:25" s="97" customFormat="1" ht="16.5" hidden="1" customHeight="1" x14ac:dyDescent="0.2">
      <c r="B623" s="711">
        <v>46128</v>
      </c>
      <c r="C623" s="105" t="s">
        <v>22</v>
      </c>
      <c r="D623" s="105" t="s">
        <v>20</v>
      </c>
      <c r="E623" s="711">
        <v>46128</v>
      </c>
      <c r="F623" s="89"/>
      <c r="G623" s="835"/>
      <c r="H623" s="113" t="s">
        <v>19</v>
      </c>
      <c r="I623" s="113"/>
      <c r="J623" s="113">
        <f>SUM(J618:J622)</f>
        <v>806</v>
      </c>
      <c r="K623" s="113">
        <f t="shared" ref="K623:P623" si="521">SUM(K618:K622)</f>
        <v>173</v>
      </c>
      <c r="L623" s="113">
        <f t="shared" si="521"/>
        <v>105</v>
      </c>
      <c r="M623" s="113">
        <f t="shared" si="521"/>
        <v>176</v>
      </c>
      <c r="N623" s="113">
        <f t="shared" si="521"/>
        <v>91</v>
      </c>
      <c r="O623" s="113">
        <f t="shared" si="521"/>
        <v>2</v>
      </c>
      <c r="P623" s="113">
        <f t="shared" si="521"/>
        <v>15</v>
      </c>
      <c r="Q623" s="115">
        <f>(K623+L623)/J623</f>
        <v>0.34491315136476425</v>
      </c>
      <c r="R623" s="116">
        <f t="shared" si="510"/>
        <v>0.11290322580645161</v>
      </c>
      <c r="S623" s="116">
        <f t="shared" si="511"/>
        <v>1.8610421836228287E-2</v>
      </c>
      <c r="T623" s="116">
        <f t="shared" si="512"/>
        <v>2.4813895781637717E-3</v>
      </c>
      <c r="U623" s="117">
        <f t="shared" si="513"/>
        <v>0.47890818858560791</v>
      </c>
      <c r="V623" s="127"/>
      <c r="W623" s="88"/>
      <c r="X623" s="88"/>
      <c r="Y623" s="118"/>
    </row>
    <row r="624" spans="2:25" s="97" customFormat="1" ht="16.5" hidden="1" customHeight="1" x14ac:dyDescent="0.2">
      <c r="B624" s="711">
        <v>46128</v>
      </c>
      <c r="C624" s="105" t="s">
        <v>12</v>
      </c>
      <c r="D624" s="105" t="s">
        <v>23</v>
      </c>
      <c r="E624" s="711">
        <v>46128</v>
      </c>
      <c r="F624" s="89"/>
      <c r="G624" s="833">
        <v>46128</v>
      </c>
      <c r="H624" s="106" t="s">
        <v>16</v>
      </c>
      <c r="I624" s="120" t="s">
        <v>83</v>
      </c>
      <c r="J624" s="106">
        <v>239</v>
      </c>
      <c r="K624" s="106">
        <v>0</v>
      </c>
      <c r="L624" s="106">
        <v>0</v>
      </c>
      <c r="M624" s="106">
        <v>212</v>
      </c>
      <c r="N624" s="106">
        <v>0</v>
      </c>
      <c r="O624" s="106">
        <v>21</v>
      </c>
      <c r="P624" s="106">
        <v>6</v>
      </c>
      <c r="Q624" s="108">
        <f t="shared" si="515"/>
        <v>0</v>
      </c>
      <c r="R624" s="109">
        <f t="shared" si="510"/>
        <v>0</v>
      </c>
      <c r="S624" s="109">
        <f t="shared" si="511"/>
        <v>2.5104602510460251E-2</v>
      </c>
      <c r="T624" s="109">
        <f t="shared" si="512"/>
        <v>8.7866108786610872E-2</v>
      </c>
      <c r="U624" s="110">
        <f t="shared" si="513"/>
        <v>0.11297071129707112</v>
      </c>
      <c r="V624" s="176"/>
      <c r="W624" s="88"/>
      <c r="X624" s="88"/>
      <c r="Y624" s="214"/>
    </row>
    <row r="625" spans="2:25" s="97" customFormat="1" ht="16.5" hidden="1" customHeight="1" x14ac:dyDescent="0.2">
      <c r="B625" s="711">
        <v>46128</v>
      </c>
      <c r="C625" s="105" t="s">
        <v>12</v>
      </c>
      <c r="D625" s="105" t="s">
        <v>23</v>
      </c>
      <c r="E625" s="711">
        <v>46128</v>
      </c>
      <c r="F625" s="89"/>
      <c r="G625" s="834"/>
      <c r="H625" s="106" t="s">
        <v>17</v>
      </c>
      <c r="I625" s="120" t="s">
        <v>106</v>
      </c>
      <c r="J625" s="106">
        <v>221</v>
      </c>
      <c r="K625" s="106">
        <v>0</v>
      </c>
      <c r="L625" s="106">
        <v>0</v>
      </c>
      <c r="M625" s="106">
        <v>122</v>
      </c>
      <c r="N625" s="106">
        <v>94</v>
      </c>
      <c r="O625" s="106">
        <v>25</v>
      </c>
      <c r="P625" s="106">
        <v>5</v>
      </c>
      <c r="Q625" s="108">
        <f t="shared" si="515"/>
        <v>0</v>
      </c>
      <c r="R625" s="109">
        <f t="shared" si="510"/>
        <v>0.42533936651583709</v>
      </c>
      <c r="S625" s="109">
        <f t="shared" si="511"/>
        <v>2.2624434389140271E-2</v>
      </c>
      <c r="T625" s="109">
        <f t="shared" si="512"/>
        <v>0.11312217194570136</v>
      </c>
      <c r="U625" s="110">
        <f t="shared" si="513"/>
        <v>0.56108597285067874</v>
      </c>
      <c r="V625" s="176"/>
      <c r="W625" s="88"/>
      <c r="X625" s="88"/>
      <c r="Y625" s="214"/>
    </row>
    <row r="626" spans="2:25" s="97" customFormat="1" ht="16.5" hidden="1" customHeight="1" x14ac:dyDescent="0.2">
      <c r="B626" s="711">
        <v>46128</v>
      </c>
      <c r="C626" s="105" t="s">
        <v>12</v>
      </c>
      <c r="D626" s="105" t="s">
        <v>23</v>
      </c>
      <c r="E626" s="711">
        <v>46128</v>
      </c>
      <c r="F626" s="89"/>
      <c r="G626" s="834"/>
      <c r="H626" s="106" t="s">
        <v>14</v>
      </c>
      <c r="I626" s="106" t="s">
        <v>105</v>
      </c>
      <c r="J626" s="106">
        <v>202</v>
      </c>
      <c r="K626" s="106">
        <v>0</v>
      </c>
      <c r="L626" s="106">
        <v>0</v>
      </c>
      <c r="M626" s="106">
        <v>202</v>
      </c>
      <c r="N626" s="106">
        <v>0</v>
      </c>
      <c r="O626" s="106">
        <v>0</v>
      </c>
      <c r="P626" s="106">
        <v>0</v>
      </c>
      <c r="Q626" s="108">
        <f t="shared" si="515"/>
        <v>0</v>
      </c>
      <c r="R626" s="109">
        <f t="shared" si="510"/>
        <v>0</v>
      </c>
      <c r="S626" s="109">
        <f t="shared" si="511"/>
        <v>0</v>
      </c>
      <c r="T626" s="109">
        <f t="shared" si="512"/>
        <v>0</v>
      </c>
      <c r="U626" s="110">
        <f t="shared" si="513"/>
        <v>0</v>
      </c>
      <c r="V626" s="176"/>
      <c r="W626" s="88"/>
      <c r="X626" s="88"/>
      <c r="Y626" s="214"/>
    </row>
    <row r="627" spans="2:25" s="97" customFormat="1" ht="16.5" hidden="1" customHeight="1" x14ac:dyDescent="0.2">
      <c r="B627" s="711">
        <v>46128</v>
      </c>
      <c r="C627" s="105" t="s">
        <v>12</v>
      </c>
      <c r="D627" s="105" t="s">
        <v>23</v>
      </c>
      <c r="E627" s="711">
        <v>46128</v>
      </c>
      <c r="F627" s="89"/>
      <c r="G627" s="835"/>
      <c r="H627" s="113" t="s">
        <v>19</v>
      </c>
      <c r="I627" s="177"/>
      <c r="J627" s="113">
        <f>SUM(J624:J626)</f>
        <v>662</v>
      </c>
      <c r="K627" s="113">
        <f>SUM(K624:K626)</f>
        <v>0</v>
      </c>
      <c r="L627" s="113">
        <f t="shared" ref="L627:P627" si="522">SUM(L624:L626)</f>
        <v>0</v>
      </c>
      <c r="M627" s="113">
        <f t="shared" si="522"/>
        <v>536</v>
      </c>
      <c r="N627" s="113">
        <f t="shared" si="522"/>
        <v>94</v>
      </c>
      <c r="O627" s="113">
        <f t="shared" si="522"/>
        <v>46</v>
      </c>
      <c r="P627" s="113">
        <f t="shared" si="522"/>
        <v>11</v>
      </c>
      <c r="Q627" s="115">
        <f>(K627+L627)/J627</f>
        <v>0</v>
      </c>
      <c r="R627" s="116">
        <f t="shared" ref="R627" si="523">N627/J627</f>
        <v>0.1419939577039275</v>
      </c>
      <c r="S627" s="116">
        <f t="shared" ref="S627" si="524">P627/J627</f>
        <v>1.6616314199395771E-2</v>
      </c>
      <c r="T627" s="116">
        <f t="shared" ref="T627" si="525">O627/J627</f>
        <v>6.9486404833836862E-2</v>
      </c>
      <c r="U627" s="117">
        <f t="shared" ref="U627" si="526">S627+R627+Q627+T627</f>
        <v>0.22809667673716014</v>
      </c>
      <c r="V627" s="176"/>
      <c r="W627" s="88"/>
      <c r="X627" s="88"/>
      <c r="Y627" s="214"/>
    </row>
    <row r="628" spans="2:25" ht="15.75" hidden="1" x14ac:dyDescent="0.2">
      <c r="B628" s="711">
        <v>46128</v>
      </c>
      <c r="C628" s="105" t="s">
        <v>18</v>
      </c>
      <c r="D628" s="105" t="s">
        <v>13</v>
      </c>
      <c r="E628" s="711">
        <v>46129</v>
      </c>
      <c r="G628" s="833">
        <v>46128</v>
      </c>
      <c r="H628" s="106" t="s">
        <v>14</v>
      </c>
      <c r="I628" s="120" t="s">
        <v>83</v>
      </c>
      <c r="J628" s="106">
        <v>5</v>
      </c>
      <c r="K628" s="106">
        <v>5</v>
      </c>
      <c r="L628" s="106">
        <v>0</v>
      </c>
      <c r="M628" s="106">
        <v>0</v>
      </c>
      <c r="N628" s="106">
        <v>0</v>
      </c>
      <c r="O628" s="106">
        <v>0</v>
      </c>
      <c r="P628" s="107">
        <v>0</v>
      </c>
      <c r="Q628" s="108">
        <f t="shared" ref="Q628:Q629" si="527">(K628+L628)/J628</f>
        <v>1</v>
      </c>
      <c r="R628" s="109">
        <f t="shared" ref="R628:R630" si="528">N628/J628</f>
        <v>0</v>
      </c>
      <c r="S628" s="109">
        <f t="shared" ref="S628:S630" si="529">P628/J628</f>
        <v>0</v>
      </c>
      <c r="T628" s="109">
        <f t="shared" ref="T628:T630" si="530">O628/J628</f>
        <v>0</v>
      </c>
      <c r="U628" s="110">
        <f t="shared" ref="U628:U630" si="531">S628+R628+Q628+T628</f>
        <v>1</v>
      </c>
      <c r="V628" s="111"/>
    </row>
    <row r="629" spans="2:25" ht="15.75" hidden="1" x14ac:dyDescent="0.2">
      <c r="B629" s="711">
        <v>46128</v>
      </c>
      <c r="C629" s="105" t="s">
        <v>18</v>
      </c>
      <c r="D629" s="105" t="s">
        <v>13</v>
      </c>
      <c r="E629" s="711">
        <v>46129</v>
      </c>
      <c r="G629" s="834"/>
      <c r="H629" s="120" t="s">
        <v>16</v>
      </c>
      <c r="I629" s="120" t="s">
        <v>105</v>
      </c>
      <c r="J629" s="106">
        <v>24</v>
      </c>
      <c r="K629" s="106">
        <v>23</v>
      </c>
      <c r="L629" s="106">
        <v>1</v>
      </c>
      <c r="M629" s="106">
        <v>0</v>
      </c>
      <c r="N629" s="106">
        <v>0</v>
      </c>
      <c r="O629" s="106">
        <v>0</v>
      </c>
      <c r="P629" s="107">
        <v>0</v>
      </c>
      <c r="Q629" s="108">
        <f t="shared" si="527"/>
        <v>1</v>
      </c>
      <c r="R629" s="109">
        <f t="shared" si="528"/>
        <v>0</v>
      </c>
      <c r="S629" s="109">
        <f t="shared" si="529"/>
        <v>0</v>
      </c>
      <c r="T629" s="109">
        <f t="shared" si="530"/>
        <v>0</v>
      </c>
      <c r="U629" s="110">
        <f t="shared" si="531"/>
        <v>1</v>
      </c>
      <c r="V629" s="136"/>
    </row>
    <row r="630" spans="2:25" s="97" customFormat="1" ht="16.5" hidden="1" customHeight="1" x14ac:dyDescent="0.2">
      <c r="B630" s="711">
        <v>46128</v>
      </c>
      <c r="C630" s="105" t="s">
        <v>18</v>
      </c>
      <c r="D630" s="105" t="s">
        <v>13</v>
      </c>
      <c r="E630" s="711">
        <v>46129</v>
      </c>
      <c r="F630" s="89"/>
      <c r="G630" s="835"/>
      <c r="H630" s="113" t="s">
        <v>19</v>
      </c>
      <c r="I630" s="113"/>
      <c r="J630" s="113">
        <f t="shared" ref="J630:P630" si="532">SUM(J628:J629)</f>
        <v>29</v>
      </c>
      <c r="K630" s="113">
        <f t="shared" si="532"/>
        <v>28</v>
      </c>
      <c r="L630" s="113">
        <f t="shared" si="532"/>
        <v>1</v>
      </c>
      <c r="M630" s="113">
        <f t="shared" si="532"/>
        <v>0</v>
      </c>
      <c r="N630" s="113">
        <f t="shared" si="532"/>
        <v>0</v>
      </c>
      <c r="O630" s="113">
        <f t="shared" si="532"/>
        <v>0</v>
      </c>
      <c r="P630" s="113">
        <f t="shared" si="532"/>
        <v>0</v>
      </c>
      <c r="Q630" s="115">
        <f>(K630+L630)/J630</f>
        <v>1</v>
      </c>
      <c r="R630" s="116">
        <f t="shared" si="528"/>
        <v>0</v>
      </c>
      <c r="S630" s="116">
        <f t="shared" si="529"/>
        <v>0</v>
      </c>
      <c r="T630" s="116">
        <f t="shared" si="530"/>
        <v>0</v>
      </c>
      <c r="U630" s="117">
        <f t="shared" si="531"/>
        <v>1</v>
      </c>
      <c r="V630" s="127"/>
      <c r="W630" s="88"/>
      <c r="X630" s="88"/>
      <c r="Y630" s="118"/>
    </row>
    <row r="631" spans="2:25" ht="15.75" hidden="1" x14ac:dyDescent="0.2">
      <c r="B631" s="711">
        <v>46128</v>
      </c>
      <c r="C631" s="105" t="s">
        <v>18</v>
      </c>
      <c r="D631" s="105" t="s">
        <v>13</v>
      </c>
      <c r="E631" s="711">
        <v>46129</v>
      </c>
      <c r="G631" s="833">
        <v>46129</v>
      </c>
      <c r="H631" s="106" t="s">
        <v>16</v>
      </c>
      <c r="I631" s="120" t="s">
        <v>83</v>
      </c>
      <c r="J631" s="106">
        <v>239</v>
      </c>
      <c r="K631" s="106">
        <v>44</v>
      </c>
      <c r="L631" s="106">
        <v>39</v>
      </c>
      <c r="M631" s="106">
        <v>132</v>
      </c>
      <c r="N631" s="106">
        <v>0</v>
      </c>
      <c r="O631" s="106">
        <v>22</v>
      </c>
      <c r="P631" s="107">
        <v>2</v>
      </c>
      <c r="Q631" s="108">
        <f t="shared" ref="Q631:Q633" si="533">(K631+L631)/J631</f>
        <v>0.34728033472803349</v>
      </c>
      <c r="R631" s="109">
        <f t="shared" ref="R631:R640" si="534">N631/J631</f>
        <v>0</v>
      </c>
      <c r="S631" s="109">
        <f t="shared" ref="S631:S640" si="535">P631/J631</f>
        <v>8.368200836820083E-3</v>
      </c>
      <c r="T631" s="109">
        <f t="shared" ref="T631:T640" si="536">O631/J631</f>
        <v>9.2050209205020925E-2</v>
      </c>
      <c r="U631" s="110">
        <f t="shared" ref="U631:U640" si="537">S631+R631+Q631+T631</f>
        <v>0.44769874476987453</v>
      </c>
      <c r="V631" s="111"/>
    </row>
    <row r="632" spans="2:25" ht="15.75" hidden="1" x14ac:dyDescent="0.2">
      <c r="B632" s="711">
        <v>46128</v>
      </c>
      <c r="C632" s="105" t="s">
        <v>18</v>
      </c>
      <c r="D632" s="105" t="s">
        <v>13</v>
      </c>
      <c r="E632" s="711">
        <v>46129</v>
      </c>
      <c r="G632" s="834"/>
      <c r="H632" s="120" t="s">
        <v>17</v>
      </c>
      <c r="I632" s="120" t="s">
        <v>106</v>
      </c>
      <c r="J632" s="106">
        <v>232</v>
      </c>
      <c r="K632" s="106">
        <v>133</v>
      </c>
      <c r="L632" s="106">
        <v>42</v>
      </c>
      <c r="M632" s="106">
        <v>12</v>
      </c>
      <c r="N632" s="106">
        <v>12</v>
      </c>
      <c r="O632" s="106">
        <v>30</v>
      </c>
      <c r="P632" s="107">
        <v>3</v>
      </c>
      <c r="Q632" s="108">
        <f t="shared" si="533"/>
        <v>0.75431034482758619</v>
      </c>
      <c r="R632" s="109">
        <f t="shared" si="534"/>
        <v>5.1724137931034482E-2</v>
      </c>
      <c r="S632" s="109">
        <f t="shared" si="535"/>
        <v>1.2931034482758621E-2</v>
      </c>
      <c r="T632" s="109">
        <f t="shared" si="536"/>
        <v>0.12931034482758622</v>
      </c>
      <c r="U632" s="110">
        <f t="shared" si="537"/>
        <v>0.94827586206896552</v>
      </c>
      <c r="V632" s="136" t="s">
        <v>115</v>
      </c>
    </row>
    <row r="633" spans="2:25" ht="15.75" hidden="1" x14ac:dyDescent="0.2">
      <c r="B633" s="711">
        <v>46128</v>
      </c>
      <c r="C633" s="105" t="s">
        <v>18</v>
      </c>
      <c r="D633" s="105" t="s">
        <v>13</v>
      </c>
      <c r="E633" s="711">
        <v>46129</v>
      </c>
      <c r="G633" s="834"/>
      <c r="H633" s="120" t="s">
        <v>14</v>
      </c>
      <c r="I633" s="120" t="s">
        <v>105</v>
      </c>
      <c r="J633" s="106">
        <v>202</v>
      </c>
      <c r="K633" s="106">
        <v>0</v>
      </c>
      <c r="L633" s="106">
        <v>0</v>
      </c>
      <c r="M633" s="106">
        <v>182</v>
      </c>
      <c r="N633" s="106">
        <v>0</v>
      </c>
      <c r="O633" s="106">
        <v>10</v>
      </c>
      <c r="P633" s="107">
        <v>10</v>
      </c>
      <c r="Q633" s="108">
        <f t="shared" si="533"/>
        <v>0</v>
      </c>
      <c r="R633" s="109">
        <f t="shared" si="534"/>
        <v>0</v>
      </c>
      <c r="S633" s="109">
        <f t="shared" si="535"/>
        <v>4.9504950495049507E-2</v>
      </c>
      <c r="T633" s="109">
        <f t="shared" si="536"/>
        <v>4.9504950495049507E-2</v>
      </c>
      <c r="U633" s="110">
        <f t="shared" si="537"/>
        <v>9.9009900990099015E-2</v>
      </c>
      <c r="V633" s="136"/>
    </row>
    <row r="634" spans="2:25" ht="15.75" hidden="1" x14ac:dyDescent="0.2">
      <c r="B634" s="711">
        <v>46128</v>
      </c>
      <c r="C634" s="105" t="s">
        <v>18</v>
      </c>
      <c r="D634" s="105" t="s">
        <v>13</v>
      </c>
      <c r="E634" s="711">
        <v>46129</v>
      </c>
      <c r="G634" s="835"/>
      <c r="H634" s="113" t="s">
        <v>19</v>
      </c>
      <c r="I634" s="113"/>
      <c r="J634" s="113">
        <f t="shared" ref="J634" si="538">SUM(J631:J633)</f>
        <v>673</v>
      </c>
      <c r="K634" s="113">
        <f t="shared" ref="K634" si="539">SUM(K631:K633)</f>
        <v>177</v>
      </c>
      <c r="L634" s="113">
        <f t="shared" ref="L634" si="540">SUM(L631:L633)</f>
        <v>81</v>
      </c>
      <c r="M634" s="113">
        <f t="shared" ref="M634" si="541">SUM(M631:M633)</f>
        <v>326</v>
      </c>
      <c r="N634" s="113">
        <f>SUM(N631:N633)</f>
        <v>12</v>
      </c>
      <c r="O634" s="113">
        <f t="shared" ref="O634" si="542">SUM(O631:O633)</f>
        <v>62</v>
      </c>
      <c r="P634" s="113">
        <f t="shared" ref="P634" si="543">SUM(P631:P633)</f>
        <v>15</v>
      </c>
      <c r="Q634" s="115">
        <f>(K634+L634)/J634</f>
        <v>0.38335809806835069</v>
      </c>
      <c r="R634" s="116">
        <f t="shared" si="534"/>
        <v>1.7830609212481426E-2</v>
      </c>
      <c r="S634" s="116">
        <f t="shared" si="535"/>
        <v>2.2288261515601784E-2</v>
      </c>
      <c r="T634" s="116">
        <f t="shared" si="536"/>
        <v>9.2124814264487376E-2</v>
      </c>
      <c r="U634" s="117">
        <f t="shared" si="537"/>
        <v>0.5156017830609213</v>
      </c>
      <c r="V634" s="127"/>
    </row>
    <row r="635" spans="2:25" ht="15.75" hidden="1" x14ac:dyDescent="0.2">
      <c r="B635" s="711">
        <v>46129</v>
      </c>
      <c r="C635" s="105" t="s">
        <v>22</v>
      </c>
      <c r="D635" s="105" t="s">
        <v>20</v>
      </c>
      <c r="E635" s="711">
        <v>46129</v>
      </c>
      <c r="G635" s="833">
        <v>46129</v>
      </c>
      <c r="H635" s="106" t="s">
        <v>16</v>
      </c>
      <c r="I635" s="120" t="s">
        <v>83</v>
      </c>
      <c r="J635" s="106">
        <v>239</v>
      </c>
      <c r="K635" s="106">
        <v>84</v>
      </c>
      <c r="L635" s="106">
        <v>58</v>
      </c>
      <c r="M635" s="107">
        <v>0</v>
      </c>
      <c r="N635" s="106">
        <v>0</v>
      </c>
      <c r="O635" s="106">
        <v>12</v>
      </c>
      <c r="P635" s="107">
        <v>2</v>
      </c>
      <c r="Q635" s="108">
        <f t="shared" ref="Q635:Q639" si="544">(K635+L635)/J635</f>
        <v>0.59414225941422594</v>
      </c>
      <c r="R635" s="109">
        <f t="shared" si="534"/>
        <v>0</v>
      </c>
      <c r="S635" s="109">
        <f t="shared" si="535"/>
        <v>8.368200836820083E-3</v>
      </c>
      <c r="T635" s="109">
        <f t="shared" si="536"/>
        <v>5.0209205020920501E-2</v>
      </c>
      <c r="U635" s="110">
        <f t="shared" si="537"/>
        <v>0.65271966527196656</v>
      </c>
      <c r="V635" s="111"/>
    </row>
    <row r="636" spans="2:25" ht="15.75" hidden="1" x14ac:dyDescent="0.2">
      <c r="B636" s="711">
        <v>46129</v>
      </c>
      <c r="C636" s="105" t="s">
        <v>22</v>
      </c>
      <c r="D636" s="105" t="s">
        <v>20</v>
      </c>
      <c r="E636" s="711">
        <v>46129</v>
      </c>
      <c r="G636" s="834"/>
      <c r="H636" s="120" t="s">
        <v>32</v>
      </c>
      <c r="I636" s="120" t="s">
        <v>106</v>
      </c>
      <c r="J636" s="106">
        <v>36</v>
      </c>
      <c r="K636" s="106">
        <v>23</v>
      </c>
      <c r="L636" s="106">
        <v>2</v>
      </c>
      <c r="M636" s="106">
        <v>11</v>
      </c>
      <c r="N636" s="106">
        <v>0</v>
      </c>
      <c r="O636" s="106">
        <v>0</v>
      </c>
      <c r="P636" s="106">
        <v>0</v>
      </c>
      <c r="Q636" s="108">
        <f t="shared" si="544"/>
        <v>0.69444444444444442</v>
      </c>
      <c r="R636" s="109">
        <f t="shared" si="534"/>
        <v>0</v>
      </c>
      <c r="S636" s="109">
        <f t="shared" si="535"/>
        <v>0</v>
      </c>
      <c r="T636" s="109">
        <f t="shared" si="536"/>
        <v>0</v>
      </c>
      <c r="U636" s="110">
        <f t="shared" si="537"/>
        <v>0.69444444444444442</v>
      </c>
      <c r="V636" s="136"/>
    </row>
    <row r="637" spans="2:25" ht="15.75" hidden="1" x14ac:dyDescent="0.2">
      <c r="B637" s="711">
        <v>46129</v>
      </c>
      <c r="C637" s="105" t="s">
        <v>22</v>
      </c>
      <c r="D637" s="105" t="s">
        <v>20</v>
      </c>
      <c r="E637" s="711">
        <v>46129</v>
      </c>
      <c r="G637" s="834"/>
      <c r="H637" s="120" t="s">
        <v>17</v>
      </c>
      <c r="I637" s="120" t="s">
        <v>106</v>
      </c>
      <c r="J637" s="106">
        <v>232</v>
      </c>
      <c r="K637" s="106">
        <v>21</v>
      </c>
      <c r="L637" s="106">
        <v>14</v>
      </c>
      <c r="M637" s="106">
        <v>5</v>
      </c>
      <c r="N637" s="106">
        <v>9</v>
      </c>
      <c r="O637" s="106">
        <v>0</v>
      </c>
      <c r="P637" s="106">
        <v>3</v>
      </c>
      <c r="Q637" s="108">
        <f t="shared" si="544"/>
        <v>0.15086206896551724</v>
      </c>
      <c r="R637" s="109">
        <f t="shared" si="534"/>
        <v>3.8793103448275863E-2</v>
      </c>
      <c r="S637" s="109">
        <f t="shared" si="535"/>
        <v>1.2931034482758621E-2</v>
      </c>
      <c r="T637" s="109">
        <f t="shared" si="536"/>
        <v>0</v>
      </c>
      <c r="U637" s="110">
        <f t="shared" si="537"/>
        <v>0.20258620689655171</v>
      </c>
      <c r="V637" s="136"/>
    </row>
    <row r="638" spans="2:25" ht="15.75" hidden="1" x14ac:dyDescent="0.2">
      <c r="B638" s="711">
        <v>46129</v>
      </c>
      <c r="C638" s="105" t="s">
        <v>22</v>
      </c>
      <c r="D638" s="105" t="s">
        <v>20</v>
      </c>
      <c r="E638" s="711">
        <v>46129</v>
      </c>
      <c r="G638" s="834"/>
      <c r="H638" s="120" t="s">
        <v>25</v>
      </c>
      <c r="I638" s="120" t="s">
        <v>106</v>
      </c>
      <c r="J638" s="106">
        <v>9</v>
      </c>
      <c r="K638" s="106">
        <v>1</v>
      </c>
      <c r="L638" s="106">
        <v>1</v>
      </c>
      <c r="M638" s="106">
        <v>4</v>
      </c>
      <c r="N638" s="106">
        <v>3</v>
      </c>
      <c r="O638" s="106">
        <v>0</v>
      </c>
      <c r="P638" s="106">
        <v>0</v>
      </c>
      <c r="Q638" s="108">
        <f t="shared" si="544"/>
        <v>0.22222222222222221</v>
      </c>
      <c r="R638" s="109">
        <f t="shared" si="534"/>
        <v>0.33333333333333331</v>
      </c>
      <c r="S638" s="109">
        <f t="shared" si="535"/>
        <v>0</v>
      </c>
      <c r="T638" s="109">
        <f t="shared" si="536"/>
        <v>0</v>
      </c>
      <c r="U638" s="110">
        <f t="shared" si="537"/>
        <v>0.55555555555555558</v>
      </c>
      <c r="V638" s="136"/>
    </row>
    <row r="639" spans="2:25" ht="15.75" hidden="1" x14ac:dyDescent="0.2">
      <c r="B639" s="711">
        <v>46129</v>
      </c>
      <c r="C639" s="105" t="s">
        <v>22</v>
      </c>
      <c r="D639" s="105" t="s">
        <v>20</v>
      </c>
      <c r="E639" s="711">
        <v>46129</v>
      </c>
      <c r="G639" s="834"/>
      <c r="H639" s="120" t="s">
        <v>14</v>
      </c>
      <c r="I639" s="120" t="s">
        <v>105</v>
      </c>
      <c r="J639" s="106">
        <v>202</v>
      </c>
      <c r="K639" s="106">
        <v>8</v>
      </c>
      <c r="L639" s="106">
        <v>2</v>
      </c>
      <c r="M639" s="106">
        <v>77</v>
      </c>
      <c r="N639" s="106">
        <v>104</v>
      </c>
      <c r="O639" s="106">
        <v>0</v>
      </c>
      <c r="P639" s="106">
        <v>11</v>
      </c>
      <c r="Q639" s="108">
        <f t="shared" si="544"/>
        <v>4.9504950495049507E-2</v>
      </c>
      <c r="R639" s="109">
        <f t="shared" si="534"/>
        <v>0.51485148514851486</v>
      </c>
      <c r="S639" s="109">
        <f t="shared" si="535"/>
        <v>5.4455445544554455E-2</v>
      </c>
      <c r="T639" s="109">
        <f t="shared" si="536"/>
        <v>0</v>
      </c>
      <c r="U639" s="110">
        <f t="shared" si="537"/>
        <v>0.61881188118811892</v>
      </c>
      <c r="V639" s="136"/>
    </row>
    <row r="640" spans="2:25" s="97" customFormat="1" ht="16.5" hidden="1" customHeight="1" x14ac:dyDescent="0.2">
      <c r="B640" s="711">
        <v>46129</v>
      </c>
      <c r="C640" s="105" t="s">
        <v>22</v>
      </c>
      <c r="D640" s="105" t="s">
        <v>20</v>
      </c>
      <c r="E640" s="711">
        <v>46129</v>
      </c>
      <c r="F640" s="89"/>
      <c r="G640" s="835"/>
      <c r="H640" s="113" t="s">
        <v>19</v>
      </c>
      <c r="I640" s="113"/>
      <c r="J640" s="113">
        <f>SUM(J635:J639)</f>
        <v>718</v>
      </c>
      <c r="K640" s="113">
        <f t="shared" ref="K640:P640" si="545">SUM(K635:K639)</f>
        <v>137</v>
      </c>
      <c r="L640" s="113">
        <f t="shared" si="545"/>
        <v>77</v>
      </c>
      <c r="M640" s="113">
        <f t="shared" si="545"/>
        <v>97</v>
      </c>
      <c r="N640" s="113">
        <f t="shared" si="545"/>
        <v>116</v>
      </c>
      <c r="O640" s="113">
        <f t="shared" si="545"/>
        <v>12</v>
      </c>
      <c r="P640" s="113">
        <f t="shared" si="545"/>
        <v>16</v>
      </c>
      <c r="Q640" s="115">
        <f>(K640+L640)/J640</f>
        <v>0.29805013927576601</v>
      </c>
      <c r="R640" s="116">
        <f t="shared" si="534"/>
        <v>0.16155988857938719</v>
      </c>
      <c r="S640" s="116">
        <f t="shared" si="535"/>
        <v>2.2284122562674095E-2</v>
      </c>
      <c r="T640" s="116">
        <f t="shared" si="536"/>
        <v>1.6713091922005572E-2</v>
      </c>
      <c r="U640" s="117">
        <f t="shared" si="537"/>
        <v>0.49860724233983289</v>
      </c>
      <c r="V640" s="127"/>
      <c r="W640" s="88"/>
      <c r="X640" s="88"/>
      <c r="Y640" s="118"/>
    </row>
    <row r="641" spans="2:25" ht="15.75" hidden="1" x14ac:dyDescent="0.2">
      <c r="B641" s="711">
        <v>46129</v>
      </c>
      <c r="C641" s="105" t="s">
        <v>12</v>
      </c>
      <c r="D641" s="105" t="s">
        <v>23</v>
      </c>
      <c r="E641" s="711">
        <v>46130</v>
      </c>
      <c r="G641" s="833">
        <v>46130</v>
      </c>
      <c r="H641" s="106" t="s">
        <v>16</v>
      </c>
      <c r="I641" s="120" t="s">
        <v>83</v>
      </c>
      <c r="J641" s="106">
        <v>222</v>
      </c>
      <c r="K641" s="106">
        <v>0</v>
      </c>
      <c r="L641" s="106">
        <v>0</v>
      </c>
      <c r="M641" s="107">
        <v>204</v>
      </c>
      <c r="N641" s="106">
        <v>0</v>
      </c>
      <c r="O641" s="106">
        <v>13</v>
      </c>
      <c r="P641" s="107">
        <v>5</v>
      </c>
      <c r="Q641" s="108">
        <f t="shared" ref="Q641:Q643" si="546">(K641+L641)/J641</f>
        <v>0</v>
      </c>
      <c r="R641" s="109">
        <f t="shared" ref="R641:R647" si="547">N641/J641</f>
        <v>0</v>
      </c>
      <c r="S641" s="109">
        <f t="shared" ref="S641:S647" si="548">P641/J641</f>
        <v>2.2522522522522521E-2</v>
      </c>
      <c r="T641" s="109">
        <f t="shared" ref="T641:T647" si="549">O641/J641</f>
        <v>5.8558558558558557E-2</v>
      </c>
      <c r="U641" s="110">
        <f t="shared" ref="U641:U647" si="550">S641+R641+Q641+T641</f>
        <v>8.1081081081081086E-2</v>
      </c>
      <c r="V641" s="111"/>
    </row>
    <row r="642" spans="2:25" ht="15.75" hidden="1" x14ac:dyDescent="0.2">
      <c r="B642" s="711">
        <v>46129</v>
      </c>
      <c r="C642" s="105" t="s">
        <v>12</v>
      </c>
      <c r="D642" s="105" t="s">
        <v>23</v>
      </c>
      <c r="E642" s="711">
        <v>46130</v>
      </c>
      <c r="G642" s="834"/>
      <c r="H642" s="120" t="s">
        <v>17</v>
      </c>
      <c r="I642" s="120" t="s">
        <v>106</v>
      </c>
      <c r="J642" s="106">
        <v>206</v>
      </c>
      <c r="K642" s="106">
        <v>31</v>
      </c>
      <c r="L642" s="106">
        <v>3</v>
      </c>
      <c r="M642" s="106">
        <v>23</v>
      </c>
      <c r="N642" s="106">
        <v>116</v>
      </c>
      <c r="O642" s="106">
        <v>29</v>
      </c>
      <c r="P642" s="106">
        <v>4</v>
      </c>
      <c r="Q642" s="108">
        <f t="shared" si="546"/>
        <v>0.1650485436893204</v>
      </c>
      <c r="R642" s="109">
        <f t="shared" si="547"/>
        <v>0.56310679611650483</v>
      </c>
      <c r="S642" s="109">
        <f t="shared" si="548"/>
        <v>1.9417475728155338E-2</v>
      </c>
      <c r="T642" s="109">
        <f t="shared" si="549"/>
        <v>0.14077669902912621</v>
      </c>
      <c r="U642" s="110">
        <f t="shared" si="550"/>
        <v>0.88834951456310685</v>
      </c>
      <c r="V642" s="136"/>
    </row>
    <row r="643" spans="2:25" ht="15.75" hidden="1" x14ac:dyDescent="0.2">
      <c r="B643" s="711">
        <v>46129</v>
      </c>
      <c r="C643" s="105" t="s">
        <v>12</v>
      </c>
      <c r="D643" s="105" t="s">
        <v>23</v>
      </c>
      <c r="E643" s="711">
        <v>46130</v>
      </c>
      <c r="G643" s="834"/>
      <c r="H643" s="120" t="s">
        <v>14</v>
      </c>
      <c r="I643" s="120" t="s">
        <v>105</v>
      </c>
      <c r="J643" s="106">
        <v>174</v>
      </c>
      <c r="K643" s="106">
        <v>0</v>
      </c>
      <c r="L643" s="106">
        <v>0</v>
      </c>
      <c r="M643" s="106">
        <v>169</v>
      </c>
      <c r="N643" s="106">
        <v>104</v>
      </c>
      <c r="O643" s="106">
        <v>0</v>
      </c>
      <c r="P643" s="106">
        <v>5</v>
      </c>
      <c r="Q643" s="108">
        <f t="shared" si="546"/>
        <v>0</v>
      </c>
      <c r="R643" s="109">
        <f t="shared" si="547"/>
        <v>0.5977011494252874</v>
      </c>
      <c r="S643" s="109">
        <f t="shared" si="548"/>
        <v>2.8735632183908046E-2</v>
      </c>
      <c r="T643" s="109">
        <f t="shared" si="549"/>
        <v>0</v>
      </c>
      <c r="U643" s="110">
        <f t="shared" si="550"/>
        <v>0.62643678160919547</v>
      </c>
      <c r="V643" s="136"/>
    </row>
    <row r="644" spans="2:25" s="97" customFormat="1" ht="16.5" hidden="1" customHeight="1" x14ac:dyDescent="0.2">
      <c r="B644" s="711">
        <v>46129</v>
      </c>
      <c r="C644" s="105" t="s">
        <v>12</v>
      </c>
      <c r="D644" s="105" t="s">
        <v>23</v>
      </c>
      <c r="E644" s="711">
        <v>46130</v>
      </c>
      <c r="F644" s="89"/>
      <c r="G644" s="835"/>
      <c r="H644" s="113" t="s">
        <v>19</v>
      </c>
      <c r="I644" s="113"/>
      <c r="J644" s="113">
        <f t="shared" ref="J644:P644" si="551">SUM(J641:J643)</f>
        <v>602</v>
      </c>
      <c r="K644" s="113">
        <f t="shared" si="551"/>
        <v>31</v>
      </c>
      <c r="L644" s="113">
        <f t="shared" si="551"/>
        <v>3</v>
      </c>
      <c r="M644" s="113">
        <f t="shared" si="551"/>
        <v>396</v>
      </c>
      <c r="N644" s="113">
        <f t="shared" si="551"/>
        <v>220</v>
      </c>
      <c r="O644" s="113">
        <f t="shared" si="551"/>
        <v>42</v>
      </c>
      <c r="P644" s="113">
        <f t="shared" si="551"/>
        <v>14</v>
      </c>
      <c r="Q644" s="115">
        <f>(K644+L644)/J644</f>
        <v>5.647840531561462E-2</v>
      </c>
      <c r="R644" s="116">
        <f t="shared" si="547"/>
        <v>0.36544850498338871</v>
      </c>
      <c r="S644" s="116">
        <f t="shared" si="548"/>
        <v>2.3255813953488372E-2</v>
      </c>
      <c r="T644" s="116">
        <f t="shared" si="549"/>
        <v>6.9767441860465115E-2</v>
      </c>
      <c r="U644" s="117">
        <f t="shared" si="550"/>
        <v>0.51495016611295674</v>
      </c>
      <c r="V644" s="127"/>
      <c r="W644" s="88"/>
      <c r="X644" s="88"/>
      <c r="Y644" s="118"/>
    </row>
    <row r="645" spans="2:25" ht="15.75" hidden="1" x14ac:dyDescent="0.2">
      <c r="B645" s="711">
        <v>46129</v>
      </c>
      <c r="C645" s="105" t="s">
        <v>18</v>
      </c>
      <c r="D645" s="105" t="s">
        <v>13</v>
      </c>
      <c r="E645" s="711">
        <v>46129</v>
      </c>
      <c r="G645" s="833">
        <v>46129</v>
      </c>
      <c r="H645" s="106" t="s">
        <v>16</v>
      </c>
      <c r="I645" s="120" t="s">
        <v>83</v>
      </c>
      <c r="J645" s="106">
        <v>25</v>
      </c>
      <c r="K645" s="106">
        <f>J645-L645-M645-O645-N645-P645</f>
        <v>14</v>
      </c>
      <c r="L645" s="106">
        <v>0</v>
      </c>
      <c r="M645" s="107">
        <v>0</v>
      </c>
      <c r="N645" s="106">
        <v>0</v>
      </c>
      <c r="O645" s="106">
        <v>8</v>
      </c>
      <c r="P645" s="107">
        <v>3</v>
      </c>
      <c r="Q645" s="108">
        <f t="shared" ref="Q645:Q646" si="552">(K645+L645)/J645</f>
        <v>0.56000000000000005</v>
      </c>
      <c r="R645" s="109">
        <f t="shared" si="547"/>
        <v>0</v>
      </c>
      <c r="S645" s="109">
        <f t="shared" si="548"/>
        <v>0.12</v>
      </c>
      <c r="T645" s="109">
        <f t="shared" si="549"/>
        <v>0.32</v>
      </c>
      <c r="U645" s="110">
        <f t="shared" si="550"/>
        <v>1</v>
      </c>
      <c r="V645" s="111"/>
    </row>
    <row r="646" spans="2:25" ht="15.75" hidden="1" x14ac:dyDescent="0.2">
      <c r="B646" s="711">
        <v>46129</v>
      </c>
      <c r="C646" s="105" t="s">
        <v>18</v>
      </c>
      <c r="D646" s="105" t="s">
        <v>13</v>
      </c>
      <c r="E646" s="711">
        <v>46129</v>
      </c>
      <c r="G646" s="834"/>
      <c r="H646" s="120" t="s">
        <v>14</v>
      </c>
      <c r="I646" s="120" t="s">
        <v>105</v>
      </c>
      <c r="J646" s="106">
        <v>15</v>
      </c>
      <c r="K646" s="106">
        <f>J646-L646-M646-O646-N646-P646</f>
        <v>5</v>
      </c>
      <c r="L646" s="106">
        <v>0</v>
      </c>
      <c r="M646" s="107">
        <v>0</v>
      </c>
      <c r="N646" s="106">
        <v>0</v>
      </c>
      <c r="O646" s="106">
        <v>10</v>
      </c>
      <c r="P646" s="107">
        <v>0</v>
      </c>
      <c r="Q646" s="108">
        <f t="shared" si="552"/>
        <v>0.33333333333333331</v>
      </c>
      <c r="R646" s="109">
        <f t="shared" si="547"/>
        <v>0</v>
      </c>
      <c r="S646" s="109">
        <f t="shared" si="548"/>
        <v>0</v>
      </c>
      <c r="T646" s="109">
        <f t="shared" si="549"/>
        <v>0.66666666666666663</v>
      </c>
      <c r="U646" s="110">
        <f t="shared" si="550"/>
        <v>1</v>
      </c>
      <c r="V646" s="136"/>
    </row>
    <row r="647" spans="2:25" ht="15.75" hidden="1" x14ac:dyDescent="0.2">
      <c r="B647" s="711">
        <v>46129</v>
      </c>
      <c r="C647" s="105" t="s">
        <v>18</v>
      </c>
      <c r="D647" s="105" t="s">
        <v>13</v>
      </c>
      <c r="E647" s="711">
        <v>46129</v>
      </c>
      <c r="G647" s="835"/>
      <c r="H647" s="113" t="s">
        <v>19</v>
      </c>
      <c r="I647" s="113"/>
      <c r="J647" s="113">
        <f t="shared" ref="J647:P647" si="553">SUM(J645:J646)</f>
        <v>40</v>
      </c>
      <c r="K647" s="113">
        <f t="shared" si="553"/>
        <v>19</v>
      </c>
      <c r="L647" s="113">
        <f t="shared" si="553"/>
        <v>0</v>
      </c>
      <c r="M647" s="113">
        <f t="shared" si="553"/>
        <v>0</v>
      </c>
      <c r="N647" s="113">
        <f t="shared" si="553"/>
        <v>0</v>
      </c>
      <c r="O647" s="113">
        <f t="shared" si="553"/>
        <v>18</v>
      </c>
      <c r="P647" s="113">
        <f t="shared" si="553"/>
        <v>3</v>
      </c>
      <c r="Q647" s="115">
        <f>(K647+L647)/J647</f>
        <v>0.47499999999999998</v>
      </c>
      <c r="R647" s="116">
        <f t="shared" si="547"/>
        <v>0</v>
      </c>
      <c r="S647" s="116">
        <f t="shared" si="548"/>
        <v>7.4999999999999997E-2</v>
      </c>
      <c r="T647" s="116">
        <f t="shared" si="549"/>
        <v>0.45</v>
      </c>
      <c r="U647" s="117">
        <f t="shared" si="550"/>
        <v>1</v>
      </c>
      <c r="V647" s="127"/>
    </row>
    <row r="648" spans="2:25" ht="15.75" hidden="1" x14ac:dyDescent="0.2">
      <c r="B648" s="711">
        <v>46129</v>
      </c>
      <c r="C648" s="105" t="s">
        <v>18</v>
      </c>
      <c r="D648" s="105" t="s">
        <v>13</v>
      </c>
      <c r="E648" s="711">
        <v>46130</v>
      </c>
      <c r="G648" s="833">
        <v>46130</v>
      </c>
      <c r="H648" s="106" t="s">
        <v>16</v>
      </c>
      <c r="I648" s="120" t="s">
        <v>83</v>
      </c>
      <c r="J648" s="106">
        <v>222</v>
      </c>
      <c r="K648" s="106">
        <f>J648-L648-M648-O648-N648-P648</f>
        <v>79</v>
      </c>
      <c r="L648" s="106">
        <v>53</v>
      </c>
      <c r="M648" s="107">
        <v>70</v>
      </c>
      <c r="N648" s="106">
        <v>0</v>
      </c>
      <c r="O648" s="106">
        <v>15</v>
      </c>
      <c r="P648" s="107">
        <v>5</v>
      </c>
      <c r="Q648" s="108">
        <f t="shared" ref="Q648:Q650" si="554">(K648+L648)/J648</f>
        <v>0.59459459459459463</v>
      </c>
      <c r="R648" s="109">
        <f t="shared" ref="R648:R657" si="555">N648/J648</f>
        <v>0</v>
      </c>
      <c r="S648" s="109">
        <f t="shared" ref="S648:S657" si="556">P648/J648</f>
        <v>2.2522522522522521E-2</v>
      </c>
      <c r="T648" s="109">
        <f t="shared" ref="T648:T657" si="557">O648/J648</f>
        <v>6.7567567567567571E-2</v>
      </c>
      <c r="U648" s="110">
        <f t="shared" ref="U648:U657" si="558">S648+R648+Q648+T648</f>
        <v>0.68468468468468469</v>
      </c>
      <c r="V648" s="111"/>
    </row>
    <row r="649" spans="2:25" ht="15.75" hidden="1" x14ac:dyDescent="0.2">
      <c r="B649" s="711">
        <v>46129</v>
      </c>
      <c r="C649" s="105" t="s">
        <v>18</v>
      </c>
      <c r="D649" s="105" t="s">
        <v>13</v>
      </c>
      <c r="E649" s="711">
        <v>46130</v>
      </c>
      <c r="G649" s="834"/>
      <c r="H649" s="120" t="s">
        <v>17</v>
      </c>
      <c r="I649" s="120" t="s">
        <v>106</v>
      </c>
      <c r="J649" s="106">
        <v>206</v>
      </c>
      <c r="K649" s="106">
        <f t="shared" ref="K649:K650" si="559">J649-L649-M649-O649-N649-P649</f>
        <v>117</v>
      </c>
      <c r="L649" s="106">
        <v>37</v>
      </c>
      <c r="M649" s="107">
        <v>30</v>
      </c>
      <c r="N649" s="106">
        <v>0</v>
      </c>
      <c r="O649" s="106">
        <v>18</v>
      </c>
      <c r="P649" s="107">
        <v>4</v>
      </c>
      <c r="Q649" s="108">
        <f t="shared" si="554"/>
        <v>0.74757281553398058</v>
      </c>
      <c r="R649" s="109">
        <f t="shared" si="555"/>
        <v>0</v>
      </c>
      <c r="S649" s="109">
        <f t="shared" si="556"/>
        <v>1.9417475728155338E-2</v>
      </c>
      <c r="T649" s="109">
        <f t="shared" si="557"/>
        <v>8.7378640776699032E-2</v>
      </c>
      <c r="U649" s="110">
        <f t="shared" si="558"/>
        <v>0.85436893203883491</v>
      </c>
      <c r="V649" s="136"/>
    </row>
    <row r="650" spans="2:25" ht="15.75" hidden="1" x14ac:dyDescent="0.2">
      <c r="B650" s="711">
        <v>46129</v>
      </c>
      <c r="C650" s="105" t="s">
        <v>18</v>
      </c>
      <c r="D650" s="105" t="s">
        <v>13</v>
      </c>
      <c r="E650" s="711">
        <v>46130</v>
      </c>
      <c r="G650" s="834"/>
      <c r="H650" s="120" t="s">
        <v>14</v>
      </c>
      <c r="I650" s="120" t="s">
        <v>105</v>
      </c>
      <c r="J650" s="106">
        <v>174</v>
      </c>
      <c r="K650" s="106">
        <f t="shared" si="559"/>
        <v>1</v>
      </c>
      <c r="L650" s="106">
        <v>0</v>
      </c>
      <c r="M650" s="107">
        <v>168</v>
      </c>
      <c r="N650" s="106">
        <v>5</v>
      </c>
      <c r="O650" s="106">
        <v>0</v>
      </c>
      <c r="P650" s="107">
        <v>0</v>
      </c>
      <c r="Q650" s="108">
        <f t="shared" si="554"/>
        <v>5.7471264367816091E-3</v>
      </c>
      <c r="R650" s="109">
        <f t="shared" si="555"/>
        <v>2.8735632183908046E-2</v>
      </c>
      <c r="S650" s="109">
        <f t="shared" si="556"/>
        <v>0</v>
      </c>
      <c r="T650" s="109">
        <f t="shared" si="557"/>
        <v>0</v>
      </c>
      <c r="U650" s="110">
        <f t="shared" si="558"/>
        <v>3.4482758620689655E-2</v>
      </c>
      <c r="V650" s="136"/>
    </row>
    <row r="651" spans="2:25" ht="15.75" hidden="1" x14ac:dyDescent="0.2">
      <c r="B651" s="711">
        <v>46129</v>
      </c>
      <c r="C651" s="105" t="s">
        <v>18</v>
      </c>
      <c r="D651" s="105" t="s">
        <v>13</v>
      </c>
      <c r="E651" s="711">
        <v>46130</v>
      </c>
      <c r="G651" s="835"/>
      <c r="H651" s="113" t="s">
        <v>19</v>
      </c>
      <c r="I651" s="113"/>
      <c r="J651" s="113">
        <f t="shared" ref="J651:P651" si="560">SUM(J648:J650)</f>
        <v>602</v>
      </c>
      <c r="K651" s="113">
        <f t="shared" si="560"/>
        <v>197</v>
      </c>
      <c r="L651" s="113">
        <f t="shared" si="560"/>
        <v>90</v>
      </c>
      <c r="M651" s="113">
        <f t="shared" si="560"/>
        <v>268</v>
      </c>
      <c r="N651" s="113">
        <f t="shared" si="560"/>
        <v>5</v>
      </c>
      <c r="O651" s="113">
        <f t="shared" si="560"/>
        <v>33</v>
      </c>
      <c r="P651" s="113">
        <f t="shared" si="560"/>
        <v>9</v>
      </c>
      <c r="Q651" s="115">
        <f>(K651+L651)/J651</f>
        <v>0.47674418604651164</v>
      </c>
      <c r="R651" s="116">
        <f t="shared" si="555"/>
        <v>8.3056478405315621E-3</v>
      </c>
      <c r="S651" s="116">
        <f t="shared" si="556"/>
        <v>1.4950166112956811E-2</v>
      </c>
      <c r="T651" s="116">
        <f t="shared" si="557"/>
        <v>5.4817275747508304E-2</v>
      </c>
      <c r="U651" s="117">
        <f t="shared" si="558"/>
        <v>0.55481727574750828</v>
      </c>
      <c r="V651" s="127"/>
    </row>
    <row r="652" spans="2:25" ht="15.75" hidden="1" x14ac:dyDescent="0.2">
      <c r="B652" s="711">
        <v>46130</v>
      </c>
      <c r="C652" s="105" t="s">
        <v>22</v>
      </c>
      <c r="D652" s="105" t="s">
        <v>20</v>
      </c>
      <c r="E652" s="711">
        <v>46130</v>
      </c>
      <c r="G652" s="833">
        <v>46130</v>
      </c>
      <c r="H652" s="106" t="s">
        <v>16</v>
      </c>
      <c r="I652" s="120" t="s">
        <v>83</v>
      </c>
      <c r="J652" s="106">
        <f>SUM(K652:P652)</f>
        <v>78</v>
      </c>
      <c r="K652" s="106">
        <v>27</v>
      </c>
      <c r="L652" s="106">
        <v>36</v>
      </c>
      <c r="M652" s="107">
        <v>0</v>
      </c>
      <c r="N652" s="106">
        <v>0</v>
      </c>
      <c r="O652" s="106">
        <v>10</v>
      </c>
      <c r="P652" s="107">
        <v>5</v>
      </c>
      <c r="Q652" s="108">
        <f t="shared" ref="Q652:Q656" si="561">(K652+L652)/J652</f>
        <v>0.80769230769230771</v>
      </c>
      <c r="R652" s="109">
        <f t="shared" si="555"/>
        <v>0</v>
      </c>
      <c r="S652" s="109">
        <f t="shared" si="556"/>
        <v>6.4102564102564097E-2</v>
      </c>
      <c r="T652" s="109">
        <f t="shared" si="557"/>
        <v>0.12820512820512819</v>
      </c>
      <c r="U652" s="110">
        <f t="shared" si="558"/>
        <v>1</v>
      </c>
      <c r="V652" s="111"/>
    </row>
    <row r="653" spans="2:25" ht="15.75" hidden="1" x14ac:dyDescent="0.2">
      <c r="B653" s="711">
        <v>46130</v>
      </c>
      <c r="C653" s="105" t="s">
        <v>22</v>
      </c>
      <c r="D653" s="105" t="s">
        <v>20</v>
      </c>
      <c r="E653" s="711">
        <v>46130</v>
      </c>
      <c r="G653" s="834"/>
      <c r="H653" s="120" t="s">
        <v>32</v>
      </c>
      <c r="I653" s="120" t="s">
        <v>106</v>
      </c>
      <c r="J653" s="106">
        <f t="shared" ref="J653:J656" si="562">SUM(K653:P653)</f>
        <v>30</v>
      </c>
      <c r="K653" s="106">
        <v>23</v>
      </c>
      <c r="L653" s="106">
        <v>4</v>
      </c>
      <c r="M653" s="106">
        <v>3</v>
      </c>
      <c r="N653" s="106">
        <v>0</v>
      </c>
      <c r="O653" s="106">
        <v>0</v>
      </c>
      <c r="P653" s="106">
        <v>0</v>
      </c>
      <c r="Q653" s="108">
        <f t="shared" si="561"/>
        <v>0.9</v>
      </c>
      <c r="R653" s="109">
        <f t="shared" si="555"/>
        <v>0</v>
      </c>
      <c r="S653" s="109">
        <f t="shared" si="556"/>
        <v>0</v>
      </c>
      <c r="T653" s="109">
        <f t="shared" si="557"/>
        <v>0</v>
      </c>
      <c r="U653" s="110">
        <f t="shared" si="558"/>
        <v>0.9</v>
      </c>
      <c r="V653" s="136"/>
    </row>
    <row r="654" spans="2:25" ht="15.75" hidden="1" x14ac:dyDescent="0.2">
      <c r="B654" s="711">
        <v>46130</v>
      </c>
      <c r="C654" s="105" t="s">
        <v>22</v>
      </c>
      <c r="D654" s="105" t="s">
        <v>20</v>
      </c>
      <c r="E654" s="711">
        <v>46130</v>
      </c>
      <c r="G654" s="834"/>
      <c r="H654" s="120" t="s">
        <v>17</v>
      </c>
      <c r="I654" s="120" t="s">
        <v>106</v>
      </c>
      <c r="J654" s="106">
        <f t="shared" si="562"/>
        <v>19</v>
      </c>
      <c r="K654" s="106">
        <v>10</v>
      </c>
      <c r="L654" s="106">
        <v>9</v>
      </c>
      <c r="M654" s="106">
        <v>0</v>
      </c>
      <c r="N654" s="106">
        <v>0</v>
      </c>
      <c r="O654" s="106">
        <v>0</v>
      </c>
      <c r="P654" s="106">
        <v>0</v>
      </c>
      <c r="Q654" s="108">
        <f t="shared" si="561"/>
        <v>1</v>
      </c>
      <c r="R654" s="109">
        <f t="shared" si="555"/>
        <v>0</v>
      </c>
      <c r="S654" s="109">
        <f t="shared" si="556"/>
        <v>0</v>
      </c>
      <c r="T654" s="109">
        <f t="shared" si="557"/>
        <v>0</v>
      </c>
      <c r="U654" s="110">
        <f t="shared" si="558"/>
        <v>1</v>
      </c>
      <c r="V654" s="136"/>
    </row>
    <row r="655" spans="2:25" ht="15.75" hidden="1" x14ac:dyDescent="0.2">
      <c r="B655" s="711">
        <v>46130</v>
      </c>
      <c r="C655" s="105" t="s">
        <v>22</v>
      </c>
      <c r="D655" s="105" t="s">
        <v>20</v>
      </c>
      <c r="E655" s="711">
        <v>46130</v>
      </c>
      <c r="G655" s="835"/>
      <c r="H655" s="120" t="s">
        <v>14</v>
      </c>
      <c r="I655" s="120" t="s">
        <v>105</v>
      </c>
      <c r="J655" s="106">
        <f t="shared" si="562"/>
        <v>173</v>
      </c>
      <c r="K655" s="106">
        <v>13</v>
      </c>
      <c r="L655" s="106">
        <v>3</v>
      </c>
      <c r="M655" s="106">
        <v>16</v>
      </c>
      <c r="N655" s="106">
        <v>136</v>
      </c>
      <c r="O655" s="106">
        <v>0</v>
      </c>
      <c r="P655" s="106">
        <v>5</v>
      </c>
      <c r="Q655" s="108">
        <f t="shared" si="561"/>
        <v>9.2485549132947972E-2</v>
      </c>
      <c r="R655" s="109">
        <f t="shared" si="555"/>
        <v>0.78612716763005785</v>
      </c>
      <c r="S655" s="109">
        <f t="shared" si="556"/>
        <v>2.8901734104046242E-2</v>
      </c>
      <c r="T655" s="109">
        <f t="shared" si="557"/>
        <v>0</v>
      </c>
      <c r="U655" s="110">
        <f t="shared" si="558"/>
        <v>0.90751445086705207</v>
      </c>
      <c r="V655" s="136"/>
    </row>
    <row r="656" spans="2:25" ht="15.75" hidden="1" x14ac:dyDescent="0.2">
      <c r="B656" s="711">
        <v>46130</v>
      </c>
      <c r="C656" s="105" t="s">
        <v>22</v>
      </c>
      <c r="D656" s="105" t="s">
        <v>20</v>
      </c>
      <c r="E656" s="711">
        <v>46130</v>
      </c>
      <c r="G656" s="714">
        <v>46132</v>
      </c>
      <c r="H656" s="120" t="s">
        <v>32</v>
      </c>
      <c r="I656" s="120" t="s">
        <v>106</v>
      </c>
      <c r="J656" s="106">
        <f t="shared" si="562"/>
        <v>68</v>
      </c>
      <c r="K656" s="106">
        <v>0</v>
      </c>
      <c r="L656" s="106">
        <v>0</v>
      </c>
      <c r="M656" s="106">
        <v>32</v>
      </c>
      <c r="N656" s="106">
        <v>36</v>
      </c>
      <c r="O656" s="106">
        <v>0</v>
      </c>
      <c r="P656" s="106">
        <v>0</v>
      </c>
      <c r="Q656" s="108">
        <f t="shared" si="561"/>
        <v>0</v>
      </c>
      <c r="R656" s="109">
        <f t="shared" si="555"/>
        <v>0.52941176470588236</v>
      </c>
      <c r="S656" s="109">
        <f t="shared" si="556"/>
        <v>0</v>
      </c>
      <c r="T656" s="109">
        <f t="shared" si="557"/>
        <v>0</v>
      </c>
      <c r="U656" s="110">
        <f t="shared" si="558"/>
        <v>0.52941176470588236</v>
      </c>
      <c r="V656" s="136"/>
    </row>
    <row r="657" spans="2:25" s="97" customFormat="1" ht="16.5" hidden="1" customHeight="1" x14ac:dyDescent="0.2">
      <c r="B657" s="711">
        <v>46130</v>
      </c>
      <c r="C657" s="105" t="s">
        <v>22</v>
      </c>
      <c r="D657" s="105" t="s">
        <v>20</v>
      </c>
      <c r="E657" s="711">
        <v>46130</v>
      </c>
      <c r="F657" s="89"/>
      <c r="G657" s="113"/>
      <c r="H657" s="113" t="s">
        <v>19</v>
      </c>
      <c r="I657" s="113"/>
      <c r="J657" s="113">
        <f t="shared" ref="J657:P657" si="563">SUM(J652:J656)</f>
        <v>368</v>
      </c>
      <c r="K657" s="113">
        <f t="shared" si="563"/>
        <v>73</v>
      </c>
      <c r="L657" s="113">
        <f t="shared" si="563"/>
        <v>52</v>
      </c>
      <c r="M657" s="113">
        <f t="shared" si="563"/>
        <v>51</v>
      </c>
      <c r="N657" s="113">
        <f t="shared" si="563"/>
        <v>172</v>
      </c>
      <c r="O657" s="113">
        <f t="shared" si="563"/>
        <v>10</v>
      </c>
      <c r="P657" s="113">
        <f t="shared" si="563"/>
        <v>10</v>
      </c>
      <c r="Q657" s="115">
        <f>(K657+L657)/J657</f>
        <v>0.33967391304347827</v>
      </c>
      <c r="R657" s="116">
        <f t="shared" si="555"/>
        <v>0.46739130434782611</v>
      </c>
      <c r="S657" s="116">
        <f t="shared" si="556"/>
        <v>2.717391304347826E-2</v>
      </c>
      <c r="T657" s="116">
        <f t="shared" si="557"/>
        <v>2.717391304347826E-2</v>
      </c>
      <c r="U657" s="117">
        <f t="shared" si="558"/>
        <v>0.86141304347826098</v>
      </c>
      <c r="V657" s="127"/>
      <c r="W657" s="88"/>
      <c r="X657" s="88"/>
      <c r="Y657" s="118"/>
    </row>
    <row r="658" spans="2:25" ht="15.75" hidden="1" x14ac:dyDescent="0.2">
      <c r="B658" s="711">
        <v>46130</v>
      </c>
      <c r="C658" s="105" t="s">
        <v>12</v>
      </c>
      <c r="D658" s="105" t="s">
        <v>23</v>
      </c>
      <c r="E658" s="711">
        <v>46131</v>
      </c>
      <c r="G658" s="833">
        <v>46131</v>
      </c>
      <c r="H658" s="106" t="s">
        <v>16</v>
      </c>
      <c r="I658" s="120" t="s">
        <v>83</v>
      </c>
      <c r="J658" s="106">
        <v>219</v>
      </c>
      <c r="K658" s="106">
        <v>0</v>
      </c>
      <c r="L658" s="106">
        <v>0</v>
      </c>
      <c r="M658" s="107">
        <v>10</v>
      </c>
      <c r="N658" s="106">
        <v>165</v>
      </c>
      <c r="O658" s="106">
        <v>21</v>
      </c>
      <c r="P658" s="107">
        <v>2</v>
      </c>
      <c r="Q658" s="108">
        <f t="shared" ref="Q658:Q659" si="564">(K658+L658)/J658</f>
        <v>0</v>
      </c>
      <c r="R658" s="109">
        <f t="shared" ref="R658:R660" si="565">N658/J658</f>
        <v>0.75342465753424659</v>
      </c>
      <c r="S658" s="109">
        <f t="shared" ref="S658:S660" si="566">P658/J658</f>
        <v>9.1324200913242004E-3</v>
      </c>
      <c r="T658" s="109">
        <f t="shared" ref="T658:T660" si="567">O658/J658</f>
        <v>9.5890410958904104E-2</v>
      </c>
      <c r="U658" s="110">
        <f t="shared" ref="U658:U660" si="568">S658+R658+Q658+T658</f>
        <v>0.85844748858447484</v>
      </c>
      <c r="V658" s="111"/>
    </row>
    <row r="659" spans="2:25" ht="15.75" hidden="1" x14ac:dyDescent="0.2">
      <c r="B659" s="711">
        <v>46130</v>
      </c>
      <c r="C659" s="105" t="s">
        <v>12</v>
      </c>
      <c r="D659" s="105" t="s">
        <v>23</v>
      </c>
      <c r="E659" s="711">
        <v>46131</v>
      </c>
      <c r="G659" s="835"/>
      <c r="H659" s="120" t="s">
        <v>17</v>
      </c>
      <c r="I659" s="120" t="s">
        <v>18</v>
      </c>
      <c r="J659" s="106">
        <v>153</v>
      </c>
      <c r="K659" s="106">
        <v>0</v>
      </c>
      <c r="L659" s="106">
        <v>0</v>
      </c>
      <c r="M659" s="106">
        <v>126</v>
      </c>
      <c r="N659" s="106">
        <v>0</v>
      </c>
      <c r="O659" s="106">
        <v>25</v>
      </c>
      <c r="P659" s="106">
        <v>2</v>
      </c>
      <c r="Q659" s="108">
        <f t="shared" si="564"/>
        <v>0</v>
      </c>
      <c r="R659" s="109">
        <f t="shared" si="565"/>
        <v>0</v>
      </c>
      <c r="S659" s="109">
        <f t="shared" si="566"/>
        <v>1.3071895424836602E-2</v>
      </c>
      <c r="T659" s="109">
        <f t="shared" si="567"/>
        <v>0.16339869281045752</v>
      </c>
      <c r="U659" s="110">
        <f t="shared" si="568"/>
        <v>0.17647058823529413</v>
      </c>
      <c r="V659" s="136"/>
    </row>
    <row r="660" spans="2:25" s="97" customFormat="1" ht="16.5" hidden="1" customHeight="1" x14ac:dyDescent="0.2">
      <c r="B660" s="711">
        <v>46130</v>
      </c>
      <c r="C660" s="105" t="s">
        <v>12</v>
      </c>
      <c r="D660" s="105" t="s">
        <v>23</v>
      </c>
      <c r="E660" s="711">
        <v>46131</v>
      </c>
      <c r="F660" s="89"/>
      <c r="G660" s="113"/>
      <c r="H660" s="113" t="s">
        <v>19</v>
      </c>
      <c r="I660" s="113"/>
      <c r="J660" s="113">
        <f t="shared" ref="J660:P660" si="569">SUM(J658:J659)</f>
        <v>372</v>
      </c>
      <c r="K660" s="113">
        <f t="shared" si="569"/>
        <v>0</v>
      </c>
      <c r="L660" s="113">
        <f t="shared" si="569"/>
        <v>0</v>
      </c>
      <c r="M660" s="113">
        <f t="shared" si="569"/>
        <v>136</v>
      </c>
      <c r="N660" s="113">
        <f t="shared" si="569"/>
        <v>165</v>
      </c>
      <c r="O660" s="113">
        <f t="shared" si="569"/>
        <v>46</v>
      </c>
      <c r="P660" s="113">
        <f t="shared" si="569"/>
        <v>4</v>
      </c>
      <c r="Q660" s="115">
        <f>(K660+L660)/J660</f>
        <v>0</v>
      </c>
      <c r="R660" s="116">
        <f t="shared" si="565"/>
        <v>0.44354838709677419</v>
      </c>
      <c r="S660" s="116">
        <f t="shared" si="566"/>
        <v>1.0752688172043012E-2</v>
      </c>
      <c r="T660" s="116">
        <f t="shared" si="567"/>
        <v>0.12365591397849462</v>
      </c>
      <c r="U660" s="117">
        <f t="shared" si="568"/>
        <v>0.57795698924731176</v>
      </c>
      <c r="V660" s="127"/>
      <c r="W660" s="88"/>
      <c r="X660" s="88"/>
      <c r="Y660" s="118"/>
    </row>
    <row r="661" spans="2:25" ht="15.75" hidden="1" x14ac:dyDescent="0.2">
      <c r="B661" s="711">
        <v>46130</v>
      </c>
      <c r="C661" s="105" t="s">
        <v>18</v>
      </c>
      <c r="D661" s="105" t="s">
        <v>13</v>
      </c>
      <c r="E661" s="711">
        <v>46131</v>
      </c>
      <c r="G661" s="833">
        <v>46131</v>
      </c>
      <c r="H661" s="106" t="s">
        <v>16</v>
      </c>
      <c r="I661" s="120" t="s">
        <v>83</v>
      </c>
      <c r="J661" s="106">
        <v>219</v>
      </c>
      <c r="K661" s="106">
        <f>J661-L661-M661-O661-N661-P661</f>
        <v>111</v>
      </c>
      <c r="L661" s="106">
        <v>63</v>
      </c>
      <c r="M661" s="107">
        <v>25</v>
      </c>
      <c r="N661" s="106">
        <v>0</v>
      </c>
      <c r="O661" s="106">
        <v>18</v>
      </c>
      <c r="P661" s="107">
        <v>2</v>
      </c>
      <c r="Q661" s="108">
        <f t="shared" ref="Q661:Q662" si="570">(K661+L661)/J661</f>
        <v>0.79452054794520544</v>
      </c>
      <c r="R661" s="109">
        <f t="shared" ref="R661:R671" si="571">N661/J661</f>
        <v>0</v>
      </c>
      <c r="S661" s="109">
        <f t="shared" ref="S661:S671" si="572">P661/J661</f>
        <v>9.1324200913242004E-3</v>
      </c>
      <c r="T661" s="109">
        <f t="shared" ref="T661:T671" si="573">O661/J661</f>
        <v>8.2191780821917804E-2</v>
      </c>
      <c r="U661" s="110">
        <f t="shared" ref="U661:U671" si="574">S661+R661+Q661+T661</f>
        <v>0.88584474885844744</v>
      </c>
      <c r="V661" s="111" t="s">
        <v>116</v>
      </c>
    </row>
    <row r="662" spans="2:25" ht="15.75" hidden="1" x14ac:dyDescent="0.2">
      <c r="B662" s="711">
        <v>46130</v>
      </c>
      <c r="C662" s="105" t="s">
        <v>18</v>
      </c>
      <c r="D662" s="105" t="s">
        <v>13</v>
      </c>
      <c r="E662" s="711">
        <v>46131</v>
      </c>
      <c r="G662" s="835"/>
      <c r="H662" s="120" t="s">
        <v>17</v>
      </c>
      <c r="I662" s="120" t="s">
        <v>18</v>
      </c>
      <c r="J662" s="106">
        <f>153+29</f>
        <v>182</v>
      </c>
      <c r="K662" s="106">
        <f>J662-L662-M662-O662-N662-P662</f>
        <v>104</v>
      </c>
      <c r="L662" s="106">
        <v>29</v>
      </c>
      <c r="M662" s="107">
        <v>47</v>
      </c>
      <c r="N662" s="106">
        <v>0</v>
      </c>
      <c r="O662" s="106">
        <v>0</v>
      </c>
      <c r="P662" s="107">
        <v>2</v>
      </c>
      <c r="Q662" s="108">
        <f t="shared" si="570"/>
        <v>0.73076923076923073</v>
      </c>
      <c r="R662" s="109">
        <f t="shared" si="571"/>
        <v>0</v>
      </c>
      <c r="S662" s="109">
        <f t="shared" si="572"/>
        <v>1.098901098901099E-2</v>
      </c>
      <c r="T662" s="109">
        <f t="shared" si="573"/>
        <v>0</v>
      </c>
      <c r="U662" s="110">
        <f t="shared" si="574"/>
        <v>0.74175824175824168</v>
      </c>
      <c r="V662" s="136"/>
    </row>
    <row r="663" spans="2:25" ht="15.75" hidden="1" x14ac:dyDescent="0.2">
      <c r="B663" s="711">
        <v>46130</v>
      </c>
      <c r="C663" s="105" t="s">
        <v>18</v>
      </c>
      <c r="D663" s="105" t="s">
        <v>13</v>
      </c>
      <c r="E663" s="711">
        <v>46131</v>
      </c>
      <c r="G663" s="113"/>
      <c r="H663" s="113" t="s">
        <v>19</v>
      </c>
      <c r="I663" s="113"/>
      <c r="J663" s="113">
        <f t="shared" ref="J663" si="575">SUM(J661:J662)</f>
        <v>401</v>
      </c>
      <c r="K663" s="113">
        <f t="shared" ref="K663" si="576">SUM(K661:K662)</f>
        <v>215</v>
      </c>
      <c r="L663" s="113">
        <f t="shared" ref="L663" si="577">SUM(L661:L662)</f>
        <v>92</v>
      </c>
      <c r="M663" s="114">
        <f t="shared" ref="M663" si="578">SUM(M661:M662)</f>
        <v>72</v>
      </c>
      <c r="N663" s="113">
        <f t="shared" ref="N663" si="579">SUM(N661:N662)</f>
        <v>0</v>
      </c>
      <c r="O663" s="113">
        <f t="shared" ref="O663" si="580">SUM(O661:O662)</f>
        <v>18</v>
      </c>
      <c r="P663" s="114">
        <f t="shared" ref="P663" si="581">SUM(P661:P662)</f>
        <v>4</v>
      </c>
      <c r="Q663" s="115">
        <f>(K663+L663)/J663</f>
        <v>0.76558603491271815</v>
      </c>
      <c r="R663" s="116">
        <f t="shared" si="571"/>
        <v>0</v>
      </c>
      <c r="S663" s="116">
        <f t="shared" si="572"/>
        <v>9.9750623441396506E-3</v>
      </c>
      <c r="T663" s="116">
        <f t="shared" si="573"/>
        <v>4.488778054862843E-2</v>
      </c>
      <c r="U663" s="117">
        <f t="shared" si="574"/>
        <v>0.82044887780548625</v>
      </c>
      <c r="V663" s="127"/>
    </row>
    <row r="664" spans="2:25" ht="15.75" hidden="1" x14ac:dyDescent="0.2">
      <c r="B664" s="711">
        <v>46131</v>
      </c>
      <c r="C664" s="105" t="s">
        <v>22</v>
      </c>
      <c r="D664" s="105" t="s">
        <v>20</v>
      </c>
      <c r="E664" s="711">
        <v>46131</v>
      </c>
      <c r="G664" s="833">
        <v>46131</v>
      </c>
      <c r="H664" s="106" t="s">
        <v>16</v>
      </c>
      <c r="I664" s="120" t="s">
        <v>83</v>
      </c>
      <c r="J664" s="106">
        <v>219</v>
      </c>
      <c r="K664" s="106">
        <v>7</v>
      </c>
      <c r="L664" s="106">
        <v>16</v>
      </c>
      <c r="M664" s="107">
        <v>4</v>
      </c>
      <c r="N664" s="106">
        <v>0</v>
      </c>
      <c r="O664" s="106">
        <v>0</v>
      </c>
      <c r="P664" s="107">
        <v>2</v>
      </c>
      <c r="Q664" s="108">
        <f t="shared" ref="Q664:Q670" si="582">(K664+L664)/J664</f>
        <v>0.1050228310502283</v>
      </c>
      <c r="R664" s="109">
        <f t="shared" si="571"/>
        <v>0</v>
      </c>
      <c r="S664" s="109">
        <f t="shared" si="572"/>
        <v>9.1324200913242004E-3</v>
      </c>
      <c r="T664" s="109">
        <f t="shared" si="573"/>
        <v>0</v>
      </c>
      <c r="U664" s="110">
        <f t="shared" si="574"/>
        <v>0.11415525114155251</v>
      </c>
      <c r="V664" s="111"/>
    </row>
    <row r="665" spans="2:25" ht="15.75" hidden="1" x14ac:dyDescent="0.2">
      <c r="B665" s="711">
        <v>46131</v>
      </c>
      <c r="C665" s="105" t="s">
        <v>22</v>
      </c>
      <c r="D665" s="105" t="s">
        <v>20</v>
      </c>
      <c r="E665" s="711">
        <v>46131</v>
      </c>
      <c r="G665" s="835"/>
      <c r="H665" s="120" t="s">
        <v>17</v>
      </c>
      <c r="I665" s="120" t="s">
        <v>18</v>
      </c>
      <c r="J665" s="106">
        <v>83</v>
      </c>
      <c r="K665" s="106">
        <v>0</v>
      </c>
      <c r="L665" s="106">
        <v>0</v>
      </c>
      <c r="M665" s="106">
        <v>8</v>
      </c>
      <c r="N665" s="106">
        <v>14</v>
      </c>
      <c r="O665" s="106">
        <v>25</v>
      </c>
      <c r="P665" s="106">
        <v>2</v>
      </c>
      <c r="Q665" s="108">
        <f t="shared" si="582"/>
        <v>0</v>
      </c>
      <c r="R665" s="109">
        <f t="shared" si="571"/>
        <v>0.16867469879518071</v>
      </c>
      <c r="S665" s="109">
        <f t="shared" si="572"/>
        <v>2.4096385542168676E-2</v>
      </c>
      <c r="T665" s="109">
        <f t="shared" si="573"/>
        <v>0.30120481927710846</v>
      </c>
      <c r="U665" s="110">
        <f t="shared" si="574"/>
        <v>0.49397590361445787</v>
      </c>
      <c r="V665" s="136"/>
    </row>
    <row r="666" spans="2:25" ht="15.75" hidden="1" x14ac:dyDescent="0.2">
      <c r="B666" s="711">
        <v>46131</v>
      </c>
      <c r="C666" s="105" t="s">
        <v>22</v>
      </c>
      <c r="D666" s="105" t="s">
        <v>20</v>
      </c>
      <c r="E666" s="711">
        <v>46132</v>
      </c>
      <c r="G666" s="833">
        <v>46132</v>
      </c>
      <c r="H666" s="120" t="s">
        <v>75</v>
      </c>
      <c r="I666" s="120" t="s">
        <v>106</v>
      </c>
      <c r="J666" s="106">
        <v>220</v>
      </c>
      <c r="K666" s="106">
        <v>0</v>
      </c>
      <c r="L666" s="106">
        <v>0</v>
      </c>
      <c r="M666" s="106">
        <v>219</v>
      </c>
      <c r="N666" s="106">
        <v>0</v>
      </c>
      <c r="O666" s="106">
        <v>0</v>
      </c>
      <c r="P666" s="106">
        <v>6</v>
      </c>
      <c r="Q666" s="108">
        <f t="shared" si="582"/>
        <v>0</v>
      </c>
      <c r="R666" s="109">
        <f t="shared" si="571"/>
        <v>0</v>
      </c>
      <c r="S666" s="109">
        <f t="shared" si="572"/>
        <v>2.7272727272727271E-2</v>
      </c>
      <c r="T666" s="109">
        <f t="shared" si="573"/>
        <v>0</v>
      </c>
      <c r="U666" s="110">
        <f t="shared" si="574"/>
        <v>2.7272727272727271E-2</v>
      </c>
      <c r="V666" s="136"/>
    </row>
    <row r="667" spans="2:25" ht="15.75" hidden="1" x14ac:dyDescent="0.2">
      <c r="B667" s="711">
        <v>46131</v>
      </c>
      <c r="C667" s="105" t="s">
        <v>22</v>
      </c>
      <c r="D667" s="105" t="s">
        <v>20</v>
      </c>
      <c r="E667" s="711">
        <v>46132</v>
      </c>
      <c r="G667" s="834"/>
      <c r="H667" s="120" t="s">
        <v>32</v>
      </c>
      <c r="I667" s="120" t="s">
        <v>105</v>
      </c>
      <c r="J667" s="106">
        <v>266</v>
      </c>
      <c r="K667" s="106">
        <v>75</v>
      </c>
      <c r="L667" s="106">
        <v>12</v>
      </c>
      <c r="M667" s="106">
        <v>11</v>
      </c>
      <c r="N667" s="106">
        <v>150</v>
      </c>
      <c r="O667" s="106">
        <v>0</v>
      </c>
      <c r="P667" s="106">
        <v>3</v>
      </c>
      <c r="Q667" s="108">
        <f t="shared" si="582"/>
        <v>0.32706766917293234</v>
      </c>
      <c r="R667" s="109">
        <f t="shared" si="571"/>
        <v>0.56390977443609025</v>
      </c>
      <c r="S667" s="109">
        <f t="shared" si="572"/>
        <v>1.1278195488721804E-2</v>
      </c>
      <c r="T667" s="109">
        <f t="shared" si="573"/>
        <v>0</v>
      </c>
      <c r="U667" s="110">
        <f t="shared" si="574"/>
        <v>0.90225563909774431</v>
      </c>
      <c r="V667" s="136"/>
    </row>
    <row r="668" spans="2:25" ht="15.75" hidden="1" x14ac:dyDescent="0.2">
      <c r="B668" s="711">
        <v>46131</v>
      </c>
      <c r="C668" s="105" t="s">
        <v>22</v>
      </c>
      <c r="D668" s="105" t="s">
        <v>20</v>
      </c>
      <c r="E668" s="711">
        <v>46132</v>
      </c>
      <c r="G668" s="834"/>
      <c r="H668" s="120" t="s">
        <v>42</v>
      </c>
      <c r="I668" s="120" t="s">
        <v>43</v>
      </c>
      <c r="J668" s="106">
        <v>43</v>
      </c>
      <c r="K668" s="106">
        <v>0</v>
      </c>
      <c r="L668" s="106">
        <v>0</v>
      </c>
      <c r="M668" s="106">
        <v>0</v>
      </c>
      <c r="N668" s="106">
        <v>43</v>
      </c>
      <c r="O668" s="106">
        <v>0</v>
      </c>
      <c r="P668" s="106">
        <v>0</v>
      </c>
      <c r="Q668" s="108">
        <f t="shared" ref="Q668:Q669" si="583">(K668+L668)/J668</f>
        <v>0</v>
      </c>
      <c r="R668" s="109">
        <f t="shared" ref="R668:R669" si="584">N668/J668</f>
        <v>1</v>
      </c>
      <c r="S668" s="109">
        <f t="shared" ref="S668:S669" si="585">P668/J668</f>
        <v>0</v>
      </c>
      <c r="T668" s="109">
        <f t="shared" ref="T668:T669" si="586">O668/J668</f>
        <v>0</v>
      </c>
      <c r="U668" s="110">
        <f t="shared" ref="U668:U669" si="587">S668+R668+Q668+T668</f>
        <v>1</v>
      </c>
      <c r="V668" s="136"/>
    </row>
    <row r="669" spans="2:25" ht="15.75" hidden="1" x14ac:dyDescent="0.2">
      <c r="B669" s="711">
        <v>46131</v>
      </c>
      <c r="C669" s="105" t="s">
        <v>22</v>
      </c>
      <c r="D669" s="105" t="s">
        <v>20</v>
      </c>
      <c r="E669" s="711">
        <v>46132</v>
      </c>
      <c r="G669" s="834"/>
      <c r="H669" s="120" t="s">
        <v>17</v>
      </c>
      <c r="I669" s="120" t="s">
        <v>22</v>
      </c>
      <c r="J669" s="106">
        <v>76</v>
      </c>
      <c r="K669" s="106">
        <v>0</v>
      </c>
      <c r="L669" s="106">
        <v>0</v>
      </c>
      <c r="M669" s="106">
        <v>15</v>
      </c>
      <c r="N669" s="106">
        <v>59</v>
      </c>
      <c r="O669" s="106">
        <v>0</v>
      </c>
      <c r="P669" s="106">
        <v>2</v>
      </c>
      <c r="Q669" s="108">
        <f t="shared" si="583"/>
        <v>0</v>
      </c>
      <c r="R669" s="109">
        <f t="shared" si="584"/>
        <v>0.77631578947368418</v>
      </c>
      <c r="S669" s="109">
        <f t="shared" si="585"/>
        <v>2.6315789473684209E-2</v>
      </c>
      <c r="T669" s="109">
        <f t="shared" si="586"/>
        <v>0</v>
      </c>
      <c r="U669" s="110">
        <f t="shared" si="587"/>
        <v>0.80263157894736836</v>
      </c>
      <c r="V669" s="136"/>
    </row>
    <row r="670" spans="2:25" ht="15.75" hidden="1" x14ac:dyDescent="0.2">
      <c r="B670" s="711">
        <v>46131</v>
      </c>
      <c r="C670" s="105" t="s">
        <v>22</v>
      </c>
      <c r="D670" s="105" t="s">
        <v>20</v>
      </c>
      <c r="E670" s="711">
        <v>46132</v>
      </c>
      <c r="G670" s="835"/>
      <c r="H670" s="120" t="s">
        <v>14</v>
      </c>
      <c r="I670" s="120" t="s">
        <v>18</v>
      </c>
      <c r="J670" s="106">
        <v>176</v>
      </c>
      <c r="K670" s="106">
        <v>0</v>
      </c>
      <c r="L670" s="106">
        <v>0</v>
      </c>
      <c r="M670" s="106">
        <v>176</v>
      </c>
      <c r="N670" s="106">
        <v>0</v>
      </c>
      <c r="O670" s="106">
        <v>0</v>
      </c>
      <c r="P670" s="106">
        <v>0</v>
      </c>
      <c r="Q670" s="108">
        <f t="shared" si="582"/>
        <v>0</v>
      </c>
      <c r="R670" s="109">
        <f t="shared" si="571"/>
        <v>0</v>
      </c>
      <c r="S670" s="109">
        <f t="shared" si="572"/>
        <v>0</v>
      </c>
      <c r="T670" s="109">
        <f t="shared" si="573"/>
        <v>0</v>
      </c>
      <c r="U670" s="110">
        <f t="shared" si="574"/>
        <v>0</v>
      </c>
      <c r="V670" s="136"/>
    </row>
    <row r="671" spans="2:25" s="97" customFormat="1" ht="16.5" hidden="1" customHeight="1" x14ac:dyDescent="0.2">
      <c r="B671" s="711">
        <v>46131</v>
      </c>
      <c r="C671" s="105" t="s">
        <v>22</v>
      </c>
      <c r="D671" s="105" t="s">
        <v>20</v>
      </c>
      <c r="E671" s="711">
        <v>46132</v>
      </c>
      <c r="F671" s="89"/>
      <c r="G671" s="113"/>
      <c r="H671" s="113" t="s">
        <v>19</v>
      </c>
      <c r="I671" s="113"/>
      <c r="J671" s="113">
        <f t="shared" ref="J671:P671" si="588">SUM(J664:J670)</f>
        <v>1083</v>
      </c>
      <c r="K671" s="113">
        <f t="shared" si="588"/>
        <v>82</v>
      </c>
      <c r="L671" s="113">
        <f t="shared" si="588"/>
        <v>28</v>
      </c>
      <c r="M671" s="113">
        <f t="shared" si="588"/>
        <v>433</v>
      </c>
      <c r="N671" s="113">
        <f t="shared" si="588"/>
        <v>266</v>
      </c>
      <c r="O671" s="113">
        <f t="shared" si="588"/>
        <v>25</v>
      </c>
      <c r="P671" s="113">
        <f t="shared" si="588"/>
        <v>15</v>
      </c>
      <c r="Q671" s="115">
        <f>(K671+L671)/J671</f>
        <v>0.10156971375807941</v>
      </c>
      <c r="R671" s="116">
        <f t="shared" si="571"/>
        <v>0.24561403508771928</v>
      </c>
      <c r="S671" s="116">
        <f t="shared" si="572"/>
        <v>1.3850415512465374E-2</v>
      </c>
      <c r="T671" s="116">
        <f t="shared" si="573"/>
        <v>2.3084025854108958E-2</v>
      </c>
      <c r="U671" s="117">
        <f t="shared" si="574"/>
        <v>0.38411819021237303</v>
      </c>
      <c r="V671" s="127"/>
      <c r="W671" s="88"/>
      <c r="X671" s="88"/>
      <c r="Y671" s="118"/>
    </row>
    <row r="672" spans="2:25" ht="15.75" hidden="1" x14ac:dyDescent="0.2">
      <c r="B672" s="711">
        <v>46131</v>
      </c>
      <c r="C672" s="105" t="s">
        <v>12</v>
      </c>
      <c r="D672" s="105" t="s">
        <v>23</v>
      </c>
      <c r="E672" s="711">
        <v>46132</v>
      </c>
      <c r="G672" s="833">
        <v>46132</v>
      </c>
      <c r="H672" s="120" t="s">
        <v>75</v>
      </c>
      <c r="I672" s="120" t="s">
        <v>83</v>
      </c>
      <c r="J672" s="106">
        <v>233</v>
      </c>
      <c r="K672" s="106">
        <v>0</v>
      </c>
      <c r="L672" s="106">
        <v>0</v>
      </c>
      <c r="M672" s="106">
        <v>155</v>
      </c>
      <c r="N672" s="106">
        <v>59</v>
      </c>
      <c r="O672" s="106">
        <v>20</v>
      </c>
      <c r="P672" s="106">
        <v>6</v>
      </c>
      <c r="Q672" s="108">
        <f t="shared" ref="Q672:Q676" si="589">(K672+L672)/J672</f>
        <v>0</v>
      </c>
      <c r="R672" s="109">
        <f t="shared" ref="R672:R677" si="590">N672/J672</f>
        <v>0.25321888412017168</v>
      </c>
      <c r="S672" s="109">
        <f t="shared" ref="S672:S677" si="591">P672/J672</f>
        <v>2.575107296137339E-2</v>
      </c>
      <c r="T672" s="109">
        <f t="shared" ref="T672:T677" si="592">O672/J672</f>
        <v>8.5836909871244635E-2</v>
      </c>
      <c r="U672" s="110">
        <f t="shared" ref="U672:U677" si="593">S672+R672+Q672+T672</f>
        <v>0.36480686695278974</v>
      </c>
      <c r="V672" s="136"/>
    </row>
    <row r="673" spans="2:25" ht="15.75" hidden="1" x14ac:dyDescent="0.2">
      <c r="B673" s="711">
        <v>46131</v>
      </c>
      <c r="C673" s="105" t="s">
        <v>12</v>
      </c>
      <c r="D673" s="105" t="s">
        <v>23</v>
      </c>
      <c r="E673" s="711">
        <v>46132</v>
      </c>
      <c r="G673" s="834"/>
      <c r="H673" s="120" t="s">
        <v>32</v>
      </c>
      <c r="I673" s="120" t="s">
        <v>106</v>
      </c>
      <c r="J673" s="106">
        <v>266</v>
      </c>
      <c r="K673" s="106">
        <v>112</v>
      </c>
      <c r="L673" s="106">
        <v>30</v>
      </c>
      <c r="M673" s="106">
        <v>11</v>
      </c>
      <c r="N673" s="106">
        <v>110</v>
      </c>
      <c r="O673" s="106">
        <v>0</v>
      </c>
      <c r="P673" s="106">
        <v>3</v>
      </c>
      <c r="Q673" s="108">
        <f t="shared" si="589"/>
        <v>0.53383458646616544</v>
      </c>
      <c r="R673" s="109">
        <f t="shared" si="590"/>
        <v>0.41353383458646614</v>
      </c>
      <c r="S673" s="109">
        <f t="shared" si="591"/>
        <v>1.1278195488721804E-2</v>
      </c>
      <c r="T673" s="109">
        <f t="shared" si="592"/>
        <v>0</v>
      </c>
      <c r="U673" s="110">
        <f t="shared" si="593"/>
        <v>0.95864661654135341</v>
      </c>
      <c r="V673" s="136"/>
    </row>
    <row r="674" spans="2:25" ht="15.75" hidden="1" x14ac:dyDescent="0.2">
      <c r="B674" s="711">
        <v>46131</v>
      </c>
      <c r="C674" s="105" t="s">
        <v>12</v>
      </c>
      <c r="D674" s="105" t="s">
        <v>23</v>
      </c>
      <c r="E674" s="711">
        <v>46132</v>
      </c>
      <c r="G674" s="834"/>
      <c r="H674" s="120" t="s">
        <v>42</v>
      </c>
      <c r="I674" s="120" t="s">
        <v>43</v>
      </c>
      <c r="J674" s="106">
        <v>43</v>
      </c>
      <c r="K674" s="106">
        <v>0</v>
      </c>
      <c r="L674" s="106">
        <v>0</v>
      </c>
      <c r="M674" s="106">
        <v>0</v>
      </c>
      <c r="N674" s="106">
        <v>43</v>
      </c>
      <c r="O674" s="106">
        <v>0</v>
      </c>
      <c r="P674" s="106">
        <v>0</v>
      </c>
      <c r="Q674" s="108">
        <f t="shared" si="589"/>
        <v>0</v>
      </c>
      <c r="R674" s="109">
        <f t="shared" si="590"/>
        <v>1</v>
      </c>
      <c r="S674" s="109">
        <f t="shared" si="591"/>
        <v>0</v>
      </c>
      <c r="T674" s="109">
        <f t="shared" si="592"/>
        <v>0</v>
      </c>
      <c r="U674" s="110">
        <f t="shared" si="593"/>
        <v>1</v>
      </c>
      <c r="V674" s="136"/>
    </row>
    <row r="675" spans="2:25" ht="15.75" hidden="1" x14ac:dyDescent="0.2">
      <c r="B675" s="711">
        <v>46131</v>
      </c>
      <c r="C675" s="105" t="s">
        <v>12</v>
      </c>
      <c r="D675" s="105" t="s">
        <v>23</v>
      </c>
      <c r="E675" s="711">
        <v>46132</v>
      </c>
      <c r="G675" s="834"/>
      <c r="H675" s="120" t="s">
        <v>17</v>
      </c>
      <c r="I675" s="120" t="s">
        <v>22</v>
      </c>
      <c r="J675" s="106">
        <v>159</v>
      </c>
      <c r="K675" s="106">
        <v>118</v>
      </c>
      <c r="L675" s="106">
        <v>9</v>
      </c>
      <c r="M675" s="106">
        <v>15</v>
      </c>
      <c r="N675" s="106">
        <v>0</v>
      </c>
      <c r="O675" s="106">
        <v>15</v>
      </c>
      <c r="P675" s="106">
        <v>2</v>
      </c>
      <c r="Q675" s="108">
        <f t="shared" si="589"/>
        <v>0.79874213836477992</v>
      </c>
      <c r="R675" s="109">
        <f t="shared" si="590"/>
        <v>0</v>
      </c>
      <c r="S675" s="109">
        <f t="shared" si="591"/>
        <v>1.2578616352201259E-2</v>
      </c>
      <c r="T675" s="109">
        <f t="shared" si="592"/>
        <v>9.4339622641509441E-2</v>
      </c>
      <c r="U675" s="110">
        <f t="shared" si="593"/>
        <v>0.90566037735849059</v>
      </c>
      <c r="V675" s="136"/>
    </row>
    <row r="676" spans="2:25" ht="15.75" hidden="1" x14ac:dyDescent="0.2">
      <c r="B676" s="711">
        <v>46131</v>
      </c>
      <c r="C676" s="105" t="s">
        <v>12</v>
      </c>
      <c r="D676" s="105" t="s">
        <v>23</v>
      </c>
      <c r="E676" s="711">
        <v>46132</v>
      </c>
      <c r="G676" s="835"/>
      <c r="H676" s="120" t="s">
        <v>14</v>
      </c>
      <c r="I676" s="120" t="s">
        <v>18</v>
      </c>
      <c r="J676" s="106">
        <v>181</v>
      </c>
      <c r="K676" s="106">
        <v>0</v>
      </c>
      <c r="L676" s="106">
        <v>0</v>
      </c>
      <c r="M676" s="106">
        <v>176</v>
      </c>
      <c r="N676" s="106">
        <v>0</v>
      </c>
      <c r="O676" s="106">
        <v>0</v>
      </c>
      <c r="P676" s="106">
        <v>0</v>
      </c>
      <c r="Q676" s="108">
        <f t="shared" si="589"/>
        <v>0</v>
      </c>
      <c r="R676" s="109">
        <f t="shared" si="590"/>
        <v>0</v>
      </c>
      <c r="S676" s="109">
        <f t="shared" si="591"/>
        <v>0</v>
      </c>
      <c r="T676" s="109">
        <f t="shared" si="592"/>
        <v>0</v>
      </c>
      <c r="U676" s="110">
        <f t="shared" si="593"/>
        <v>0</v>
      </c>
      <c r="V676" s="136"/>
    </row>
    <row r="677" spans="2:25" s="97" customFormat="1" ht="16.5" hidden="1" customHeight="1" x14ac:dyDescent="0.2">
      <c r="B677" s="711">
        <v>46131</v>
      </c>
      <c r="C677" s="105" t="s">
        <v>12</v>
      </c>
      <c r="D677" s="105" t="s">
        <v>23</v>
      </c>
      <c r="E677" s="711">
        <v>46132</v>
      </c>
      <c r="F677" s="89"/>
      <c r="G677" s="113"/>
      <c r="H677" s="113" t="s">
        <v>19</v>
      </c>
      <c r="I677" s="113"/>
      <c r="J677" s="113">
        <f t="shared" ref="J677:P677" si="594">SUM(J672:J676)</f>
        <v>882</v>
      </c>
      <c r="K677" s="113">
        <f t="shared" si="594"/>
        <v>230</v>
      </c>
      <c r="L677" s="113">
        <f t="shared" si="594"/>
        <v>39</v>
      </c>
      <c r="M677" s="113">
        <f t="shared" si="594"/>
        <v>357</v>
      </c>
      <c r="N677" s="113">
        <f t="shared" si="594"/>
        <v>212</v>
      </c>
      <c r="O677" s="113">
        <f t="shared" si="594"/>
        <v>35</v>
      </c>
      <c r="P677" s="113">
        <f t="shared" si="594"/>
        <v>11</v>
      </c>
      <c r="Q677" s="115">
        <f>(K677+L677)/J677</f>
        <v>0.30498866213151926</v>
      </c>
      <c r="R677" s="116">
        <f t="shared" si="590"/>
        <v>0.24036281179138322</v>
      </c>
      <c r="S677" s="116">
        <f t="shared" si="591"/>
        <v>1.2471655328798186E-2</v>
      </c>
      <c r="T677" s="116">
        <f t="shared" si="592"/>
        <v>3.968253968253968E-2</v>
      </c>
      <c r="U677" s="117">
        <f t="shared" si="593"/>
        <v>0.59750566893424029</v>
      </c>
      <c r="V677" s="127"/>
      <c r="W677" s="88"/>
      <c r="X677" s="88"/>
      <c r="Y677" s="118"/>
    </row>
    <row r="678" spans="2:25" ht="15.75" hidden="1" x14ac:dyDescent="0.2">
      <c r="B678" s="711">
        <v>46131</v>
      </c>
      <c r="C678" s="105" t="s">
        <v>18</v>
      </c>
      <c r="D678" s="105" t="s">
        <v>13</v>
      </c>
      <c r="E678" s="711">
        <v>46132</v>
      </c>
      <c r="G678" s="833">
        <v>46132</v>
      </c>
      <c r="H678" s="120" t="s">
        <v>75</v>
      </c>
      <c r="I678" s="120" t="s">
        <v>83</v>
      </c>
      <c r="J678" s="106">
        <v>233</v>
      </c>
      <c r="K678" s="106">
        <v>121</v>
      </c>
      <c r="L678" s="106">
        <v>80</v>
      </c>
      <c r="M678" s="106">
        <v>5</v>
      </c>
      <c r="N678" s="107">
        <v>0</v>
      </c>
      <c r="O678" s="106">
        <v>20</v>
      </c>
      <c r="P678" s="107">
        <v>7</v>
      </c>
      <c r="Q678" s="108">
        <f t="shared" ref="Q678:Q682" si="595">(K678+L678)/J678</f>
        <v>0.86266094420600858</v>
      </c>
      <c r="R678" s="109">
        <f t="shared" ref="R678:R690" si="596">N678/J678</f>
        <v>0</v>
      </c>
      <c r="S678" s="109">
        <f t="shared" ref="S678:S690" si="597">P678/J678</f>
        <v>3.0042918454935622E-2</v>
      </c>
      <c r="T678" s="109">
        <f t="shared" ref="T678:T690" si="598">O678/J678</f>
        <v>8.5836909871244635E-2</v>
      </c>
      <c r="U678" s="110">
        <f t="shared" ref="U678:U690" si="599">S678+R678+Q678+T678</f>
        <v>0.97854077253218885</v>
      </c>
      <c r="V678" s="136"/>
    </row>
    <row r="679" spans="2:25" ht="15.75" hidden="1" x14ac:dyDescent="0.2">
      <c r="B679" s="711">
        <v>46131</v>
      </c>
      <c r="C679" s="105" t="s">
        <v>18</v>
      </c>
      <c r="D679" s="105" t="s">
        <v>13</v>
      </c>
      <c r="E679" s="711">
        <v>46132</v>
      </c>
      <c r="G679" s="834"/>
      <c r="H679" s="120" t="s">
        <v>32</v>
      </c>
      <c r="I679" s="120" t="s">
        <v>106</v>
      </c>
      <c r="J679" s="106">
        <v>266</v>
      </c>
      <c r="K679" s="106">
        <v>201</v>
      </c>
      <c r="L679" s="106">
        <v>59</v>
      </c>
      <c r="M679" s="106">
        <v>3</v>
      </c>
      <c r="N679" s="107">
        <v>0</v>
      </c>
      <c r="O679" s="106">
        <v>0</v>
      </c>
      <c r="P679" s="107">
        <v>3</v>
      </c>
      <c r="Q679" s="108">
        <f t="shared" si="595"/>
        <v>0.97744360902255634</v>
      </c>
      <c r="R679" s="109">
        <f t="shared" si="596"/>
        <v>0</v>
      </c>
      <c r="S679" s="109">
        <f t="shared" si="597"/>
        <v>1.1278195488721804E-2</v>
      </c>
      <c r="T679" s="109">
        <f t="shared" si="598"/>
        <v>0</v>
      </c>
      <c r="U679" s="110">
        <f t="shared" si="599"/>
        <v>0.98872180451127811</v>
      </c>
      <c r="V679" s="136"/>
    </row>
    <row r="680" spans="2:25" ht="15.75" hidden="1" x14ac:dyDescent="0.2">
      <c r="B680" s="711">
        <v>46131</v>
      </c>
      <c r="C680" s="105" t="s">
        <v>18</v>
      </c>
      <c r="D680" s="105" t="s">
        <v>13</v>
      </c>
      <c r="E680" s="711">
        <v>46132</v>
      </c>
      <c r="G680" s="834"/>
      <c r="H680" s="120" t="s">
        <v>42</v>
      </c>
      <c r="I680" s="120" t="s">
        <v>43</v>
      </c>
      <c r="J680" s="106">
        <v>43</v>
      </c>
      <c r="K680" s="106">
        <v>0</v>
      </c>
      <c r="L680" s="106">
        <v>0</v>
      </c>
      <c r="M680" s="106">
        <v>0</v>
      </c>
      <c r="N680" s="107">
        <v>43</v>
      </c>
      <c r="O680" s="106">
        <v>0</v>
      </c>
      <c r="P680" s="107">
        <v>0</v>
      </c>
      <c r="Q680" s="108">
        <f t="shared" si="595"/>
        <v>0</v>
      </c>
      <c r="R680" s="109">
        <f t="shared" si="596"/>
        <v>1</v>
      </c>
      <c r="S680" s="109">
        <f t="shared" si="597"/>
        <v>0</v>
      </c>
      <c r="T680" s="109">
        <f t="shared" si="598"/>
        <v>0</v>
      </c>
      <c r="U680" s="110">
        <f t="shared" si="599"/>
        <v>1</v>
      </c>
      <c r="V680" s="136"/>
    </row>
    <row r="681" spans="2:25" ht="15.75" hidden="1" x14ac:dyDescent="0.2">
      <c r="B681" s="711">
        <v>46131</v>
      </c>
      <c r="C681" s="105" t="s">
        <v>18</v>
      </c>
      <c r="D681" s="105" t="s">
        <v>13</v>
      </c>
      <c r="E681" s="711">
        <v>46132</v>
      </c>
      <c r="G681" s="834"/>
      <c r="H681" s="120" t="s">
        <v>17</v>
      </c>
      <c r="I681" s="120" t="s">
        <v>22</v>
      </c>
      <c r="J681" s="106">
        <v>159</v>
      </c>
      <c r="K681" s="106">
        <v>104</v>
      </c>
      <c r="L681" s="106">
        <v>34</v>
      </c>
      <c r="M681" s="106">
        <v>4</v>
      </c>
      <c r="N681" s="107">
        <v>0</v>
      </c>
      <c r="O681" s="106">
        <v>15</v>
      </c>
      <c r="P681" s="107">
        <v>2</v>
      </c>
      <c r="Q681" s="108">
        <f t="shared" si="595"/>
        <v>0.86792452830188682</v>
      </c>
      <c r="R681" s="109">
        <f t="shared" si="596"/>
        <v>0</v>
      </c>
      <c r="S681" s="109">
        <f t="shared" si="597"/>
        <v>1.2578616352201259E-2</v>
      </c>
      <c r="T681" s="109">
        <f t="shared" si="598"/>
        <v>9.4339622641509441E-2</v>
      </c>
      <c r="U681" s="110">
        <f t="shared" si="599"/>
        <v>0.97484276729559749</v>
      </c>
      <c r="V681" s="136"/>
    </row>
    <row r="682" spans="2:25" ht="15.75" hidden="1" x14ac:dyDescent="0.2">
      <c r="B682" s="711">
        <v>46131</v>
      </c>
      <c r="C682" s="105" t="s">
        <v>18</v>
      </c>
      <c r="D682" s="105" t="s">
        <v>13</v>
      </c>
      <c r="E682" s="711">
        <v>46132</v>
      </c>
      <c r="G682" s="835"/>
      <c r="H682" s="120" t="s">
        <v>14</v>
      </c>
      <c r="I682" s="120" t="s">
        <v>18</v>
      </c>
      <c r="J682" s="106">
        <v>176</v>
      </c>
      <c r="K682" s="106">
        <v>0</v>
      </c>
      <c r="L682" s="106">
        <v>0</v>
      </c>
      <c r="M682" s="106">
        <v>174</v>
      </c>
      <c r="N682" s="107">
        <v>0</v>
      </c>
      <c r="O682" s="106">
        <v>0</v>
      </c>
      <c r="P682" s="107">
        <v>7</v>
      </c>
      <c r="Q682" s="108">
        <f t="shared" si="595"/>
        <v>0</v>
      </c>
      <c r="R682" s="109">
        <f t="shared" si="596"/>
        <v>0</v>
      </c>
      <c r="S682" s="109">
        <f t="shared" si="597"/>
        <v>3.9772727272727272E-2</v>
      </c>
      <c r="T682" s="109">
        <f t="shared" si="598"/>
        <v>0</v>
      </c>
      <c r="U682" s="110">
        <f t="shared" si="599"/>
        <v>3.9772727272727272E-2</v>
      </c>
      <c r="V682" s="136"/>
    </row>
    <row r="683" spans="2:25" ht="15.75" hidden="1" x14ac:dyDescent="0.2">
      <c r="B683" s="711">
        <v>46131</v>
      </c>
      <c r="C683" s="105" t="s">
        <v>18</v>
      </c>
      <c r="D683" s="105" t="s">
        <v>13</v>
      </c>
      <c r="E683" s="711">
        <v>46132</v>
      </c>
      <c r="G683" s="113"/>
      <c r="H683" s="113" t="s">
        <v>19</v>
      </c>
      <c r="I683" s="113"/>
      <c r="J683" s="113">
        <f t="shared" ref="J683:P683" si="600">SUM(J678:J682)</f>
        <v>877</v>
      </c>
      <c r="K683" s="113">
        <f t="shared" si="600"/>
        <v>426</v>
      </c>
      <c r="L683" s="113">
        <f t="shared" si="600"/>
        <v>173</v>
      </c>
      <c r="M683" s="113">
        <f t="shared" si="600"/>
        <v>186</v>
      </c>
      <c r="N683" s="113">
        <f t="shared" si="600"/>
        <v>43</v>
      </c>
      <c r="O683" s="113">
        <f t="shared" si="600"/>
        <v>35</v>
      </c>
      <c r="P683" s="113">
        <f t="shared" si="600"/>
        <v>19</v>
      </c>
      <c r="Q683" s="115">
        <f>(K683+L683)/J683</f>
        <v>0.68301026225769668</v>
      </c>
      <c r="R683" s="116">
        <f t="shared" si="596"/>
        <v>4.9030786773090078E-2</v>
      </c>
      <c r="S683" s="116">
        <f t="shared" si="597"/>
        <v>2.1664766248574687E-2</v>
      </c>
      <c r="T683" s="116">
        <f t="shared" si="598"/>
        <v>3.9908779931584946E-2</v>
      </c>
      <c r="U683" s="117">
        <f t="shared" si="599"/>
        <v>0.79361459521094635</v>
      </c>
      <c r="V683" s="127"/>
    </row>
    <row r="684" spans="2:25" ht="15.75" hidden="1" x14ac:dyDescent="0.2">
      <c r="B684" s="711">
        <v>46132</v>
      </c>
      <c r="C684" s="105" t="s">
        <v>22</v>
      </c>
      <c r="D684" s="105" t="s">
        <v>20</v>
      </c>
      <c r="E684" s="711">
        <v>46132</v>
      </c>
      <c r="G684" s="833">
        <v>46132</v>
      </c>
      <c r="H684" s="120" t="s">
        <v>75</v>
      </c>
      <c r="I684" s="120" t="s">
        <v>106</v>
      </c>
      <c r="J684" s="106">
        <v>220</v>
      </c>
      <c r="K684" s="106">
        <v>5</v>
      </c>
      <c r="L684" s="106">
        <v>18</v>
      </c>
      <c r="M684" s="106">
        <v>0</v>
      </c>
      <c r="N684" s="106">
        <v>0</v>
      </c>
      <c r="O684" s="106">
        <v>2</v>
      </c>
      <c r="P684" s="106">
        <v>6</v>
      </c>
      <c r="Q684" s="108">
        <f t="shared" ref="Q684:Q689" si="601">(K684+L684)/J684</f>
        <v>0.10454545454545454</v>
      </c>
      <c r="R684" s="109">
        <f t="shared" si="596"/>
        <v>0</v>
      </c>
      <c r="S684" s="109">
        <f t="shared" si="597"/>
        <v>2.7272727272727271E-2</v>
      </c>
      <c r="T684" s="109">
        <f t="shared" si="598"/>
        <v>9.0909090909090905E-3</v>
      </c>
      <c r="U684" s="110">
        <f t="shared" si="599"/>
        <v>0.1409090909090909</v>
      </c>
      <c r="V684" s="136"/>
    </row>
    <row r="685" spans="2:25" ht="15.75" hidden="1" x14ac:dyDescent="0.2">
      <c r="B685" s="711">
        <v>46132</v>
      </c>
      <c r="C685" s="105" t="s">
        <v>22</v>
      </c>
      <c r="D685" s="105" t="s">
        <v>20</v>
      </c>
      <c r="E685" s="711">
        <v>46132</v>
      </c>
      <c r="G685" s="834"/>
      <c r="H685" s="120" t="s">
        <v>32</v>
      </c>
      <c r="I685" s="120" t="s">
        <v>106</v>
      </c>
      <c r="J685" s="106">
        <v>266</v>
      </c>
      <c r="K685" s="106">
        <v>7</v>
      </c>
      <c r="L685" s="106">
        <v>1</v>
      </c>
      <c r="M685" s="106">
        <v>3</v>
      </c>
      <c r="N685" s="106">
        <v>0</v>
      </c>
      <c r="O685" s="106">
        <v>0</v>
      </c>
      <c r="P685" s="106">
        <v>3</v>
      </c>
      <c r="Q685" s="108">
        <f t="shared" si="601"/>
        <v>3.007518796992481E-2</v>
      </c>
      <c r="R685" s="109">
        <f t="shared" si="596"/>
        <v>0</v>
      </c>
      <c r="S685" s="109">
        <f t="shared" si="597"/>
        <v>1.1278195488721804E-2</v>
      </c>
      <c r="T685" s="109">
        <f t="shared" si="598"/>
        <v>0</v>
      </c>
      <c r="U685" s="110">
        <f t="shared" si="599"/>
        <v>4.1353383458646614E-2</v>
      </c>
      <c r="V685" s="136"/>
    </row>
    <row r="686" spans="2:25" ht="15.75" hidden="1" x14ac:dyDescent="0.2">
      <c r="B686" s="711">
        <v>46132</v>
      </c>
      <c r="C686" s="105" t="s">
        <v>22</v>
      </c>
      <c r="D686" s="105" t="s">
        <v>20</v>
      </c>
      <c r="E686" s="711">
        <v>46132</v>
      </c>
      <c r="G686" s="834"/>
      <c r="H686" s="120" t="s">
        <v>42</v>
      </c>
      <c r="I686" s="120" t="s">
        <v>43</v>
      </c>
      <c r="J686" s="106">
        <v>43</v>
      </c>
      <c r="K686" s="106">
        <v>41</v>
      </c>
      <c r="L686" s="106">
        <v>2</v>
      </c>
      <c r="M686" s="106">
        <v>0</v>
      </c>
      <c r="N686" s="106">
        <v>0</v>
      </c>
      <c r="O686" s="106">
        <v>0</v>
      </c>
      <c r="P686" s="106">
        <v>0</v>
      </c>
      <c r="Q686" s="108">
        <f t="shared" si="601"/>
        <v>1</v>
      </c>
      <c r="R686" s="109">
        <f t="shared" si="596"/>
        <v>0</v>
      </c>
      <c r="S686" s="109">
        <f t="shared" si="597"/>
        <v>0</v>
      </c>
      <c r="T686" s="109">
        <f t="shared" si="598"/>
        <v>0</v>
      </c>
      <c r="U686" s="110">
        <f t="shared" si="599"/>
        <v>1</v>
      </c>
      <c r="V686" s="136"/>
    </row>
    <row r="687" spans="2:25" ht="15.75" hidden="1" x14ac:dyDescent="0.2">
      <c r="B687" s="711">
        <v>46132</v>
      </c>
      <c r="C687" s="105" t="s">
        <v>22</v>
      </c>
      <c r="D687" s="105" t="s">
        <v>20</v>
      </c>
      <c r="E687" s="711">
        <v>46132</v>
      </c>
      <c r="G687" s="834"/>
      <c r="H687" s="120" t="s">
        <v>17</v>
      </c>
      <c r="I687" s="120" t="s">
        <v>22</v>
      </c>
      <c r="J687" s="106">
        <v>76</v>
      </c>
      <c r="K687" s="106">
        <v>8</v>
      </c>
      <c r="L687" s="106">
        <v>5</v>
      </c>
      <c r="M687" s="106">
        <v>4</v>
      </c>
      <c r="N687" s="106">
        <v>0</v>
      </c>
      <c r="O687" s="106">
        <v>0</v>
      </c>
      <c r="P687" s="106">
        <v>1</v>
      </c>
      <c r="Q687" s="108">
        <f t="shared" si="601"/>
        <v>0.17105263157894737</v>
      </c>
      <c r="R687" s="109">
        <f t="shared" si="596"/>
        <v>0</v>
      </c>
      <c r="S687" s="109">
        <f t="shared" si="597"/>
        <v>1.3157894736842105E-2</v>
      </c>
      <c r="T687" s="109">
        <f t="shared" si="598"/>
        <v>0</v>
      </c>
      <c r="U687" s="110">
        <f t="shared" si="599"/>
        <v>0.18421052631578949</v>
      </c>
      <c r="V687" s="136"/>
    </row>
    <row r="688" spans="2:25" ht="15.75" hidden="1" x14ac:dyDescent="0.2">
      <c r="B688" s="711">
        <v>46132</v>
      </c>
      <c r="C688" s="105" t="s">
        <v>22</v>
      </c>
      <c r="D688" s="105" t="s">
        <v>20</v>
      </c>
      <c r="E688" s="711">
        <v>46132</v>
      </c>
      <c r="G688" s="835"/>
      <c r="H688" s="120" t="s">
        <v>14</v>
      </c>
      <c r="I688" s="120" t="s">
        <v>18</v>
      </c>
      <c r="J688" s="106">
        <v>176</v>
      </c>
      <c r="K688" s="106">
        <v>40</v>
      </c>
      <c r="L688" s="106">
        <v>8</v>
      </c>
      <c r="M688" s="106">
        <v>9</v>
      </c>
      <c r="N688" s="106">
        <v>111</v>
      </c>
      <c r="O688" s="106">
        <v>0</v>
      </c>
      <c r="P688" s="106">
        <v>8</v>
      </c>
      <c r="Q688" s="108">
        <f t="shared" ref="Q688" si="602">(K688+L688)/J688</f>
        <v>0.27272727272727271</v>
      </c>
      <c r="R688" s="109">
        <f t="shared" ref="R688" si="603">N688/J688</f>
        <v>0.63068181818181823</v>
      </c>
      <c r="S688" s="109">
        <f t="shared" ref="S688" si="604">P688/J688</f>
        <v>4.5454545454545456E-2</v>
      </c>
      <c r="T688" s="109">
        <f t="shared" ref="T688" si="605">O688/J688</f>
        <v>0</v>
      </c>
      <c r="U688" s="110">
        <f t="shared" ref="U688" si="606">S688+R688+Q688+T688</f>
        <v>0.94886363636363635</v>
      </c>
      <c r="V688" s="136"/>
    </row>
    <row r="689" spans="2:25" ht="15.75" hidden="1" x14ac:dyDescent="0.2">
      <c r="B689" s="711">
        <v>46132</v>
      </c>
      <c r="C689" s="105" t="s">
        <v>22</v>
      </c>
      <c r="D689" s="105" t="s">
        <v>20</v>
      </c>
      <c r="E689" s="711">
        <v>46132</v>
      </c>
      <c r="G689" s="712">
        <v>46133</v>
      </c>
      <c r="H689" s="215" t="s">
        <v>17</v>
      </c>
      <c r="I689" s="215" t="s">
        <v>22</v>
      </c>
      <c r="J689" s="216">
        <v>178</v>
      </c>
      <c r="K689" s="106">
        <v>0</v>
      </c>
      <c r="L689" s="106">
        <v>0</v>
      </c>
      <c r="M689" s="106">
        <v>74</v>
      </c>
      <c r="N689" s="106">
        <v>99</v>
      </c>
      <c r="O689" s="106">
        <v>0</v>
      </c>
      <c r="P689" s="106">
        <v>4</v>
      </c>
      <c r="Q689" s="108">
        <f t="shared" si="601"/>
        <v>0</v>
      </c>
      <c r="R689" s="109">
        <f t="shared" si="596"/>
        <v>0.5561797752808989</v>
      </c>
      <c r="S689" s="109">
        <f t="shared" si="597"/>
        <v>2.247191011235955E-2</v>
      </c>
      <c r="T689" s="109">
        <f t="shared" si="598"/>
        <v>0</v>
      </c>
      <c r="U689" s="110">
        <f t="shared" si="599"/>
        <v>0.5786516853932584</v>
      </c>
      <c r="V689" s="136"/>
    </row>
    <row r="690" spans="2:25" s="97" customFormat="1" ht="16.5" hidden="1" customHeight="1" x14ac:dyDescent="0.2">
      <c r="B690" s="711">
        <v>46132</v>
      </c>
      <c r="C690" s="105" t="s">
        <v>22</v>
      </c>
      <c r="D690" s="105" t="s">
        <v>20</v>
      </c>
      <c r="E690" s="711">
        <v>46132</v>
      </c>
      <c r="F690" s="89"/>
      <c r="G690" s="113"/>
      <c r="H690" s="113" t="s">
        <v>19</v>
      </c>
      <c r="I690" s="113"/>
      <c r="J690" s="113">
        <f t="shared" ref="J690:P690" si="607">SUM(J684:J689)</f>
        <v>959</v>
      </c>
      <c r="K690" s="113">
        <f t="shared" si="607"/>
        <v>101</v>
      </c>
      <c r="L690" s="113">
        <f t="shared" si="607"/>
        <v>34</v>
      </c>
      <c r="M690" s="113">
        <f t="shared" si="607"/>
        <v>90</v>
      </c>
      <c r="N690" s="113">
        <f t="shared" si="607"/>
        <v>210</v>
      </c>
      <c r="O690" s="113">
        <f t="shared" si="607"/>
        <v>2</v>
      </c>
      <c r="P690" s="113">
        <f t="shared" si="607"/>
        <v>22</v>
      </c>
      <c r="Q690" s="115">
        <f>(K690+L690)/J690</f>
        <v>0.14077163712200208</v>
      </c>
      <c r="R690" s="116">
        <f t="shared" si="596"/>
        <v>0.21897810218978103</v>
      </c>
      <c r="S690" s="116">
        <f t="shared" si="597"/>
        <v>2.2940563086548488E-2</v>
      </c>
      <c r="T690" s="116">
        <f t="shared" si="598"/>
        <v>2.0855057351407717E-3</v>
      </c>
      <c r="U690" s="117">
        <f t="shared" si="599"/>
        <v>0.38477580813347234</v>
      </c>
      <c r="V690" s="127"/>
      <c r="W690" s="88"/>
      <c r="X690" s="88"/>
      <c r="Y690" s="118"/>
    </row>
    <row r="691" spans="2:25" ht="15.75" hidden="1" x14ac:dyDescent="0.2">
      <c r="B691" s="711">
        <v>46132</v>
      </c>
      <c r="C691" s="105" t="s">
        <v>12</v>
      </c>
      <c r="D691" s="105" t="s">
        <v>23</v>
      </c>
      <c r="E691" s="711">
        <v>46132</v>
      </c>
      <c r="G691" s="833">
        <v>46132</v>
      </c>
      <c r="H691" s="120" t="s">
        <v>75</v>
      </c>
      <c r="I691" s="120" t="s">
        <v>106</v>
      </c>
      <c r="J691" s="106">
        <v>220</v>
      </c>
      <c r="K691" s="106">
        <f>220-116</f>
        <v>104</v>
      </c>
      <c r="L691" s="106">
        <v>93</v>
      </c>
      <c r="M691" s="106">
        <v>1</v>
      </c>
      <c r="N691" s="106">
        <v>0</v>
      </c>
      <c r="O691" s="106">
        <v>18</v>
      </c>
      <c r="P691" s="106">
        <v>4</v>
      </c>
      <c r="Q691" s="108">
        <f t="shared" ref="Q691:Q695" si="608">(K691+L691)/J691</f>
        <v>0.8954545454545455</v>
      </c>
      <c r="R691" s="109">
        <f t="shared" ref="R691:R699" si="609">N691/J691</f>
        <v>0</v>
      </c>
      <c r="S691" s="109">
        <f t="shared" ref="S691:S699" si="610">P691/J691</f>
        <v>1.8181818181818181E-2</v>
      </c>
      <c r="T691" s="109">
        <f t="shared" ref="T691:T699" si="611">O691/J691</f>
        <v>8.1818181818181818E-2</v>
      </c>
      <c r="U691" s="110">
        <f t="shared" ref="U691:U699" si="612">S691+R691+Q691+T691</f>
        <v>0.99545454545454548</v>
      </c>
      <c r="V691" s="136"/>
    </row>
    <row r="692" spans="2:25" ht="15.75" hidden="1" x14ac:dyDescent="0.2">
      <c r="B692" s="711">
        <v>46132</v>
      </c>
      <c r="C692" s="105" t="s">
        <v>12</v>
      </c>
      <c r="D692" s="105" t="s">
        <v>23</v>
      </c>
      <c r="E692" s="711">
        <v>46132</v>
      </c>
      <c r="G692" s="834"/>
      <c r="H692" s="120" t="s">
        <v>32</v>
      </c>
      <c r="I692" s="120" t="s">
        <v>106</v>
      </c>
      <c r="J692" s="106">
        <v>266</v>
      </c>
      <c r="K692" s="106">
        <f>266-52</f>
        <v>214</v>
      </c>
      <c r="L692" s="106">
        <v>46</v>
      </c>
      <c r="M692" s="106">
        <v>3</v>
      </c>
      <c r="N692" s="106">
        <v>0</v>
      </c>
      <c r="O692" s="106">
        <v>0</v>
      </c>
      <c r="P692" s="106">
        <v>3</v>
      </c>
      <c r="Q692" s="108">
        <f t="shared" si="608"/>
        <v>0.97744360902255634</v>
      </c>
      <c r="R692" s="109">
        <f t="shared" si="609"/>
        <v>0</v>
      </c>
      <c r="S692" s="109">
        <f t="shared" si="610"/>
        <v>1.1278195488721804E-2</v>
      </c>
      <c r="T692" s="109">
        <f t="shared" si="611"/>
        <v>0</v>
      </c>
      <c r="U692" s="110">
        <f t="shared" si="612"/>
        <v>0.98872180451127811</v>
      </c>
      <c r="V692" s="136"/>
    </row>
    <row r="693" spans="2:25" ht="15.75" hidden="1" x14ac:dyDescent="0.2">
      <c r="B693" s="711">
        <v>46132</v>
      </c>
      <c r="C693" s="105" t="s">
        <v>12</v>
      </c>
      <c r="D693" s="105" t="s">
        <v>23</v>
      </c>
      <c r="E693" s="711">
        <v>46132</v>
      </c>
      <c r="G693" s="834"/>
      <c r="H693" s="120" t="s">
        <v>42</v>
      </c>
      <c r="I693" s="120" t="s">
        <v>43</v>
      </c>
      <c r="J693" s="106">
        <v>43</v>
      </c>
      <c r="K693" s="106">
        <v>41</v>
      </c>
      <c r="L693" s="106">
        <v>2</v>
      </c>
      <c r="M693" s="106">
        <v>0</v>
      </c>
      <c r="N693" s="106">
        <v>0</v>
      </c>
      <c r="O693" s="106">
        <v>0</v>
      </c>
      <c r="P693" s="106">
        <v>0</v>
      </c>
      <c r="Q693" s="108">
        <f t="shared" si="608"/>
        <v>1</v>
      </c>
      <c r="R693" s="109">
        <f t="shared" si="609"/>
        <v>0</v>
      </c>
      <c r="S693" s="109">
        <f t="shared" si="610"/>
        <v>0</v>
      </c>
      <c r="T693" s="109">
        <f t="shared" si="611"/>
        <v>0</v>
      </c>
      <c r="U693" s="110">
        <f t="shared" si="612"/>
        <v>1</v>
      </c>
      <c r="V693" s="136"/>
    </row>
    <row r="694" spans="2:25" ht="15.75" hidden="1" x14ac:dyDescent="0.2">
      <c r="B694" s="711">
        <v>46132</v>
      </c>
      <c r="C694" s="105" t="s">
        <v>12</v>
      </c>
      <c r="D694" s="105" t="s">
        <v>23</v>
      </c>
      <c r="E694" s="711">
        <v>46132</v>
      </c>
      <c r="G694" s="834"/>
      <c r="H694" s="120" t="s">
        <v>17</v>
      </c>
      <c r="I694" s="120" t="s">
        <v>22</v>
      </c>
      <c r="J694" s="106">
        <v>76</v>
      </c>
      <c r="K694" s="106">
        <v>50</v>
      </c>
      <c r="L694" s="106">
        <v>0</v>
      </c>
      <c r="M694" s="106">
        <v>0</v>
      </c>
      <c r="N694" s="106">
        <v>0</v>
      </c>
      <c r="O694" s="106">
        <v>25</v>
      </c>
      <c r="P694" s="106">
        <v>1</v>
      </c>
      <c r="Q694" s="108">
        <f t="shared" si="608"/>
        <v>0.65789473684210531</v>
      </c>
      <c r="R694" s="109">
        <f t="shared" si="609"/>
        <v>0</v>
      </c>
      <c r="S694" s="109">
        <f t="shared" si="610"/>
        <v>1.3157894736842105E-2</v>
      </c>
      <c r="T694" s="109">
        <f t="shared" si="611"/>
        <v>0.32894736842105265</v>
      </c>
      <c r="U694" s="110">
        <f t="shared" si="612"/>
        <v>1</v>
      </c>
      <c r="V694" s="136"/>
    </row>
    <row r="695" spans="2:25" ht="15.75" hidden="1" x14ac:dyDescent="0.2">
      <c r="B695" s="711">
        <v>46132</v>
      </c>
      <c r="C695" s="105" t="s">
        <v>12</v>
      </c>
      <c r="D695" s="105" t="s">
        <v>23</v>
      </c>
      <c r="E695" s="711">
        <v>46132</v>
      </c>
      <c r="G695" s="835"/>
      <c r="H695" s="120" t="s">
        <v>14</v>
      </c>
      <c r="I695" s="120" t="s">
        <v>18</v>
      </c>
      <c r="J695" s="106">
        <v>176</v>
      </c>
      <c r="K695" s="106">
        <f>176-59</f>
        <v>117</v>
      </c>
      <c r="L695" s="106">
        <v>30</v>
      </c>
      <c r="M695" s="106">
        <v>11</v>
      </c>
      <c r="N695" s="106">
        <v>0</v>
      </c>
      <c r="O695" s="106">
        <v>10</v>
      </c>
      <c r="P695" s="106">
        <v>8</v>
      </c>
      <c r="Q695" s="108">
        <f t="shared" si="608"/>
        <v>0.83522727272727271</v>
      </c>
      <c r="R695" s="109">
        <f t="shared" si="609"/>
        <v>0</v>
      </c>
      <c r="S695" s="109">
        <f t="shared" si="610"/>
        <v>4.5454545454545456E-2</v>
      </c>
      <c r="T695" s="109">
        <f t="shared" si="611"/>
        <v>5.6818181818181816E-2</v>
      </c>
      <c r="U695" s="110">
        <f t="shared" si="612"/>
        <v>0.93749999999999989</v>
      </c>
      <c r="V695" s="136"/>
    </row>
    <row r="696" spans="2:25" ht="15.75" hidden="1" x14ac:dyDescent="0.2">
      <c r="B696" s="711">
        <v>46132</v>
      </c>
      <c r="C696" s="105" t="s">
        <v>12</v>
      </c>
      <c r="D696" s="105" t="s">
        <v>23</v>
      </c>
      <c r="E696" s="711">
        <v>46132</v>
      </c>
      <c r="G696" s="833">
        <v>46133</v>
      </c>
      <c r="H696" s="120" t="s">
        <v>75</v>
      </c>
      <c r="I696" s="120" t="s">
        <v>106</v>
      </c>
      <c r="J696" s="106">
        <v>222</v>
      </c>
      <c r="K696" s="106">
        <v>1</v>
      </c>
      <c r="L696" s="106">
        <v>1</v>
      </c>
      <c r="M696" s="106">
        <v>80</v>
      </c>
      <c r="N696" s="106">
        <v>135</v>
      </c>
      <c r="O696" s="106">
        <v>24</v>
      </c>
      <c r="P696" s="106">
        <v>6</v>
      </c>
      <c r="Q696" s="108">
        <f t="shared" ref="Q696:Q698" si="613">(K696+L696)/J696</f>
        <v>9.0090090090090089E-3</v>
      </c>
      <c r="R696" s="109">
        <f t="shared" ref="R696:R698" si="614">N696/J696</f>
        <v>0.60810810810810811</v>
      </c>
      <c r="S696" s="109">
        <f t="shared" ref="S696:S698" si="615">P696/J696</f>
        <v>2.7027027027027029E-2</v>
      </c>
      <c r="T696" s="109">
        <f t="shared" ref="T696:T698" si="616">O696/J696</f>
        <v>0.10810810810810811</v>
      </c>
      <c r="U696" s="110">
        <f t="shared" ref="U696:U698" si="617">S696+R696+Q696+T696</f>
        <v>0.75225225225225223</v>
      </c>
      <c r="V696" s="136"/>
    </row>
    <row r="697" spans="2:25" ht="15.75" hidden="1" x14ac:dyDescent="0.2">
      <c r="B697" s="711">
        <v>46132</v>
      </c>
      <c r="C697" s="105" t="s">
        <v>12</v>
      </c>
      <c r="D697" s="105" t="s">
        <v>23</v>
      </c>
      <c r="E697" s="711">
        <v>46132</v>
      </c>
      <c r="G697" s="834"/>
      <c r="H697" s="120" t="s">
        <v>17</v>
      </c>
      <c r="I697" s="120" t="s">
        <v>22</v>
      </c>
      <c r="J697" s="106">
        <v>176</v>
      </c>
      <c r="K697" s="106">
        <v>1</v>
      </c>
      <c r="L697" s="106">
        <v>1</v>
      </c>
      <c r="M697" s="106">
        <v>37</v>
      </c>
      <c r="N697" s="106">
        <v>133</v>
      </c>
      <c r="O697" s="106">
        <v>26</v>
      </c>
      <c r="P697" s="106">
        <v>6</v>
      </c>
      <c r="Q697" s="108">
        <f t="shared" si="613"/>
        <v>1.1363636363636364E-2</v>
      </c>
      <c r="R697" s="109">
        <f t="shared" si="614"/>
        <v>0.75568181818181823</v>
      </c>
      <c r="S697" s="109">
        <f t="shared" si="615"/>
        <v>3.4090909090909088E-2</v>
      </c>
      <c r="T697" s="109">
        <f t="shared" si="616"/>
        <v>0.14772727272727273</v>
      </c>
      <c r="U697" s="110">
        <f t="shared" si="617"/>
        <v>0.94886363636363635</v>
      </c>
      <c r="V697" s="136"/>
    </row>
    <row r="698" spans="2:25" ht="15.75" hidden="1" x14ac:dyDescent="0.2">
      <c r="B698" s="711">
        <v>46132</v>
      </c>
      <c r="C698" s="105" t="s">
        <v>12</v>
      </c>
      <c r="D698" s="105" t="s">
        <v>23</v>
      </c>
      <c r="E698" s="711">
        <v>46132</v>
      </c>
      <c r="G698" s="835"/>
      <c r="H698" s="120" t="s">
        <v>14</v>
      </c>
      <c r="I698" s="120" t="s">
        <v>18</v>
      </c>
      <c r="J698" s="106">
        <v>190</v>
      </c>
      <c r="K698" s="106">
        <v>0</v>
      </c>
      <c r="L698" s="106">
        <v>0</v>
      </c>
      <c r="M698" s="106">
        <v>180</v>
      </c>
      <c r="N698" s="106">
        <v>0</v>
      </c>
      <c r="O698" s="106">
        <v>11</v>
      </c>
      <c r="P698" s="106">
        <v>10</v>
      </c>
      <c r="Q698" s="108">
        <f t="shared" si="613"/>
        <v>0</v>
      </c>
      <c r="R698" s="109">
        <f t="shared" si="614"/>
        <v>0</v>
      </c>
      <c r="S698" s="109">
        <f t="shared" si="615"/>
        <v>5.2631578947368418E-2</v>
      </c>
      <c r="T698" s="109">
        <f t="shared" si="616"/>
        <v>5.7894736842105263E-2</v>
      </c>
      <c r="U698" s="110">
        <f t="shared" si="617"/>
        <v>0.11052631578947368</v>
      </c>
      <c r="V698" s="136"/>
    </row>
    <row r="699" spans="2:25" s="97" customFormat="1" ht="16.5" hidden="1" customHeight="1" x14ac:dyDescent="0.2">
      <c r="B699" s="711">
        <v>46132</v>
      </c>
      <c r="C699" s="105" t="s">
        <v>12</v>
      </c>
      <c r="D699" s="105" t="s">
        <v>23</v>
      </c>
      <c r="E699" s="711">
        <v>46132</v>
      </c>
      <c r="F699" s="89"/>
      <c r="G699" s="113"/>
      <c r="H699" s="113" t="s">
        <v>19</v>
      </c>
      <c r="I699" s="113"/>
      <c r="J699" s="113">
        <f>SUM(J691:J698)</f>
        <v>1369</v>
      </c>
      <c r="K699" s="113">
        <f t="shared" ref="K699:P699" si="618">SUM(K691:K698)</f>
        <v>528</v>
      </c>
      <c r="L699" s="113">
        <f t="shared" si="618"/>
        <v>173</v>
      </c>
      <c r="M699" s="113">
        <f t="shared" si="618"/>
        <v>312</v>
      </c>
      <c r="N699" s="113">
        <f t="shared" si="618"/>
        <v>268</v>
      </c>
      <c r="O699" s="113">
        <f t="shared" si="618"/>
        <v>114</v>
      </c>
      <c r="P699" s="113">
        <f t="shared" si="618"/>
        <v>38</v>
      </c>
      <c r="Q699" s="115">
        <f>(K699+L699)/J699</f>
        <v>0.51205259313367424</v>
      </c>
      <c r="R699" s="116">
        <f t="shared" si="609"/>
        <v>0.19576333089846604</v>
      </c>
      <c r="S699" s="116">
        <f t="shared" si="610"/>
        <v>2.7757487216946677E-2</v>
      </c>
      <c r="T699" s="116">
        <f t="shared" si="611"/>
        <v>8.3272461650840027E-2</v>
      </c>
      <c r="U699" s="117">
        <f t="shared" si="612"/>
        <v>0.81884587289992694</v>
      </c>
      <c r="V699" s="209"/>
      <c r="W699" s="88"/>
      <c r="X699" s="88"/>
      <c r="Y699" s="118"/>
    </row>
    <row r="700" spans="2:25" ht="15.75" hidden="1" x14ac:dyDescent="0.2">
      <c r="B700" s="711">
        <v>46132</v>
      </c>
      <c r="C700" s="105" t="s">
        <v>12</v>
      </c>
      <c r="D700" s="105" t="s">
        <v>13</v>
      </c>
      <c r="E700" s="711">
        <v>46133</v>
      </c>
      <c r="G700" s="833">
        <v>46133</v>
      </c>
      <c r="H700" s="120" t="s">
        <v>75</v>
      </c>
      <c r="I700" s="120" t="s">
        <v>86</v>
      </c>
      <c r="J700" s="106">
        <v>222</v>
      </c>
      <c r="K700" s="106">
        <f>J700-L700-M700-N700-O700-P700</f>
        <v>123</v>
      </c>
      <c r="L700" s="106">
        <v>41</v>
      </c>
      <c r="M700" s="106">
        <v>28</v>
      </c>
      <c r="N700" s="106">
        <v>0</v>
      </c>
      <c r="O700" s="106">
        <v>24</v>
      </c>
      <c r="P700" s="106">
        <v>6</v>
      </c>
      <c r="Q700" s="108">
        <f t="shared" ref="Q700:Q702" si="619">(K700+L700)/J700</f>
        <v>0.73873873873873874</v>
      </c>
      <c r="R700" s="109">
        <f t="shared" ref="R700:R709" si="620">N700/J700</f>
        <v>0</v>
      </c>
      <c r="S700" s="109">
        <f t="shared" ref="S700:S709" si="621">P700/J700</f>
        <v>2.7027027027027029E-2</v>
      </c>
      <c r="T700" s="109">
        <f t="shared" ref="T700:T709" si="622">O700/J700</f>
        <v>0.10810810810810811</v>
      </c>
      <c r="U700" s="217">
        <f t="shared" ref="U700:U709" si="623">S700+R700+Q700+T700</f>
        <v>0.87387387387387383</v>
      </c>
      <c r="V700" s="218"/>
    </row>
    <row r="701" spans="2:25" ht="15.75" hidden="1" x14ac:dyDescent="0.2">
      <c r="B701" s="711">
        <v>46132</v>
      </c>
      <c r="C701" s="105" t="s">
        <v>12</v>
      </c>
      <c r="D701" s="105" t="s">
        <v>13</v>
      </c>
      <c r="E701" s="711">
        <v>46133</v>
      </c>
      <c r="G701" s="834"/>
      <c r="H701" s="120" t="s">
        <v>17</v>
      </c>
      <c r="I701" s="120" t="s">
        <v>22</v>
      </c>
      <c r="J701" s="106">
        <v>176</v>
      </c>
      <c r="K701" s="106">
        <f>J701-L701-M701-N701-O701-P701</f>
        <v>117</v>
      </c>
      <c r="L701" s="106">
        <v>20</v>
      </c>
      <c r="M701" s="106">
        <v>21</v>
      </c>
      <c r="N701" s="106">
        <v>0</v>
      </c>
      <c r="O701" s="106">
        <v>18</v>
      </c>
      <c r="P701" s="106">
        <v>0</v>
      </c>
      <c r="Q701" s="108">
        <f t="shared" si="619"/>
        <v>0.77840909090909094</v>
      </c>
      <c r="R701" s="109">
        <f t="shared" si="620"/>
        <v>0</v>
      </c>
      <c r="S701" s="109">
        <f t="shared" si="621"/>
        <v>0</v>
      </c>
      <c r="T701" s="109">
        <f t="shared" si="622"/>
        <v>0.10227272727272728</v>
      </c>
      <c r="U701" s="217">
        <f t="shared" si="623"/>
        <v>0.88068181818181823</v>
      </c>
      <c r="V701" s="218"/>
    </row>
    <row r="702" spans="2:25" ht="15.75" hidden="1" x14ac:dyDescent="0.2">
      <c r="B702" s="711">
        <v>46132</v>
      </c>
      <c r="C702" s="105" t="s">
        <v>12</v>
      </c>
      <c r="D702" s="105" t="s">
        <v>13</v>
      </c>
      <c r="E702" s="711">
        <v>46133</v>
      </c>
      <c r="G702" s="835"/>
      <c r="H702" s="120" t="s">
        <v>14</v>
      </c>
      <c r="I702" s="120" t="s">
        <v>18</v>
      </c>
      <c r="J702" s="106">
        <v>190</v>
      </c>
      <c r="K702" s="106">
        <f>J702-L702-M702-N702-O702-P702</f>
        <v>10</v>
      </c>
      <c r="L702" s="106">
        <v>0</v>
      </c>
      <c r="M702" s="106">
        <v>95</v>
      </c>
      <c r="N702" s="106">
        <v>75</v>
      </c>
      <c r="O702" s="106">
        <v>0</v>
      </c>
      <c r="P702" s="106">
        <v>10</v>
      </c>
      <c r="Q702" s="108">
        <f t="shared" si="619"/>
        <v>5.2631578947368418E-2</v>
      </c>
      <c r="R702" s="109">
        <f t="shared" si="620"/>
        <v>0.39473684210526316</v>
      </c>
      <c r="S702" s="109">
        <f t="shared" si="621"/>
        <v>5.2631578947368418E-2</v>
      </c>
      <c r="T702" s="109">
        <f t="shared" si="622"/>
        <v>0</v>
      </c>
      <c r="U702" s="217">
        <f t="shared" si="623"/>
        <v>0.5</v>
      </c>
      <c r="V702" s="219"/>
    </row>
    <row r="703" spans="2:25" ht="15.75" hidden="1" x14ac:dyDescent="0.2">
      <c r="B703" s="711">
        <v>46132</v>
      </c>
      <c r="C703" s="105" t="s">
        <v>12</v>
      </c>
      <c r="D703" s="105" t="s">
        <v>13</v>
      </c>
      <c r="E703" s="711">
        <v>46133</v>
      </c>
      <c r="G703" s="113"/>
      <c r="H703" s="113" t="s">
        <v>19</v>
      </c>
      <c r="I703" s="113"/>
      <c r="J703" s="113">
        <f t="shared" ref="J703:P703" si="624">SUM(J700:J702)</f>
        <v>588</v>
      </c>
      <c r="K703" s="113">
        <f t="shared" si="624"/>
        <v>250</v>
      </c>
      <c r="L703" s="113">
        <f t="shared" si="624"/>
        <v>61</v>
      </c>
      <c r="M703" s="113">
        <f t="shared" si="624"/>
        <v>144</v>
      </c>
      <c r="N703" s="114">
        <f t="shared" si="624"/>
        <v>75</v>
      </c>
      <c r="O703" s="113">
        <f t="shared" si="624"/>
        <v>42</v>
      </c>
      <c r="P703" s="114">
        <f t="shared" si="624"/>
        <v>16</v>
      </c>
      <c r="Q703" s="115">
        <f>(K703+L703)/J703</f>
        <v>0.52891156462585032</v>
      </c>
      <c r="R703" s="116">
        <f t="shared" si="620"/>
        <v>0.12755102040816327</v>
      </c>
      <c r="S703" s="116">
        <f t="shared" si="621"/>
        <v>2.7210884353741496E-2</v>
      </c>
      <c r="T703" s="116">
        <f t="shared" si="622"/>
        <v>7.1428571428571425E-2</v>
      </c>
      <c r="U703" s="117">
        <f t="shared" si="623"/>
        <v>0.75510204081632648</v>
      </c>
      <c r="V703" s="213"/>
    </row>
    <row r="704" spans="2:25" ht="15.75" hidden="1" x14ac:dyDescent="0.2">
      <c r="B704" s="711">
        <v>46133</v>
      </c>
      <c r="C704" s="105" t="s">
        <v>22</v>
      </c>
      <c r="D704" s="105" t="s">
        <v>20</v>
      </c>
      <c r="E704" s="711">
        <v>46133</v>
      </c>
      <c r="G704" s="833">
        <v>46133</v>
      </c>
      <c r="H704" s="120" t="s">
        <v>75</v>
      </c>
      <c r="I704" s="120" t="s">
        <v>83</v>
      </c>
      <c r="J704" s="106">
        <v>222</v>
      </c>
      <c r="K704" s="106">
        <v>3</v>
      </c>
      <c r="L704" s="106">
        <v>17</v>
      </c>
      <c r="M704" s="106">
        <v>4</v>
      </c>
      <c r="N704" s="106">
        <v>0</v>
      </c>
      <c r="O704" s="106">
        <v>8</v>
      </c>
      <c r="P704" s="106">
        <v>6</v>
      </c>
      <c r="Q704" s="108">
        <f t="shared" ref="Q704:Q708" si="625">(K704+L704)/J704</f>
        <v>9.0090090090090086E-2</v>
      </c>
      <c r="R704" s="109">
        <f t="shared" si="620"/>
        <v>0</v>
      </c>
      <c r="S704" s="109">
        <f t="shared" si="621"/>
        <v>2.7027027027027029E-2</v>
      </c>
      <c r="T704" s="109">
        <f t="shared" si="622"/>
        <v>3.6036036036036036E-2</v>
      </c>
      <c r="U704" s="110">
        <f t="shared" si="623"/>
        <v>0.15315315315315314</v>
      </c>
      <c r="V704" s="136"/>
    </row>
    <row r="705" spans="2:25" ht="15.75" hidden="1" x14ac:dyDescent="0.2">
      <c r="B705" s="711">
        <v>46133</v>
      </c>
      <c r="C705" s="105" t="s">
        <v>22</v>
      </c>
      <c r="D705" s="105" t="s">
        <v>20</v>
      </c>
      <c r="E705" s="711">
        <v>46133</v>
      </c>
      <c r="G705" s="834"/>
      <c r="H705" s="120" t="s">
        <v>32</v>
      </c>
      <c r="I705" s="120" t="s">
        <v>106</v>
      </c>
      <c r="J705" s="106">
        <v>46</v>
      </c>
      <c r="K705" s="106">
        <v>34</v>
      </c>
      <c r="L705" s="106">
        <v>11</v>
      </c>
      <c r="M705" s="106">
        <v>1</v>
      </c>
      <c r="N705" s="106">
        <v>0</v>
      </c>
      <c r="O705" s="106">
        <v>0</v>
      </c>
      <c r="P705" s="106">
        <v>0</v>
      </c>
      <c r="Q705" s="108">
        <f t="shared" si="625"/>
        <v>0.97826086956521741</v>
      </c>
      <c r="R705" s="109">
        <f t="shared" si="620"/>
        <v>0</v>
      </c>
      <c r="S705" s="109">
        <f t="shared" si="621"/>
        <v>0</v>
      </c>
      <c r="T705" s="109">
        <f t="shared" si="622"/>
        <v>0</v>
      </c>
      <c r="U705" s="110">
        <f t="shared" si="623"/>
        <v>0.97826086956521741</v>
      </c>
      <c r="V705" s="136"/>
    </row>
    <row r="706" spans="2:25" ht="15.75" hidden="1" x14ac:dyDescent="0.2">
      <c r="B706" s="711">
        <v>46133</v>
      </c>
      <c r="C706" s="105" t="s">
        <v>22</v>
      </c>
      <c r="D706" s="105" t="s">
        <v>20</v>
      </c>
      <c r="E706" s="711">
        <v>46133</v>
      </c>
      <c r="G706" s="834"/>
      <c r="H706" s="120" t="s">
        <v>17</v>
      </c>
      <c r="I706" s="120" t="s">
        <v>22</v>
      </c>
      <c r="J706" s="106">
        <v>176</v>
      </c>
      <c r="K706" s="106">
        <v>8</v>
      </c>
      <c r="L706" s="106">
        <v>12</v>
      </c>
      <c r="M706" s="106">
        <v>0</v>
      </c>
      <c r="N706" s="106">
        <v>0</v>
      </c>
      <c r="O706" s="106">
        <v>14</v>
      </c>
      <c r="P706" s="106">
        <v>6</v>
      </c>
      <c r="Q706" s="108">
        <f t="shared" si="625"/>
        <v>0.11363636363636363</v>
      </c>
      <c r="R706" s="109">
        <f t="shared" si="620"/>
        <v>0</v>
      </c>
      <c r="S706" s="109">
        <f t="shared" si="621"/>
        <v>3.4090909090909088E-2</v>
      </c>
      <c r="T706" s="109">
        <f t="shared" si="622"/>
        <v>7.9545454545454544E-2</v>
      </c>
      <c r="U706" s="110">
        <f t="shared" si="623"/>
        <v>0.22727272727272724</v>
      </c>
      <c r="V706" s="136"/>
    </row>
    <row r="707" spans="2:25" ht="15.75" hidden="1" x14ac:dyDescent="0.2">
      <c r="B707" s="711">
        <v>46133</v>
      </c>
      <c r="C707" s="105" t="s">
        <v>22</v>
      </c>
      <c r="D707" s="105" t="s">
        <v>20</v>
      </c>
      <c r="E707" s="711">
        <v>46133</v>
      </c>
      <c r="G707" s="835"/>
      <c r="H707" s="120" t="s">
        <v>14</v>
      </c>
      <c r="I707" s="120" t="s">
        <v>18</v>
      </c>
      <c r="J707" s="106">
        <v>190</v>
      </c>
      <c r="K707" s="106">
        <v>23</v>
      </c>
      <c r="L707" s="106">
        <v>5</v>
      </c>
      <c r="M707" s="106">
        <v>11</v>
      </c>
      <c r="N707" s="106">
        <v>139</v>
      </c>
      <c r="O707" s="106">
        <v>0</v>
      </c>
      <c r="P707" s="106">
        <v>11</v>
      </c>
      <c r="Q707" s="108">
        <f t="shared" si="625"/>
        <v>0.14736842105263157</v>
      </c>
      <c r="R707" s="109">
        <f t="shared" si="620"/>
        <v>0.73157894736842111</v>
      </c>
      <c r="S707" s="109">
        <f t="shared" si="621"/>
        <v>5.7894736842105263E-2</v>
      </c>
      <c r="T707" s="109">
        <f t="shared" si="622"/>
        <v>0</v>
      </c>
      <c r="U707" s="110">
        <f t="shared" si="623"/>
        <v>0.93684210526315792</v>
      </c>
      <c r="V707" s="136"/>
    </row>
    <row r="708" spans="2:25" ht="15.75" hidden="1" x14ac:dyDescent="0.2">
      <c r="B708" s="711">
        <v>46133</v>
      </c>
      <c r="C708" s="105" t="s">
        <v>22</v>
      </c>
      <c r="D708" s="105" t="s">
        <v>20</v>
      </c>
      <c r="E708" s="711">
        <v>46134</v>
      </c>
      <c r="G708" s="712">
        <v>46134</v>
      </c>
      <c r="H708" s="215" t="s">
        <v>17</v>
      </c>
      <c r="I708" s="215" t="s">
        <v>22</v>
      </c>
      <c r="J708" s="216">
        <v>282</v>
      </c>
      <c r="K708" s="106">
        <v>0</v>
      </c>
      <c r="L708" s="106">
        <v>0</v>
      </c>
      <c r="M708" s="106">
        <v>192</v>
      </c>
      <c r="N708" s="106">
        <v>106</v>
      </c>
      <c r="O708" s="106">
        <v>0</v>
      </c>
      <c r="P708" s="106">
        <v>8</v>
      </c>
      <c r="Q708" s="108">
        <f t="shared" si="625"/>
        <v>0</v>
      </c>
      <c r="R708" s="109">
        <f t="shared" si="620"/>
        <v>0.37588652482269502</v>
      </c>
      <c r="S708" s="109">
        <f t="shared" si="621"/>
        <v>2.8368794326241134E-2</v>
      </c>
      <c r="T708" s="109">
        <f t="shared" si="622"/>
        <v>0</v>
      </c>
      <c r="U708" s="110">
        <f t="shared" si="623"/>
        <v>0.40425531914893614</v>
      </c>
      <c r="V708" s="136"/>
    </row>
    <row r="709" spans="2:25" s="97" customFormat="1" ht="16.5" hidden="1" customHeight="1" x14ac:dyDescent="0.2">
      <c r="B709" s="711">
        <v>46133</v>
      </c>
      <c r="C709" s="105" t="s">
        <v>22</v>
      </c>
      <c r="D709" s="105" t="s">
        <v>20</v>
      </c>
      <c r="E709" s="711">
        <v>46133</v>
      </c>
      <c r="F709" s="89"/>
      <c r="G709" s="113"/>
      <c r="H709" s="113" t="s">
        <v>19</v>
      </c>
      <c r="I709" s="113"/>
      <c r="J709" s="113">
        <f t="shared" ref="J709:P709" si="626">SUM(J704:J708)</f>
        <v>916</v>
      </c>
      <c r="K709" s="113">
        <f t="shared" si="626"/>
        <v>68</v>
      </c>
      <c r="L709" s="113">
        <f t="shared" si="626"/>
        <v>45</v>
      </c>
      <c r="M709" s="113">
        <f t="shared" si="626"/>
        <v>208</v>
      </c>
      <c r="N709" s="113">
        <f t="shared" si="626"/>
        <v>245</v>
      </c>
      <c r="O709" s="113">
        <f t="shared" si="626"/>
        <v>22</v>
      </c>
      <c r="P709" s="113">
        <f t="shared" si="626"/>
        <v>31</v>
      </c>
      <c r="Q709" s="115">
        <f>(K709+L709)/J709</f>
        <v>0.12336244541484716</v>
      </c>
      <c r="R709" s="116">
        <f t="shared" si="620"/>
        <v>0.26746724890829693</v>
      </c>
      <c r="S709" s="116">
        <f t="shared" si="621"/>
        <v>3.384279475982533E-2</v>
      </c>
      <c r="T709" s="116">
        <f t="shared" si="622"/>
        <v>2.4017467248908297E-2</v>
      </c>
      <c r="U709" s="117">
        <f t="shared" si="623"/>
        <v>0.44868995633187769</v>
      </c>
      <c r="V709" s="127"/>
      <c r="W709" s="88"/>
      <c r="X709" s="88"/>
      <c r="Y709" s="118"/>
    </row>
    <row r="710" spans="2:25" ht="15.75" hidden="1" x14ac:dyDescent="0.2">
      <c r="B710" s="711">
        <v>46133</v>
      </c>
      <c r="C710" s="105" t="s">
        <v>12</v>
      </c>
      <c r="D710" s="105" t="s">
        <v>23</v>
      </c>
      <c r="E710" s="711">
        <v>46133</v>
      </c>
      <c r="G710" s="833">
        <v>46133</v>
      </c>
      <c r="H710" s="120" t="s">
        <v>75</v>
      </c>
      <c r="I710" s="120" t="s">
        <v>83</v>
      </c>
      <c r="J710" s="106">
        <v>222</v>
      </c>
      <c r="K710" s="106">
        <f>222-102</f>
        <v>120</v>
      </c>
      <c r="L710" s="106">
        <v>77</v>
      </c>
      <c r="M710" s="106">
        <v>4</v>
      </c>
      <c r="N710" s="106">
        <v>0</v>
      </c>
      <c r="O710" s="106">
        <v>18</v>
      </c>
      <c r="P710" s="106">
        <v>3</v>
      </c>
      <c r="Q710" s="108">
        <f t="shared" ref="Q710:Q713" si="627">(K710+L710)/J710</f>
        <v>0.88738738738738743</v>
      </c>
      <c r="R710" s="109">
        <f t="shared" ref="R710:R717" si="628">N710/J710</f>
        <v>0</v>
      </c>
      <c r="S710" s="109">
        <f t="shared" ref="S710:S717" si="629">P710/J710</f>
        <v>1.3513513513513514E-2</v>
      </c>
      <c r="T710" s="109">
        <f t="shared" ref="T710:T717" si="630">O710/J710</f>
        <v>8.1081081081081086E-2</v>
      </c>
      <c r="U710" s="110">
        <f t="shared" ref="U710:U717" si="631">S710+R710+Q710+T710</f>
        <v>0.98198198198198194</v>
      </c>
      <c r="V710" s="136"/>
    </row>
    <row r="711" spans="2:25" ht="15.75" hidden="1" x14ac:dyDescent="0.2">
      <c r="B711" s="711">
        <v>46133</v>
      </c>
      <c r="C711" s="105" t="s">
        <v>12</v>
      </c>
      <c r="D711" s="105" t="s">
        <v>23</v>
      </c>
      <c r="E711" s="711">
        <v>46133</v>
      </c>
      <c r="G711" s="834"/>
      <c r="H711" s="120" t="s">
        <v>32</v>
      </c>
      <c r="I711" s="120" t="s">
        <v>106</v>
      </c>
      <c r="J711" s="106">
        <v>46</v>
      </c>
      <c r="K711" s="106">
        <f>46-11</f>
        <v>35</v>
      </c>
      <c r="L711" s="106">
        <v>8</v>
      </c>
      <c r="M711" s="106">
        <v>1</v>
      </c>
      <c r="N711" s="106">
        <v>1</v>
      </c>
      <c r="O711" s="106">
        <v>0</v>
      </c>
      <c r="P711" s="106">
        <v>1</v>
      </c>
      <c r="Q711" s="108">
        <f t="shared" si="627"/>
        <v>0.93478260869565222</v>
      </c>
      <c r="R711" s="109">
        <f t="shared" si="628"/>
        <v>2.1739130434782608E-2</v>
      </c>
      <c r="S711" s="109">
        <f t="shared" si="629"/>
        <v>2.1739130434782608E-2</v>
      </c>
      <c r="T711" s="109">
        <f t="shared" si="630"/>
        <v>0</v>
      </c>
      <c r="U711" s="110">
        <f t="shared" si="631"/>
        <v>0.97826086956521741</v>
      </c>
      <c r="V711" s="136"/>
    </row>
    <row r="712" spans="2:25" ht="15.75" hidden="1" x14ac:dyDescent="0.2">
      <c r="B712" s="711">
        <v>46133</v>
      </c>
      <c r="C712" s="105" t="s">
        <v>12</v>
      </c>
      <c r="D712" s="105" t="s">
        <v>23</v>
      </c>
      <c r="E712" s="711">
        <v>46133</v>
      </c>
      <c r="G712" s="834"/>
      <c r="H712" s="120" t="s">
        <v>17</v>
      </c>
      <c r="I712" s="120" t="s">
        <v>22</v>
      </c>
      <c r="J712" s="106">
        <v>176</v>
      </c>
      <c r="K712" s="106">
        <f>176-67</f>
        <v>109</v>
      </c>
      <c r="L712" s="106">
        <v>40</v>
      </c>
      <c r="M712" s="106">
        <v>7</v>
      </c>
      <c r="N712" s="106">
        <v>0</v>
      </c>
      <c r="O712" s="106">
        <v>14</v>
      </c>
      <c r="P712" s="106">
        <v>6</v>
      </c>
      <c r="Q712" s="108">
        <f t="shared" si="627"/>
        <v>0.84659090909090906</v>
      </c>
      <c r="R712" s="109">
        <f t="shared" si="628"/>
        <v>0</v>
      </c>
      <c r="S712" s="109">
        <f t="shared" si="629"/>
        <v>3.4090909090909088E-2</v>
      </c>
      <c r="T712" s="109">
        <f t="shared" si="630"/>
        <v>7.9545454545454544E-2</v>
      </c>
      <c r="U712" s="110">
        <f t="shared" si="631"/>
        <v>0.96022727272727271</v>
      </c>
      <c r="V712" s="136"/>
    </row>
    <row r="713" spans="2:25" ht="15.75" hidden="1" x14ac:dyDescent="0.2">
      <c r="B713" s="711">
        <v>46133</v>
      </c>
      <c r="C713" s="105" t="s">
        <v>12</v>
      </c>
      <c r="D713" s="105" t="s">
        <v>23</v>
      </c>
      <c r="E713" s="711">
        <v>46133</v>
      </c>
      <c r="G713" s="835"/>
      <c r="H713" s="120" t="s">
        <v>14</v>
      </c>
      <c r="I713" s="120" t="s">
        <v>18</v>
      </c>
      <c r="J713" s="106">
        <v>190</v>
      </c>
      <c r="K713" s="106">
        <f>190-54</f>
        <v>136</v>
      </c>
      <c r="L713" s="106">
        <v>22</v>
      </c>
      <c r="M713" s="106">
        <v>0</v>
      </c>
      <c r="N713" s="106">
        <v>0</v>
      </c>
      <c r="O713" s="106">
        <v>11</v>
      </c>
      <c r="P713" s="106">
        <v>10</v>
      </c>
      <c r="Q713" s="108">
        <f t="shared" si="627"/>
        <v>0.83157894736842108</v>
      </c>
      <c r="R713" s="109">
        <f t="shared" si="628"/>
        <v>0</v>
      </c>
      <c r="S713" s="109">
        <f t="shared" si="629"/>
        <v>5.2631578947368418E-2</v>
      </c>
      <c r="T713" s="109">
        <f t="shared" si="630"/>
        <v>5.7894736842105263E-2</v>
      </c>
      <c r="U713" s="110">
        <f t="shared" si="631"/>
        <v>0.94210526315789478</v>
      </c>
      <c r="V713" s="136"/>
    </row>
    <row r="714" spans="2:25" ht="15.75" hidden="1" x14ac:dyDescent="0.2">
      <c r="B714" s="711">
        <v>46133</v>
      </c>
      <c r="C714" s="105" t="s">
        <v>12</v>
      </c>
      <c r="D714" s="105" t="s">
        <v>23</v>
      </c>
      <c r="E714" s="711">
        <v>46134</v>
      </c>
      <c r="G714" s="833">
        <v>46134</v>
      </c>
      <c r="H714" s="120" t="s">
        <v>75</v>
      </c>
      <c r="I714" s="120" t="s">
        <v>83</v>
      </c>
      <c r="J714" s="106">
        <v>235</v>
      </c>
      <c r="K714" s="106">
        <v>0</v>
      </c>
      <c r="L714" s="106">
        <v>0</v>
      </c>
      <c r="M714" s="106">
        <v>192</v>
      </c>
      <c r="N714" s="106">
        <v>15</v>
      </c>
      <c r="O714" s="106">
        <v>36</v>
      </c>
      <c r="P714" s="106">
        <v>28</v>
      </c>
      <c r="Q714" s="108">
        <f t="shared" ref="Q714:Q716" si="632">(K714+L714)/J714</f>
        <v>0</v>
      </c>
      <c r="R714" s="109">
        <f t="shared" ref="R714:R716" si="633">N714/J714</f>
        <v>6.3829787234042548E-2</v>
      </c>
      <c r="S714" s="109">
        <f t="shared" ref="S714:S716" si="634">P714/J714</f>
        <v>0.11914893617021277</v>
      </c>
      <c r="T714" s="109">
        <f t="shared" ref="T714:T716" si="635">O714/J714</f>
        <v>0.15319148936170213</v>
      </c>
      <c r="U714" s="110">
        <f t="shared" ref="U714:U716" si="636">S714+R714+Q714+T714</f>
        <v>0.33617021276595743</v>
      </c>
      <c r="V714" s="136"/>
    </row>
    <row r="715" spans="2:25" ht="15.75" hidden="1" x14ac:dyDescent="0.2">
      <c r="B715" s="711">
        <v>46133</v>
      </c>
      <c r="C715" s="105" t="s">
        <v>12</v>
      </c>
      <c r="D715" s="105" t="s">
        <v>23</v>
      </c>
      <c r="E715" s="711">
        <v>46134</v>
      </c>
      <c r="G715" s="834"/>
      <c r="H715" s="120" t="s">
        <v>32</v>
      </c>
      <c r="I715" s="120" t="s">
        <v>106</v>
      </c>
      <c r="J715" s="106">
        <v>33</v>
      </c>
      <c r="K715" s="106">
        <v>0</v>
      </c>
      <c r="L715" s="106">
        <v>5</v>
      </c>
      <c r="M715" s="106">
        <v>15</v>
      </c>
      <c r="N715" s="106">
        <v>12</v>
      </c>
      <c r="O715" s="106">
        <v>0</v>
      </c>
      <c r="P715" s="106">
        <v>1</v>
      </c>
      <c r="Q715" s="108">
        <f t="shared" si="632"/>
        <v>0.15151515151515152</v>
      </c>
      <c r="R715" s="109">
        <f t="shared" si="633"/>
        <v>0.36363636363636365</v>
      </c>
      <c r="S715" s="109">
        <f t="shared" si="634"/>
        <v>3.0303030303030304E-2</v>
      </c>
      <c r="T715" s="109">
        <f t="shared" si="635"/>
        <v>0</v>
      </c>
      <c r="U715" s="110">
        <f t="shared" si="636"/>
        <v>0.54545454545454541</v>
      </c>
      <c r="V715" s="136"/>
    </row>
    <row r="716" spans="2:25" ht="15.75" hidden="1" x14ac:dyDescent="0.2">
      <c r="B716" s="711">
        <v>46133</v>
      </c>
      <c r="C716" s="105" t="s">
        <v>12</v>
      </c>
      <c r="D716" s="105" t="s">
        <v>23</v>
      </c>
      <c r="E716" s="711">
        <v>46134</v>
      </c>
      <c r="G716" s="835"/>
      <c r="H716" s="120" t="s">
        <v>17</v>
      </c>
      <c r="I716" s="120" t="s">
        <v>112</v>
      </c>
      <c r="J716" s="106">
        <v>261</v>
      </c>
      <c r="K716" s="106">
        <v>12</v>
      </c>
      <c r="L716" s="106">
        <v>8</v>
      </c>
      <c r="M716" s="106">
        <v>51</v>
      </c>
      <c r="N716" s="106">
        <v>198</v>
      </c>
      <c r="O716" s="106">
        <v>0</v>
      </c>
      <c r="P716" s="106">
        <v>8</v>
      </c>
      <c r="Q716" s="108">
        <f t="shared" si="632"/>
        <v>7.662835249042145E-2</v>
      </c>
      <c r="R716" s="109">
        <f t="shared" si="633"/>
        <v>0.75862068965517238</v>
      </c>
      <c r="S716" s="109">
        <f t="shared" si="634"/>
        <v>3.0651340996168581E-2</v>
      </c>
      <c r="T716" s="109">
        <f t="shared" si="635"/>
        <v>0</v>
      </c>
      <c r="U716" s="110">
        <f t="shared" si="636"/>
        <v>0.86590038314176243</v>
      </c>
      <c r="V716" s="136"/>
    </row>
    <row r="717" spans="2:25" s="97" customFormat="1" ht="16.5" hidden="1" customHeight="1" x14ac:dyDescent="0.2">
      <c r="B717" s="711">
        <v>46133</v>
      </c>
      <c r="C717" s="105" t="s">
        <v>12</v>
      </c>
      <c r="D717" s="105" t="s">
        <v>23</v>
      </c>
      <c r="E717" s="711">
        <v>46134</v>
      </c>
      <c r="F717" s="89"/>
      <c r="G717" s="113"/>
      <c r="H717" s="113" t="s">
        <v>19</v>
      </c>
      <c r="I717" s="113"/>
      <c r="J717" s="113">
        <f t="shared" ref="J717:P717" si="637">SUM(J710:J716)</f>
        <v>1163</v>
      </c>
      <c r="K717" s="113">
        <f t="shared" si="637"/>
        <v>412</v>
      </c>
      <c r="L717" s="113">
        <f t="shared" si="637"/>
        <v>160</v>
      </c>
      <c r="M717" s="113">
        <f t="shared" si="637"/>
        <v>270</v>
      </c>
      <c r="N717" s="113">
        <f t="shared" si="637"/>
        <v>226</v>
      </c>
      <c r="O717" s="113">
        <f t="shared" si="637"/>
        <v>79</v>
      </c>
      <c r="P717" s="113">
        <f t="shared" si="637"/>
        <v>57</v>
      </c>
      <c r="Q717" s="115">
        <f>(K717+L717)/J717</f>
        <v>0.49183147033533964</v>
      </c>
      <c r="R717" s="116">
        <f t="shared" si="628"/>
        <v>0.19432502149613071</v>
      </c>
      <c r="S717" s="116">
        <f t="shared" si="629"/>
        <v>4.9011177987962166E-2</v>
      </c>
      <c r="T717" s="116">
        <f t="shared" si="630"/>
        <v>6.7927773000859851E-2</v>
      </c>
      <c r="U717" s="117">
        <f t="shared" si="631"/>
        <v>0.80309544282029233</v>
      </c>
      <c r="V717" s="127"/>
      <c r="W717" s="88"/>
      <c r="X717" s="88"/>
      <c r="Y717" s="118"/>
    </row>
    <row r="718" spans="2:25" ht="15.75" hidden="1" x14ac:dyDescent="0.2">
      <c r="B718" s="711">
        <v>46133</v>
      </c>
      <c r="C718" s="105" t="s">
        <v>18</v>
      </c>
      <c r="D718" s="105" t="s">
        <v>13</v>
      </c>
      <c r="E718" s="711">
        <v>46133</v>
      </c>
      <c r="G718" s="833">
        <v>46133</v>
      </c>
      <c r="H718" s="198" t="s">
        <v>75</v>
      </c>
      <c r="I718" s="198" t="s">
        <v>83</v>
      </c>
      <c r="J718" s="198">
        <v>25</v>
      </c>
      <c r="K718" s="198">
        <f t="shared" ref="K718" si="638">J718-L718-M718-N718-O718-P718</f>
        <v>7</v>
      </c>
      <c r="L718" s="198">
        <v>0</v>
      </c>
      <c r="M718" s="198">
        <v>0</v>
      </c>
      <c r="N718" s="198">
        <v>0</v>
      </c>
      <c r="O718" s="198">
        <v>12</v>
      </c>
      <c r="P718" s="198">
        <v>6</v>
      </c>
      <c r="Q718" s="200">
        <f t="shared" ref="Q718:Q722" si="639">(K718+L718)/J718</f>
        <v>0.28000000000000003</v>
      </c>
      <c r="R718" s="201">
        <f t="shared" ref="R718:R732" si="640">N718/J718</f>
        <v>0</v>
      </c>
      <c r="S718" s="201">
        <f t="shared" ref="S718:S732" si="641">P718/J718</f>
        <v>0.24</v>
      </c>
      <c r="T718" s="201">
        <f t="shared" ref="T718:T732" si="642">O718/J718</f>
        <v>0.48</v>
      </c>
      <c r="U718" s="202">
        <f t="shared" ref="U718:U732" si="643">S718+R718+Q718+T718</f>
        <v>1</v>
      </c>
      <c r="V718" s="220"/>
    </row>
    <row r="719" spans="2:25" ht="16.5" hidden="1" thickBot="1" x14ac:dyDescent="0.25">
      <c r="B719" s="711">
        <v>46133</v>
      </c>
      <c r="C719" s="105" t="s">
        <v>18</v>
      </c>
      <c r="D719" s="105" t="s">
        <v>13</v>
      </c>
      <c r="E719" s="711">
        <v>46133</v>
      </c>
      <c r="G719" s="864"/>
      <c r="H719" s="221" t="s">
        <v>14</v>
      </c>
      <c r="I719" s="221" t="s">
        <v>18</v>
      </c>
      <c r="J719" s="222">
        <v>22</v>
      </c>
      <c r="K719" s="222">
        <f t="shared" ref="K719:K722" si="644">J719-L719-M719-N719-O719-P719</f>
        <v>2</v>
      </c>
      <c r="L719" s="222">
        <v>0</v>
      </c>
      <c r="M719" s="222">
        <v>0</v>
      </c>
      <c r="N719" s="222">
        <v>0</v>
      </c>
      <c r="O719" s="222">
        <v>10</v>
      </c>
      <c r="P719" s="222">
        <v>10</v>
      </c>
      <c r="Q719" s="223">
        <f t="shared" si="639"/>
        <v>9.0909090909090912E-2</v>
      </c>
      <c r="R719" s="224">
        <f t="shared" si="640"/>
        <v>0</v>
      </c>
      <c r="S719" s="224">
        <f t="shared" si="641"/>
        <v>0.45454545454545453</v>
      </c>
      <c r="T719" s="224">
        <f t="shared" si="642"/>
        <v>0.45454545454545453</v>
      </c>
      <c r="U719" s="225">
        <f t="shared" si="643"/>
        <v>1</v>
      </c>
      <c r="V719" s="226"/>
    </row>
    <row r="720" spans="2:25" ht="15.75" hidden="1" x14ac:dyDescent="0.2">
      <c r="B720" s="711">
        <v>46133</v>
      </c>
      <c r="C720" s="105" t="s">
        <v>18</v>
      </c>
      <c r="D720" s="105" t="s">
        <v>13</v>
      </c>
      <c r="E720" s="711">
        <v>46134</v>
      </c>
      <c r="G720" s="865">
        <v>46134</v>
      </c>
      <c r="H720" s="106" t="s">
        <v>75</v>
      </c>
      <c r="I720" s="106" t="s">
        <v>83</v>
      </c>
      <c r="J720" s="106">
        <v>235</v>
      </c>
      <c r="K720" s="106">
        <f>J720-L720-M720-N720-O720-P720</f>
        <v>108</v>
      </c>
      <c r="L720" s="106">
        <v>81</v>
      </c>
      <c r="M720" s="106">
        <v>29</v>
      </c>
      <c r="N720" s="106">
        <v>0</v>
      </c>
      <c r="O720" s="106">
        <v>0</v>
      </c>
      <c r="P720" s="106">
        <v>17</v>
      </c>
      <c r="Q720" s="108">
        <f t="shared" si="639"/>
        <v>0.80425531914893622</v>
      </c>
      <c r="R720" s="109">
        <f t="shared" si="640"/>
        <v>0</v>
      </c>
      <c r="S720" s="109">
        <f t="shared" si="641"/>
        <v>7.2340425531914887E-2</v>
      </c>
      <c r="T720" s="109">
        <f t="shared" si="642"/>
        <v>0</v>
      </c>
      <c r="U720" s="110">
        <f t="shared" si="643"/>
        <v>0.87659574468085111</v>
      </c>
      <c r="V720" s="136"/>
    </row>
    <row r="721" spans="2:25" ht="15.75" hidden="1" x14ac:dyDescent="0.2">
      <c r="B721" s="711">
        <v>46133</v>
      </c>
      <c r="C721" s="105" t="s">
        <v>18</v>
      </c>
      <c r="D721" s="105" t="s">
        <v>13</v>
      </c>
      <c r="E721" s="711">
        <v>46134</v>
      </c>
      <c r="G721" s="834"/>
      <c r="H721" s="120" t="s">
        <v>32</v>
      </c>
      <c r="I721" s="120" t="s">
        <v>106</v>
      </c>
      <c r="J721" s="106">
        <v>33</v>
      </c>
      <c r="K721" s="106">
        <f t="shared" si="644"/>
        <v>5</v>
      </c>
      <c r="L721" s="106">
        <v>0</v>
      </c>
      <c r="M721" s="106">
        <v>16</v>
      </c>
      <c r="N721" s="106">
        <v>12</v>
      </c>
      <c r="O721" s="106">
        <v>0</v>
      </c>
      <c r="P721" s="106">
        <v>0</v>
      </c>
      <c r="Q721" s="108">
        <f t="shared" si="639"/>
        <v>0.15151515151515152</v>
      </c>
      <c r="R721" s="109">
        <f t="shared" si="640"/>
        <v>0.36363636363636365</v>
      </c>
      <c r="S721" s="109">
        <f t="shared" si="641"/>
        <v>0</v>
      </c>
      <c r="T721" s="109">
        <f t="shared" si="642"/>
        <v>0</v>
      </c>
      <c r="U721" s="110">
        <f t="shared" si="643"/>
        <v>0.51515151515151514</v>
      </c>
      <c r="V721" s="136"/>
    </row>
    <row r="722" spans="2:25" ht="15.75" hidden="1" x14ac:dyDescent="0.2">
      <c r="B722" s="711">
        <v>46133</v>
      </c>
      <c r="C722" s="105" t="s">
        <v>18</v>
      </c>
      <c r="D722" s="105" t="s">
        <v>13</v>
      </c>
      <c r="E722" s="711">
        <v>46134</v>
      </c>
      <c r="G722" s="835"/>
      <c r="H722" s="120" t="s">
        <v>17</v>
      </c>
      <c r="I722" s="120" t="s">
        <v>112</v>
      </c>
      <c r="J722" s="106">
        <v>261</v>
      </c>
      <c r="K722" s="106">
        <f t="shared" si="644"/>
        <v>149</v>
      </c>
      <c r="L722" s="106">
        <v>59</v>
      </c>
      <c r="M722" s="106">
        <v>27</v>
      </c>
      <c r="N722" s="106">
        <v>18</v>
      </c>
      <c r="O722" s="106">
        <v>0</v>
      </c>
      <c r="P722" s="106">
        <v>8</v>
      </c>
      <c r="Q722" s="108">
        <f t="shared" si="639"/>
        <v>0.79693486590038309</v>
      </c>
      <c r="R722" s="109">
        <f t="shared" si="640"/>
        <v>6.8965517241379309E-2</v>
      </c>
      <c r="S722" s="109">
        <f t="shared" si="641"/>
        <v>3.0651340996168581E-2</v>
      </c>
      <c r="T722" s="109">
        <f t="shared" si="642"/>
        <v>0</v>
      </c>
      <c r="U722" s="110">
        <f t="shared" si="643"/>
        <v>0.89655172413793094</v>
      </c>
      <c r="V722" s="136"/>
    </row>
    <row r="723" spans="2:25" ht="15.75" hidden="1" x14ac:dyDescent="0.2">
      <c r="B723" s="711">
        <v>46133</v>
      </c>
      <c r="C723" s="105" t="s">
        <v>18</v>
      </c>
      <c r="D723" s="105" t="s">
        <v>13</v>
      </c>
      <c r="E723" s="711">
        <v>46134</v>
      </c>
      <c r="G723" s="113"/>
      <c r="H723" s="113" t="s">
        <v>19</v>
      </c>
      <c r="I723" s="113"/>
      <c r="J723" s="113">
        <f t="shared" ref="J723:P723" si="645">SUM(J718:J722)</f>
        <v>576</v>
      </c>
      <c r="K723" s="113">
        <f t="shared" si="645"/>
        <v>271</v>
      </c>
      <c r="L723" s="113">
        <f t="shared" si="645"/>
        <v>140</v>
      </c>
      <c r="M723" s="113">
        <f t="shared" si="645"/>
        <v>72</v>
      </c>
      <c r="N723" s="113">
        <f t="shared" si="645"/>
        <v>30</v>
      </c>
      <c r="O723" s="113">
        <f t="shared" si="645"/>
        <v>22</v>
      </c>
      <c r="P723" s="113">
        <f t="shared" si="645"/>
        <v>41</v>
      </c>
      <c r="Q723" s="115">
        <f>(K723+L723)/J723</f>
        <v>0.71354166666666663</v>
      </c>
      <c r="R723" s="116">
        <f t="shared" si="640"/>
        <v>5.2083333333333336E-2</v>
      </c>
      <c r="S723" s="116">
        <f t="shared" si="641"/>
        <v>7.1180555555555552E-2</v>
      </c>
      <c r="T723" s="116">
        <f t="shared" si="642"/>
        <v>3.8194444444444448E-2</v>
      </c>
      <c r="U723" s="117">
        <f t="shared" si="643"/>
        <v>0.875</v>
      </c>
      <c r="V723" s="127"/>
    </row>
    <row r="724" spans="2:25" ht="15.75" hidden="1" x14ac:dyDescent="0.2">
      <c r="B724" s="711">
        <v>46134</v>
      </c>
      <c r="C724" s="105" t="s">
        <v>22</v>
      </c>
      <c r="D724" s="105" t="s">
        <v>20</v>
      </c>
      <c r="E724" s="711">
        <v>46134</v>
      </c>
      <c r="G724" s="833">
        <v>46134</v>
      </c>
      <c r="H724" s="120" t="s">
        <v>75</v>
      </c>
      <c r="I724" s="120" t="s">
        <v>83</v>
      </c>
      <c r="J724" s="106">
        <v>235</v>
      </c>
      <c r="K724" s="106">
        <v>11</v>
      </c>
      <c r="L724" s="106">
        <v>17</v>
      </c>
      <c r="M724" s="106">
        <v>0</v>
      </c>
      <c r="N724" s="106">
        <v>0</v>
      </c>
      <c r="O724" s="106">
        <v>11</v>
      </c>
      <c r="P724" s="106">
        <v>15</v>
      </c>
      <c r="Q724" s="108">
        <f t="shared" ref="Q724:Q731" si="646">(K724+L724)/J724</f>
        <v>0.11914893617021277</v>
      </c>
      <c r="R724" s="109">
        <f t="shared" si="640"/>
        <v>0</v>
      </c>
      <c r="S724" s="109">
        <f t="shared" si="641"/>
        <v>6.3829787234042548E-2</v>
      </c>
      <c r="T724" s="109">
        <f t="shared" si="642"/>
        <v>4.6808510638297871E-2</v>
      </c>
      <c r="U724" s="110">
        <f t="shared" si="643"/>
        <v>0.22978723404255319</v>
      </c>
      <c r="V724" s="136"/>
    </row>
    <row r="725" spans="2:25" ht="15.75" hidden="1" x14ac:dyDescent="0.2">
      <c r="B725" s="711">
        <v>46134</v>
      </c>
      <c r="C725" s="105" t="s">
        <v>22</v>
      </c>
      <c r="D725" s="105" t="s">
        <v>20</v>
      </c>
      <c r="E725" s="711">
        <v>46134</v>
      </c>
      <c r="G725" s="834"/>
      <c r="H725" s="120" t="s">
        <v>32</v>
      </c>
      <c r="I725" s="120" t="s">
        <v>106</v>
      </c>
      <c r="J725" s="106">
        <v>33</v>
      </c>
      <c r="K725" s="106">
        <v>33</v>
      </c>
      <c r="L725" s="106">
        <v>0</v>
      </c>
      <c r="M725" s="106">
        <v>0</v>
      </c>
      <c r="N725" s="106">
        <v>0</v>
      </c>
      <c r="O725" s="106">
        <v>0</v>
      </c>
      <c r="P725" s="106">
        <v>1</v>
      </c>
      <c r="Q725" s="108">
        <f t="shared" si="646"/>
        <v>1</v>
      </c>
      <c r="R725" s="109">
        <f t="shared" si="640"/>
        <v>0</v>
      </c>
      <c r="S725" s="109">
        <f t="shared" si="641"/>
        <v>3.0303030303030304E-2</v>
      </c>
      <c r="T725" s="109">
        <f t="shared" si="642"/>
        <v>0</v>
      </c>
      <c r="U725" s="110">
        <f t="shared" si="643"/>
        <v>1.0303030303030303</v>
      </c>
      <c r="V725" s="136"/>
    </row>
    <row r="726" spans="2:25" ht="15.75" hidden="1" x14ac:dyDescent="0.2">
      <c r="B726" s="711">
        <v>46134</v>
      </c>
      <c r="C726" s="105" t="s">
        <v>22</v>
      </c>
      <c r="D726" s="105" t="s">
        <v>20</v>
      </c>
      <c r="E726" s="711">
        <v>46134</v>
      </c>
      <c r="G726" s="834"/>
      <c r="H726" s="120" t="s">
        <v>17</v>
      </c>
      <c r="I726" s="120" t="s">
        <v>106</v>
      </c>
      <c r="J726" s="106">
        <v>261</v>
      </c>
      <c r="K726" s="106">
        <v>23</v>
      </c>
      <c r="L726" s="106">
        <v>20</v>
      </c>
      <c r="M726" s="106">
        <v>0</v>
      </c>
      <c r="N726" s="106">
        <v>0</v>
      </c>
      <c r="O726" s="106">
        <v>1</v>
      </c>
      <c r="P726" s="106">
        <v>8</v>
      </c>
      <c r="Q726" s="108">
        <f t="shared" si="646"/>
        <v>0.16475095785440613</v>
      </c>
      <c r="R726" s="109">
        <f t="shared" si="640"/>
        <v>0</v>
      </c>
      <c r="S726" s="109">
        <f t="shared" si="641"/>
        <v>3.0651340996168581E-2</v>
      </c>
      <c r="T726" s="109">
        <f t="shared" si="642"/>
        <v>3.8314176245210726E-3</v>
      </c>
      <c r="U726" s="110">
        <f t="shared" si="643"/>
        <v>0.1992337164750958</v>
      </c>
      <c r="V726" s="136"/>
    </row>
    <row r="727" spans="2:25" ht="15.75" hidden="1" x14ac:dyDescent="0.2">
      <c r="B727" s="711">
        <v>46134</v>
      </c>
      <c r="C727" s="105" t="s">
        <v>22</v>
      </c>
      <c r="D727" s="105" t="s">
        <v>20</v>
      </c>
      <c r="E727" s="711">
        <v>46134</v>
      </c>
      <c r="G727" s="834"/>
      <c r="H727" s="120" t="s">
        <v>14</v>
      </c>
      <c r="I727" s="120" t="s">
        <v>106</v>
      </c>
      <c r="J727" s="106">
        <v>4</v>
      </c>
      <c r="K727" s="106">
        <v>2</v>
      </c>
      <c r="L727" s="106">
        <v>2</v>
      </c>
      <c r="M727" s="106">
        <v>0</v>
      </c>
      <c r="N727" s="106">
        <v>0</v>
      </c>
      <c r="O727" s="106">
        <v>0</v>
      </c>
      <c r="P727" s="106">
        <v>0</v>
      </c>
      <c r="Q727" s="108">
        <f>(K727+L727)/J727</f>
        <v>1</v>
      </c>
      <c r="R727" s="109">
        <f t="shared" si="640"/>
        <v>0</v>
      </c>
      <c r="S727" s="109">
        <f t="shared" si="641"/>
        <v>0</v>
      </c>
      <c r="T727" s="109">
        <f t="shared" si="642"/>
        <v>0</v>
      </c>
      <c r="U727" s="110">
        <f t="shared" si="643"/>
        <v>1</v>
      </c>
      <c r="V727" s="136"/>
    </row>
    <row r="728" spans="2:25" ht="15.75" hidden="1" x14ac:dyDescent="0.2">
      <c r="B728" s="711">
        <v>46134</v>
      </c>
      <c r="C728" s="105" t="s">
        <v>22</v>
      </c>
      <c r="D728" s="105" t="s">
        <v>20</v>
      </c>
      <c r="E728" s="711">
        <v>46134</v>
      </c>
      <c r="G728" s="834"/>
      <c r="H728" s="120" t="s">
        <v>118</v>
      </c>
      <c r="I728" s="120" t="s">
        <v>43</v>
      </c>
      <c r="J728" s="106">
        <v>25</v>
      </c>
      <c r="K728" s="106">
        <v>21</v>
      </c>
      <c r="L728" s="106">
        <v>4</v>
      </c>
      <c r="M728" s="106">
        <v>0</v>
      </c>
      <c r="N728" s="106">
        <v>0</v>
      </c>
      <c r="O728" s="106">
        <v>0</v>
      </c>
      <c r="P728" s="106">
        <v>0</v>
      </c>
      <c r="Q728" s="108">
        <f t="shared" ref="Q728:Q729" si="647">(K728+L728)/J728</f>
        <v>1</v>
      </c>
      <c r="R728" s="109">
        <f t="shared" ref="R728:R729" si="648">N728/J728</f>
        <v>0</v>
      </c>
      <c r="S728" s="109">
        <f t="shared" ref="S728:S729" si="649">P728/J728</f>
        <v>0</v>
      </c>
      <c r="T728" s="109">
        <f t="shared" ref="T728:T729" si="650">O728/J728</f>
        <v>0</v>
      </c>
      <c r="U728" s="110">
        <f t="shared" ref="U728:U729" si="651">S728+R728+Q728+T728</f>
        <v>1</v>
      </c>
      <c r="V728" s="136"/>
    </row>
    <row r="729" spans="2:25" ht="15.75" hidden="1" x14ac:dyDescent="0.2">
      <c r="B729" s="711">
        <v>46134</v>
      </c>
      <c r="C729" s="105" t="s">
        <v>22</v>
      </c>
      <c r="D729" s="105" t="s">
        <v>20</v>
      </c>
      <c r="E729" s="711">
        <v>46134</v>
      </c>
      <c r="G729" s="835"/>
      <c r="H729" s="120" t="s">
        <v>25</v>
      </c>
      <c r="I729" s="120" t="s">
        <v>106</v>
      </c>
      <c r="J729" s="106">
        <v>2</v>
      </c>
      <c r="K729" s="106">
        <v>2</v>
      </c>
      <c r="L729" s="106">
        <v>0</v>
      </c>
      <c r="M729" s="106">
        <v>0</v>
      </c>
      <c r="N729" s="106">
        <v>0</v>
      </c>
      <c r="O729" s="106">
        <v>0</v>
      </c>
      <c r="P729" s="106">
        <v>0</v>
      </c>
      <c r="Q729" s="108">
        <f t="shared" si="647"/>
        <v>1</v>
      </c>
      <c r="R729" s="109">
        <f t="shared" si="648"/>
        <v>0</v>
      </c>
      <c r="S729" s="109">
        <f t="shared" si="649"/>
        <v>0</v>
      </c>
      <c r="T729" s="109">
        <f t="shared" si="650"/>
        <v>0</v>
      </c>
      <c r="U729" s="110">
        <f t="shared" si="651"/>
        <v>1</v>
      </c>
      <c r="V729" s="136"/>
    </row>
    <row r="730" spans="2:25" ht="15.75" hidden="1" x14ac:dyDescent="0.2">
      <c r="B730" s="711">
        <v>46134</v>
      </c>
      <c r="C730" s="105" t="s">
        <v>22</v>
      </c>
      <c r="D730" s="105" t="s">
        <v>20</v>
      </c>
      <c r="E730" s="711">
        <v>46134</v>
      </c>
      <c r="G730" s="838">
        <v>46135</v>
      </c>
      <c r="H730" s="215" t="s">
        <v>32</v>
      </c>
      <c r="I730" s="215" t="s">
        <v>106</v>
      </c>
      <c r="J730" s="216">
        <v>115</v>
      </c>
      <c r="K730" s="106">
        <f>106-33</f>
        <v>73</v>
      </c>
      <c r="L730" s="106">
        <v>32</v>
      </c>
      <c r="M730" s="106">
        <v>5</v>
      </c>
      <c r="N730" s="106">
        <v>0</v>
      </c>
      <c r="O730" s="106">
        <v>0</v>
      </c>
      <c r="P730" s="106">
        <v>5</v>
      </c>
      <c r="Q730" s="108">
        <f t="shared" ref="Q730" si="652">(K730+L730)/J730</f>
        <v>0.91304347826086951</v>
      </c>
      <c r="R730" s="109">
        <f t="shared" ref="R730" si="653">N730/J730</f>
        <v>0</v>
      </c>
      <c r="S730" s="109">
        <f t="shared" ref="S730" si="654">P730/J730</f>
        <v>4.3478260869565216E-2</v>
      </c>
      <c r="T730" s="109">
        <f t="shared" ref="T730" si="655">O730/J730</f>
        <v>0</v>
      </c>
      <c r="U730" s="110">
        <f t="shared" ref="U730" si="656">S730+R730+Q730+T730</f>
        <v>0.9565217391304347</v>
      </c>
      <c r="V730" s="136"/>
    </row>
    <row r="731" spans="2:25" ht="15.75" hidden="1" x14ac:dyDescent="0.2">
      <c r="B731" s="711">
        <v>46134</v>
      </c>
      <c r="C731" s="105" t="s">
        <v>22</v>
      </c>
      <c r="D731" s="105" t="s">
        <v>20</v>
      </c>
      <c r="E731" s="711">
        <v>46134</v>
      </c>
      <c r="G731" s="848"/>
      <c r="H731" s="215" t="s">
        <v>14</v>
      </c>
      <c r="I731" s="215" t="s">
        <v>105</v>
      </c>
      <c r="J731" s="216">
        <v>200</v>
      </c>
      <c r="K731" s="106">
        <v>0</v>
      </c>
      <c r="L731" s="106">
        <v>0</v>
      </c>
      <c r="M731" s="106">
        <v>127</v>
      </c>
      <c r="N731" s="106">
        <v>68</v>
      </c>
      <c r="O731" s="106">
        <v>0</v>
      </c>
      <c r="P731" s="106">
        <v>5</v>
      </c>
      <c r="Q731" s="108">
        <f t="shared" si="646"/>
        <v>0</v>
      </c>
      <c r="R731" s="109">
        <f t="shared" si="640"/>
        <v>0.34</v>
      </c>
      <c r="S731" s="109">
        <f t="shared" si="641"/>
        <v>2.5000000000000001E-2</v>
      </c>
      <c r="T731" s="109">
        <f t="shared" si="642"/>
        <v>0</v>
      </c>
      <c r="U731" s="110">
        <f t="shared" si="643"/>
        <v>0.36500000000000005</v>
      </c>
      <c r="V731" s="136"/>
    </row>
    <row r="732" spans="2:25" s="97" customFormat="1" ht="16.5" hidden="1" customHeight="1" x14ac:dyDescent="0.2">
      <c r="B732" s="711">
        <v>46134</v>
      </c>
      <c r="C732" s="105" t="s">
        <v>22</v>
      </c>
      <c r="D732" s="105" t="s">
        <v>20</v>
      </c>
      <c r="E732" s="711">
        <v>46134</v>
      </c>
      <c r="F732" s="89"/>
      <c r="G732" s="113"/>
      <c r="H732" s="113" t="s">
        <v>19</v>
      </c>
      <c r="I732" s="113"/>
      <c r="J732" s="113">
        <f t="shared" ref="J732:P732" si="657">SUM(J724:J731)</f>
        <v>875</v>
      </c>
      <c r="K732" s="113">
        <f t="shared" si="657"/>
        <v>165</v>
      </c>
      <c r="L732" s="113">
        <f t="shared" si="657"/>
        <v>75</v>
      </c>
      <c r="M732" s="113">
        <f t="shared" si="657"/>
        <v>132</v>
      </c>
      <c r="N732" s="113">
        <f t="shared" si="657"/>
        <v>68</v>
      </c>
      <c r="O732" s="113">
        <f t="shared" si="657"/>
        <v>12</v>
      </c>
      <c r="P732" s="113">
        <f t="shared" si="657"/>
        <v>34</v>
      </c>
      <c r="Q732" s="115">
        <f>(K732+L732)/J732</f>
        <v>0.2742857142857143</v>
      </c>
      <c r="R732" s="116">
        <f t="shared" si="640"/>
        <v>7.7714285714285708E-2</v>
      </c>
      <c r="S732" s="116">
        <f t="shared" si="641"/>
        <v>3.8857142857142854E-2</v>
      </c>
      <c r="T732" s="116">
        <f t="shared" si="642"/>
        <v>1.3714285714285714E-2</v>
      </c>
      <c r="U732" s="117">
        <f t="shared" si="643"/>
        <v>0.40457142857142858</v>
      </c>
      <c r="V732" s="127"/>
      <c r="W732" s="88"/>
      <c r="X732" s="88"/>
      <c r="Y732" s="118"/>
    </row>
    <row r="733" spans="2:25" ht="15.75" hidden="1" x14ac:dyDescent="0.2">
      <c r="B733" s="711">
        <v>46134</v>
      </c>
      <c r="C733" s="105" t="s">
        <v>12</v>
      </c>
      <c r="D733" s="105" t="s">
        <v>23</v>
      </c>
      <c r="E733" s="711">
        <v>46134</v>
      </c>
      <c r="G733" s="833">
        <v>46134</v>
      </c>
      <c r="H733" s="120" t="s">
        <v>75</v>
      </c>
      <c r="I733" s="120" t="s">
        <v>83</v>
      </c>
      <c r="J733" s="106">
        <v>235</v>
      </c>
      <c r="K733" s="106">
        <f>235-133</f>
        <v>102</v>
      </c>
      <c r="L733" s="106">
        <v>92</v>
      </c>
      <c r="M733" s="106">
        <v>2</v>
      </c>
      <c r="N733" s="106">
        <v>0</v>
      </c>
      <c r="O733" s="106">
        <v>18</v>
      </c>
      <c r="P733" s="106">
        <v>21</v>
      </c>
      <c r="Q733" s="108">
        <f t="shared" ref="Q733:Q734" si="658">(K733+L733)/J733</f>
        <v>0.82553191489361699</v>
      </c>
      <c r="R733" s="109">
        <f t="shared" ref="R733:R739" si="659">N733/J733</f>
        <v>0</v>
      </c>
      <c r="S733" s="109">
        <f t="shared" ref="S733:S739" si="660">P733/J733</f>
        <v>8.9361702127659579E-2</v>
      </c>
      <c r="T733" s="109">
        <f t="shared" ref="T733:T739" si="661">O733/J733</f>
        <v>7.6595744680851063E-2</v>
      </c>
      <c r="U733" s="110">
        <f t="shared" ref="U733:U739" si="662">S733+R733+Q733+T733</f>
        <v>0.99148936170212765</v>
      </c>
      <c r="V733" s="136"/>
    </row>
    <row r="734" spans="2:25" ht="15.75" hidden="1" x14ac:dyDescent="0.2">
      <c r="B734" s="711">
        <v>46134</v>
      </c>
      <c r="C734" s="105" t="s">
        <v>12</v>
      </c>
      <c r="D734" s="105" t="s">
        <v>23</v>
      </c>
      <c r="E734" s="711">
        <v>46134</v>
      </c>
      <c r="G734" s="835"/>
      <c r="H734" s="120" t="s">
        <v>17</v>
      </c>
      <c r="I734" s="120" t="s">
        <v>112</v>
      </c>
      <c r="J734" s="106">
        <v>261</v>
      </c>
      <c r="K734" s="106">
        <f>261-112</f>
        <v>149</v>
      </c>
      <c r="L734" s="106">
        <v>87</v>
      </c>
      <c r="M734" s="106">
        <v>1</v>
      </c>
      <c r="N734" s="106">
        <v>0</v>
      </c>
      <c r="O734" s="106">
        <v>21</v>
      </c>
      <c r="P734" s="106">
        <v>3</v>
      </c>
      <c r="Q734" s="108">
        <f t="shared" si="658"/>
        <v>0.90421455938697315</v>
      </c>
      <c r="R734" s="109">
        <f t="shared" si="659"/>
        <v>0</v>
      </c>
      <c r="S734" s="109">
        <f t="shared" si="660"/>
        <v>1.1494252873563218E-2</v>
      </c>
      <c r="T734" s="109">
        <f t="shared" si="661"/>
        <v>8.0459770114942528E-2</v>
      </c>
      <c r="U734" s="110">
        <f t="shared" si="662"/>
        <v>0.99616858237547889</v>
      </c>
      <c r="V734" s="136"/>
    </row>
    <row r="735" spans="2:25" ht="15.75" hidden="1" x14ac:dyDescent="0.2">
      <c r="B735" s="711">
        <v>46134</v>
      </c>
      <c r="C735" s="105" t="s">
        <v>12</v>
      </c>
      <c r="D735" s="105" t="s">
        <v>23</v>
      </c>
      <c r="E735" s="711">
        <v>46134</v>
      </c>
      <c r="G735" s="861">
        <v>46135</v>
      </c>
      <c r="H735" s="227" t="s">
        <v>75</v>
      </c>
      <c r="I735" s="227" t="s">
        <v>83</v>
      </c>
      <c r="J735" s="228">
        <v>233</v>
      </c>
      <c r="K735" s="228">
        <v>0</v>
      </c>
      <c r="L735" s="228">
        <v>1</v>
      </c>
      <c r="M735" s="228">
        <v>23</v>
      </c>
      <c r="N735" s="228">
        <v>178</v>
      </c>
      <c r="O735" s="228">
        <v>19</v>
      </c>
      <c r="P735" s="228">
        <v>12</v>
      </c>
      <c r="Q735" s="229">
        <f t="shared" ref="Q735:Q737" si="663">(K735+L735)/J735</f>
        <v>4.2918454935622317E-3</v>
      </c>
      <c r="R735" s="230">
        <f t="shared" ref="R735:R738" si="664">N735/J735</f>
        <v>0.76394849785407726</v>
      </c>
      <c r="S735" s="230">
        <f t="shared" ref="S735:S738" si="665">P735/J735</f>
        <v>5.1502145922746781E-2</v>
      </c>
      <c r="T735" s="230">
        <f t="shared" ref="T735:T738" si="666">O735/J735</f>
        <v>8.15450643776824E-2</v>
      </c>
      <c r="U735" s="231">
        <f t="shared" ref="U735:U738" si="667">S735+R735+Q735+T735</f>
        <v>0.90128755364806867</v>
      </c>
      <c r="V735" s="136"/>
    </row>
    <row r="736" spans="2:25" ht="15.75" hidden="1" x14ac:dyDescent="0.2">
      <c r="B736" s="711">
        <v>46134</v>
      </c>
      <c r="C736" s="105" t="s">
        <v>12</v>
      </c>
      <c r="D736" s="105" t="s">
        <v>23</v>
      </c>
      <c r="E736" s="711">
        <v>46134</v>
      </c>
      <c r="G736" s="862"/>
      <c r="H736" s="227" t="s">
        <v>32</v>
      </c>
      <c r="I736" s="227" t="s">
        <v>106</v>
      </c>
      <c r="J736" s="228">
        <v>115</v>
      </c>
      <c r="K736" s="228">
        <f>115-28</f>
        <v>87</v>
      </c>
      <c r="L736" s="228">
        <v>17</v>
      </c>
      <c r="M736" s="228">
        <v>4</v>
      </c>
      <c r="N736" s="228">
        <v>0</v>
      </c>
      <c r="O736" s="228">
        <v>2</v>
      </c>
      <c r="P736" s="228">
        <v>5</v>
      </c>
      <c r="Q736" s="229">
        <f t="shared" si="663"/>
        <v>0.90434782608695652</v>
      </c>
      <c r="R736" s="230">
        <f t="shared" si="664"/>
        <v>0</v>
      </c>
      <c r="S736" s="230">
        <f t="shared" si="665"/>
        <v>4.3478260869565216E-2</v>
      </c>
      <c r="T736" s="230">
        <f t="shared" si="666"/>
        <v>1.7391304347826087E-2</v>
      </c>
      <c r="U736" s="231">
        <f t="shared" si="667"/>
        <v>0.9652173913043478</v>
      </c>
      <c r="V736" s="136"/>
    </row>
    <row r="737" spans="2:25" ht="15.75" hidden="1" x14ac:dyDescent="0.2">
      <c r="B737" s="711">
        <v>46134</v>
      </c>
      <c r="C737" s="105" t="s">
        <v>12</v>
      </c>
      <c r="D737" s="105" t="s">
        <v>23</v>
      </c>
      <c r="E737" s="711">
        <v>46134</v>
      </c>
      <c r="G737" s="862"/>
      <c r="H737" s="227" t="s">
        <v>17</v>
      </c>
      <c r="I737" s="227" t="s">
        <v>106</v>
      </c>
      <c r="J737" s="228">
        <v>188</v>
      </c>
      <c r="K737" s="228">
        <v>0</v>
      </c>
      <c r="L737" s="228">
        <v>0</v>
      </c>
      <c r="M737" s="228">
        <v>159</v>
      </c>
      <c r="N737" s="228">
        <v>0</v>
      </c>
      <c r="O737" s="228">
        <v>25</v>
      </c>
      <c r="P737" s="228">
        <v>4</v>
      </c>
      <c r="Q737" s="229">
        <f t="shared" si="663"/>
        <v>0</v>
      </c>
      <c r="R737" s="230">
        <f t="shared" si="664"/>
        <v>0</v>
      </c>
      <c r="S737" s="230">
        <f t="shared" si="665"/>
        <v>2.1276595744680851E-2</v>
      </c>
      <c r="T737" s="230">
        <f t="shared" si="666"/>
        <v>0.13297872340425532</v>
      </c>
      <c r="U737" s="231">
        <f t="shared" si="667"/>
        <v>0.15425531914893617</v>
      </c>
      <c r="V737" s="136"/>
    </row>
    <row r="738" spans="2:25" ht="15.75" hidden="1" x14ac:dyDescent="0.2">
      <c r="B738" s="711">
        <v>46134</v>
      </c>
      <c r="C738" s="105" t="s">
        <v>12</v>
      </c>
      <c r="D738" s="105" t="s">
        <v>23</v>
      </c>
      <c r="E738" s="711">
        <v>46134</v>
      </c>
      <c r="G738" s="863"/>
      <c r="H738" s="227" t="s">
        <v>14</v>
      </c>
      <c r="I738" s="227" t="s">
        <v>105</v>
      </c>
      <c r="J738" s="228">
        <v>200</v>
      </c>
      <c r="K738" s="228">
        <v>0</v>
      </c>
      <c r="L738" s="228">
        <v>0</v>
      </c>
      <c r="M738" s="228">
        <v>107</v>
      </c>
      <c r="N738" s="228">
        <v>76</v>
      </c>
      <c r="O738" s="228">
        <v>12</v>
      </c>
      <c r="P738" s="228">
        <v>5</v>
      </c>
      <c r="Q738" s="229">
        <f>(K738+L738)/J738</f>
        <v>0</v>
      </c>
      <c r="R738" s="230">
        <f t="shared" si="664"/>
        <v>0.38</v>
      </c>
      <c r="S738" s="230">
        <f t="shared" si="665"/>
        <v>2.5000000000000001E-2</v>
      </c>
      <c r="T738" s="230">
        <f t="shared" si="666"/>
        <v>0.06</v>
      </c>
      <c r="U738" s="231">
        <f t="shared" si="667"/>
        <v>0.46500000000000002</v>
      </c>
      <c r="V738" s="136"/>
    </row>
    <row r="739" spans="2:25" s="97" customFormat="1" ht="16.5" hidden="1" customHeight="1" x14ac:dyDescent="0.2">
      <c r="B739" s="711">
        <v>46134</v>
      </c>
      <c r="C739" s="105" t="s">
        <v>12</v>
      </c>
      <c r="D739" s="105" t="s">
        <v>23</v>
      </c>
      <c r="E739" s="711">
        <v>46134</v>
      </c>
      <c r="F739" s="89"/>
      <c r="G739" s="177"/>
      <c r="H739" s="177" t="s">
        <v>19</v>
      </c>
      <c r="I739" s="177"/>
      <c r="J739" s="177">
        <f t="shared" ref="J739:P739" si="668">SUM(J733:J738)</f>
        <v>1232</v>
      </c>
      <c r="K739" s="177">
        <f t="shared" si="668"/>
        <v>338</v>
      </c>
      <c r="L739" s="177">
        <f t="shared" si="668"/>
        <v>197</v>
      </c>
      <c r="M739" s="177">
        <f t="shared" si="668"/>
        <v>296</v>
      </c>
      <c r="N739" s="177">
        <f t="shared" si="668"/>
        <v>254</v>
      </c>
      <c r="O739" s="177">
        <f t="shared" si="668"/>
        <v>97</v>
      </c>
      <c r="P739" s="177">
        <f t="shared" si="668"/>
        <v>50</v>
      </c>
      <c r="Q739" s="232">
        <f>(K739+L739)/J739</f>
        <v>0.43425324675324678</v>
      </c>
      <c r="R739" s="233">
        <f t="shared" si="659"/>
        <v>0.20616883116883117</v>
      </c>
      <c r="S739" s="233">
        <f t="shared" si="660"/>
        <v>4.0584415584415584E-2</v>
      </c>
      <c r="T739" s="233">
        <f t="shared" si="661"/>
        <v>7.8733766233766239E-2</v>
      </c>
      <c r="U739" s="234">
        <f t="shared" si="662"/>
        <v>0.75974025974025983</v>
      </c>
      <c r="V739" s="127"/>
      <c r="W739" s="88"/>
      <c r="X739" s="88"/>
      <c r="Y739" s="118"/>
    </row>
    <row r="740" spans="2:25" ht="15.75" hidden="1" x14ac:dyDescent="0.2">
      <c r="B740" s="711">
        <v>46134</v>
      </c>
      <c r="C740" s="105" t="s">
        <v>18</v>
      </c>
      <c r="D740" s="105" t="s">
        <v>13</v>
      </c>
      <c r="E740" s="711">
        <v>46134</v>
      </c>
      <c r="G740" s="833">
        <v>46134</v>
      </c>
      <c r="H740" s="235" t="s">
        <v>75</v>
      </c>
      <c r="I740" s="235" t="s">
        <v>83</v>
      </c>
      <c r="J740" s="235">
        <v>25</v>
      </c>
      <c r="K740" s="235">
        <f>J740-L740-M740-N740-O740-P740</f>
        <v>3</v>
      </c>
      <c r="L740" s="235">
        <v>0</v>
      </c>
      <c r="M740" s="235">
        <v>0</v>
      </c>
      <c r="N740" s="235">
        <v>0</v>
      </c>
      <c r="O740" s="235">
        <v>18</v>
      </c>
      <c r="P740" s="235">
        <v>4</v>
      </c>
      <c r="Q740" s="236">
        <f t="shared" ref="Q740:Q744" si="669">(K740+L740)/J740</f>
        <v>0.12</v>
      </c>
      <c r="R740" s="237">
        <f t="shared" ref="R740:R755" si="670">N740/J740</f>
        <v>0</v>
      </c>
      <c r="S740" s="237">
        <f t="shared" ref="S740:S755" si="671">P740/J740</f>
        <v>0.16</v>
      </c>
      <c r="T740" s="237">
        <f t="shared" ref="T740:T755" si="672">O740/J740</f>
        <v>0.72</v>
      </c>
      <c r="U740" s="238">
        <f t="shared" ref="U740:U755" si="673">S740+R740+Q740+T740</f>
        <v>1</v>
      </c>
      <c r="V740" s="239"/>
    </row>
    <row r="741" spans="2:25" ht="16.5" hidden="1" thickBot="1" x14ac:dyDescent="0.25">
      <c r="B741" s="711">
        <v>46134</v>
      </c>
      <c r="C741" s="105" t="s">
        <v>18</v>
      </c>
      <c r="D741" s="105" t="s">
        <v>13</v>
      </c>
      <c r="E741" s="711">
        <v>46134</v>
      </c>
      <c r="G741" s="870"/>
      <c r="H741" s="240" t="s">
        <v>17</v>
      </c>
      <c r="I741" s="240" t="s">
        <v>112</v>
      </c>
      <c r="J741" s="240">
        <v>15</v>
      </c>
      <c r="K741" s="240">
        <f>J741-L741-M741-N741-O741-P741</f>
        <v>3</v>
      </c>
      <c r="L741" s="240">
        <v>0</v>
      </c>
      <c r="M741" s="240">
        <v>0</v>
      </c>
      <c r="N741" s="240">
        <v>0</v>
      </c>
      <c r="O741" s="240">
        <v>10</v>
      </c>
      <c r="P741" s="240">
        <v>2</v>
      </c>
      <c r="Q741" s="241">
        <f t="shared" si="669"/>
        <v>0.2</v>
      </c>
      <c r="R741" s="242">
        <f t="shared" si="670"/>
        <v>0</v>
      </c>
      <c r="S741" s="242">
        <f t="shared" si="671"/>
        <v>0.13333333333333333</v>
      </c>
      <c r="T741" s="242">
        <f t="shared" si="672"/>
        <v>0.66666666666666663</v>
      </c>
      <c r="U741" s="243">
        <f t="shared" si="673"/>
        <v>1</v>
      </c>
      <c r="V741" s="239"/>
    </row>
    <row r="742" spans="2:25" ht="16.5" hidden="1" thickTop="1" x14ac:dyDescent="0.2">
      <c r="B742" s="711">
        <v>46134</v>
      </c>
      <c r="C742" s="105" t="s">
        <v>18</v>
      </c>
      <c r="D742" s="105" t="s">
        <v>13</v>
      </c>
      <c r="E742" s="711">
        <v>46134</v>
      </c>
      <c r="G742" s="869">
        <v>46135</v>
      </c>
      <c r="H742" s="244" t="s">
        <v>75</v>
      </c>
      <c r="I742" s="244" t="s">
        <v>83</v>
      </c>
      <c r="J742" s="244">
        <v>233</v>
      </c>
      <c r="K742" s="244">
        <f>J742-L742-M742-N742-O742-P742</f>
        <v>107</v>
      </c>
      <c r="L742" s="244">
        <v>97</v>
      </c>
      <c r="M742" s="244">
        <v>2</v>
      </c>
      <c r="N742" s="244">
        <v>0</v>
      </c>
      <c r="O742" s="244">
        <v>19</v>
      </c>
      <c r="P742" s="244">
        <v>8</v>
      </c>
      <c r="Q742" s="245">
        <f t="shared" si="669"/>
        <v>0.87553648068669532</v>
      </c>
      <c r="R742" s="246">
        <f t="shared" si="670"/>
        <v>0</v>
      </c>
      <c r="S742" s="246">
        <f t="shared" si="671"/>
        <v>3.4334763948497854E-2</v>
      </c>
      <c r="T742" s="246">
        <f t="shared" si="672"/>
        <v>8.15450643776824E-2</v>
      </c>
      <c r="U742" s="247">
        <f t="shared" si="673"/>
        <v>0.99141630901287559</v>
      </c>
      <c r="V742" s="239"/>
    </row>
    <row r="743" spans="2:25" ht="15.75" hidden="1" x14ac:dyDescent="0.2">
      <c r="B743" s="711">
        <v>46134</v>
      </c>
      <c r="C743" s="105" t="s">
        <v>18</v>
      </c>
      <c r="D743" s="105" t="s">
        <v>13</v>
      </c>
      <c r="E743" s="711">
        <v>46134</v>
      </c>
      <c r="G743" s="834"/>
      <c r="H743" s="248" t="s">
        <v>32</v>
      </c>
      <c r="I743" s="248" t="s">
        <v>106</v>
      </c>
      <c r="J743" s="248">
        <v>115</v>
      </c>
      <c r="K743" s="248">
        <f t="shared" ref="K743:K745" si="674">J743-L743-M743-N743-O743-P743</f>
        <v>89</v>
      </c>
      <c r="L743" s="248">
        <v>17</v>
      </c>
      <c r="M743" s="248">
        <v>2</v>
      </c>
      <c r="N743" s="248">
        <v>0</v>
      </c>
      <c r="O743" s="248">
        <v>2</v>
      </c>
      <c r="P743" s="248">
        <v>5</v>
      </c>
      <c r="Q743" s="249">
        <f t="shared" si="669"/>
        <v>0.92173913043478262</v>
      </c>
      <c r="R743" s="250">
        <f t="shared" si="670"/>
        <v>0</v>
      </c>
      <c r="S743" s="250">
        <f t="shared" si="671"/>
        <v>4.3478260869565216E-2</v>
      </c>
      <c r="T743" s="250">
        <f t="shared" si="672"/>
        <v>1.7391304347826087E-2</v>
      </c>
      <c r="U743" s="251">
        <f t="shared" si="673"/>
        <v>0.9826086956521739</v>
      </c>
      <c r="V743" s="239"/>
    </row>
    <row r="744" spans="2:25" ht="15.75" hidden="1" x14ac:dyDescent="0.2">
      <c r="B744" s="711">
        <v>46134</v>
      </c>
      <c r="C744" s="105" t="s">
        <v>18</v>
      </c>
      <c r="D744" s="105" t="s">
        <v>13</v>
      </c>
      <c r="E744" s="711">
        <v>46134</v>
      </c>
      <c r="G744" s="834"/>
      <c r="H744" s="248" t="s">
        <v>17</v>
      </c>
      <c r="I744" s="248" t="s">
        <v>106</v>
      </c>
      <c r="J744" s="248">
        <v>188</v>
      </c>
      <c r="K744" s="248">
        <f t="shared" si="674"/>
        <v>79</v>
      </c>
      <c r="L744" s="248">
        <v>46</v>
      </c>
      <c r="M744" s="248">
        <v>47</v>
      </c>
      <c r="N744" s="248">
        <v>0</v>
      </c>
      <c r="O744" s="248">
        <v>12</v>
      </c>
      <c r="P744" s="248">
        <v>4</v>
      </c>
      <c r="Q744" s="249">
        <f t="shared" si="669"/>
        <v>0.66489361702127658</v>
      </c>
      <c r="R744" s="250">
        <f t="shared" si="670"/>
        <v>0</v>
      </c>
      <c r="S744" s="250">
        <f t="shared" si="671"/>
        <v>2.1276595744680851E-2</v>
      </c>
      <c r="T744" s="250">
        <f t="shared" si="672"/>
        <v>6.3829787234042548E-2</v>
      </c>
      <c r="U744" s="251">
        <f t="shared" si="673"/>
        <v>0.75</v>
      </c>
      <c r="V744" s="239"/>
    </row>
    <row r="745" spans="2:25" ht="15.75" hidden="1" x14ac:dyDescent="0.2">
      <c r="B745" s="711">
        <v>46134</v>
      </c>
      <c r="C745" s="105" t="s">
        <v>18</v>
      </c>
      <c r="D745" s="105" t="s">
        <v>13</v>
      </c>
      <c r="E745" s="711">
        <v>46134</v>
      </c>
      <c r="G745" s="835"/>
      <c r="H745" s="252" t="s">
        <v>14</v>
      </c>
      <c r="I745" s="252" t="s">
        <v>105</v>
      </c>
      <c r="J745" s="252">
        <v>200</v>
      </c>
      <c r="K745" s="252">
        <f t="shared" si="674"/>
        <v>0</v>
      </c>
      <c r="L745" s="252">
        <v>0</v>
      </c>
      <c r="M745" s="252">
        <v>107</v>
      </c>
      <c r="N745" s="252">
        <v>76</v>
      </c>
      <c r="O745" s="252">
        <v>12</v>
      </c>
      <c r="P745" s="252">
        <v>5</v>
      </c>
      <c r="Q745" s="253">
        <f>(K745+L745)/J745</f>
        <v>0</v>
      </c>
      <c r="R745" s="254">
        <f t="shared" si="670"/>
        <v>0.38</v>
      </c>
      <c r="S745" s="254">
        <f t="shared" si="671"/>
        <v>2.5000000000000001E-2</v>
      </c>
      <c r="T745" s="254">
        <f t="shared" si="672"/>
        <v>0.06</v>
      </c>
      <c r="U745" s="255">
        <f t="shared" si="673"/>
        <v>0.46500000000000002</v>
      </c>
      <c r="V745" s="239"/>
    </row>
    <row r="746" spans="2:25" ht="15.75" hidden="1" x14ac:dyDescent="0.2">
      <c r="B746" s="711">
        <v>46134</v>
      </c>
      <c r="C746" s="105" t="s">
        <v>18</v>
      </c>
      <c r="D746" s="105" t="s">
        <v>13</v>
      </c>
      <c r="E746" s="711">
        <v>46134</v>
      </c>
      <c r="G746" s="190"/>
      <c r="H746" s="190" t="s">
        <v>19</v>
      </c>
      <c r="I746" s="190"/>
      <c r="J746" s="190">
        <f t="shared" ref="J746" si="675">SUM(J740:J745)</f>
        <v>776</v>
      </c>
      <c r="K746" s="190">
        <f t="shared" ref="K746" si="676">SUM(K740:K745)</f>
        <v>281</v>
      </c>
      <c r="L746" s="190">
        <f t="shared" ref="L746" si="677">SUM(L740:L745)</f>
        <v>160</v>
      </c>
      <c r="M746" s="190">
        <f t="shared" ref="M746" si="678">SUM(M740:M745)</f>
        <v>158</v>
      </c>
      <c r="N746" s="190">
        <f t="shared" ref="N746" si="679">SUM(N740:N745)</f>
        <v>76</v>
      </c>
      <c r="O746" s="190">
        <f t="shared" ref="O746" si="680">SUM(O740:O745)</f>
        <v>73</v>
      </c>
      <c r="P746" s="190">
        <f t="shared" ref="P746" si="681">SUM(P740:P745)</f>
        <v>28</v>
      </c>
      <c r="Q746" s="191">
        <f>(K746+L746)/J746</f>
        <v>0.56829896907216493</v>
      </c>
      <c r="R746" s="192">
        <f t="shared" si="670"/>
        <v>9.7938144329896906E-2</v>
      </c>
      <c r="S746" s="192">
        <f t="shared" si="671"/>
        <v>3.608247422680412E-2</v>
      </c>
      <c r="T746" s="192">
        <f t="shared" si="672"/>
        <v>9.4072164948453607E-2</v>
      </c>
      <c r="U746" s="193">
        <f t="shared" si="673"/>
        <v>0.79639175257731953</v>
      </c>
      <c r="V746" s="127"/>
    </row>
    <row r="747" spans="2:25" ht="15.75" hidden="1" x14ac:dyDescent="0.2">
      <c r="B747" s="711">
        <v>46135</v>
      </c>
      <c r="C747" s="105" t="s">
        <v>22</v>
      </c>
      <c r="D747" s="105" t="s">
        <v>20</v>
      </c>
      <c r="E747" s="711">
        <v>46135</v>
      </c>
      <c r="G747" s="833">
        <v>46135</v>
      </c>
      <c r="H747" s="120" t="s">
        <v>75</v>
      </c>
      <c r="I747" s="120" t="s">
        <v>83</v>
      </c>
      <c r="J747" s="106">
        <v>233</v>
      </c>
      <c r="K747" s="106">
        <v>2</v>
      </c>
      <c r="L747" s="106">
        <v>18</v>
      </c>
      <c r="M747" s="106">
        <v>0</v>
      </c>
      <c r="N747" s="106">
        <v>0</v>
      </c>
      <c r="O747" s="106">
        <v>1</v>
      </c>
      <c r="P747" s="106">
        <v>8</v>
      </c>
      <c r="Q747" s="108">
        <f t="shared" ref="Q747:Q749" si="682">(K747+L747)/J747</f>
        <v>8.5836909871244635E-2</v>
      </c>
      <c r="R747" s="109">
        <f t="shared" si="670"/>
        <v>0</v>
      </c>
      <c r="S747" s="109">
        <f t="shared" si="671"/>
        <v>3.4334763948497854E-2</v>
      </c>
      <c r="T747" s="109">
        <f t="shared" si="672"/>
        <v>4.2918454935622317E-3</v>
      </c>
      <c r="U747" s="110">
        <f t="shared" si="673"/>
        <v>0.12446351931330472</v>
      </c>
      <c r="V747" s="136"/>
    </row>
    <row r="748" spans="2:25" ht="15.75" hidden="1" x14ac:dyDescent="0.2">
      <c r="B748" s="711">
        <v>46135</v>
      </c>
      <c r="C748" s="105" t="s">
        <v>22</v>
      </c>
      <c r="D748" s="105" t="s">
        <v>20</v>
      </c>
      <c r="E748" s="711">
        <v>46135</v>
      </c>
      <c r="G748" s="834"/>
      <c r="H748" s="120" t="s">
        <v>32</v>
      </c>
      <c r="I748" s="120" t="s">
        <v>106</v>
      </c>
      <c r="J748" s="106">
        <v>115</v>
      </c>
      <c r="K748" s="106">
        <v>23</v>
      </c>
      <c r="L748" s="106">
        <v>2</v>
      </c>
      <c r="M748" s="106">
        <v>0</v>
      </c>
      <c r="N748" s="106">
        <v>0</v>
      </c>
      <c r="O748" s="106">
        <v>2</v>
      </c>
      <c r="P748" s="106">
        <v>5</v>
      </c>
      <c r="Q748" s="108">
        <f t="shared" si="682"/>
        <v>0.21739130434782608</v>
      </c>
      <c r="R748" s="109">
        <f t="shared" si="670"/>
        <v>0</v>
      </c>
      <c r="S748" s="109">
        <f t="shared" si="671"/>
        <v>4.3478260869565216E-2</v>
      </c>
      <c r="T748" s="109">
        <f t="shared" si="672"/>
        <v>1.7391304347826087E-2</v>
      </c>
      <c r="U748" s="110">
        <f t="shared" si="673"/>
        <v>0.27826086956521739</v>
      </c>
      <c r="V748" s="136"/>
    </row>
    <row r="749" spans="2:25" ht="15.75" hidden="1" x14ac:dyDescent="0.2">
      <c r="B749" s="711">
        <v>46135</v>
      </c>
      <c r="C749" s="105" t="s">
        <v>22</v>
      </c>
      <c r="D749" s="105" t="s">
        <v>20</v>
      </c>
      <c r="E749" s="711">
        <v>46135</v>
      </c>
      <c r="G749" s="834"/>
      <c r="H749" s="120" t="s">
        <v>17</v>
      </c>
      <c r="I749" s="120" t="s">
        <v>106</v>
      </c>
      <c r="J749" s="106">
        <v>188</v>
      </c>
      <c r="K749" s="106">
        <v>41</v>
      </c>
      <c r="L749" s="106">
        <v>13</v>
      </c>
      <c r="M749" s="106">
        <v>0</v>
      </c>
      <c r="N749" s="106">
        <v>0</v>
      </c>
      <c r="O749" s="106">
        <v>10</v>
      </c>
      <c r="P749" s="106">
        <v>2</v>
      </c>
      <c r="Q749" s="108">
        <f t="shared" si="682"/>
        <v>0.28723404255319152</v>
      </c>
      <c r="R749" s="109">
        <f t="shared" si="670"/>
        <v>0</v>
      </c>
      <c r="S749" s="109">
        <f t="shared" si="671"/>
        <v>1.0638297872340425E-2</v>
      </c>
      <c r="T749" s="109">
        <f t="shared" si="672"/>
        <v>5.3191489361702128E-2</v>
      </c>
      <c r="U749" s="110">
        <f t="shared" si="673"/>
        <v>0.35106382978723411</v>
      </c>
      <c r="V749" s="136"/>
    </row>
    <row r="750" spans="2:25" ht="15.75" hidden="1" x14ac:dyDescent="0.2">
      <c r="B750" s="711">
        <v>46135</v>
      </c>
      <c r="C750" s="105" t="s">
        <v>22</v>
      </c>
      <c r="D750" s="105" t="s">
        <v>20</v>
      </c>
      <c r="E750" s="711">
        <v>46135</v>
      </c>
      <c r="G750" s="834"/>
      <c r="H750" s="120" t="s">
        <v>14</v>
      </c>
      <c r="I750" s="120" t="s">
        <v>105</v>
      </c>
      <c r="J750" s="106">
        <v>200</v>
      </c>
      <c r="K750" s="106">
        <v>29</v>
      </c>
      <c r="L750" s="106">
        <v>13</v>
      </c>
      <c r="M750" s="106">
        <v>16</v>
      </c>
      <c r="N750" s="106">
        <v>137</v>
      </c>
      <c r="O750" s="106">
        <v>0</v>
      </c>
      <c r="P750" s="106">
        <v>5</v>
      </c>
      <c r="Q750" s="108">
        <f>(K750+L750)/J750</f>
        <v>0.21</v>
      </c>
      <c r="R750" s="109">
        <f t="shared" si="670"/>
        <v>0.68500000000000005</v>
      </c>
      <c r="S750" s="109">
        <f t="shared" si="671"/>
        <v>2.5000000000000001E-2</v>
      </c>
      <c r="T750" s="109">
        <f t="shared" si="672"/>
        <v>0</v>
      </c>
      <c r="U750" s="110">
        <f t="shared" si="673"/>
        <v>0.92</v>
      </c>
      <c r="V750" s="136"/>
    </row>
    <row r="751" spans="2:25" ht="15.75" hidden="1" x14ac:dyDescent="0.2">
      <c r="B751" s="711">
        <v>46135</v>
      </c>
      <c r="C751" s="105" t="s">
        <v>22</v>
      </c>
      <c r="D751" s="105" t="s">
        <v>20</v>
      </c>
      <c r="E751" s="711">
        <v>46135</v>
      </c>
      <c r="G751" s="834"/>
      <c r="H751" s="120" t="s">
        <v>118</v>
      </c>
      <c r="I751" s="120" t="s">
        <v>106</v>
      </c>
      <c r="J751" s="106">
        <v>3</v>
      </c>
      <c r="K751" s="106">
        <v>3</v>
      </c>
      <c r="L751" s="106">
        <v>0</v>
      </c>
      <c r="M751" s="106">
        <v>0</v>
      </c>
      <c r="N751" s="106">
        <v>0</v>
      </c>
      <c r="O751" s="106">
        <v>0</v>
      </c>
      <c r="P751" s="106">
        <v>0</v>
      </c>
      <c r="Q751" s="108">
        <f t="shared" ref="Q751:Q754" si="683">(K751+L751)/J751</f>
        <v>1</v>
      </c>
      <c r="R751" s="109">
        <f t="shared" si="670"/>
        <v>0</v>
      </c>
      <c r="S751" s="109">
        <f t="shared" si="671"/>
        <v>0</v>
      </c>
      <c r="T751" s="109">
        <f t="shared" si="672"/>
        <v>0</v>
      </c>
      <c r="U751" s="110">
        <f t="shared" si="673"/>
        <v>1</v>
      </c>
      <c r="V751" s="136"/>
    </row>
    <row r="752" spans="2:25" ht="15.75" hidden="1" x14ac:dyDescent="0.2">
      <c r="B752" s="711">
        <v>46135</v>
      </c>
      <c r="C752" s="105" t="s">
        <v>22</v>
      </c>
      <c r="D752" s="105" t="s">
        <v>20</v>
      </c>
      <c r="E752" s="711">
        <v>46135</v>
      </c>
      <c r="G752" s="835"/>
      <c r="H752" s="120" t="s">
        <v>25</v>
      </c>
      <c r="I752" s="120" t="s">
        <v>106</v>
      </c>
      <c r="J752" s="106">
        <v>3</v>
      </c>
      <c r="K752" s="106">
        <v>0</v>
      </c>
      <c r="L752" s="106">
        <v>1</v>
      </c>
      <c r="M752" s="106">
        <v>0</v>
      </c>
      <c r="N752" s="106">
        <v>0</v>
      </c>
      <c r="O752" s="106">
        <v>0</v>
      </c>
      <c r="P752" s="106">
        <v>2</v>
      </c>
      <c r="Q752" s="108">
        <f t="shared" si="683"/>
        <v>0.33333333333333331</v>
      </c>
      <c r="R752" s="109">
        <f t="shared" si="670"/>
        <v>0</v>
      </c>
      <c r="S752" s="109">
        <f t="shared" si="671"/>
        <v>0.66666666666666663</v>
      </c>
      <c r="T752" s="109">
        <f t="shared" si="672"/>
        <v>0</v>
      </c>
      <c r="U752" s="110">
        <f t="shared" si="673"/>
        <v>1</v>
      </c>
      <c r="V752" s="136"/>
    </row>
    <row r="753" spans="2:25" ht="15.75" hidden="1" x14ac:dyDescent="0.2">
      <c r="B753" s="711">
        <v>46135</v>
      </c>
      <c r="C753" s="105" t="s">
        <v>22</v>
      </c>
      <c r="D753" s="105" t="s">
        <v>20</v>
      </c>
      <c r="E753" s="711">
        <v>46136</v>
      </c>
      <c r="G753" s="838">
        <v>46136</v>
      </c>
      <c r="H753" s="215" t="s">
        <v>25</v>
      </c>
      <c r="I753" s="215" t="s">
        <v>106</v>
      </c>
      <c r="J753" s="216">
        <v>212</v>
      </c>
      <c r="K753" s="106">
        <v>0</v>
      </c>
      <c r="L753" s="106">
        <v>0</v>
      </c>
      <c r="M753" s="106">
        <v>154</v>
      </c>
      <c r="N753" s="106">
        <v>48</v>
      </c>
      <c r="O753" s="106">
        <v>0</v>
      </c>
      <c r="P753" s="106">
        <v>9</v>
      </c>
      <c r="Q753" s="108">
        <f t="shared" si="683"/>
        <v>0</v>
      </c>
      <c r="R753" s="109">
        <f t="shared" si="670"/>
        <v>0.22641509433962265</v>
      </c>
      <c r="S753" s="109">
        <f t="shared" si="671"/>
        <v>4.2452830188679243E-2</v>
      </c>
      <c r="T753" s="109">
        <f t="shared" si="672"/>
        <v>0</v>
      </c>
      <c r="U753" s="110">
        <f t="shared" si="673"/>
        <v>0.26886792452830188</v>
      </c>
      <c r="V753" s="136"/>
    </row>
    <row r="754" spans="2:25" ht="15.75" hidden="1" x14ac:dyDescent="0.2">
      <c r="B754" s="711">
        <v>46135</v>
      </c>
      <c r="C754" s="105" t="s">
        <v>22</v>
      </c>
      <c r="D754" s="105" t="s">
        <v>20</v>
      </c>
      <c r="E754" s="711">
        <v>46136</v>
      </c>
      <c r="G754" s="848"/>
      <c r="H754" s="215" t="s">
        <v>32</v>
      </c>
      <c r="I754" s="215" t="s">
        <v>105</v>
      </c>
      <c r="J754" s="216">
        <v>12</v>
      </c>
      <c r="K754" s="106">
        <v>12</v>
      </c>
      <c r="L754" s="106">
        <v>0</v>
      </c>
      <c r="M754" s="106">
        <v>0</v>
      </c>
      <c r="N754" s="106">
        <v>0</v>
      </c>
      <c r="O754" s="106">
        <v>0</v>
      </c>
      <c r="P754" s="106">
        <v>0</v>
      </c>
      <c r="Q754" s="108">
        <f t="shared" si="683"/>
        <v>1</v>
      </c>
      <c r="R754" s="109">
        <f t="shared" si="670"/>
        <v>0</v>
      </c>
      <c r="S754" s="109">
        <f t="shared" si="671"/>
        <v>0</v>
      </c>
      <c r="T754" s="109">
        <f t="shared" si="672"/>
        <v>0</v>
      </c>
      <c r="U754" s="110">
        <f t="shared" si="673"/>
        <v>1</v>
      </c>
      <c r="V754" s="136"/>
    </row>
    <row r="755" spans="2:25" s="97" customFormat="1" ht="16.5" hidden="1" customHeight="1" x14ac:dyDescent="0.2">
      <c r="B755" s="711">
        <v>46135</v>
      </c>
      <c r="C755" s="105" t="s">
        <v>22</v>
      </c>
      <c r="D755" s="105" t="s">
        <v>20</v>
      </c>
      <c r="E755" s="711">
        <v>46135</v>
      </c>
      <c r="F755" s="89"/>
      <c r="G755" s="113"/>
      <c r="H755" s="113" t="s">
        <v>19</v>
      </c>
      <c r="I755" s="113"/>
      <c r="J755" s="113">
        <f t="shared" ref="J755:P755" si="684">SUM(J747:J754)</f>
        <v>966</v>
      </c>
      <c r="K755" s="113">
        <f t="shared" si="684"/>
        <v>110</v>
      </c>
      <c r="L755" s="113">
        <f t="shared" si="684"/>
        <v>47</v>
      </c>
      <c r="M755" s="113">
        <f t="shared" si="684"/>
        <v>170</v>
      </c>
      <c r="N755" s="113">
        <f t="shared" si="684"/>
        <v>185</v>
      </c>
      <c r="O755" s="113">
        <f t="shared" si="684"/>
        <v>13</v>
      </c>
      <c r="P755" s="113">
        <f t="shared" si="684"/>
        <v>31</v>
      </c>
      <c r="Q755" s="115">
        <f>(K755+L755)/J755</f>
        <v>0.16252587991718426</v>
      </c>
      <c r="R755" s="116">
        <f t="shared" si="670"/>
        <v>0.19151138716356109</v>
      </c>
      <c r="S755" s="116">
        <f t="shared" si="671"/>
        <v>3.2091097308488616E-2</v>
      </c>
      <c r="T755" s="116">
        <f t="shared" si="672"/>
        <v>1.3457556935817806E-2</v>
      </c>
      <c r="U755" s="117">
        <f t="shared" si="673"/>
        <v>0.39958592132505172</v>
      </c>
      <c r="V755" s="127"/>
      <c r="W755" s="88"/>
      <c r="X755" s="88"/>
      <c r="Y755" s="118"/>
    </row>
    <row r="756" spans="2:25" ht="15.75" hidden="1" x14ac:dyDescent="0.2">
      <c r="B756" s="711">
        <v>46135</v>
      </c>
      <c r="C756" s="105" t="s">
        <v>12</v>
      </c>
      <c r="D756" s="105" t="s">
        <v>23</v>
      </c>
      <c r="E756" s="711">
        <v>46135</v>
      </c>
      <c r="G756" s="833">
        <v>46135</v>
      </c>
      <c r="H756" s="120" t="s">
        <v>75</v>
      </c>
      <c r="I756" s="120" t="s">
        <v>83</v>
      </c>
      <c r="J756" s="106">
        <v>233</v>
      </c>
      <c r="K756" s="106">
        <f>233-109</f>
        <v>124</v>
      </c>
      <c r="L756" s="106">
        <v>85</v>
      </c>
      <c r="M756" s="106">
        <v>0</v>
      </c>
      <c r="N756" s="106">
        <v>0</v>
      </c>
      <c r="O756" s="106">
        <v>18</v>
      </c>
      <c r="P756" s="106">
        <v>6</v>
      </c>
      <c r="Q756" s="108">
        <f t="shared" ref="Q756:Q758" si="685">(K756+L756)/J756</f>
        <v>0.89699570815450647</v>
      </c>
      <c r="R756" s="109">
        <f t="shared" ref="R756:R764" si="686">N756/J756</f>
        <v>0</v>
      </c>
      <c r="S756" s="109">
        <f t="shared" ref="S756:S764" si="687">P756/J756</f>
        <v>2.575107296137339E-2</v>
      </c>
      <c r="T756" s="109">
        <f t="shared" ref="T756:T764" si="688">O756/J756</f>
        <v>7.7253218884120178E-2</v>
      </c>
      <c r="U756" s="110">
        <f t="shared" ref="U756:U764" si="689">S756+R756+Q756+T756</f>
        <v>1</v>
      </c>
      <c r="V756" s="136"/>
    </row>
    <row r="757" spans="2:25" ht="15.75" hidden="1" x14ac:dyDescent="0.2">
      <c r="B757" s="711">
        <v>46135</v>
      </c>
      <c r="C757" s="105" t="s">
        <v>12</v>
      </c>
      <c r="D757" s="105" t="s">
        <v>23</v>
      </c>
      <c r="E757" s="711">
        <v>46135</v>
      </c>
      <c r="G757" s="834"/>
      <c r="H757" s="120" t="s">
        <v>32</v>
      </c>
      <c r="I757" s="120" t="s">
        <v>106</v>
      </c>
      <c r="J757" s="106">
        <v>115</v>
      </c>
      <c r="K757" s="106">
        <f>115-23</f>
        <v>92</v>
      </c>
      <c r="L757" s="106">
        <v>16</v>
      </c>
      <c r="M757" s="106">
        <v>0</v>
      </c>
      <c r="N757" s="106">
        <v>0</v>
      </c>
      <c r="O757" s="106">
        <v>2</v>
      </c>
      <c r="P757" s="106">
        <v>5</v>
      </c>
      <c r="Q757" s="108">
        <f t="shared" si="685"/>
        <v>0.93913043478260871</v>
      </c>
      <c r="R757" s="109">
        <f t="shared" si="686"/>
        <v>0</v>
      </c>
      <c r="S757" s="109">
        <f t="shared" si="687"/>
        <v>4.3478260869565216E-2</v>
      </c>
      <c r="T757" s="109">
        <f t="shared" si="688"/>
        <v>1.7391304347826087E-2</v>
      </c>
      <c r="U757" s="110">
        <f t="shared" si="689"/>
        <v>1</v>
      </c>
      <c r="V757" s="136"/>
    </row>
    <row r="758" spans="2:25" ht="15.75" hidden="1" x14ac:dyDescent="0.2">
      <c r="B758" s="711">
        <v>46135</v>
      </c>
      <c r="C758" s="105" t="s">
        <v>12</v>
      </c>
      <c r="D758" s="105" t="s">
        <v>23</v>
      </c>
      <c r="E758" s="711">
        <v>46135</v>
      </c>
      <c r="G758" s="834"/>
      <c r="H758" s="120" t="s">
        <v>17</v>
      </c>
      <c r="I758" s="120" t="s">
        <v>106</v>
      </c>
      <c r="J758" s="106">
        <v>188</v>
      </c>
      <c r="K758" s="106">
        <f>188-54</f>
        <v>134</v>
      </c>
      <c r="L758" s="106">
        <v>28</v>
      </c>
      <c r="M758" s="106">
        <v>4</v>
      </c>
      <c r="N758" s="106">
        <v>0</v>
      </c>
      <c r="O758" s="106">
        <v>20</v>
      </c>
      <c r="P758" s="106">
        <v>2</v>
      </c>
      <c r="Q758" s="108">
        <f t="shared" si="685"/>
        <v>0.86170212765957444</v>
      </c>
      <c r="R758" s="109">
        <f t="shared" si="686"/>
        <v>0</v>
      </c>
      <c r="S758" s="109">
        <f t="shared" si="687"/>
        <v>1.0638297872340425E-2</v>
      </c>
      <c r="T758" s="109">
        <f t="shared" si="688"/>
        <v>0.10638297872340426</v>
      </c>
      <c r="U758" s="110">
        <f t="shared" si="689"/>
        <v>0.97872340425531912</v>
      </c>
      <c r="V758" s="136"/>
    </row>
    <row r="759" spans="2:25" ht="15.75" hidden="1" x14ac:dyDescent="0.2">
      <c r="B759" s="711">
        <v>46135</v>
      </c>
      <c r="C759" s="105" t="s">
        <v>12</v>
      </c>
      <c r="D759" s="105" t="s">
        <v>23</v>
      </c>
      <c r="E759" s="711">
        <v>46135</v>
      </c>
      <c r="G759" s="835"/>
      <c r="H759" s="120" t="s">
        <v>14</v>
      </c>
      <c r="I759" s="120" t="s">
        <v>105</v>
      </c>
      <c r="J759" s="106">
        <v>200</v>
      </c>
      <c r="K759" s="106">
        <f>200-74</f>
        <v>126</v>
      </c>
      <c r="L759" s="106">
        <v>48</v>
      </c>
      <c r="M759" s="106">
        <v>7</v>
      </c>
      <c r="N759" s="106">
        <v>0</v>
      </c>
      <c r="O759" s="106">
        <v>13</v>
      </c>
      <c r="P759" s="106">
        <v>6</v>
      </c>
      <c r="Q759" s="108">
        <f>(K759+L759)/J759</f>
        <v>0.87</v>
      </c>
      <c r="R759" s="109">
        <f t="shared" si="686"/>
        <v>0</v>
      </c>
      <c r="S759" s="109">
        <f t="shared" si="687"/>
        <v>0.03</v>
      </c>
      <c r="T759" s="109">
        <f t="shared" si="688"/>
        <v>6.5000000000000002E-2</v>
      </c>
      <c r="U759" s="110">
        <f t="shared" si="689"/>
        <v>0.96500000000000008</v>
      </c>
      <c r="V759" s="136"/>
    </row>
    <row r="760" spans="2:25" ht="15.75" hidden="1" x14ac:dyDescent="0.2">
      <c r="B760" s="711">
        <v>46135</v>
      </c>
      <c r="C760" s="105" t="s">
        <v>12</v>
      </c>
      <c r="D760" s="105" t="s">
        <v>23</v>
      </c>
      <c r="E760" s="711">
        <v>46135</v>
      </c>
      <c r="G760" s="833">
        <v>46136</v>
      </c>
      <c r="H760" s="120" t="s">
        <v>75</v>
      </c>
      <c r="I760" s="120" t="s">
        <v>83</v>
      </c>
      <c r="J760" s="106">
        <v>217</v>
      </c>
      <c r="K760" s="106">
        <v>8</v>
      </c>
      <c r="L760" s="106">
        <v>0</v>
      </c>
      <c r="M760" s="106">
        <v>129</v>
      </c>
      <c r="N760" s="106">
        <v>59</v>
      </c>
      <c r="O760" s="106">
        <v>20</v>
      </c>
      <c r="P760" s="106">
        <v>9</v>
      </c>
      <c r="Q760" s="108">
        <f t="shared" ref="Q760:Q762" si="690">(K760+L760)/J760</f>
        <v>3.6866359447004608E-2</v>
      </c>
      <c r="R760" s="109">
        <f t="shared" ref="R760:R763" si="691">N760/J760</f>
        <v>0.27188940092165897</v>
      </c>
      <c r="S760" s="109">
        <f t="shared" ref="S760:S763" si="692">P760/J760</f>
        <v>4.1474654377880185E-2</v>
      </c>
      <c r="T760" s="109">
        <f t="shared" ref="T760:T763" si="693">O760/J760</f>
        <v>9.2165898617511524E-2</v>
      </c>
      <c r="U760" s="110">
        <f t="shared" ref="U760:U763" si="694">S760+R760+Q760+T760</f>
        <v>0.44239631336405527</v>
      </c>
      <c r="V760" s="136"/>
    </row>
    <row r="761" spans="2:25" ht="15.75" hidden="1" x14ac:dyDescent="0.2">
      <c r="B761" s="711">
        <v>46135</v>
      </c>
      <c r="C761" s="105" t="s">
        <v>12</v>
      </c>
      <c r="D761" s="105" t="s">
        <v>23</v>
      </c>
      <c r="E761" s="711">
        <v>46135</v>
      </c>
      <c r="G761" s="834"/>
      <c r="H761" s="120" t="s">
        <v>118</v>
      </c>
      <c r="I761" s="120" t="s">
        <v>106</v>
      </c>
      <c r="J761" s="106">
        <v>22</v>
      </c>
      <c r="K761" s="106">
        <v>20</v>
      </c>
      <c r="L761" s="106">
        <v>0</v>
      </c>
      <c r="M761" s="106">
        <v>0</v>
      </c>
      <c r="N761" s="106">
        <v>0</v>
      </c>
      <c r="O761" s="106">
        <v>0</v>
      </c>
      <c r="P761" s="106">
        <v>2</v>
      </c>
      <c r="Q761" s="108">
        <f t="shared" si="690"/>
        <v>0.90909090909090906</v>
      </c>
      <c r="R761" s="109">
        <f t="shared" si="691"/>
        <v>0</v>
      </c>
      <c r="S761" s="109">
        <f t="shared" si="692"/>
        <v>9.0909090909090912E-2</v>
      </c>
      <c r="T761" s="109">
        <f t="shared" si="693"/>
        <v>0</v>
      </c>
      <c r="U761" s="110">
        <f t="shared" si="694"/>
        <v>1</v>
      </c>
      <c r="V761" s="136"/>
    </row>
    <row r="762" spans="2:25" ht="15.75" hidden="1" x14ac:dyDescent="0.2">
      <c r="B762" s="711">
        <v>46135</v>
      </c>
      <c r="C762" s="105" t="s">
        <v>12</v>
      </c>
      <c r="D762" s="105" t="s">
        <v>23</v>
      </c>
      <c r="E762" s="711">
        <v>46135</v>
      </c>
      <c r="G762" s="834"/>
      <c r="H762" s="120" t="s">
        <v>25</v>
      </c>
      <c r="I762" s="120" t="s">
        <v>106</v>
      </c>
      <c r="J762" s="106">
        <v>208</v>
      </c>
      <c r="K762" s="106">
        <v>1</v>
      </c>
      <c r="L762" s="106">
        <v>0</v>
      </c>
      <c r="M762" s="106">
        <v>4</v>
      </c>
      <c r="N762" s="106">
        <v>175</v>
      </c>
      <c r="O762" s="106">
        <v>24</v>
      </c>
      <c r="P762" s="106">
        <v>5</v>
      </c>
      <c r="Q762" s="108">
        <f t="shared" si="690"/>
        <v>4.807692307692308E-3</v>
      </c>
      <c r="R762" s="109">
        <f t="shared" si="691"/>
        <v>0.84134615384615385</v>
      </c>
      <c r="S762" s="109">
        <f t="shared" si="692"/>
        <v>2.403846153846154E-2</v>
      </c>
      <c r="T762" s="109">
        <f t="shared" si="693"/>
        <v>0.11538461538461539</v>
      </c>
      <c r="U762" s="110">
        <f t="shared" si="694"/>
        <v>0.98557692307692313</v>
      </c>
      <c r="V762" s="136"/>
    </row>
    <row r="763" spans="2:25" ht="15.75" hidden="1" x14ac:dyDescent="0.2">
      <c r="B763" s="711">
        <v>46135</v>
      </c>
      <c r="C763" s="105" t="s">
        <v>12</v>
      </c>
      <c r="D763" s="105" t="s">
        <v>23</v>
      </c>
      <c r="E763" s="711">
        <v>46135</v>
      </c>
      <c r="G763" s="859"/>
      <c r="H763" s="120" t="s">
        <v>14</v>
      </c>
      <c r="I763" s="120" t="s">
        <v>105</v>
      </c>
      <c r="J763" s="106">
        <v>192</v>
      </c>
      <c r="K763" s="106">
        <v>0</v>
      </c>
      <c r="L763" s="106">
        <v>0</v>
      </c>
      <c r="M763" s="106">
        <v>0</v>
      </c>
      <c r="N763" s="106">
        <v>0</v>
      </c>
      <c r="O763" s="106">
        <v>11</v>
      </c>
      <c r="P763" s="106">
        <v>4</v>
      </c>
      <c r="Q763" s="108">
        <f>(K763+L763)/J763</f>
        <v>0</v>
      </c>
      <c r="R763" s="109">
        <f t="shared" si="691"/>
        <v>0</v>
      </c>
      <c r="S763" s="109">
        <f t="shared" si="692"/>
        <v>2.0833333333333332E-2</v>
      </c>
      <c r="T763" s="109">
        <f t="shared" si="693"/>
        <v>5.7291666666666664E-2</v>
      </c>
      <c r="U763" s="110">
        <f t="shared" si="694"/>
        <v>7.8125E-2</v>
      </c>
      <c r="V763" s="136"/>
    </row>
    <row r="764" spans="2:25" s="97" customFormat="1" ht="16.5" hidden="1" customHeight="1" x14ac:dyDescent="0.2">
      <c r="B764" s="711">
        <v>46135</v>
      </c>
      <c r="C764" s="105" t="s">
        <v>12</v>
      </c>
      <c r="D764" s="105" t="s">
        <v>23</v>
      </c>
      <c r="E764" s="711">
        <v>46135</v>
      </c>
      <c r="F764" s="89"/>
      <c r="G764" s="113"/>
      <c r="H764" s="113" t="s">
        <v>19</v>
      </c>
      <c r="I764" s="113"/>
      <c r="J764" s="113">
        <f t="shared" ref="J764:P764" si="695">SUM(J756:J763)</f>
        <v>1375</v>
      </c>
      <c r="K764" s="113">
        <f t="shared" si="695"/>
        <v>505</v>
      </c>
      <c r="L764" s="113">
        <f t="shared" si="695"/>
        <v>177</v>
      </c>
      <c r="M764" s="113">
        <f t="shared" si="695"/>
        <v>144</v>
      </c>
      <c r="N764" s="113">
        <f t="shared" si="695"/>
        <v>234</v>
      </c>
      <c r="O764" s="113">
        <f t="shared" si="695"/>
        <v>108</v>
      </c>
      <c r="P764" s="113">
        <f t="shared" si="695"/>
        <v>39</v>
      </c>
      <c r="Q764" s="115">
        <f>(K764+L764)/J764</f>
        <v>0.496</v>
      </c>
      <c r="R764" s="116">
        <f t="shared" si="686"/>
        <v>0.17018181818181818</v>
      </c>
      <c r="S764" s="116">
        <f t="shared" si="687"/>
        <v>2.8363636363636365E-2</v>
      </c>
      <c r="T764" s="116">
        <f t="shared" si="688"/>
        <v>7.8545454545454543E-2</v>
      </c>
      <c r="U764" s="117">
        <f t="shared" si="689"/>
        <v>0.77309090909090916</v>
      </c>
      <c r="V764" s="127"/>
      <c r="W764" s="88"/>
      <c r="X764" s="88"/>
      <c r="Y764" s="118"/>
    </row>
    <row r="765" spans="2:25" ht="15.75" hidden="1" x14ac:dyDescent="0.2">
      <c r="B765" s="711">
        <v>46135</v>
      </c>
      <c r="C765" s="105" t="s">
        <v>18</v>
      </c>
      <c r="D765" s="105" t="s">
        <v>13</v>
      </c>
      <c r="E765" s="711">
        <v>46135</v>
      </c>
      <c r="G765" s="833">
        <v>46135</v>
      </c>
      <c r="H765" s="120" t="s">
        <v>75</v>
      </c>
      <c r="I765" s="120" t="s">
        <v>83</v>
      </c>
      <c r="J765" s="106">
        <v>25</v>
      </c>
      <c r="K765" s="106">
        <f>J765-L765-M765-N765-O765-P765</f>
        <v>9</v>
      </c>
      <c r="L765" s="106">
        <v>0</v>
      </c>
      <c r="M765" s="106">
        <v>0</v>
      </c>
      <c r="N765" s="106">
        <v>0</v>
      </c>
      <c r="O765" s="106">
        <v>10</v>
      </c>
      <c r="P765" s="106">
        <v>6</v>
      </c>
      <c r="Q765" s="108">
        <f t="shared" ref="Q765" si="696">(K765+L765)/J765</f>
        <v>0.36</v>
      </c>
      <c r="R765" s="109">
        <f t="shared" ref="R765:R780" si="697">N765/J765</f>
        <v>0</v>
      </c>
      <c r="S765" s="109">
        <f t="shared" ref="S765:S780" si="698">P765/J765</f>
        <v>0.24</v>
      </c>
      <c r="T765" s="109">
        <f t="shared" ref="T765:T780" si="699">O765/J765</f>
        <v>0.4</v>
      </c>
      <c r="U765" s="110">
        <f t="shared" ref="U765:U780" si="700">S765+R765+Q765+T765</f>
        <v>1</v>
      </c>
      <c r="V765" s="136"/>
    </row>
    <row r="766" spans="2:25" ht="15.75" hidden="1" x14ac:dyDescent="0.2">
      <c r="B766" s="711">
        <v>46135</v>
      </c>
      <c r="C766" s="105" t="s">
        <v>18</v>
      </c>
      <c r="D766" s="105" t="s">
        <v>13</v>
      </c>
      <c r="E766" s="711">
        <v>46135</v>
      </c>
      <c r="G766" s="859"/>
      <c r="H766" s="120" t="s">
        <v>14</v>
      </c>
      <c r="I766" s="120" t="s">
        <v>105</v>
      </c>
      <c r="J766" s="106">
        <v>12</v>
      </c>
      <c r="K766" s="106">
        <f>J766-L766-M766-N766-O766-P766</f>
        <v>9</v>
      </c>
      <c r="L766" s="106">
        <v>0</v>
      </c>
      <c r="M766" s="106">
        <v>0</v>
      </c>
      <c r="N766" s="106">
        <v>0</v>
      </c>
      <c r="O766" s="106">
        <v>3</v>
      </c>
      <c r="P766" s="106">
        <v>0</v>
      </c>
      <c r="Q766" s="108">
        <f>(K766+L766)/J766</f>
        <v>0.75</v>
      </c>
      <c r="R766" s="109">
        <f t="shared" si="697"/>
        <v>0</v>
      </c>
      <c r="S766" s="109">
        <f t="shared" si="698"/>
        <v>0</v>
      </c>
      <c r="T766" s="109">
        <f t="shared" si="699"/>
        <v>0.25</v>
      </c>
      <c r="U766" s="110">
        <f t="shared" si="700"/>
        <v>1</v>
      </c>
      <c r="V766" s="136"/>
    </row>
    <row r="767" spans="2:25" ht="15.75" hidden="1" x14ac:dyDescent="0.2">
      <c r="B767" s="711">
        <v>46135</v>
      </c>
      <c r="C767" s="105" t="s">
        <v>18</v>
      </c>
      <c r="D767" s="105" t="s">
        <v>13</v>
      </c>
      <c r="E767" s="711">
        <v>46135</v>
      </c>
      <c r="G767" s="113"/>
      <c r="H767" s="113" t="s">
        <v>19</v>
      </c>
      <c r="I767" s="113"/>
      <c r="J767" s="113">
        <f>SUM(J765:J766)</f>
        <v>37</v>
      </c>
      <c r="K767" s="113">
        <f t="shared" ref="K767:P767" si="701">SUM(K765:K766)</f>
        <v>18</v>
      </c>
      <c r="L767" s="113">
        <f t="shared" si="701"/>
        <v>0</v>
      </c>
      <c r="M767" s="114">
        <f t="shared" si="701"/>
        <v>0</v>
      </c>
      <c r="N767" s="113">
        <f t="shared" si="701"/>
        <v>0</v>
      </c>
      <c r="O767" s="113">
        <f t="shared" si="701"/>
        <v>13</v>
      </c>
      <c r="P767" s="114">
        <f t="shared" si="701"/>
        <v>6</v>
      </c>
      <c r="Q767" s="115">
        <f>(K767+L767)/J767</f>
        <v>0.48648648648648651</v>
      </c>
      <c r="R767" s="116">
        <f t="shared" ref="R767" si="702">N767/J767</f>
        <v>0</v>
      </c>
      <c r="S767" s="116">
        <f t="shared" ref="S767" si="703">P767/J767</f>
        <v>0.16216216216216217</v>
      </c>
      <c r="T767" s="116">
        <f t="shared" ref="T767" si="704">O767/J767</f>
        <v>0.35135135135135137</v>
      </c>
      <c r="U767" s="117">
        <f t="shared" ref="U767" si="705">S767+R767+Q767+T767</f>
        <v>1</v>
      </c>
      <c r="V767" s="127"/>
    </row>
    <row r="768" spans="2:25" ht="15.75" hidden="1" x14ac:dyDescent="0.2">
      <c r="B768" s="711">
        <v>46135</v>
      </c>
      <c r="C768" s="105" t="s">
        <v>18</v>
      </c>
      <c r="D768" s="105" t="s">
        <v>13</v>
      </c>
      <c r="E768" s="711">
        <v>46136</v>
      </c>
      <c r="G768" s="833">
        <v>46136</v>
      </c>
      <c r="H768" s="120" t="s">
        <v>75</v>
      </c>
      <c r="I768" s="120" t="s">
        <v>83</v>
      </c>
      <c r="J768" s="106">
        <v>217</v>
      </c>
      <c r="K768" s="106">
        <f>J768-L768-M768-N768-O768-P768</f>
        <v>100</v>
      </c>
      <c r="L768" s="106">
        <v>83</v>
      </c>
      <c r="M768" s="106">
        <v>5</v>
      </c>
      <c r="N768" s="106">
        <v>0</v>
      </c>
      <c r="O768" s="106">
        <v>20</v>
      </c>
      <c r="P768" s="106">
        <v>9</v>
      </c>
      <c r="Q768" s="108">
        <f t="shared" ref="Q768:Q770" si="706">(K768+L768)/J768</f>
        <v>0.84331797235023043</v>
      </c>
      <c r="R768" s="109">
        <f t="shared" si="697"/>
        <v>0</v>
      </c>
      <c r="S768" s="109">
        <f t="shared" si="698"/>
        <v>4.1474654377880185E-2</v>
      </c>
      <c r="T768" s="109">
        <f t="shared" si="699"/>
        <v>9.2165898617511524E-2</v>
      </c>
      <c r="U768" s="110">
        <f t="shared" si="700"/>
        <v>0.97695852534562222</v>
      </c>
      <c r="V768" s="136"/>
    </row>
    <row r="769" spans="2:25" ht="15.75" hidden="1" x14ac:dyDescent="0.2">
      <c r="B769" s="711">
        <v>46135</v>
      </c>
      <c r="C769" s="105" t="s">
        <v>18</v>
      </c>
      <c r="D769" s="105" t="s">
        <v>13</v>
      </c>
      <c r="E769" s="711">
        <v>46136</v>
      </c>
      <c r="G769" s="834"/>
      <c r="H769" s="120" t="s">
        <v>118</v>
      </c>
      <c r="I769" s="120" t="s">
        <v>106</v>
      </c>
      <c r="J769" s="106">
        <v>22</v>
      </c>
      <c r="K769" s="106">
        <f t="shared" ref="K769:K771" si="707">J769-L769-M769-N769-O769-P769</f>
        <v>20</v>
      </c>
      <c r="L769" s="106">
        <v>0</v>
      </c>
      <c r="M769" s="106">
        <v>0</v>
      </c>
      <c r="N769" s="106">
        <v>0</v>
      </c>
      <c r="O769" s="106">
        <v>0</v>
      </c>
      <c r="P769" s="106">
        <v>2</v>
      </c>
      <c r="Q769" s="108">
        <f t="shared" si="706"/>
        <v>0.90909090909090906</v>
      </c>
      <c r="R769" s="109">
        <f t="shared" si="697"/>
        <v>0</v>
      </c>
      <c r="S769" s="109">
        <f t="shared" si="698"/>
        <v>9.0909090909090912E-2</v>
      </c>
      <c r="T769" s="109">
        <f t="shared" si="699"/>
        <v>0</v>
      </c>
      <c r="U769" s="110">
        <f t="shared" si="700"/>
        <v>1</v>
      </c>
      <c r="V769" s="136"/>
    </row>
    <row r="770" spans="2:25" ht="15.75" hidden="1" x14ac:dyDescent="0.2">
      <c r="B770" s="711">
        <v>46135</v>
      </c>
      <c r="C770" s="105" t="s">
        <v>18</v>
      </c>
      <c r="D770" s="105" t="s">
        <v>13</v>
      </c>
      <c r="E770" s="711">
        <v>46136</v>
      </c>
      <c r="G770" s="834"/>
      <c r="H770" s="120" t="s">
        <v>25</v>
      </c>
      <c r="I770" s="120" t="s">
        <v>106</v>
      </c>
      <c r="J770" s="106">
        <v>208</v>
      </c>
      <c r="K770" s="106">
        <f t="shared" si="707"/>
        <v>121</v>
      </c>
      <c r="L770" s="106">
        <v>50</v>
      </c>
      <c r="M770" s="106">
        <v>10</v>
      </c>
      <c r="N770" s="106">
        <v>0</v>
      </c>
      <c r="O770" s="106">
        <v>23</v>
      </c>
      <c r="P770" s="106">
        <v>4</v>
      </c>
      <c r="Q770" s="108">
        <f t="shared" si="706"/>
        <v>0.82211538461538458</v>
      </c>
      <c r="R770" s="109">
        <f t="shared" si="697"/>
        <v>0</v>
      </c>
      <c r="S770" s="109">
        <f t="shared" si="698"/>
        <v>1.9230769230769232E-2</v>
      </c>
      <c r="T770" s="109">
        <f t="shared" si="699"/>
        <v>0.11057692307692307</v>
      </c>
      <c r="U770" s="110">
        <f t="shared" si="700"/>
        <v>0.95192307692307687</v>
      </c>
      <c r="V770" s="136"/>
    </row>
    <row r="771" spans="2:25" ht="15.75" hidden="1" x14ac:dyDescent="0.2">
      <c r="B771" s="711">
        <v>46135</v>
      </c>
      <c r="C771" s="105" t="s">
        <v>18</v>
      </c>
      <c r="D771" s="105" t="s">
        <v>13</v>
      </c>
      <c r="E771" s="711">
        <v>46136</v>
      </c>
      <c r="G771" s="859"/>
      <c r="H771" s="120" t="s">
        <v>14</v>
      </c>
      <c r="I771" s="120" t="s">
        <v>105</v>
      </c>
      <c r="J771" s="106">
        <v>192</v>
      </c>
      <c r="K771" s="106">
        <f t="shared" si="707"/>
        <v>1</v>
      </c>
      <c r="L771" s="106">
        <v>9</v>
      </c>
      <c r="M771" s="106">
        <v>141</v>
      </c>
      <c r="N771" s="106">
        <v>41</v>
      </c>
      <c r="O771" s="106">
        <v>0</v>
      </c>
      <c r="P771" s="106">
        <v>0</v>
      </c>
      <c r="Q771" s="108">
        <f>(K771+L771)/J771</f>
        <v>5.2083333333333336E-2</v>
      </c>
      <c r="R771" s="109">
        <f t="shared" si="697"/>
        <v>0.21354166666666666</v>
      </c>
      <c r="S771" s="109">
        <f t="shared" si="698"/>
        <v>0</v>
      </c>
      <c r="T771" s="109">
        <f t="shared" si="699"/>
        <v>0</v>
      </c>
      <c r="U771" s="110">
        <f t="shared" si="700"/>
        <v>0.265625</v>
      </c>
      <c r="V771" s="136"/>
    </row>
    <row r="772" spans="2:25" ht="15.75" hidden="1" x14ac:dyDescent="0.2">
      <c r="B772" s="711">
        <v>46135</v>
      </c>
      <c r="C772" s="105" t="s">
        <v>18</v>
      </c>
      <c r="D772" s="105" t="s">
        <v>13</v>
      </c>
      <c r="E772" s="711">
        <v>46136</v>
      </c>
      <c r="G772" s="113"/>
      <c r="H772" s="113" t="s">
        <v>19</v>
      </c>
      <c r="I772" s="113"/>
      <c r="J772" s="113">
        <f>SUM(J768:J771)</f>
        <v>639</v>
      </c>
      <c r="K772" s="113">
        <f t="shared" ref="K772:P772" si="708">SUM(K768:K771)</f>
        <v>242</v>
      </c>
      <c r="L772" s="113">
        <f t="shared" si="708"/>
        <v>142</v>
      </c>
      <c r="M772" s="114">
        <f t="shared" si="708"/>
        <v>156</v>
      </c>
      <c r="N772" s="113">
        <f t="shared" si="708"/>
        <v>41</v>
      </c>
      <c r="O772" s="113">
        <f t="shared" si="708"/>
        <v>43</v>
      </c>
      <c r="P772" s="114">
        <f t="shared" si="708"/>
        <v>15</v>
      </c>
      <c r="Q772" s="115">
        <f>(K772+L772)/J772</f>
        <v>0.60093896713615025</v>
      </c>
      <c r="R772" s="116">
        <f t="shared" si="697"/>
        <v>6.416275430359937E-2</v>
      </c>
      <c r="S772" s="116">
        <f t="shared" si="698"/>
        <v>2.3474178403755867E-2</v>
      </c>
      <c r="T772" s="116">
        <f t="shared" si="699"/>
        <v>6.729264475743349E-2</v>
      </c>
      <c r="U772" s="117">
        <f t="shared" si="700"/>
        <v>0.75586854460093889</v>
      </c>
      <c r="V772" s="127"/>
    </row>
    <row r="773" spans="2:25" ht="15.75" hidden="1" x14ac:dyDescent="0.2">
      <c r="B773" s="711">
        <v>46136</v>
      </c>
      <c r="C773" s="105" t="s">
        <v>22</v>
      </c>
      <c r="D773" s="105" t="s">
        <v>20</v>
      </c>
      <c r="E773" s="711">
        <v>46136</v>
      </c>
      <c r="G773" s="833">
        <v>46136</v>
      </c>
      <c r="H773" s="120" t="s">
        <v>75</v>
      </c>
      <c r="I773" s="120" t="s">
        <v>83</v>
      </c>
      <c r="J773" s="106">
        <v>217</v>
      </c>
      <c r="K773" s="106">
        <v>2</v>
      </c>
      <c r="L773" s="106">
        <v>11</v>
      </c>
      <c r="M773" s="106">
        <v>0</v>
      </c>
      <c r="N773" s="106">
        <v>0</v>
      </c>
      <c r="O773" s="106">
        <v>12</v>
      </c>
      <c r="P773" s="106">
        <v>7</v>
      </c>
      <c r="Q773" s="108">
        <f t="shared" ref="Q773:Q775" si="709">(K773+L773)/J773</f>
        <v>5.9907834101382486E-2</v>
      </c>
      <c r="R773" s="109">
        <f t="shared" si="697"/>
        <v>0</v>
      </c>
      <c r="S773" s="109">
        <f t="shared" si="698"/>
        <v>3.2258064516129031E-2</v>
      </c>
      <c r="T773" s="109">
        <f t="shared" si="699"/>
        <v>5.5299539170506916E-2</v>
      </c>
      <c r="U773" s="110">
        <f t="shared" si="700"/>
        <v>0.14746543778801843</v>
      </c>
      <c r="V773" s="136"/>
    </row>
    <row r="774" spans="2:25" ht="15.75" hidden="1" x14ac:dyDescent="0.2">
      <c r="B774" s="711">
        <v>46136</v>
      </c>
      <c r="C774" s="105" t="s">
        <v>22</v>
      </c>
      <c r="D774" s="105" t="s">
        <v>20</v>
      </c>
      <c r="E774" s="711">
        <v>46136</v>
      </c>
      <c r="G774" s="834"/>
      <c r="H774" s="120" t="s">
        <v>32</v>
      </c>
      <c r="I774" s="120" t="s">
        <v>106</v>
      </c>
      <c r="J774" s="106">
        <v>41</v>
      </c>
      <c r="K774" s="106">
        <v>33</v>
      </c>
      <c r="L774" s="106">
        <v>8</v>
      </c>
      <c r="M774" s="106">
        <v>0</v>
      </c>
      <c r="N774" s="106">
        <v>0</v>
      </c>
      <c r="O774" s="106">
        <v>0</v>
      </c>
      <c r="P774" s="106">
        <v>0</v>
      </c>
      <c r="Q774" s="108">
        <f t="shared" si="709"/>
        <v>1</v>
      </c>
      <c r="R774" s="109">
        <f t="shared" si="697"/>
        <v>0</v>
      </c>
      <c r="S774" s="109">
        <f t="shared" si="698"/>
        <v>0</v>
      </c>
      <c r="T774" s="109">
        <f t="shared" si="699"/>
        <v>0</v>
      </c>
      <c r="U774" s="110">
        <f t="shared" si="700"/>
        <v>1</v>
      </c>
      <c r="V774" s="136"/>
    </row>
    <row r="775" spans="2:25" ht="15.75" hidden="1" x14ac:dyDescent="0.2">
      <c r="B775" s="711">
        <v>46136</v>
      </c>
      <c r="C775" s="105" t="s">
        <v>22</v>
      </c>
      <c r="D775" s="105" t="s">
        <v>20</v>
      </c>
      <c r="E775" s="711">
        <v>46136</v>
      </c>
      <c r="G775" s="834"/>
      <c r="H775" s="120" t="s">
        <v>17</v>
      </c>
      <c r="I775" s="120" t="s">
        <v>106</v>
      </c>
      <c r="J775" s="106">
        <v>35</v>
      </c>
      <c r="K775" s="106">
        <v>10</v>
      </c>
      <c r="L775" s="106">
        <v>9</v>
      </c>
      <c r="M775" s="106">
        <v>0</v>
      </c>
      <c r="N775" s="106">
        <v>0</v>
      </c>
      <c r="O775" s="106">
        <v>0</v>
      </c>
      <c r="P775" s="106">
        <v>0</v>
      </c>
      <c r="Q775" s="108">
        <f t="shared" si="709"/>
        <v>0.54285714285714282</v>
      </c>
      <c r="R775" s="109">
        <f t="shared" si="697"/>
        <v>0</v>
      </c>
      <c r="S775" s="109">
        <f t="shared" si="698"/>
        <v>0</v>
      </c>
      <c r="T775" s="109">
        <f t="shared" si="699"/>
        <v>0</v>
      </c>
      <c r="U775" s="110">
        <f t="shared" si="700"/>
        <v>0.54285714285714282</v>
      </c>
      <c r="V775" s="136"/>
    </row>
    <row r="776" spans="2:25" ht="15.75" hidden="1" x14ac:dyDescent="0.2">
      <c r="B776" s="711">
        <v>46136</v>
      </c>
      <c r="C776" s="105" t="s">
        <v>22</v>
      </c>
      <c r="D776" s="105" t="s">
        <v>20</v>
      </c>
      <c r="E776" s="711">
        <v>46136</v>
      </c>
      <c r="G776" s="834"/>
      <c r="H776" s="120" t="s">
        <v>14</v>
      </c>
      <c r="I776" s="120" t="s">
        <v>105</v>
      </c>
      <c r="J776" s="106">
        <v>192</v>
      </c>
      <c r="K776" s="106">
        <v>0</v>
      </c>
      <c r="L776" s="106">
        <v>0</v>
      </c>
      <c r="M776" s="106">
        <v>46</v>
      </c>
      <c r="N776" s="106">
        <v>136</v>
      </c>
      <c r="O776" s="106">
        <v>0</v>
      </c>
      <c r="P776" s="106">
        <v>4</v>
      </c>
      <c r="Q776" s="108">
        <f>(K776+L776)/J776</f>
        <v>0</v>
      </c>
      <c r="R776" s="109">
        <f t="shared" si="697"/>
        <v>0.70833333333333337</v>
      </c>
      <c r="S776" s="109">
        <f t="shared" si="698"/>
        <v>2.0833333333333332E-2</v>
      </c>
      <c r="T776" s="109">
        <f t="shared" si="699"/>
        <v>0</v>
      </c>
      <c r="U776" s="110">
        <f t="shared" si="700"/>
        <v>0.72916666666666674</v>
      </c>
      <c r="V776" s="136"/>
    </row>
    <row r="777" spans="2:25" ht="15.75" hidden="1" x14ac:dyDescent="0.2">
      <c r="B777" s="711">
        <v>46136</v>
      </c>
      <c r="C777" s="105" t="s">
        <v>22</v>
      </c>
      <c r="D777" s="105" t="s">
        <v>20</v>
      </c>
      <c r="E777" s="711">
        <v>46136</v>
      </c>
      <c r="G777" s="834"/>
      <c r="H777" s="120" t="s">
        <v>118</v>
      </c>
      <c r="I777" s="120" t="s">
        <v>106</v>
      </c>
      <c r="J777" s="106">
        <v>17</v>
      </c>
      <c r="K777" s="106">
        <v>15</v>
      </c>
      <c r="L777" s="106">
        <v>0</v>
      </c>
      <c r="M777" s="106">
        <v>0</v>
      </c>
      <c r="N777" s="106">
        <v>0</v>
      </c>
      <c r="O777" s="106">
        <v>0</v>
      </c>
      <c r="P777" s="106">
        <v>2</v>
      </c>
      <c r="Q777" s="108">
        <f t="shared" ref="Q777:Q779" si="710">(K777+L777)/J777</f>
        <v>0.88235294117647056</v>
      </c>
      <c r="R777" s="109">
        <f t="shared" si="697"/>
        <v>0</v>
      </c>
      <c r="S777" s="109">
        <f t="shared" si="698"/>
        <v>0.11764705882352941</v>
      </c>
      <c r="T777" s="109">
        <f t="shared" si="699"/>
        <v>0</v>
      </c>
      <c r="U777" s="110">
        <f t="shared" si="700"/>
        <v>1</v>
      </c>
      <c r="V777" s="136"/>
    </row>
    <row r="778" spans="2:25" ht="15.75" hidden="1" x14ac:dyDescent="0.2">
      <c r="B778" s="711">
        <v>46136</v>
      </c>
      <c r="C778" s="105" t="s">
        <v>22</v>
      </c>
      <c r="D778" s="105" t="s">
        <v>20</v>
      </c>
      <c r="E778" s="711">
        <v>46136</v>
      </c>
      <c r="G778" s="835"/>
      <c r="H778" s="120" t="s">
        <v>25</v>
      </c>
      <c r="I778" s="120" t="s">
        <v>106</v>
      </c>
      <c r="J778" s="106">
        <v>31</v>
      </c>
      <c r="K778" s="106">
        <v>6</v>
      </c>
      <c r="L778" s="106">
        <v>9</v>
      </c>
      <c r="M778" s="106">
        <v>0</v>
      </c>
      <c r="N778" s="106">
        <v>0</v>
      </c>
      <c r="O778" s="106">
        <v>12</v>
      </c>
      <c r="P778" s="106">
        <v>4</v>
      </c>
      <c r="Q778" s="108">
        <f t="shared" si="710"/>
        <v>0.4838709677419355</v>
      </c>
      <c r="R778" s="109">
        <f t="shared" si="697"/>
        <v>0</v>
      </c>
      <c r="S778" s="109">
        <f t="shared" si="698"/>
        <v>0.12903225806451613</v>
      </c>
      <c r="T778" s="109">
        <f t="shared" si="699"/>
        <v>0.38709677419354838</v>
      </c>
      <c r="U778" s="110">
        <f t="shared" si="700"/>
        <v>1</v>
      </c>
      <c r="V778" s="136"/>
    </row>
    <row r="779" spans="2:25" ht="15.75" hidden="1" x14ac:dyDescent="0.2">
      <c r="B779" s="711">
        <v>46136</v>
      </c>
      <c r="C779" s="105" t="s">
        <v>22</v>
      </c>
      <c r="D779" s="105" t="s">
        <v>20</v>
      </c>
      <c r="E779" s="711">
        <v>46137</v>
      </c>
      <c r="G779" s="708">
        <v>46137</v>
      </c>
      <c r="H779" s="215" t="s">
        <v>17</v>
      </c>
      <c r="I779" s="215" t="s">
        <v>106</v>
      </c>
      <c r="J779" s="216">
        <v>187</v>
      </c>
      <c r="K779" s="106">
        <v>0</v>
      </c>
      <c r="L779" s="106">
        <v>0</v>
      </c>
      <c r="M779" s="106">
        <v>132</v>
      </c>
      <c r="N779" s="106">
        <v>55</v>
      </c>
      <c r="O779" s="106">
        <v>0</v>
      </c>
      <c r="P779" s="106">
        <v>0</v>
      </c>
      <c r="Q779" s="108">
        <f t="shared" si="710"/>
        <v>0</v>
      </c>
      <c r="R779" s="109">
        <f t="shared" si="697"/>
        <v>0.29411764705882354</v>
      </c>
      <c r="S779" s="109">
        <f t="shared" si="698"/>
        <v>0</v>
      </c>
      <c r="T779" s="109">
        <f t="shared" si="699"/>
        <v>0</v>
      </c>
      <c r="U779" s="110">
        <f t="shared" si="700"/>
        <v>0.29411764705882354</v>
      </c>
      <c r="V779" s="136"/>
    </row>
    <row r="780" spans="2:25" s="97" customFormat="1" ht="16.5" hidden="1" customHeight="1" x14ac:dyDescent="0.2">
      <c r="B780" s="711">
        <v>46136</v>
      </c>
      <c r="C780" s="105" t="s">
        <v>22</v>
      </c>
      <c r="D780" s="105" t="s">
        <v>20</v>
      </c>
      <c r="E780" s="711">
        <v>46136</v>
      </c>
      <c r="F780" s="89"/>
      <c r="G780" s="113"/>
      <c r="H780" s="113" t="s">
        <v>19</v>
      </c>
      <c r="I780" s="113"/>
      <c r="J780" s="113">
        <f t="shared" ref="J780:P780" si="711">SUM(J773:J779)</f>
        <v>720</v>
      </c>
      <c r="K780" s="113">
        <f t="shared" si="711"/>
        <v>66</v>
      </c>
      <c r="L780" s="113">
        <f t="shared" si="711"/>
        <v>37</v>
      </c>
      <c r="M780" s="113">
        <f t="shared" si="711"/>
        <v>178</v>
      </c>
      <c r="N780" s="113">
        <f t="shared" si="711"/>
        <v>191</v>
      </c>
      <c r="O780" s="113">
        <f t="shared" si="711"/>
        <v>24</v>
      </c>
      <c r="P780" s="113">
        <f t="shared" si="711"/>
        <v>17</v>
      </c>
      <c r="Q780" s="115">
        <f>(K780+L780)/J780</f>
        <v>0.14305555555555555</v>
      </c>
      <c r="R780" s="116">
        <f t="shared" si="697"/>
        <v>0.26527777777777778</v>
      </c>
      <c r="S780" s="116">
        <f t="shared" si="698"/>
        <v>2.361111111111111E-2</v>
      </c>
      <c r="T780" s="116">
        <f t="shared" si="699"/>
        <v>3.3333333333333333E-2</v>
      </c>
      <c r="U780" s="117">
        <f t="shared" si="700"/>
        <v>0.46527777777777773</v>
      </c>
      <c r="V780" s="127"/>
      <c r="W780" s="88"/>
      <c r="X780" s="88"/>
      <c r="Y780" s="118"/>
    </row>
    <row r="781" spans="2:25" ht="15.75" hidden="1" x14ac:dyDescent="0.2">
      <c r="B781" s="711">
        <v>46136</v>
      </c>
      <c r="C781" s="105" t="s">
        <v>12</v>
      </c>
      <c r="D781" s="105" t="s">
        <v>23</v>
      </c>
      <c r="E781" s="711">
        <v>46136</v>
      </c>
      <c r="G781" s="833">
        <v>46136</v>
      </c>
      <c r="H781" s="120" t="s">
        <v>75</v>
      </c>
      <c r="I781" s="120" t="s">
        <v>83</v>
      </c>
      <c r="J781" s="106">
        <v>217</v>
      </c>
      <c r="K781" s="106">
        <f>217-96</f>
        <v>121</v>
      </c>
      <c r="L781" s="106">
        <f>88-19</f>
        <v>69</v>
      </c>
      <c r="M781" s="106">
        <v>1</v>
      </c>
      <c r="N781" s="106">
        <v>0</v>
      </c>
      <c r="O781" s="106">
        <v>19</v>
      </c>
      <c r="P781" s="106">
        <v>7</v>
      </c>
      <c r="Q781" s="108">
        <f t="shared" ref="Q781" si="712">(K781+L781)/J781</f>
        <v>0.87557603686635943</v>
      </c>
      <c r="R781" s="109">
        <f t="shared" ref="R781:R787" si="713">N781/J781</f>
        <v>0</v>
      </c>
      <c r="S781" s="109">
        <f t="shared" ref="S781:S787" si="714">P781/J781</f>
        <v>3.2258064516129031E-2</v>
      </c>
      <c r="T781" s="109">
        <f t="shared" ref="T781:T787" si="715">O781/J781</f>
        <v>8.755760368663594E-2</v>
      </c>
      <c r="U781" s="110">
        <f t="shared" ref="U781:U787" si="716">S781+R781+Q781+T781</f>
        <v>0.99539170506912433</v>
      </c>
      <c r="V781" s="136"/>
    </row>
    <row r="782" spans="2:25" ht="15.75" hidden="1" x14ac:dyDescent="0.2">
      <c r="B782" s="711">
        <v>46136</v>
      </c>
      <c r="C782" s="105" t="s">
        <v>12</v>
      </c>
      <c r="D782" s="105" t="s">
        <v>23</v>
      </c>
      <c r="E782" s="711">
        <v>46136</v>
      </c>
      <c r="G782" s="834"/>
      <c r="H782" s="120" t="s">
        <v>14</v>
      </c>
      <c r="I782" s="120" t="s">
        <v>105</v>
      </c>
      <c r="J782" s="106">
        <v>192</v>
      </c>
      <c r="K782" s="106">
        <f>192-26</f>
        <v>166</v>
      </c>
      <c r="L782" s="106">
        <v>0</v>
      </c>
      <c r="M782" s="106">
        <v>7</v>
      </c>
      <c r="N782" s="106">
        <v>0</v>
      </c>
      <c r="O782" s="106">
        <v>13</v>
      </c>
      <c r="P782" s="106">
        <v>6</v>
      </c>
      <c r="Q782" s="108">
        <f>(K782+L782)/J782</f>
        <v>0.86458333333333337</v>
      </c>
      <c r="R782" s="109">
        <f t="shared" si="713"/>
        <v>0</v>
      </c>
      <c r="S782" s="109">
        <f t="shared" si="714"/>
        <v>3.125E-2</v>
      </c>
      <c r="T782" s="109">
        <f t="shared" si="715"/>
        <v>6.7708333333333329E-2</v>
      </c>
      <c r="U782" s="110">
        <f t="shared" si="716"/>
        <v>0.96354166666666674</v>
      </c>
      <c r="V782" s="136"/>
    </row>
    <row r="783" spans="2:25" ht="15.75" hidden="1" x14ac:dyDescent="0.2">
      <c r="B783" s="711">
        <v>46136</v>
      </c>
      <c r="C783" s="105" t="s">
        <v>12</v>
      </c>
      <c r="D783" s="105" t="s">
        <v>23</v>
      </c>
      <c r="E783" s="711">
        <v>46136</v>
      </c>
      <c r="G783" s="835"/>
      <c r="H783" s="120" t="s">
        <v>25</v>
      </c>
      <c r="I783" s="120" t="s">
        <v>106</v>
      </c>
      <c r="J783" s="106">
        <v>208</v>
      </c>
      <c r="K783" s="106">
        <f>208-61</f>
        <v>147</v>
      </c>
      <c r="L783" s="106">
        <v>44</v>
      </c>
      <c r="M783" s="106">
        <v>2</v>
      </c>
      <c r="N783" s="106">
        <v>0</v>
      </c>
      <c r="O783" s="106">
        <v>12</v>
      </c>
      <c r="P783" s="106">
        <v>3</v>
      </c>
      <c r="Q783" s="108">
        <f t="shared" ref="Q783:Q785" si="717">(K783+L783)/J783</f>
        <v>0.91826923076923073</v>
      </c>
      <c r="R783" s="109">
        <f t="shared" si="713"/>
        <v>0</v>
      </c>
      <c r="S783" s="109">
        <f t="shared" si="714"/>
        <v>1.4423076923076924E-2</v>
      </c>
      <c r="T783" s="109">
        <f t="shared" si="715"/>
        <v>5.7692307692307696E-2</v>
      </c>
      <c r="U783" s="110">
        <f t="shared" si="716"/>
        <v>0.99038461538461531</v>
      </c>
      <c r="V783" s="136"/>
    </row>
    <row r="784" spans="2:25" ht="15.75" hidden="1" x14ac:dyDescent="0.2">
      <c r="B784" s="711">
        <v>46136</v>
      </c>
      <c r="C784" s="105" t="s">
        <v>12</v>
      </c>
      <c r="D784" s="105" t="s">
        <v>23</v>
      </c>
      <c r="E784" s="711">
        <v>46136</v>
      </c>
      <c r="G784" s="861">
        <v>46137</v>
      </c>
      <c r="H784" s="227" t="s">
        <v>75</v>
      </c>
      <c r="I784" s="227" t="s">
        <v>15</v>
      </c>
      <c r="J784" s="228">
        <v>228</v>
      </c>
      <c r="K784" s="228">
        <v>13</v>
      </c>
      <c r="L784" s="228">
        <v>7</v>
      </c>
      <c r="M784" s="228">
        <v>133</v>
      </c>
      <c r="N784" s="228">
        <v>46</v>
      </c>
      <c r="O784" s="228">
        <v>20</v>
      </c>
      <c r="P784" s="228">
        <v>9</v>
      </c>
      <c r="Q784" s="229">
        <f t="shared" si="717"/>
        <v>8.771929824561403E-2</v>
      </c>
      <c r="R784" s="230">
        <f t="shared" ref="R784:R786" si="718">N784/J784</f>
        <v>0.20175438596491227</v>
      </c>
      <c r="S784" s="230">
        <f t="shared" ref="S784:S786" si="719">P784/J784</f>
        <v>3.9473684210526314E-2</v>
      </c>
      <c r="T784" s="230">
        <f t="shared" ref="T784:T786" si="720">O784/J784</f>
        <v>8.771929824561403E-2</v>
      </c>
      <c r="U784" s="231">
        <f t="shared" ref="U784:U786" si="721">S784+R784+Q784+T784</f>
        <v>0.41666666666666663</v>
      </c>
      <c r="V784" s="136"/>
    </row>
    <row r="785" spans="2:25" ht="15.75" hidden="1" x14ac:dyDescent="0.2">
      <c r="B785" s="711">
        <v>46136</v>
      </c>
      <c r="C785" s="105" t="s">
        <v>12</v>
      </c>
      <c r="D785" s="105" t="s">
        <v>23</v>
      </c>
      <c r="E785" s="711">
        <v>46136</v>
      </c>
      <c r="G785" s="862"/>
      <c r="H785" s="227" t="s">
        <v>17</v>
      </c>
      <c r="I785" s="227" t="s">
        <v>106</v>
      </c>
      <c r="J785" s="228">
        <v>185</v>
      </c>
      <c r="K785" s="228">
        <v>0</v>
      </c>
      <c r="L785" s="228">
        <v>7</v>
      </c>
      <c r="M785" s="228">
        <v>0</v>
      </c>
      <c r="N785" s="228">
        <v>152</v>
      </c>
      <c r="O785" s="228">
        <v>26</v>
      </c>
      <c r="P785" s="228">
        <v>0</v>
      </c>
      <c r="Q785" s="229">
        <f t="shared" si="717"/>
        <v>3.783783783783784E-2</v>
      </c>
      <c r="R785" s="230">
        <f t="shared" si="718"/>
        <v>0.82162162162162167</v>
      </c>
      <c r="S785" s="230">
        <f t="shared" si="719"/>
        <v>0</v>
      </c>
      <c r="T785" s="230">
        <f t="shared" si="720"/>
        <v>0.14054054054054055</v>
      </c>
      <c r="U785" s="231">
        <f t="shared" si="721"/>
        <v>1</v>
      </c>
      <c r="V785" s="136"/>
    </row>
    <row r="786" spans="2:25" ht="15.75" hidden="1" x14ac:dyDescent="0.2">
      <c r="B786" s="711">
        <v>46136</v>
      </c>
      <c r="C786" s="105" t="s">
        <v>12</v>
      </c>
      <c r="D786" s="105" t="s">
        <v>23</v>
      </c>
      <c r="E786" s="711">
        <v>46136</v>
      </c>
      <c r="G786" s="863"/>
      <c r="H786" s="227" t="s">
        <v>118</v>
      </c>
      <c r="I786" s="227" t="s">
        <v>43</v>
      </c>
      <c r="J786" s="228">
        <v>91</v>
      </c>
      <c r="K786" s="228">
        <v>0</v>
      </c>
      <c r="L786" s="228">
        <v>0</v>
      </c>
      <c r="M786" s="228">
        <v>39</v>
      </c>
      <c r="N786" s="228">
        <v>27</v>
      </c>
      <c r="O786" s="228">
        <v>10</v>
      </c>
      <c r="P786" s="228">
        <v>15</v>
      </c>
      <c r="Q786" s="229">
        <f t="shared" ref="Q786" si="722">(K786+L786)/J786</f>
        <v>0</v>
      </c>
      <c r="R786" s="230">
        <f t="shared" si="718"/>
        <v>0.2967032967032967</v>
      </c>
      <c r="S786" s="230">
        <f t="shared" si="719"/>
        <v>0.16483516483516483</v>
      </c>
      <c r="T786" s="230">
        <f t="shared" si="720"/>
        <v>0.10989010989010989</v>
      </c>
      <c r="U786" s="231">
        <f t="shared" si="721"/>
        <v>0.5714285714285714</v>
      </c>
      <c r="V786" s="136"/>
    </row>
    <row r="787" spans="2:25" s="97" customFormat="1" ht="16.5" hidden="1" customHeight="1" x14ac:dyDescent="0.2">
      <c r="B787" s="711">
        <v>46136</v>
      </c>
      <c r="C787" s="105" t="s">
        <v>12</v>
      </c>
      <c r="D787" s="105" t="s">
        <v>23</v>
      </c>
      <c r="E787" s="711">
        <v>46136</v>
      </c>
      <c r="F787" s="89"/>
      <c r="G787" s="113"/>
      <c r="H787" s="113" t="s">
        <v>19</v>
      </c>
      <c r="I787" s="113"/>
      <c r="J787" s="113">
        <f t="shared" ref="J787:P787" si="723">SUM(J781:J786)</f>
        <v>1121</v>
      </c>
      <c r="K787" s="113">
        <f t="shared" si="723"/>
        <v>447</v>
      </c>
      <c r="L787" s="113">
        <f t="shared" si="723"/>
        <v>127</v>
      </c>
      <c r="M787" s="113">
        <f t="shared" si="723"/>
        <v>182</v>
      </c>
      <c r="N787" s="113">
        <f t="shared" si="723"/>
        <v>225</v>
      </c>
      <c r="O787" s="113">
        <f t="shared" si="723"/>
        <v>100</v>
      </c>
      <c r="P787" s="113">
        <f t="shared" si="723"/>
        <v>40</v>
      </c>
      <c r="Q787" s="115">
        <f>(K787+L787)/J787</f>
        <v>0.51204281891168602</v>
      </c>
      <c r="R787" s="116">
        <f t="shared" si="713"/>
        <v>0.20071364852809992</v>
      </c>
      <c r="S787" s="116">
        <f t="shared" si="714"/>
        <v>3.568242640499554E-2</v>
      </c>
      <c r="T787" s="116">
        <f t="shared" si="715"/>
        <v>8.9206066012488844E-2</v>
      </c>
      <c r="U787" s="117">
        <f t="shared" si="716"/>
        <v>0.83764495985727028</v>
      </c>
      <c r="V787" s="127"/>
      <c r="W787" s="88"/>
      <c r="X787" s="88"/>
      <c r="Y787" s="118"/>
    </row>
    <row r="788" spans="2:25" ht="15.75" hidden="1" x14ac:dyDescent="0.2">
      <c r="B788" s="711">
        <v>46136</v>
      </c>
      <c r="C788" s="105" t="s">
        <v>18</v>
      </c>
      <c r="D788" s="105" t="s">
        <v>13</v>
      </c>
      <c r="E788" s="711">
        <v>46136</v>
      </c>
      <c r="G788" s="833">
        <v>46136</v>
      </c>
      <c r="H788" s="120" t="s">
        <v>75</v>
      </c>
      <c r="I788" s="120" t="s">
        <v>83</v>
      </c>
      <c r="J788" s="106">
        <v>28</v>
      </c>
      <c r="K788" s="106">
        <f>J788-L788-M788-N788-O788-P788</f>
        <v>20</v>
      </c>
      <c r="L788" s="106">
        <v>1</v>
      </c>
      <c r="M788" s="106">
        <v>0</v>
      </c>
      <c r="N788" s="106">
        <v>0</v>
      </c>
      <c r="O788" s="106">
        <v>0</v>
      </c>
      <c r="P788" s="106">
        <v>7</v>
      </c>
      <c r="Q788" s="108">
        <f t="shared" ref="Q788" si="724">(K788+L788)/J788</f>
        <v>0.75</v>
      </c>
      <c r="R788" s="109">
        <f t="shared" ref="R788:R802" si="725">N788/J788</f>
        <v>0</v>
      </c>
      <c r="S788" s="109">
        <f t="shared" ref="S788:S802" si="726">P788/J788</f>
        <v>0.25</v>
      </c>
      <c r="T788" s="109">
        <f t="shared" ref="T788:T802" si="727">O788/J788</f>
        <v>0</v>
      </c>
      <c r="U788" s="110">
        <f t="shared" ref="U788:U802" si="728">S788+R788+Q788+T788</f>
        <v>1</v>
      </c>
      <c r="V788" s="136"/>
    </row>
    <row r="789" spans="2:25" ht="15.75" hidden="1" x14ac:dyDescent="0.2">
      <c r="B789" s="711">
        <v>46136</v>
      </c>
      <c r="C789" s="105" t="s">
        <v>18</v>
      </c>
      <c r="D789" s="105" t="s">
        <v>13</v>
      </c>
      <c r="E789" s="711">
        <v>46136</v>
      </c>
      <c r="G789" s="859"/>
      <c r="H789" s="120" t="s">
        <v>14</v>
      </c>
      <c r="I789" s="120" t="s">
        <v>105</v>
      </c>
      <c r="J789" s="106">
        <v>28</v>
      </c>
      <c r="K789" s="106">
        <f>J789-L789-M789-N789-O789-P789</f>
        <v>9</v>
      </c>
      <c r="L789" s="106">
        <v>3</v>
      </c>
      <c r="M789" s="106">
        <v>0</v>
      </c>
      <c r="N789" s="106">
        <v>0</v>
      </c>
      <c r="O789" s="106">
        <v>10</v>
      </c>
      <c r="P789" s="106">
        <v>6</v>
      </c>
      <c r="Q789" s="108">
        <f>(K789+L789)/J789</f>
        <v>0.42857142857142855</v>
      </c>
      <c r="R789" s="109">
        <f t="shared" si="725"/>
        <v>0</v>
      </c>
      <c r="S789" s="109">
        <f t="shared" si="726"/>
        <v>0.21428571428571427</v>
      </c>
      <c r="T789" s="109">
        <f t="shared" si="727"/>
        <v>0.35714285714285715</v>
      </c>
      <c r="U789" s="110">
        <f t="shared" si="728"/>
        <v>1</v>
      </c>
      <c r="V789" s="136"/>
    </row>
    <row r="790" spans="2:25" ht="15.75" hidden="1" x14ac:dyDescent="0.2">
      <c r="B790" s="711">
        <v>46136</v>
      </c>
      <c r="C790" s="105" t="s">
        <v>18</v>
      </c>
      <c r="D790" s="105" t="s">
        <v>13</v>
      </c>
      <c r="E790" s="711">
        <v>46136</v>
      </c>
      <c r="G790" s="113"/>
      <c r="H790" s="113" t="s">
        <v>19</v>
      </c>
      <c r="I790" s="113"/>
      <c r="J790" s="113">
        <f t="shared" ref="J790:P790" si="729">SUM(J788:J789)</f>
        <v>56</v>
      </c>
      <c r="K790" s="113">
        <f t="shared" si="729"/>
        <v>29</v>
      </c>
      <c r="L790" s="113">
        <f t="shared" si="729"/>
        <v>4</v>
      </c>
      <c r="M790" s="114">
        <f t="shared" si="729"/>
        <v>0</v>
      </c>
      <c r="N790" s="113">
        <f t="shared" si="729"/>
        <v>0</v>
      </c>
      <c r="O790" s="113">
        <f t="shared" si="729"/>
        <v>10</v>
      </c>
      <c r="P790" s="114">
        <f t="shared" si="729"/>
        <v>13</v>
      </c>
      <c r="Q790" s="115">
        <f>(K790+L790)/J790</f>
        <v>0.5892857142857143</v>
      </c>
      <c r="R790" s="116">
        <f t="shared" ref="R790" si="730">N790/J790</f>
        <v>0</v>
      </c>
      <c r="S790" s="116">
        <f t="shared" ref="S790" si="731">P790/J790</f>
        <v>0.23214285714285715</v>
      </c>
      <c r="T790" s="116">
        <f t="shared" ref="T790" si="732">O790/J790</f>
        <v>0.17857142857142858</v>
      </c>
      <c r="U790" s="117">
        <f t="shared" ref="U790" si="733">S790+R790+Q790+T790</f>
        <v>1</v>
      </c>
      <c r="V790" s="127"/>
    </row>
    <row r="791" spans="2:25" ht="15.75" hidden="1" x14ac:dyDescent="0.2">
      <c r="B791" s="711">
        <v>46136</v>
      </c>
      <c r="C791" s="105" t="s">
        <v>18</v>
      </c>
      <c r="D791" s="105" t="s">
        <v>13</v>
      </c>
      <c r="E791" s="711">
        <v>46137</v>
      </c>
      <c r="G791" s="833">
        <v>46137</v>
      </c>
      <c r="H791" s="120" t="s">
        <v>75</v>
      </c>
      <c r="I791" s="120" t="s">
        <v>15</v>
      </c>
      <c r="J791" s="106">
        <v>228</v>
      </c>
      <c r="K791" s="106">
        <f t="shared" ref="K791:K793" si="734">J791-L791-M791-N791-O791-P791</f>
        <v>142</v>
      </c>
      <c r="L791" s="106">
        <v>75</v>
      </c>
      <c r="M791" s="106">
        <v>3</v>
      </c>
      <c r="N791" s="106">
        <v>0</v>
      </c>
      <c r="O791" s="106">
        <v>0</v>
      </c>
      <c r="P791" s="106">
        <v>8</v>
      </c>
      <c r="Q791" s="108">
        <f t="shared" ref="Q791:Q793" si="735">(K791+L791)/J791</f>
        <v>0.95175438596491224</v>
      </c>
      <c r="R791" s="109">
        <f t="shared" si="725"/>
        <v>0</v>
      </c>
      <c r="S791" s="109">
        <f t="shared" si="726"/>
        <v>3.5087719298245612E-2</v>
      </c>
      <c r="T791" s="109">
        <f t="shared" si="727"/>
        <v>0</v>
      </c>
      <c r="U791" s="110">
        <f t="shared" si="728"/>
        <v>0.98684210526315785</v>
      </c>
      <c r="V791" s="136" t="s">
        <v>119</v>
      </c>
    </row>
    <row r="792" spans="2:25" ht="15.75" hidden="1" x14ac:dyDescent="0.2">
      <c r="B792" s="711">
        <v>46136</v>
      </c>
      <c r="C792" s="105" t="s">
        <v>18</v>
      </c>
      <c r="D792" s="105" t="s">
        <v>13</v>
      </c>
      <c r="E792" s="711">
        <v>46137</v>
      </c>
      <c r="G792" s="834"/>
      <c r="H792" s="120" t="s">
        <v>17</v>
      </c>
      <c r="I792" s="120" t="s">
        <v>106</v>
      </c>
      <c r="J792" s="106">
        <v>185</v>
      </c>
      <c r="K792" s="106">
        <f t="shared" si="734"/>
        <v>151</v>
      </c>
      <c r="L792" s="106">
        <v>0</v>
      </c>
      <c r="M792" s="106">
        <v>34</v>
      </c>
      <c r="N792" s="106">
        <v>0</v>
      </c>
      <c r="O792" s="106">
        <v>0</v>
      </c>
      <c r="P792" s="106">
        <v>0</v>
      </c>
      <c r="Q792" s="108">
        <f t="shared" si="735"/>
        <v>0.81621621621621621</v>
      </c>
      <c r="R792" s="109">
        <f t="shared" si="725"/>
        <v>0</v>
      </c>
      <c r="S792" s="109">
        <f t="shared" si="726"/>
        <v>0</v>
      </c>
      <c r="T792" s="109">
        <f t="shared" si="727"/>
        <v>0</v>
      </c>
      <c r="U792" s="110">
        <f t="shared" si="728"/>
        <v>0.81621621621621621</v>
      </c>
      <c r="V792" s="136" t="s">
        <v>108</v>
      </c>
    </row>
    <row r="793" spans="2:25" ht="15.75" hidden="1" x14ac:dyDescent="0.2">
      <c r="B793" s="711">
        <v>46136</v>
      </c>
      <c r="C793" s="105" t="s">
        <v>18</v>
      </c>
      <c r="D793" s="105" t="s">
        <v>13</v>
      </c>
      <c r="E793" s="711">
        <v>46137</v>
      </c>
      <c r="G793" s="859"/>
      <c r="H793" s="120" t="s">
        <v>118</v>
      </c>
      <c r="I793" s="120" t="s">
        <v>43</v>
      </c>
      <c r="J793" s="106">
        <v>95</v>
      </c>
      <c r="K793" s="106">
        <f t="shared" si="734"/>
        <v>29</v>
      </c>
      <c r="L793" s="106">
        <v>0</v>
      </c>
      <c r="M793" s="106">
        <v>24</v>
      </c>
      <c r="N793" s="106">
        <v>27</v>
      </c>
      <c r="O793" s="106">
        <v>0</v>
      </c>
      <c r="P793" s="106">
        <v>15</v>
      </c>
      <c r="Q793" s="108">
        <f t="shared" si="735"/>
        <v>0.30526315789473685</v>
      </c>
      <c r="R793" s="109">
        <f t="shared" si="725"/>
        <v>0.28421052631578947</v>
      </c>
      <c r="S793" s="109">
        <f t="shared" si="726"/>
        <v>0.15789473684210525</v>
      </c>
      <c r="T793" s="109">
        <f t="shared" si="727"/>
        <v>0</v>
      </c>
      <c r="U793" s="110">
        <f t="shared" si="728"/>
        <v>0.74736842105263157</v>
      </c>
      <c r="V793" s="136"/>
    </row>
    <row r="794" spans="2:25" ht="15.75" hidden="1" x14ac:dyDescent="0.2">
      <c r="B794" s="711">
        <v>46136</v>
      </c>
      <c r="C794" s="105" t="s">
        <v>18</v>
      </c>
      <c r="D794" s="105" t="s">
        <v>13</v>
      </c>
      <c r="E794" s="711">
        <v>46137</v>
      </c>
      <c r="G794" s="113"/>
      <c r="H794" s="113" t="s">
        <v>19</v>
      </c>
      <c r="I794" s="113"/>
      <c r="J794" s="113">
        <f t="shared" ref="J794:P794" si="736">SUM(J788:J793)</f>
        <v>620</v>
      </c>
      <c r="K794" s="113">
        <f t="shared" si="736"/>
        <v>380</v>
      </c>
      <c r="L794" s="113">
        <f t="shared" si="736"/>
        <v>83</v>
      </c>
      <c r="M794" s="114">
        <f t="shared" si="736"/>
        <v>61</v>
      </c>
      <c r="N794" s="178">
        <f t="shared" si="736"/>
        <v>27</v>
      </c>
      <c r="O794" s="178">
        <f t="shared" si="736"/>
        <v>20</v>
      </c>
      <c r="P794" s="114">
        <f t="shared" si="736"/>
        <v>49</v>
      </c>
      <c r="Q794" s="115">
        <f>(K794+L794)/J794</f>
        <v>0.74677419354838714</v>
      </c>
      <c r="R794" s="116">
        <f t="shared" si="725"/>
        <v>4.3548387096774194E-2</v>
      </c>
      <c r="S794" s="116">
        <f t="shared" si="726"/>
        <v>7.9032258064516123E-2</v>
      </c>
      <c r="T794" s="116">
        <f t="shared" si="727"/>
        <v>3.2258064516129031E-2</v>
      </c>
      <c r="U794" s="117">
        <f t="shared" si="728"/>
        <v>0.90161290322580645</v>
      </c>
      <c r="V794" s="127"/>
    </row>
    <row r="795" spans="2:25" ht="15.75" hidden="1" x14ac:dyDescent="0.2">
      <c r="B795" s="711">
        <v>46137</v>
      </c>
      <c r="C795" s="105" t="s">
        <v>22</v>
      </c>
      <c r="D795" s="105" t="s">
        <v>20</v>
      </c>
      <c r="E795" s="711">
        <v>46137</v>
      </c>
      <c r="G795" s="833">
        <v>46137</v>
      </c>
      <c r="H795" s="120" t="s">
        <v>75</v>
      </c>
      <c r="I795" s="120" t="s">
        <v>83</v>
      </c>
      <c r="J795" s="106">
        <v>228</v>
      </c>
      <c r="K795" s="106">
        <v>6</v>
      </c>
      <c r="L795" s="106">
        <v>19</v>
      </c>
      <c r="M795" s="106">
        <v>0</v>
      </c>
      <c r="N795" s="106">
        <v>0</v>
      </c>
      <c r="O795" s="106">
        <v>2</v>
      </c>
      <c r="P795" s="106">
        <v>7</v>
      </c>
      <c r="Q795" s="108">
        <f t="shared" ref="Q795:Q797" si="737">(K795+L795)/J795</f>
        <v>0.10964912280701754</v>
      </c>
      <c r="R795" s="109">
        <f t="shared" si="725"/>
        <v>0</v>
      </c>
      <c r="S795" s="109">
        <f t="shared" si="726"/>
        <v>3.0701754385964911E-2</v>
      </c>
      <c r="T795" s="109">
        <f t="shared" si="727"/>
        <v>8.771929824561403E-3</v>
      </c>
      <c r="U795" s="110">
        <f t="shared" si="728"/>
        <v>0.14912280701754385</v>
      </c>
      <c r="V795" s="136"/>
    </row>
    <row r="796" spans="2:25" ht="15.75" hidden="1" x14ac:dyDescent="0.2">
      <c r="B796" s="711">
        <v>46137</v>
      </c>
      <c r="C796" s="105" t="s">
        <v>22</v>
      </c>
      <c r="D796" s="105" t="s">
        <v>20</v>
      </c>
      <c r="E796" s="711">
        <v>46137</v>
      </c>
      <c r="G796" s="834"/>
      <c r="H796" s="120" t="s">
        <v>32</v>
      </c>
      <c r="I796" s="120" t="s">
        <v>106</v>
      </c>
      <c r="J796" s="106">
        <v>20</v>
      </c>
      <c r="K796" s="106">
        <v>16</v>
      </c>
      <c r="L796" s="106">
        <v>4</v>
      </c>
      <c r="M796" s="106">
        <v>0</v>
      </c>
      <c r="N796" s="106">
        <v>0</v>
      </c>
      <c r="O796" s="106">
        <v>0</v>
      </c>
      <c r="P796" s="106">
        <v>0</v>
      </c>
      <c r="Q796" s="108">
        <f t="shared" si="737"/>
        <v>1</v>
      </c>
      <c r="R796" s="109">
        <f t="shared" si="725"/>
        <v>0</v>
      </c>
      <c r="S796" s="109">
        <f t="shared" si="726"/>
        <v>0</v>
      </c>
      <c r="T796" s="109">
        <f t="shared" si="727"/>
        <v>0</v>
      </c>
      <c r="U796" s="110">
        <f t="shared" si="728"/>
        <v>1</v>
      </c>
      <c r="V796" s="136"/>
    </row>
    <row r="797" spans="2:25" ht="15.75" hidden="1" x14ac:dyDescent="0.2">
      <c r="B797" s="711">
        <v>46137</v>
      </c>
      <c r="C797" s="105" t="s">
        <v>22</v>
      </c>
      <c r="D797" s="105" t="s">
        <v>20</v>
      </c>
      <c r="E797" s="711">
        <v>46137</v>
      </c>
      <c r="G797" s="834"/>
      <c r="H797" s="120" t="s">
        <v>118</v>
      </c>
      <c r="I797" s="120" t="s">
        <v>106</v>
      </c>
      <c r="J797" s="106">
        <v>76</v>
      </c>
      <c r="K797" s="106">
        <v>45</v>
      </c>
      <c r="L797" s="106">
        <v>1</v>
      </c>
      <c r="M797" s="106">
        <v>24</v>
      </c>
      <c r="N797" s="106">
        <v>3</v>
      </c>
      <c r="O797" s="106">
        <v>0</v>
      </c>
      <c r="P797" s="106">
        <v>3</v>
      </c>
      <c r="Q797" s="108">
        <f t="shared" si="737"/>
        <v>0.60526315789473684</v>
      </c>
      <c r="R797" s="109">
        <f t="shared" si="725"/>
        <v>3.9473684210526314E-2</v>
      </c>
      <c r="S797" s="109">
        <f t="shared" si="726"/>
        <v>3.9473684210526314E-2</v>
      </c>
      <c r="T797" s="109">
        <f t="shared" si="727"/>
        <v>0</v>
      </c>
      <c r="U797" s="110">
        <f t="shared" si="728"/>
        <v>0.68421052631578949</v>
      </c>
      <c r="V797" s="136"/>
    </row>
    <row r="798" spans="2:25" ht="15.75" hidden="1" x14ac:dyDescent="0.2">
      <c r="B798" s="711">
        <v>46137</v>
      </c>
      <c r="C798" s="105" t="s">
        <v>22</v>
      </c>
      <c r="D798" s="105" t="s">
        <v>20</v>
      </c>
      <c r="E798" s="711">
        <v>46137</v>
      </c>
      <c r="G798" s="834"/>
      <c r="H798" s="120" t="s">
        <v>17</v>
      </c>
      <c r="I798" s="120" t="s">
        <v>106</v>
      </c>
      <c r="J798" s="106">
        <v>185</v>
      </c>
      <c r="K798" s="106">
        <v>20</v>
      </c>
      <c r="L798" s="106">
        <v>14</v>
      </c>
      <c r="M798" s="106">
        <v>0</v>
      </c>
      <c r="N798" s="106">
        <v>0</v>
      </c>
      <c r="O798" s="106">
        <v>3</v>
      </c>
      <c r="P798" s="106">
        <v>0</v>
      </c>
      <c r="Q798" s="108">
        <f>(K798+L798)/J798</f>
        <v>0.18378378378378379</v>
      </c>
      <c r="R798" s="109">
        <f t="shared" si="725"/>
        <v>0</v>
      </c>
      <c r="S798" s="109">
        <f t="shared" si="726"/>
        <v>0</v>
      </c>
      <c r="T798" s="109">
        <f t="shared" si="727"/>
        <v>1.6216216216216217E-2</v>
      </c>
      <c r="U798" s="110">
        <f t="shared" si="728"/>
        <v>0.2</v>
      </c>
      <c r="V798" s="136"/>
    </row>
    <row r="799" spans="2:25" ht="15.75" hidden="1" x14ac:dyDescent="0.2">
      <c r="B799" s="711">
        <v>46137</v>
      </c>
      <c r="C799" s="105" t="s">
        <v>22</v>
      </c>
      <c r="D799" s="105" t="s">
        <v>20</v>
      </c>
      <c r="E799" s="711">
        <v>46137</v>
      </c>
      <c r="G799" s="835"/>
      <c r="H799" s="120" t="s">
        <v>25</v>
      </c>
      <c r="I799" s="120" t="s">
        <v>106</v>
      </c>
      <c r="J799" s="106">
        <v>11</v>
      </c>
      <c r="K799" s="106">
        <v>8</v>
      </c>
      <c r="L799" s="106">
        <v>2</v>
      </c>
      <c r="M799" s="106">
        <v>0</v>
      </c>
      <c r="N799" s="106">
        <v>0</v>
      </c>
      <c r="O799" s="106">
        <v>0</v>
      </c>
      <c r="P799" s="106">
        <v>1</v>
      </c>
      <c r="Q799" s="108">
        <f t="shared" ref="Q799" si="738">(K799+L799)/J799</f>
        <v>0.90909090909090906</v>
      </c>
      <c r="R799" s="109">
        <f t="shared" si="725"/>
        <v>0</v>
      </c>
      <c r="S799" s="109">
        <f t="shared" si="726"/>
        <v>9.0909090909090912E-2</v>
      </c>
      <c r="T799" s="109">
        <f t="shared" si="727"/>
        <v>0</v>
      </c>
      <c r="U799" s="110">
        <f t="shared" si="728"/>
        <v>1</v>
      </c>
      <c r="V799" s="136"/>
    </row>
    <row r="800" spans="2:25" ht="15.75" hidden="1" x14ac:dyDescent="0.2">
      <c r="B800" s="711">
        <v>46137</v>
      </c>
      <c r="C800" s="105" t="s">
        <v>22</v>
      </c>
      <c r="D800" s="105" t="s">
        <v>20</v>
      </c>
      <c r="E800" s="711">
        <v>46138</v>
      </c>
      <c r="G800" s="838">
        <v>46139</v>
      </c>
      <c r="H800" s="120" t="s">
        <v>14</v>
      </c>
      <c r="I800" s="120" t="s">
        <v>106</v>
      </c>
      <c r="J800" s="106">
        <v>219</v>
      </c>
      <c r="K800" s="106">
        <v>0</v>
      </c>
      <c r="L800" s="106">
        <v>0</v>
      </c>
      <c r="M800" s="106">
        <v>70</v>
      </c>
      <c r="N800" s="106">
        <v>144</v>
      </c>
      <c r="O800" s="106">
        <v>0</v>
      </c>
      <c r="P800" s="106">
        <v>5</v>
      </c>
      <c r="Q800" s="108">
        <f t="shared" ref="Q800" si="739">(K800+L800)/J800</f>
        <v>0</v>
      </c>
      <c r="R800" s="109">
        <f t="shared" ref="R800" si="740">N800/J800</f>
        <v>0.65753424657534243</v>
      </c>
      <c r="S800" s="109">
        <f t="shared" ref="S800" si="741">P800/J800</f>
        <v>2.2831050228310501E-2</v>
      </c>
      <c r="T800" s="109">
        <f t="shared" ref="T800" si="742">O800/J800</f>
        <v>0</v>
      </c>
      <c r="U800" s="110">
        <f t="shared" ref="U800" si="743">S800+R800+Q800+T800</f>
        <v>0.68036529680365287</v>
      </c>
      <c r="V800" s="136"/>
    </row>
    <row r="801" spans="2:25" ht="15.75" hidden="1" x14ac:dyDescent="0.2">
      <c r="B801" s="711">
        <v>46137</v>
      </c>
      <c r="C801" s="105" t="s">
        <v>22</v>
      </c>
      <c r="D801" s="105" t="s">
        <v>20</v>
      </c>
      <c r="E801" s="711">
        <v>46138</v>
      </c>
      <c r="G801" s="860"/>
      <c r="H801" s="120" t="s">
        <v>84</v>
      </c>
      <c r="I801" s="120" t="s">
        <v>106</v>
      </c>
      <c r="J801" s="106">
        <v>223</v>
      </c>
      <c r="K801" s="106">
        <v>53</v>
      </c>
      <c r="L801" s="106">
        <v>6</v>
      </c>
      <c r="M801" s="106">
        <v>145</v>
      </c>
      <c r="N801" s="106">
        <v>22</v>
      </c>
      <c r="O801" s="106">
        <v>0</v>
      </c>
      <c r="P801" s="106">
        <v>6</v>
      </c>
      <c r="Q801" s="108">
        <f t="shared" ref="Q801" si="744">(K801+L801)/J801</f>
        <v>0.26457399103139012</v>
      </c>
      <c r="R801" s="109">
        <f t="shared" ref="R801" si="745">N801/J801</f>
        <v>9.8654708520179366E-2</v>
      </c>
      <c r="S801" s="109">
        <f t="shared" ref="S801" si="746">P801/J801</f>
        <v>2.6905829596412557E-2</v>
      </c>
      <c r="T801" s="109">
        <f t="shared" ref="T801" si="747">O801/J801</f>
        <v>0</v>
      </c>
      <c r="U801" s="110">
        <f t="shared" ref="U801" si="748">S801+R801+Q801+T801</f>
        <v>0.39013452914798208</v>
      </c>
      <c r="V801" s="136"/>
    </row>
    <row r="802" spans="2:25" s="97" customFormat="1" ht="16.5" hidden="1" customHeight="1" x14ac:dyDescent="0.2">
      <c r="B802" s="711">
        <v>46137</v>
      </c>
      <c r="C802" s="105" t="s">
        <v>22</v>
      </c>
      <c r="D802" s="105" t="s">
        <v>20</v>
      </c>
      <c r="E802" s="711">
        <v>46137</v>
      </c>
      <c r="F802" s="89"/>
      <c r="G802" s="113"/>
      <c r="H802" s="113" t="s">
        <v>19</v>
      </c>
      <c r="I802" s="113"/>
      <c r="J802" s="113">
        <f t="shared" ref="J802:P802" si="749">SUM(J795:J801)</f>
        <v>962</v>
      </c>
      <c r="K802" s="113">
        <f t="shared" si="749"/>
        <v>148</v>
      </c>
      <c r="L802" s="113">
        <f t="shared" si="749"/>
        <v>46</v>
      </c>
      <c r="M802" s="113">
        <f t="shared" si="749"/>
        <v>239</v>
      </c>
      <c r="N802" s="113">
        <f t="shared" si="749"/>
        <v>169</v>
      </c>
      <c r="O802" s="113">
        <f t="shared" si="749"/>
        <v>5</v>
      </c>
      <c r="P802" s="113">
        <f t="shared" si="749"/>
        <v>22</v>
      </c>
      <c r="Q802" s="115">
        <f>(K802+L802)/J802</f>
        <v>0.20166320166320167</v>
      </c>
      <c r="R802" s="116">
        <f t="shared" si="725"/>
        <v>0.17567567567567569</v>
      </c>
      <c r="S802" s="116">
        <f t="shared" si="726"/>
        <v>2.286902286902287E-2</v>
      </c>
      <c r="T802" s="116">
        <f t="shared" si="727"/>
        <v>5.1975051975051978E-3</v>
      </c>
      <c r="U802" s="117">
        <f t="shared" si="728"/>
        <v>0.40540540540540537</v>
      </c>
      <c r="V802" s="127"/>
      <c r="W802" s="88"/>
      <c r="X802" s="88"/>
      <c r="Y802" s="118"/>
    </row>
    <row r="803" spans="2:25" ht="15.75" hidden="1" x14ac:dyDescent="0.2">
      <c r="B803" s="711">
        <v>46137</v>
      </c>
      <c r="C803" s="105" t="s">
        <v>12</v>
      </c>
      <c r="D803" s="105" t="s">
        <v>23</v>
      </c>
      <c r="E803" s="711">
        <v>46137</v>
      </c>
      <c r="G803" s="833">
        <v>46137</v>
      </c>
      <c r="H803" s="120" t="s">
        <v>75</v>
      </c>
      <c r="I803" s="120" t="s">
        <v>83</v>
      </c>
      <c r="J803" s="106">
        <v>228</v>
      </c>
      <c r="K803" s="106">
        <f>228-82</f>
        <v>146</v>
      </c>
      <c r="L803" s="106">
        <v>56</v>
      </c>
      <c r="M803" s="106">
        <v>0</v>
      </c>
      <c r="N803" s="106">
        <v>0</v>
      </c>
      <c r="O803" s="106">
        <v>20</v>
      </c>
      <c r="P803" s="106">
        <v>6</v>
      </c>
      <c r="Q803" s="108">
        <f t="shared" ref="Q803:Q805" si="750">(K803+L803)/J803</f>
        <v>0.88596491228070173</v>
      </c>
      <c r="R803" s="109">
        <f t="shared" ref="R803:R811" si="751">N803/J803</f>
        <v>0</v>
      </c>
      <c r="S803" s="109">
        <f t="shared" ref="S803:S811" si="752">P803/J803</f>
        <v>2.6315789473684209E-2</v>
      </c>
      <c r="T803" s="109">
        <f t="shared" ref="T803:T811" si="753">O803/J803</f>
        <v>8.771929824561403E-2</v>
      </c>
      <c r="U803" s="110">
        <f t="shared" ref="U803:U811" si="754">S803+R803+Q803+T803</f>
        <v>1</v>
      </c>
      <c r="V803" s="136"/>
    </row>
    <row r="804" spans="2:25" ht="15.75" hidden="1" x14ac:dyDescent="0.2">
      <c r="B804" s="711">
        <v>46137</v>
      </c>
      <c r="C804" s="105" t="s">
        <v>12</v>
      </c>
      <c r="D804" s="105" t="s">
        <v>23</v>
      </c>
      <c r="E804" s="711">
        <v>46137</v>
      </c>
      <c r="G804" s="834"/>
      <c r="H804" s="120" t="s">
        <v>32</v>
      </c>
      <c r="I804" s="120" t="s">
        <v>106</v>
      </c>
      <c r="J804" s="106">
        <v>20</v>
      </c>
      <c r="K804" s="106">
        <v>18</v>
      </c>
      <c r="L804" s="106">
        <v>2</v>
      </c>
      <c r="M804" s="106">
        <v>0</v>
      </c>
      <c r="N804" s="106">
        <v>0</v>
      </c>
      <c r="O804" s="106">
        <v>0</v>
      </c>
      <c r="P804" s="106">
        <v>0</v>
      </c>
      <c r="Q804" s="108">
        <f t="shared" si="750"/>
        <v>1</v>
      </c>
      <c r="R804" s="109">
        <f t="shared" si="751"/>
        <v>0</v>
      </c>
      <c r="S804" s="109">
        <f t="shared" si="752"/>
        <v>0</v>
      </c>
      <c r="T804" s="109">
        <f t="shared" si="753"/>
        <v>0</v>
      </c>
      <c r="U804" s="110">
        <f t="shared" si="754"/>
        <v>1</v>
      </c>
      <c r="V804" s="136"/>
    </row>
    <row r="805" spans="2:25" ht="15.75" hidden="1" x14ac:dyDescent="0.2">
      <c r="B805" s="711">
        <v>46137</v>
      </c>
      <c r="C805" s="105" t="s">
        <v>12</v>
      </c>
      <c r="D805" s="105" t="s">
        <v>23</v>
      </c>
      <c r="E805" s="711">
        <v>46137</v>
      </c>
      <c r="G805" s="834"/>
      <c r="H805" s="120" t="s">
        <v>118</v>
      </c>
      <c r="I805" s="120" t="s">
        <v>106</v>
      </c>
      <c r="J805" s="106">
        <v>76</v>
      </c>
      <c r="K805" s="106">
        <f>76-29</f>
        <v>47</v>
      </c>
      <c r="L805" s="106">
        <v>1</v>
      </c>
      <c r="M805" s="106">
        <v>24</v>
      </c>
      <c r="N805" s="106">
        <v>1</v>
      </c>
      <c r="O805" s="106">
        <v>0</v>
      </c>
      <c r="P805" s="106">
        <v>3</v>
      </c>
      <c r="Q805" s="108">
        <f t="shared" si="750"/>
        <v>0.63157894736842102</v>
      </c>
      <c r="R805" s="109">
        <f t="shared" si="751"/>
        <v>1.3157894736842105E-2</v>
      </c>
      <c r="S805" s="109">
        <f t="shared" si="752"/>
        <v>3.9473684210526314E-2</v>
      </c>
      <c r="T805" s="109">
        <f t="shared" si="753"/>
        <v>0</v>
      </c>
      <c r="U805" s="110">
        <f t="shared" si="754"/>
        <v>0.68421052631578938</v>
      </c>
      <c r="V805" s="136"/>
    </row>
    <row r="806" spans="2:25" ht="15.75" hidden="1" x14ac:dyDescent="0.2">
      <c r="B806" s="711">
        <v>46137</v>
      </c>
      <c r="C806" s="105" t="s">
        <v>12</v>
      </c>
      <c r="D806" s="105" t="s">
        <v>23</v>
      </c>
      <c r="E806" s="711">
        <v>46137</v>
      </c>
      <c r="G806" s="835"/>
      <c r="H806" s="120" t="s">
        <v>17</v>
      </c>
      <c r="I806" s="120" t="s">
        <v>106</v>
      </c>
      <c r="J806" s="106">
        <v>185</v>
      </c>
      <c r="K806" s="106">
        <f>185-51</f>
        <v>134</v>
      </c>
      <c r="L806" s="106">
        <v>36</v>
      </c>
      <c r="M806" s="106">
        <v>0</v>
      </c>
      <c r="N806" s="106">
        <v>0</v>
      </c>
      <c r="O806" s="106">
        <v>15</v>
      </c>
      <c r="P806" s="106">
        <v>0</v>
      </c>
      <c r="Q806" s="108">
        <f>(K806+L806)/J806</f>
        <v>0.91891891891891897</v>
      </c>
      <c r="R806" s="109">
        <f t="shared" si="751"/>
        <v>0</v>
      </c>
      <c r="S806" s="109">
        <f t="shared" si="752"/>
        <v>0</v>
      </c>
      <c r="T806" s="109">
        <f t="shared" si="753"/>
        <v>8.1081081081081086E-2</v>
      </c>
      <c r="U806" s="110">
        <f t="shared" si="754"/>
        <v>1</v>
      </c>
      <c r="V806" s="136"/>
    </row>
    <row r="807" spans="2:25" ht="15.75" hidden="1" x14ac:dyDescent="0.2">
      <c r="B807" s="711">
        <v>46137</v>
      </c>
      <c r="C807" s="105" t="s">
        <v>12</v>
      </c>
      <c r="D807" s="105" t="s">
        <v>23</v>
      </c>
      <c r="E807" s="711">
        <v>46138</v>
      </c>
      <c r="G807" s="861">
        <v>46139</v>
      </c>
      <c r="H807" s="227" t="s">
        <v>75</v>
      </c>
      <c r="I807" s="227" t="s">
        <v>112</v>
      </c>
      <c r="J807" s="228">
        <v>211</v>
      </c>
      <c r="K807" s="228">
        <v>0</v>
      </c>
      <c r="L807" s="228">
        <v>2</v>
      </c>
      <c r="M807" s="228">
        <v>120</v>
      </c>
      <c r="N807" s="228">
        <v>61</v>
      </c>
      <c r="O807" s="228">
        <v>15</v>
      </c>
      <c r="P807" s="228">
        <v>13</v>
      </c>
      <c r="Q807" s="229">
        <f t="shared" ref="Q807:Q808" si="755">(K807+L807)/J807</f>
        <v>9.4786729857819912E-3</v>
      </c>
      <c r="R807" s="230">
        <f t="shared" ref="R807:R810" si="756">N807/J807</f>
        <v>0.2890995260663507</v>
      </c>
      <c r="S807" s="230">
        <f t="shared" ref="S807:S810" si="757">P807/J807</f>
        <v>6.1611374407582936E-2</v>
      </c>
      <c r="T807" s="230">
        <f t="shared" ref="T807:T810" si="758">O807/J807</f>
        <v>7.1090047393364927E-2</v>
      </c>
      <c r="U807" s="231">
        <f t="shared" ref="U807:U810" si="759">S807+R807+Q807+T807</f>
        <v>0.43127962085308053</v>
      </c>
      <c r="V807" s="136"/>
    </row>
    <row r="808" spans="2:25" ht="15.75" hidden="1" x14ac:dyDescent="0.2">
      <c r="B808" s="711">
        <v>46137</v>
      </c>
      <c r="C808" s="105" t="s">
        <v>12</v>
      </c>
      <c r="D808" s="105" t="s">
        <v>23</v>
      </c>
      <c r="E808" s="711">
        <v>46138</v>
      </c>
      <c r="G808" s="862"/>
      <c r="H808" s="227" t="s">
        <v>84</v>
      </c>
      <c r="I808" s="227" t="s">
        <v>43</v>
      </c>
      <c r="J808" s="228">
        <v>187</v>
      </c>
      <c r="K808" s="228">
        <v>47</v>
      </c>
      <c r="L808" s="228">
        <v>8</v>
      </c>
      <c r="M808" s="228">
        <v>14</v>
      </c>
      <c r="N808" s="228">
        <v>102</v>
      </c>
      <c r="O808" s="228">
        <v>10</v>
      </c>
      <c r="P808" s="228">
        <v>6</v>
      </c>
      <c r="Q808" s="229">
        <f t="shared" si="755"/>
        <v>0.29411764705882354</v>
      </c>
      <c r="R808" s="230">
        <f t="shared" si="756"/>
        <v>0.54545454545454541</v>
      </c>
      <c r="S808" s="230">
        <f t="shared" si="757"/>
        <v>3.2085561497326207E-2</v>
      </c>
      <c r="T808" s="230">
        <f t="shared" si="758"/>
        <v>5.3475935828877004E-2</v>
      </c>
      <c r="U808" s="231">
        <f t="shared" si="759"/>
        <v>0.92513368983957212</v>
      </c>
      <c r="V808" s="136"/>
    </row>
    <row r="809" spans="2:25" ht="15.75" hidden="1" x14ac:dyDescent="0.2">
      <c r="B809" s="711">
        <v>46137</v>
      </c>
      <c r="C809" s="105" t="s">
        <v>12</v>
      </c>
      <c r="D809" s="105" t="s">
        <v>23</v>
      </c>
      <c r="E809" s="711">
        <v>46138</v>
      </c>
      <c r="G809" s="862"/>
      <c r="H809" s="227" t="s">
        <v>14</v>
      </c>
      <c r="I809" s="227" t="s">
        <v>106</v>
      </c>
      <c r="J809" s="228">
        <v>219</v>
      </c>
      <c r="K809" s="228">
        <f>219-126</f>
        <v>93</v>
      </c>
      <c r="L809" s="228">
        <v>36</v>
      </c>
      <c r="M809" s="228">
        <v>10</v>
      </c>
      <c r="N809" s="228">
        <v>64</v>
      </c>
      <c r="O809" s="228">
        <v>10</v>
      </c>
      <c r="P809" s="228">
        <v>6</v>
      </c>
      <c r="Q809" s="229">
        <f>(K809+L809)/J809</f>
        <v>0.58904109589041098</v>
      </c>
      <c r="R809" s="230">
        <f t="shared" si="756"/>
        <v>0.29223744292237441</v>
      </c>
      <c r="S809" s="230">
        <f t="shared" si="757"/>
        <v>2.7397260273972601E-2</v>
      </c>
      <c r="T809" s="230">
        <f t="shared" si="758"/>
        <v>4.5662100456621002E-2</v>
      </c>
      <c r="U809" s="231">
        <f t="shared" si="759"/>
        <v>0.954337899543379</v>
      </c>
      <c r="V809" s="136"/>
    </row>
    <row r="810" spans="2:25" ht="15.75" hidden="1" x14ac:dyDescent="0.2">
      <c r="B810" s="711">
        <v>46137</v>
      </c>
      <c r="C810" s="105" t="s">
        <v>12</v>
      </c>
      <c r="D810" s="105" t="s">
        <v>23</v>
      </c>
      <c r="E810" s="711">
        <v>46138</v>
      </c>
      <c r="G810" s="863"/>
      <c r="H810" s="227" t="s">
        <v>17</v>
      </c>
      <c r="I810" s="227" t="s">
        <v>105</v>
      </c>
      <c r="J810" s="228">
        <v>205</v>
      </c>
      <c r="K810" s="228">
        <v>0</v>
      </c>
      <c r="L810" s="228">
        <v>0</v>
      </c>
      <c r="M810" s="228">
        <f>201-27</f>
        <v>174</v>
      </c>
      <c r="N810" s="228">
        <v>0</v>
      </c>
      <c r="O810" s="228">
        <v>27</v>
      </c>
      <c r="P810" s="228">
        <v>4</v>
      </c>
      <c r="Q810" s="229">
        <f t="shared" ref="Q810" si="760">(K810+L810)/J810</f>
        <v>0</v>
      </c>
      <c r="R810" s="230">
        <f t="shared" si="756"/>
        <v>0</v>
      </c>
      <c r="S810" s="230">
        <f t="shared" si="757"/>
        <v>1.9512195121951219E-2</v>
      </c>
      <c r="T810" s="230">
        <f t="shared" si="758"/>
        <v>0.13170731707317074</v>
      </c>
      <c r="U810" s="231">
        <f t="shared" si="759"/>
        <v>0.15121951219512195</v>
      </c>
      <c r="V810" s="136"/>
    </row>
    <row r="811" spans="2:25" s="97" customFormat="1" ht="16.5" hidden="1" customHeight="1" x14ac:dyDescent="0.2">
      <c r="B811" s="711">
        <v>46137</v>
      </c>
      <c r="C811" s="105" t="s">
        <v>12</v>
      </c>
      <c r="D811" s="105" t="s">
        <v>23</v>
      </c>
      <c r="E811" s="711">
        <v>46137</v>
      </c>
      <c r="F811" s="89"/>
      <c r="G811" s="113"/>
      <c r="H811" s="113" t="s">
        <v>19</v>
      </c>
      <c r="I811" s="113"/>
      <c r="J811" s="113">
        <f t="shared" ref="J811:P811" si="761">SUM(J803:J810)</f>
        <v>1331</v>
      </c>
      <c r="K811" s="113">
        <f t="shared" si="761"/>
        <v>485</v>
      </c>
      <c r="L811" s="113">
        <f t="shared" si="761"/>
        <v>141</v>
      </c>
      <c r="M811" s="113">
        <f t="shared" si="761"/>
        <v>342</v>
      </c>
      <c r="N811" s="113">
        <f t="shared" si="761"/>
        <v>228</v>
      </c>
      <c r="O811" s="113">
        <f t="shared" si="761"/>
        <v>97</v>
      </c>
      <c r="P811" s="113">
        <f t="shared" si="761"/>
        <v>38</v>
      </c>
      <c r="Q811" s="115">
        <f>(K811+L811)/J811</f>
        <v>0.47032306536438767</v>
      </c>
      <c r="R811" s="116">
        <f t="shared" si="751"/>
        <v>0.17129977460555973</v>
      </c>
      <c r="S811" s="116">
        <f t="shared" si="752"/>
        <v>2.8549962434259956E-2</v>
      </c>
      <c r="T811" s="116">
        <f t="shared" si="753"/>
        <v>7.2877535687453046E-2</v>
      </c>
      <c r="U811" s="117">
        <f t="shared" si="754"/>
        <v>0.74305033809166032</v>
      </c>
      <c r="V811" s="127"/>
      <c r="W811" s="88"/>
      <c r="X811" s="88"/>
      <c r="Y811" s="118"/>
    </row>
    <row r="812" spans="2:25" ht="15.75" hidden="1" x14ac:dyDescent="0.2">
      <c r="B812" s="711">
        <v>46139</v>
      </c>
      <c r="C812" s="105" t="s">
        <v>22</v>
      </c>
      <c r="D812" s="105" t="s">
        <v>23</v>
      </c>
      <c r="E812" s="711">
        <v>46139</v>
      </c>
      <c r="G812" s="833">
        <v>46139</v>
      </c>
      <c r="H812" s="120" t="s">
        <v>75</v>
      </c>
      <c r="I812" s="120" t="s">
        <v>112</v>
      </c>
      <c r="J812" s="106">
        <v>212</v>
      </c>
      <c r="K812" s="106">
        <v>112</v>
      </c>
      <c r="L812" s="106">
        <v>69</v>
      </c>
      <c r="M812" s="106">
        <v>5</v>
      </c>
      <c r="N812" s="106">
        <v>0</v>
      </c>
      <c r="O812" s="106">
        <v>19</v>
      </c>
      <c r="P812" s="106">
        <v>7</v>
      </c>
      <c r="Q812" s="108">
        <f t="shared" ref="Q812:Q813" si="762">(K812+L812)/J812</f>
        <v>0.85377358490566035</v>
      </c>
      <c r="R812" s="109">
        <f t="shared" ref="R812:R816" si="763">N812/J812</f>
        <v>0</v>
      </c>
      <c r="S812" s="109">
        <f t="shared" ref="S812:S816" si="764">P812/J812</f>
        <v>3.3018867924528301E-2</v>
      </c>
      <c r="T812" s="109">
        <f t="shared" ref="T812:T816" si="765">O812/J812</f>
        <v>8.9622641509433956E-2</v>
      </c>
      <c r="U812" s="110">
        <f t="shared" ref="U812:U816" si="766">S812+R812+Q812+T812</f>
        <v>0.9764150943396227</v>
      </c>
      <c r="V812" s="136"/>
    </row>
    <row r="813" spans="2:25" ht="15.75" hidden="1" x14ac:dyDescent="0.2">
      <c r="B813" s="711">
        <v>46139</v>
      </c>
      <c r="C813" s="105" t="s">
        <v>22</v>
      </c>
      <c r="D813" s="105" t="s">
        <v>23</v>
      </c>
      <c r="E813" s="711">
        <v>46139</v>
      </c>
      <c r="G813" s="834"/>
      <c r="H813" s="120" t="s">
        <v>84</v>
      </c>
      <c r="I813" s="120" t="s">
        <v>43</v>
      </c>
      <c r="J813" s="106">
        <v>187</v>
      </c>
      <c r="K813" s="106">
        <f>187-52</f>
        <v>135</v>
      </c>
      <c r="L813" s="106">
        <v>22</v>
      </c>
      <c r="M813" s="106">
        <v>6</v>
      </c>
      <c r="N813" s="106">
        <v>0</v>
      </c>
      <c r="O813" s="106">
        <v>18</v>
      </c>
      <c r="P813" s="106">
        <v>6</v>
      </c>
      <c r="Q813" s="108">
        <f t="shared" si="762"/>
        <v>0.83957219251336901</v>
      </c>
      <c r="R813" s="109">
        <f t="shared" si="763"/>
        <v>0</v>
      </c>
      <c r="S813" s="109">
        <f t="shared" si="764"/>
        <v>3.2085561497326207E-2</v>
      </c>
      <c r="T813" s="109">
        <f t="shared" si="765"/>
        <v>9.6256684491978606E-2</v>
      </c>
      <c r="U813" s="110">
        <f t="shared" si="766"/>
        <v>0.96791443850267389</v>
      </c>
      <c r="V813" s="136"/>
    </row>
    <row r="814" spans="2:25" ht="15.75" hidden="1" x14ac:dyDescent="0.2">
      <c r="B814" s="711">
        <v>46139</v>
      </c>
      <c r="C814" s="105" t="s">
        <v>22</v>
      </c>
      <c r="D814" s="105" t="s">
        <v>23</v>
      </c>
      <c r="E814" s="711">
        <v>46139</v>
      </c>
      <c r="G814" s="834"/>
      <c r="H814" s="120" t="s">
        <v>14</v>
      </c>
      <c r="I814" s="120" t="s">
        <v>106</v>
      </c>
      <c r="J814" s="106">
        <v>219</v>
      </c>
      <c r="K814" s="106">
        <f>219-65</f>
        <v>154</v>
      </c>
      <c r="L814" s="106">
        <v>43</v>
      </c>
      <c r="M814" s="106">
        <v>7</v>
      </c>
      <c r="N814" s="106">
        <v>0</v>
      </c>
      <c r="O814" s="106">
        <v>10</v>
      </c>
      <c r="P814" s="106">
        <v>5</v>
      </c>
      <c r="Q814" s="108">
        <f>(K814+L814)/J814</f>
        <v>0.8995433789954338</v>
      </c>
      <c r="R814" s="109">
        <f t="shared" si="763"/>
        <v>0</v>
      </c>
      <c r="S814" s="109">
        <f t="shared" si="764"/>
        <v>2.2831050228310501E-2</v>
      </c>
      <c r="T814" s="109">
        <f t="shared" si="765"/>
        <v>4.5662100456621002E-2</v>
      </c>
      <c r="U814" s="110">
        <f t="shared" si="766"/>
        <v>0.96803652968036535</v>
      </c>
      <c r="V814" s="136"/>
    </row>
    <row r="815" spans="2:25" ht="15.75" hidden="1" x14ac:dyDescent="0.2">
      <c r="B815" s="711">
        <v>46139</v>
      </c>
      <c r="C815" s="105" t="s">
        <v>22</v>
      </c>
      <c r="D815" s="105" t="s">
        <v>23</v>
      </c>
      <c r="E815" s="711">
        <v>46139</v>
      </c>
      <c r="G815" s="859"/>
      <c r="H815" s="120" t="s">
        <v>17</v>
      </c>
      <c r="I815" s="120" t="s">
        <v>105</v>
      </c>
      <c r="J815" s="106">
        <v>205</v>
      </c>
      <c r="K815" s="106">
        <f>205-174</f>
        <v>31</v>
      </c>
      <c r="L815" s="106">
        <v>33</v>
      </c>
      <c r="M815" s="106">
        <v>117</v>
      </c>
      <c r="N815" s="106">
        <v>0</v>
      </c>
      <c r="O815" s="106">
        <v>20</v>
      </c>
      <c r="P815" s="106">
        <v>4</v>
      </c>
      <c r="Q815" s="108">
        <f t="shared" ref="Q815" si="767">(K815+L815)/J815</f>
        <v>0.31219512195121951</v>
      </c>
      <c r="R815" s="109">
        <f t="shared" si="763"/>
        <v>0</v>
      </c>
      <c r="S815" s="109">
        <f t="shared" si="764"/>
        <v>1.9512195121951219E-2</v>
      </c>
      <c r="T815" s="109">
        <f t="shared" si="765"/>
        <v>9.7560975609756101E-2</v>
      </c>
      <c r="U815" s="110">
        <f t="shared" si="766"/>
        <v>0.42926829268292688</v>
      </c>
      <c r="V815" s="136"/>
    </row>
    <row r="816" spans="2:25" s="97" customFormat="1" ht="16.5" hidden="1" customHeight="1" x14ac:dyDescent="0.2">
      <c r="B816" s="711">
        <v>46139</v>
      </c>
      <c r="C816" s="105" t="s">
        <v>22</v>
      </c>
      <c r="D816" s="105" t="s">
        <v>23</v>
      </c>
      <c r="E816" s="711">
        <v>46139</v>
      </c>
      <c r="F816" s="89"/>
      <c r="G816" s="113"/>
      <c r="H816" s="113" t="s">
        <v>19</v>
      </c>
      <c r="I816" s="113"/>
      <c r="J816" s="113">
        <f t="shared" ref="J816:P816" si="768">SUM(J812:J815)</f>
        <v>823</v>
      </c>
      <c r="K816" s="113">
        <f t="shared" si="768"/>
        <v>432</v>
      </c>
      <c r="L816" s="113">
        <f t="shared" si="768"/>
        <v>167</v>
      </c>
      <c r="M816" s="113">
        <f t="shared" si="768"/>
        <v>135</v>
      </c>
      <c r="N816" s="113">
        <f t="shared" si="768"/>
        <v>0</v>
      </c>
      <c r="O816" s="113">
        <f t="shared" si="768"/>
        <v>67</v>
      </c>
      <c r="P816" s="113">
        <f t="shared" si="768"/>
        <v>22</v>
      </c>
      <c r="Q816" s="115">
        <f>(K816+L816)/J816</f>
        <v>0.72782503037667068</v>
      </c>
      <c r="R816" s="116">
        <f t="shared" si="763"/>
        <v>0</v>
      </c>
      <c r="S816" s="116">
        <f t="shared" si="764"/>
        <v>2.6731470230862697E-2</v>
      </c>
      <c r="T816" s="116">
        <f t="shared" si="765"/>
        <v>8.1409477521263665E-2</v>
      </c>
      <c r="U816" s="117">
        <f t="shared" si="766"/>
        <v>0.83596597812879714</v>
      </c>
      <c r="V816" s="127"/>
      <c r="W816" s="88"/>
      <c r="X816" s="88"/>
      <c r="Y816" s="118"/>
    </row>
    <row r="817" spans="2:22" ht="15.75" hidden="1" x14ac:dyDescent="0.2">
      <c r="B817" s="711">
        <v>46139</v>
      </c>
      <c r="C817" s="105" t="s">
        <v>12</v>
      </c>
      <c r="D817" s="105" t="s">
        <v>13</v>
      </c>
      <c r="E817" s="711">
        <v>46139</v>
      </c>
      <c r="G817" s="833">
        <v>46139</v>
      </c>
      <c r="H817" s="120" t="s">
        <v>75</v>
      </c>
      <c r="I817" s="120" t="s">
        <v>112</v>
      </c>
      <c r="J817" s="106">
        <v>67</v>
      </c>
      <c r="K817" s="106">
        <f>J817-L817-M817-N817-O817-P817</f>
        <v>34</v>
      </c>
      <c r="L817" s="106">
        <v>17</v>
      </c>
      <c r="M817" s="106">
        <v>0</v>
      </c>
      <c r="N817" s="106">
        <v>0</v>
      </c>
      <c r="O817" s="106">
        <v>10</v>
      </c>
      <c r="P817" s="106">
        <v>6</v>
      </c>
      <c r="Q817" s="108">
        <f t="shared" ref="Q817" si="769">(K817+L817)/J817</f>
        <v>0.76119402985074625</v>
      </c>
      <c r="R817" s="109">
        <f t="shared" ref="R817:R835" si="770">N817/J817</f>
        <v>0</v>
      </c>
      <c r="S817" s="109">
        <f t="shared" ref="S817:S835" si="771">P817/J817</f>
        <v>8.9552238805970144E-2</v>
      </c>
      <c r="T817" s="109">
        <f t="shared" ref="T817:T835" si="772">O817/J817</f>
        <v>0.14925373134328357</v>
      </c>
      <c r="U817" s="110">
        <f t="shared" ref="U817:U835" si="773">S817+R817+Q817+T817</f>
        <v>1</v>
      </c>
      <c r="V817" s="136"/>
    </row>
    <row r="818" spans="2:22" ht="15.75" hidden="1" x14ac:dyDescent="0.2">
      <c r="B818" s="711">
        <v>46139</v>
      </c>
      <c r="C818" s="105" t="s">
        <v>12</v>
      </c>
      <c r="D818" s="105" t="s">
        <v>13</v>
      </c>
      <c r="E818" s="711">
        <v>46139</v>
      </c>
      <c r="G818" s="834"/>
      <c r="H818" s="120" t="s">
        <v>120</v>
      </c>
      <c r="I818" s="120" t="s">
        <v>43</v>
      </c>
      <c r="J818" s="106">
        <v>102</v>
      </c>
      <c r="K818" s="106">
        <f>J818-L818-M818-N818-O818-P818</f>
        <v>28</v>
      </c>
      <c r="L818" s="106">
        <v>0</v>
      </c>
      <c r="M818" s="106">
        <v>0</v>
      </c>
      <c r="N818" s="106">
        <v>0</v>
      </c>
      <c r="O818" s="106">
        <v>0</v>
      </c>
      <c r="P818" s="106">
        <v>74</v>
      </c>
      <c r="Q818" s="108">
        <f t="shared" ref="Q818" si="774">(K818+L818)/J818</f>
        <v>0.27450980392156865</v>
      </c>
      <c r="R818" s="109">
        <f t="shared" ref="R818" si="775">N818/J818</f>
        <v>0</v>
      </c>
      <c r="S818" s="109">
        <f t="shared" ref="S818" si="776">P818/J818</f>
        <v>0.72549019607843135</v>
      </c>
      <c r="T818" s="109">
        <f t="shared" ref="T818" si="777">O818/J818</f>
        <v>0</v>
      </c>
      <c r="U818" s="110">
        <f t="shared" ref="U818" si="778">S818+R818+Q818+T818</f>
        <v>1</v>
      </c>
      <c r="V818" s="136"/>
    </row>
    <row r="819" spans="2:22" ht="15.75" hidden="1" x14ac:dyDescent="0.2">
      <c r="B819" s="711">
        <v>46139</v>
      </c>
      <c r="C819" s="105" t="s">
        <v>12</v>
      </c>
      <c r="D819" s="105" t="s">
        <v>13</v>
      </c>
      <c r="E819" s="711">
        <v>46139</v>
      </c>
      <c r="G819" s="859"/>
      <c r="H819" s="120" t="s">
        <v>17</v>
      </c>
      <c r="I819" s="120" t="s">
        <v>105</v>
      </c>
      <c r="J819" s="106">
        <v>126</v>
      </c>
      <c r="K819" s="106">
        <f>J819-L819-M819-N819-O819-P819</f>
        <v>81</v>
      </c>
      <c r="L819" s="106">
        <v>33</v>
      </c>
      <c r="M819" s="106">
        <v>8</v>
      </c>
      <c r="N819" s="106">
        <v>0</v>
      </c>
      <c r="O819" s="106">
        <v>0</v>
      </c>
      <c r="P819" s="106">
        <v>4</v>
      </c>
      <c r="Q819" s="108">
        <f t="shared" ref="Q819" si="779">(K819+L819)/J819</f>
        <v>0.90476190476190477</v>
      </c>
      <c r="R819" s="109">
        <f t="shared" si="770"/>
        <v>0</v>
      </c>
      <c r="S819" s="109">
        <f t="shared" si="771"/>
        <v>3.1746031746031744E-2</v>
      </c>
      <c r="T819" s="109">
        <f t="shared" si="772"/>
        <v>0</v>
      </c>
      <c r="U819" s="110">
        <f t="shared" si="773"/>
        <v>0.93650793650793651</v>
      </c>
      <c r="V819" s="136" t="s">
        <v>119</v>
      </c>
    </row>
    <row r="820" spans="2:22" ht="15.75" hidden="1" x14ac:dyDescent="0.2">
      <c r="B820" s="711">
        <v>46139</v>
      </c>
      <c r="C820" s="105" t="s">
        <v>12</v>
      </c>
      <c r="D820" s="105" t="s">
        <v>13</v>
      </c>
      <c r="E820" s="711">
        <v>46139</v>
      </c>
      <c r="G820" s="113"/>
      <c r="H820" s="113" t="s">
        <v>19</v>
      </c>
      <c r="I820" s="113"/>
      <c r="J820" s="113">
        <f t="shared" ref="J820:P820" si="780">SUM(J817:J819)</f>
        <v>295</v>
      </c>
      <c r="K820" s="113">
        <f t="shared" si="780"/>
        <v>143</v>
      </c>
      <c r="L820" s="113">
        <f t="shared" si="780"/>
        <v>50</v>
      </c>
      <c r="M820" s="113">
        <f t="shared" si="780"/>
        <v>8</v>
      </c>
      <c r="N820" s="114">
        <f t="shared" si="780"/>
        <v>0</v>
      </c>
      <c r="O820" s="113">
        <f t="shared" si="780"/>
        <v>10</v>
      </c>
      <c r="P820" s="114">
        <f t="shared" si="780"/>
        <v>84</v>
      </c>
      <c r="Q820" s="115">
        <f>(K820+L820)/J820</f>
        <v>0.65423728813559323</v>
      </c>
      <c r="R820" s="116">
        <f t="shared" si="770"/>
        <v>0</v>
      </c>
      <c r="S820" s="116">
        <f t="shared" si="771"/>
        <v>0.28474576271186441</v>
      </c>
      <c r="T820" s="116">
        <f t="shared" si="772"/>
        <v>3.3898305084745763E-2</v>
      </c>
      <c r="U820" s="117">
        <f t="shared" si="773"/>
        <v>0.97288135593220348</v>
      </c>
      <c r="V820" s="127"/>
    </row>
    <row r="821" spans="2:22" ht="15.75" hidden="1" x14ac:dyDescent="0.2">
      <c r="B821" s="711">
        <v>46139</v>
      </c>
      <c r="C821" s="105" t="s">
        <v>12</v>
      </c>
      <c r="D821" s="105" t="s">
        <v>13</v>
      </c>
      <c r="E821" s="711">
        <v>46140</v>
      </c>
      <c r="G821" s="833">
        <v>46140</v>
      </c>
      <c r="H821" s="120" t="s">
        <v>75</v>
      </c>
      <c r="I821" s="120" t="s">
        <v>112</v>
      </c>
      <c r="J821" s="106">
        <v>222</v>
      </c>
      <c r="K821" s="106">
        <f>J821-L821-M821-N821-O821-P821</f>
        <v>0</v>
      </c>
      <c r="L821" s="106">
        <v>0</v>
      </c>
      <c r="M821" s="106">
        <v>222</v>
      </c>
      <c r="N821" s="106">
        <v>0</v>
      </c>
      <c r="O821" s="106">
        <v>0</v>
      </c>
      <c r="P821" s="106">
        <v>0</v>
      </c>
      <c r="Q821" s="108">
        <f t="shared" ref="Q821:Q822" si="781">(K821+L821)/J821</f>
        <v>0</v>
      </c>
      <c r="R821" s="109">
        <f t="shared" si="770"/>
        <v>0</v>
      </c>
      <c r="S821" s="109">
        <f t="shared" si="771"/>
        <v>0</v>
      </c>
      <c r="T821" s="109">
        <f t="shared" si="772"/>
        <v>0</v>
      </c>
      <c r="U821" s="110">
        <f t="shared" si="773"/>
        <v>0</v>
      </c>
      <c r="V821" s="136"/>
    </row>
    <row r="822" spans="2:22" ht="15.75" hidden="1" x14ac:dyDescent="0.2">
      <c r="B822" s="711">
        <v>46139</v>
      </c>
      <c r="C822" s="105" t="s">
        <v>12</v>
      </c>
      <c r="D822" s="105" t="s">
        <v>13</v>
      </c>
      <c r="E822" s="711">
        <v>46140</v>
      </c>
      <c r="G822" s="834"/>
      <c r="H822" s="120" t="s">
        <v>84</v>
      </c>
      <c r="I822" s="120" t="s">
        <v>43</v>
      </c>
      <c r="J822" s="106">
        <v>53</v>
      </c>
      <c r="K822" s="106">
        <f t="shared" ref="K822:K824" si="782">J822-L822-M822-N822-O822-P822</f>
        <v>0</v>
      </c>
      <c r="L822" s="106">
        <v>0</v>
      </c>
      <c r="M822" s="106">
        <v>53</v>
      </c>
      <c r="N822" s="106">
        <v>0</v>
      </c>
      <c r="O822" s="106">
        <v>0</v>
      </c>
      <c r="P822" s="106">
        <v>0</v>
      </c>
      <c r="Q822" s="108">
        <f t="shared" si="781"/>
        <v>0</v>
      </c>
      <c r="R822" s="109">
        <f t="shared" si="770"/>
        <v>0</v>
      </c>
      <c r="S822" s="109">
        <f t="shared" si="771"/>
        <v>0</v>
      </c>
      <c r="T822" s="109">
        <f t="shared" si="772"/>
        <v>0</v>
      </c>
      <c r="U822" s="110">
        <f t="shared" si="773"/>
        <v>0</v>
      </c>
      <c r="V822" s="136"/>
    </row>
    <row r="823" spans="2:22" ht="15.75" hidden="1" x14ac:dyDescent="0.2">
      <c r="B823" s="711">
        <v>46139</v>
      </c>
      <c r="C823" s="105" t="s">
        <v>12</v>
      </c>
      <c r="D823" s="105" t="s">
        <v>13</v>
      </c>
      <c r="E823" s="711">
        <v>46140</v>
      </c>
      <c r="G823" s="834"/>
      <c r="H823" s="120" t="s">
        <v>14</v>
      </c>
      <c r="I823" s="120" t="s">
        <v>106</v>
      </c>
      <c r="J823" s="106">
        <v>198</v>
      </c>
      <c r="K823" s="106">
        <f t="shared" si="782"/>
        <v>0</v>
      </c>
      <c r="L823" s="106">
        <v>0</v>
      </c>
      <c r="M823" s="106">
        <v>115</v>
      </c>
      <c r="N823" s="106">
        <v>74</v>
      </c>
      <c r="O823" s="106">
        <v>0</v>
      </c>
      <c r="P823" s="106">
        <v>9</v>
      </c>
      <c r="Q823" s="108">
        <f>(K823+L823)/J823</f>
        <v>0</v>
      </c>
      <c r="R823" s="109">
        <f t="shared" si="770"/>
        <v>0.37373737373737376</v>
      </c>
      <c r="S823" s="109">
        <f t="shared" si="771"/>
        <v>4.5454545454545456E-2</v>
      </c>
      <c r="T823" s="109">
        <f t="shared" si="772"/>
        <v>0</v>
      </c>
      <c r="U823" s="110">
        <f t="shared" si="773"/>
        <v>0.41919191919191923</v>
      </c>
      <c r="V823" s="136"/>
    </row>
    <row r="824" spans="2:22" ht="15.75" hidden="1" x14ac:dyDescent="0.2">
      <c r="B824" s="711">
        <v>46139</v>
      </c>
      <c r="C824" s="105" t="s">
        <v>12</v>
      </c>
      <c r="D824" s="105" t="s">
        <v>13</v>
      </c>
      <c r="E824" s="711">
        <v>46140</v>
      </c>
      <c r="G824" s="859"/>
      <c r="H824" s="120" t="s">
        <v>122</v>
      </c>
      <c r="I824" s="120" t="s">
        <v>105</v>
      </c>
      <c r="J824" s="106">
        <v>220</v>
      </c>
      <c r="K824" s="106">
        <f t="shared" si="782"/>
        <v>0</v>
      </c>
      <c r="L824" s="106">
        <v>0</v>
      </c>
      <c r="M824" s="106">
        <v>220</v>
      </c>
      <c r="N824" s="106">
        <v>0</v>
      </c>
      <c r="O824" s="106">
        <v>0</v>
      </c>
      <c r="P824" s="106">
        <v>0</v>
      </c>
      <c r="Q824" s="108">
        <f t="shared" ref="Q824" si="783">(K824+L824)/J824</f>
        <v>0</v>
      </c>
      <c r="R824" s="109">
        <f t="shared" si="770"/>
        <v>0</v>
      </c>
      <c r="S824" s="109">
        <f t="shared" si="771"/>
        <v>0</v>
      </c>
      <c r="T824" s="109">
        <f t="shared" si="772"/>
        <v>0</v>
      </c>
      <c r="U824" s="110">
        <f t="shared" si="773"/>
        <v>0</v>
      </c>
      <c r="V824" s="136"/>
    </row>
    <row r="825" spans="2:22" ht="15.75" hidden="1" x14ac:dyDescent="0.2">
      <c r="B825" s="711">
        <v>46139</v>
      </c>
      <c r="C825" s="105" t="s">
        <v>12</v>
      </c>
      <c r="D825" s="105" t="s">
        <v>13</v>
      </c>
      <c r="E825" s="711">
        <v>46140</v>
      </c>
      <c r="G825" s="113"/>
      <c r="H825" s="113" t="s">
        <v>19</v>
      </c>
      <c r="I825" s="113"/>
      <c r="J825" s="113">
        <f t="shared" ref="J825" si="784">SUM(J821:J824)</f>
        <v>693</v>
      </c>
      <c r="K825" s="113">
        <f t="shared" ref="K825" si="785">SUM(K821:K824)</f>
        <v>0</v>
      </c>
      <c r="L825" s="113">
        <f t="shared" ref="L825" si="786">SUM(L821:L824)</f>
        <v>0</v>
      </c>
      <c r="M825" s="113">
        <f t="shared" ref="M825" si="787">SUM(M821:M824)</f>
        <v>610</v>
      </c>
      <c r="N825" s="114">
        <f t="shared" ref="N825" si="788">SUM(N821:N824)</f>
        <v>74</v>
      </c>
      <c r="O825" s="113">
        <f t="shared" ref="O825" si="789">SUM(O821:O824)</f>
        <v>0</v>
      </c>
      <c r="P825" s="114">
        <f t="shared" ref="P825" si="790">SUM(P821:P824)</f>
        <v>9</v>
      </c>
      <c r="Q825" s="115">
        <f>(K825+L825)/J825</f>
        <v>0</v>
      </c>
      <c r="R825" s="116">
        <f t="shared" si="770"/>
        <v>0.10678210678210678</v>
      </c>
      <c r="S825" s="116">
        <f t="shared" si="771"/>
        <v>1.2987012987012988E-2</v>
      </c>
      <c r="T825" s="116">
        <f t="shared" si="772"/>
        <v>0</v>
      </c>
      <c r="U825" s="117">
        <f t="shared" si="773"/>
        <v>0.11976911976911978</v>
      </c>
      <c r="V825" s="127"/>
    </row>
    <row r="826" spans="2:22" ht="15.75" hidden="1" x14ac:dyDescent="0.2">
      <c r="B826" s="711">
        <v>46139</v>
      </c>
      <c r="C826" s="105" t="s">
        <v>18</v>
      </c>
      <c r="D826" s="105" t="s">
        <v>20</v>
      </c>
      <c r="E826" s="711">
        <v>46139</v>
      </c>
      <c r="G826" s="833">
        <v>46139</v>
      </c>
      <c r="H826" s="120" t="s">
        <v>75</v>
      </c>
      <c r="I826" s="120" t="s">
        <v>112</v>
      </c>
      <c r="J826" s="106">
        <v>212</v>
      </c>
      <c r="K826" s="106">
        <v>170</v>
      </c>
      <c r="L826" s="106">
        <v>36</v>
      </c>
      <c r="M826" s="106">
        <v>0</v>
      </c>
      <c r="N826" s="106">
        <v>0</v>
      </c>
      <c r="O826" s="106">
        <v>0</v>
      </c>
      <c r="P826" s="106">
        <v>6</v>
      </c>
      <c r="Q826" s="108">
        <f t="shared" ref="Q826:Q828" si="791">(K826+L826)/J826</f>
        <v>0.97169811320754718</v>
      </c>
      <c r="R826" s="109">
        <f t="shared" si="770"/>
        <v>0</v>
      </c>
      <c r="S826" s="109">
        <f t="shared" si="771"/>
        <v>2.8301886792452831E-2</v>
      </c>
      <c r="T826" s="109">
        <f t="shared" si="772"/>
        <v>0</v>
      </c>
      <c r="U826" s="110">
        <f t="shared" si="773"/>
        <v>1</v>
      </c>
      <c r="V826" s="136"/>
    </row>
    <row r="827" spans="2:22" ht="15.75" hidden="1" x14ac:dyDescent="0.2">
      <c r="B827" s="711">
        <v>46139</v>
      </c>
      <c r="C827" s="105" t="s">
        <v>18</v>
      </c>
      <c r="D827" s="105" t="s">
        <v>20</v>
      </c>
      <c r="E827" s="711">
        <v>46139</v>
      </c>
      <c r="G827" s="834"/>
      <c r="H827" s="120" t="s">
        <v>17</v>
      </c>
      <c r="I827" s="120" t="s">
        <v>105</v>
      </c>
      <c r="J827" s="106">
        <v>205</v>
      </c>
      <c r="K827" s="106">
        <f>205-2-4</f>
        <v>199</v>
      </c>
      <c r="L827" s="106">
        <v>2</v>
      </c>
      <c r="M827" s="106">
        <v>0</v>
      </c>
      <c r="N827" s="106">
        <v>0</v>
      </c>
      <c r="O827" s="106">
        <v>0</v>
      </c>
      <c r="P827" s="106">
        <v>4</v>
      </c>
      <c r="Q827" s="108">
        <f t="shared" si="791"/>
        <v>0.98048780487804876</v>
      </c>
      <c r="R827" s="109">
        <f t="shared" si="770"/>
        <v>0</v>
      </c>
      <c r="S827" s="109">
        <f t="shared" si="771"/>
        <v>1.9512195121951219E-2</v>
      </c>
      <c r="T827" s="109">
        <f t="shared" si="772"/>
        <v>0</v>
      </c>
      <c r="U827" s="110">
        <f t="shared" si="773"/>
        <v>1</v>
      </c>
      <c r="V827" s="136"/>
    </row>
    <row r="828" spans="2:22" ht="15.75" hidden="1" x14ac:dyDescent="0.2">
      <c r="B828" s="711">
        <v>46139</v>
      </c>
      <c r="C828" s="105" t="s">
        <v>18</v>
      </c>
      <c r="D828" s="105" t="s">
        <v>20</v>
      </c>
      <c r="E828" s="711">
        <v>46139</v>
      </c>
      <c r="G828" s="835"/>
      <c r="H828" s="120" t="s">
        <v>14</v>
      </c>
      <c r="I828" s="120" t="s">
        <v>105</v>
      </c>
      <c r="J828" s="106">
        <v>219</v>
      </c>
      <c r="K828" s="106">
        <f>219-2-5</f>
        <v>212</v>
      </c>
      <c r="L828" s="106">
        <v>2</v>
      </c>
      <c r="M828" s="106">
        <v>0</v>
      </c>
      <c r="N828" s="106">
        <v>0</v>
      </c>
      <c r="O828" s="106">
        <v>0</v>
      </c>
      <c r="P828" s="106">
        <v>5</v>
      </c>
      <c r="Q828" s="108">
        <f t="shared" si="791"/>
        <v>0.97716894977168944</v>
      </c>
      <c r="R828" s="109">
        <f t="shared" si="770"/>
        <v>0</v>
      </c>
      <c r="S828" s="109">
        <f t="shared" si="771"/>
        <v>2.2831050228310501E-2</v>
      </c>
      <c r="T828" s="109">
        <f t="shared" si="772"/>
        <v>0</v>
      </c>
      <c r="U828" s="110">
        <f t="shared" si="773"/>
        <v>1</v>
      </c>
      <c r="V828" s="136"/>
    </row>
    <row r="829" spans="2:22" ht="15.75" hidden="1" x14ac:dyDescent="0.2">
      <c r="B829" s="711">
        <v>46139</v>
      </c>
      <c r="C829" s="105" t="s">
        <v>18</v>
      </c>
      <c r="D829" s="105" t="s">
        <v>20</v>
      </c>
      <c r="E829" s="711">
        <v>46140</v>
      </c>
      <c r="G829" s="838">
        <v>46140</v>
      </c>
      <c r="H829" s="120" t="s">
        <v>75</v>
      </c>
      <c r="I829" s="120" t="s">
        <v>112</v>
      </c>
      <c r="J829" s="106">
        <v>217</v>
      </c>
      <c r="K829" s="106">
        <v>57</v>
      </c>
      <c r="L829" s="106">
        <v>34</v>
      </c>
      <c r="M829" s="106">
        <v>64</v>
      </c>
      <c r="N829" s="106">
        <v>58</v>
      </c>
      <c r="O829" s="106">
        <v>0</v>
      </c>
      <c r="P829" s="106">
        <v>3</v>
      </c>
      <c r="Q829" s="108">
        <f>(K829+L829)/J829</f>
        <v>0.41935483870967744</v>
      </c>
      <c r="R829" s="109">
        <f t="shared" si="770"/>
        <v>0.26728110599078342</v>
      </c>
      <c r="S829" s="109">
        <f t="shared" si="771"/>
        <v>1.3824884792626729E-2</v>
      </c>
      <c r="T829" s="109">
        <f t="shared" si="772"/>
        <v>0</v>
      </c>
      <c r="U829" s="110">
        <f t="shared" si="773"/>
        <v>0.70046082949308763</v>
      </c>
      <c r="V829" s="136"/>
    </row>
    <row r="830" spans="2:22" ht="15.75" hidden="1" x14ac:dyDescent="0.2">
      <c r="B830" s="711">
        <v>46139</v>
      </c>
      <c r="C830" s="105" t="s">
        <v>18</v>
      </c>
      <c r="D830" s="105" t="s">
        <v>20</v>
      </c>
      <c r="E830" s="711">
        <v>46140</v>
      </c>
      <c r="G830" s="839"/>
      <c r="H830" s="120" t="s">
        <v>84</v>
      </c>
      <c r="I830" s="120" t="s">
        <v>106</v>
      </c>
      <c r="J830" s="106">
        <v>57</v>
      </c>
      <c r="K830" s="106">
        <v>0</v>
      </c>
      <c r="L830" s="106">
        <v>0</v>
      </c>
      <c r="M830" s="106">
        <v>57</v>
      </c>
      <c r="N830" s="106">
        <v>0</v>
      </c>
      <c r="O830" s="106">
        <v>0</v>
      </c>
      <c r="P830" s="106">
        <v>1</v>
      </c>
      <c r="Q830" s="108">
        <f t="shared" ref="Q830:Q834" si="792">(K830+L830)/J830</f>
        <v>0</v>
      </c>
      <c r="R830" s="109">
        <f t="shared" si="770"/>
        <v>0</v>
      </c>
      <c r="S830" s="109">
        <f t="shared" si="771"/>
        <v>1.7543859649122806E-2</v>
      </c>
      <c r="T830" s="109">
        <f t="shared" si="772"/>
        <v>0</v>
      </c>
      <c r="U830" s="110">
        <f t="shared" si="773"/>
        <v>1.7543859649122806E-2</v>
      </c>
      <c r="V830" s="136"/>
    </row>
    <row r="831" spans="2:22" ht="15.75" hidden="1" x14ac:dyDescent="0.2">
      <c r="B831" s="711">
        <v>46139</v>
      </c>
      <c r="C831" s="105" t="s">
        <v>18</v>
      </c>
      <c r="D831" s="105" t="s">
        <v>20</v>
      </c>
      <c r="E831" s="711">
        <v>46140</v>
      </c>
      <c r="G831" s="839"/>
      <c r="H831" s="120" t="s">
        <v>120</v>
      </c>
      <c r="I831" s="120" t="s">
        <v>106</v>
      </c>
      <c r="J831" s="106">
        <v>92</v>
      </c>
      <c r="K831" s="106">
        <v>0</v>
      </c>
      <c r="L831" s="106">
        <v>0</v>
      </c>
      <c r="M831" s="106">
        <v>0</v>
      </c>
      <c r="N831" s="106">
        <v>67</v>
      </c>
      <c r="O831" s="106">
        <v>0</v>
      </c>
      <c r="P831" s="106">
        <v>24</v>
      </c>
      <c r="Q831" s="108">
        <f t="shared" ref="Q831:Q832" si="793">(K831+L831)/J831</f>
        <v>0</v>
      </c>
      <c r="R831" s="109">
        <f t="shared" ref="R831:R832" si="794">N831/J831</f>
        <v>0.72826086956521741</v>
      </c>
      <c r="S831" s="109">
        <f t="shared" ref="S831:S832" si="795">P831/J831</f>
        <v>0.2608695652173913</v>
      </c>
      <c r="T831" s="109">
        <f t="shared" ref="T831:T832" si="796">O831/J831</f>
        <v>0</v>
      </c>
      <c r="U831" s="110">
        <f t="shared" ref="U831:U832" si="797">S831+R831+Q831+T831</f>
        <v>0.98913043478260865</v>
      </c>
      <c r="V831" s="136"/>
    </row>
    <row r="832" spans="2:22" ht="15.75" hidden="1" x14ac:dyDescent="0.2">
      <c r="B832" s="711">
        <v>46139</v>
      </c>
      <c r="C832" s="105" t="s">
        <v>18</v>
      </c>
      <c r="D832" s="105" t="s">
        <v>20</v>
      </c>
      <c r="E832" s="711">
        <v>46140</v>
      </c>
      <c r="G832" s="839"/>
      <c r="H832" s="120" t="s">
        <v>118</v>
      </c>
      <c r="I832" s="120" t="s">
        <v>106</v>
      </c>
      <c r="J832" s="106">
        <v>29</v>
      </c>
      <c r="K832" s="106">
        <v>0</v>
      </c>
      <c r="L832" s="106">
        <v>0</v>
      </c>
      <c r="M832" s="106">
        <v>21</v>
      </c>
      <c r="N832" s="106">
        <v>8</v>
      </c>
      <c r="O832" s="106">
        <v>0</v>
      </c>
      <c r="P832" s="106">
        <v>3</v>
      </c>
      <c r="Q832" s="108">
        <f t="shared" si="793"/>
        <v>0</v>
      </c>
      <c r="R832" s="109">
        <f t="shared" si="794"/>
        <v>0.27586206896551724</v>
      </c>
      <c r="S832" s="109">
        <f t="shared" si="795"/>
        <v>0.10344827586206896</v>
      </c>
      <c r="T832" s="109">
        <f t="shared" si="796"/>
        <v>0</v>
      </c>
      <c r="U832" s="110">
        <f t="shared" si="797"/>
        <v>0.37931034482758619</v>
      </c>
      <c r="V832" s="136"/>
    </row>
    <row r="833" spans="2:25" ht="15.75" hidden="1" x14ac:dyDescent="0.2">
      <c r="B833" s="711">
        <v>46139</v>
      </c>
      <c r="C833" s="105" t="s">
        <v>18</v>
      </c>
      <c r="D833" s="105" t="s">
        <v>20</v>
      </c>
      <c r="E833" s="711">
        <v>46140</v>
      </c>
      <c r="G833" s="839"/>
      <c r="H833" s="120" t="s">
        <v>14</v>
      </c>
      <c r="I833" s="120" t="s">
        <v>106</v>
      </c>
      <c r="J833" s="106">
        <v>198</v>
      </c>
      <c r="K833" s="106">
        <v>112</v>
      </c>
      <c r="L833" s="106">
        <v>23</v>
      </c>
      <c r="M833" s="106">
        <v>15</v>
      </c>
      <c r="N833" s="106">
        <v>39</v>
      </c>
      <c r="O833" s="106">
        <v>0</v>
      </c>
      <c r="P833" s="106">
        <v>10</v>
      </c>
      <c r="Q833" s="108">
        <f t="shared" si="792"/>
        <v>0.68181818181818177</v>
      </c>
      <c r="R833" s="109">
        <f t="shared" si="770"/>
        <v>0.19696969696969696</v>
      </c>
      <c r="S833" s="109">
        <f t="shared" si="771"/>
        <v>5.0505050505050504E-2</v>
      </c>
      <c r="T833" s="109">
        <f t="shared" si="772"/>
        <v>0</v>
      </c>
      <c r="U833" s="110">
        <f t="shared" si="773"/>
        <v>0.92929292929292928</v>
      </c>
      <c r="V833" s="136"/>
    </row>
    <row r="834" spans="2:25" ht="15.75" hidden="1" x14ac:dyDescent="0.2">
      <c r="B834" s="711">
        <v>46139</v>
      </c>
      <c r="C834" s="105" t="s">
        <v>18</v>
      </c>
      <c r="D834" s="105" t="s">
        <v>20</v>
      </c>
      <c r="E834" s="711">
        <v>46140</v>
      </c>
      <c r="G834" s="848"/>
      <c r="H834" s="120" t="s">
        <v>25</v>
      </c>
      <c r="I834" s="120" t="s">
        <v>105</v>
      </c>
      <c r="J834" s="106">
        <v>245</v>
      </c>
      <c r="K834" s="106">
        <v>0</v>
      </c>
      <c r="L834" s="106">
        <v>0</v>
      </c>
      <c r="M834" s="106">
        <v>0</v>
      </c>
      <c r="N834" s="106">
        <v>0</v>
      </c>
      <c r="O834" s="106">
        <v>0</v>
      </c>
      <c r="P834" s="106">
        <v>13</v>
      </c>
      <c r="Q834" s="108">
        <f t="shared" si="792"/>
        <v>0</v>
      </c>
      <c r="R834" s="109">
        <f t="shared" si="770"/>
        <v>0</v>
      </c>
      <c r="S834" s="109">
        <f t="shared" si="771"/>
        <v>5.3061224489795916E-2</v>
      </c>
      <c r="T834" s="109">
        <f t="shared" si="772"/>
        <v>0</v>
      </c>
      <c r="U834" s="110">
        <f t="shared" si="773"/>
        <v>5.3061224489795916E-2</v>
      </c>
      <c r="V834" s="136"/>
    </row>
    <row r="835" spans="2:25" s="97" customFormat="1" ht="16.5" hidden="1" customHeight="1" x14ac:dyDescent="0.2">
      <c r="B835" s="711">
        <v>46139</v>
      </c>
      <c r="C835" s="105" t="s">
        <v>18</v>
      </c>
      <c r="D835" s="105" t="s">
        <v>20</v>
      </c>
      <c r="E835" s="711">
        <v>46139</v>
      </c>
      <c r="F835" s="89"/>
      <c r="G835" s="190"/>
      <c r="H835" s="113" t="s">
        <v>19</v>
      </c>
      <c r="I835" s="113"/>
      <c r="J835" s="113">
        <f>SUM(J826:J834)</f>
        <v>1474</v>
      </c>
      <c r="K835" s="113">
        <f>SUM(K826:K834)</f>
        <v>750</v>
      </c>
      <c r="L835" s="113">
        <f>SUM(L826:L834)</f>
        <v>97</v>
      </c>
      <c r="M835" s="113">
        <f>SUM(M826:M834)</f>
        <v>157</v>
      </c>
      <c r="N835" s="113">
        <f>SUM(N826:N834)</f>
        <v>172</v>
      </c>
      <c r="O835" s="113">
        <f t="shared" ref="O835" si="798">SUM(O826:O834)</f>
        <v>0</v>
      </c>
      <c r="P835" s="113">
        <f>SUM(P826:P834)</f>
        <v>69</v>
      </c>
      <c r="Q835" s="115">
        <f>(K835+L835)/J835</f>
        <v>0.57462686567164178</v>
      </c>
      <c r="R835" s="116">
        <f t="shared" si="770"/>
        <v>0.11668928086838534</v>
      </c>
      <c r="S835" s="116">
        <f t="shared" si="771"/>
        <v>4.6811397557666216E-2</v>
      </c>
      <c r="T835" s="116">
        <f t="shared" si="772"/>
        <v>0</v>
      </c>
      <c r="U835" s="117">
        <f t="shared" si="773"/>
        <v>0.73812754409769332</v>
      </c>
      <c r="V835" s="127"/>
      <c r="W835" s="88"/>
      <c r="X835" s="88"/>
      <c r="Y835" s="118"/>
    </row>
    <row r="836" spans="2:25" ht="15.75" hidden="1" x14ac:dyDescent="0.2">
      <c r="B836" s="711">
        <v>46140</v>
      </c>
      <c r="C836" s="105" t="s">
        <v>12</v>
      </c>
      <c r="D836" s="105" t="s">
        <v>13</v>
      </c>
      <c r="E836" s="711">
        <v>46140</v>
      </c>
      <c r="G836" s="833">
        <v>46140</v>
      </c>
      <c r="H836" s="120" t="s">
        <v>75</v>
      </c>
      <c r="I836" s="120" t="s">
        <v>112</v>
      </c>
      <c r="J836" s="106">
        <v>44</v>
      </c>
      <c r="K836" s="106">
        <f>J836-L836-M836-N836-O836-P836</f>
        <v>18</v>
      </c>
      <c r="L836" s="106">
        <v>10</v>
      </c>
      <c r="M836" s="106">
        <v>16</v>
      </c>
      <c r="N836" s="106">
        <v>0</v>
      </c>
      <c r="O836" s="106">
        <v>0</v>
      </c>
      <c r="P836" s="106">
        <v>0</v>
      </c>
      <c r="Q836" s="108">
        <f>(K836+L836)/J836</f>
        <v>0.63636363636363635</v>
      </c>
      <c r="R836" s="109">
        <f t="shared" ref="R836:R840" si="799">N836/J836</f>
        <v>0</v>
      </c>
      <c r="S836" s="109">
        <f t="shared" ref="S836:S840" si="800">P836/J836</f>
        <v>0</v>
      </c>
      <c r="T836" s="109">
        <f t="shared" ref="T836:T840" si="801">O836/J836</f>
        <v>0</v>
      </c>
      <c r="U836" s="110">
        <f t="shared" ref="U836:U840" si="802">S836+R836+Q836+T836</f>
        <v>0.63636363636363635</v>
      </c>
      <c r="V836" s="136" t="s">
        <v>108</v>
      </c>
    </row>
    <row r="837" spans="2:25" ht="15.75" hidden="1" x14ac:dyDescent="0.2">
      <c r="B837" s="711">
        <v>46140</v>
      </c>
      <c r="C837" s="105" t="s">
        <v>12</v>
      </c>
      <c r="D837" s="105" t="s">
        <v>13</v>
      </c>
      <c r="E837" s="711">
        <v>46140</v>
      </c>
      <c r="G837" s="834"/>
      <c r="H837" s="120" t="s">
        <v>120</v>
      </c>
      <c r="I837" s="120" t="s">
        <v>106</v>
      </c>
      <c r="J837" s="106">
        <v>92</v>
      </c>
      <c r="K837" s="106">
        <f t="shared" ref="K837:K843" si="803">J837-L837-M837-N837-O837-P837</f>
        <v>23</v>
      </c>
      <c r="L837" s="106">
        <v>0</v>
      </c>
      <c r="M837" s="106">
        <v>5</v>
      </c>
      <c r="N837" s="106">
        <v>59</v>
      </c>
      <c r="O837" s="106">
        <v>0</v>
      </c>
      <c r="P837" s="106">
        <v>5</v>
      </c>
      <c r="Q837" s="108">
        <f t="shared" ref="Q837:Q839" si="804">(K837+L837)/J837</f>
        <v>0.25</v>
      </c>
      <c r="R837" s="109">
        <f t="shared" si="799"/>
        <v>0.64130434782608692</v>
      </c>
      <c r="S837" s="109">
        <f t="shared" si="800"/>
        <v>5.434782608695652E-2</v>
      </c>
      <c r="T837" s="109">
        <f t="shared" si="801"/>
        <v>0</v>
      </c>
      <c r="U837" s="110">
        <f t="shared" si="802"/>
        <v>0.94565217391304346</v>
      </c>
      <c r="V837" s="136"/>
    </row>
    <row r="838" spans="2:25" ht="15.75" hidden="1" x14ac:dyDescent="0.2">
      <c r="B838" s="711">
        <v>46140</v>
      </c>
      <c r="C838" s="105" t="s">
        <v>12</v>
      </c>
      <c r="D838" s="105" t="s">
        <v>13</v>
      </c>
      <c r="E838" s="711">
        <v>46140</v>
      </c>
      <c r="G838" s="834"/>
      <c r="H838" s="120" t="s">
        <v>118</v>
      </c>
      <c r="I838" s="120" t="s">
        <v>106</v>
      </c>
      <c r="J838" s="106">
        <v>23</v>
      </c>
      <c r="K838" s="106">
        <f t="shared" si="803"/>
        <v>22</v>
      </c>
      <c r="L838" s="106">
        <v>0</v>
      </c>
      <c r="M838" s="106">
        <v>0</v>
      </c>
      <c r="N838" s="106">
        <v>0</v>
      </c>
      <c r="O838" s="106">
        <v>0</v>
      </c>
      <c r="P838" s="106">
        <v>1</v>
      </c>
      <c r="Q838" s="108">
        <f t="shared" si="804"/>
        <v>0.95652173913043481</v>
      </c>
      <c r="R838" s="109">
        <f t="shared" si="799"/>
        <v>0</v>
      </c>
      <c r="S838" s="109">
        <f t="shared" si="800"/>
        <v>4.3478260869565216E-2</v>
      </c>
      <c r="T838" s="109">
        <f t="shared" si="801"/>
        <v>0</v>
      </c>
      <c r="U838" s="110">
        <f t="shared" si="802"/>
        <v>1</v>
      </c>
      <c r="V838" s="136"/>
    </row>
    <row r="839" spans="2:25" ht="15.75" hidden="1" x14ac:dyDescent="0.2">
      <c r="B839" s="711">
        <v>46140</v>
      </c>
      <c r="C839" s="105" t="s">
        <v>12</v>
      </c>
      <c r="D839" s="105" t="s">
        <v>13</v>
      </c>
      <c r="E839" s="711">
        <v>46140</v>
      </c>
      <c r="G839" s="835"/>
      <c r="H839" s="120" t="s">
        <v>25</v>
      </c>
      <c r="I839" s="120" t="s">
        <v>105</v>
      </c>
      <c r="J839" s="106">
        <v>239</v>
      </c>
      <c r="K839" s="106">
        <f t="shared" si="803"/>
        <v>165</v>
      </c>
      <c r="L839" s="106">
        <v>43</v>
      </c>
      <c r="M839" s="106">
        <v>21</v>
      </c>
      <c r="N839" s="106">
        <v>0</v>
      </c>
      <c r="O839" s="106">
        <v>0</v>
      </c>
      <c r="P839" s="106">
        <v>10</v>
      </c>
      <c r="Q839" s="108">
        <f t="shared" si="804"/>
        <v>0.87029288702928875</v>
      </c>
      <c r="R839" s="109">
        <f t="shared" si="799"/>
        <v>0</v>
      </c>
      <c r="S839" s="109">
        <f t="shared" si="800"/>
        <v>4.1841004184100417E-2</v>
      </c>
      <c r="T839" s="109">
        <f t="shared" si="801"/>
        <v>0</v>
      </c>
      <c r="U839" s="110">
        <f t="shared" si="802"/>
        <v>0.91213389121338917</v>
      </c>
      <c r="V839" s="136" t="s">
        <v>21</v>
      </c>
    </row>
    <row r="840" spans="2:25" ht="15.75" hidden="1" x14ac:dyDescent="0.2">
      <c r="B840" s="711">
        <v>46140</v>
      </c>
      <c r="C840" s="105" t="s">
        <v>12</v>
      </c>
      <c r="D840" s="105" t="s">
        <v>13</v>
      </c>
      <c r="E840" s="711">
        <v>46140</v>
      </c>
      <c r="G840" s="190"/>
      <c r="H840" s="113" t="s">
        <v>19</v>
      </c>
      <c r="I840" s="113"/>
      <c r="J840" s="113">
        <f t="shared" ref="J840:P840" si="805">SUM(J836:J839)</f>
        <v>398</v>
      </c>
      <c r="K840" s="113">
        <f t="shared" si="805"/>
        <v>228</v>
      </c>
      <c r="L840" s="113">
        <f t="shared" si="805"/>
        <v>53</v>
      </c>
      <c r="M840" s="114">
        <f t="shared" si="805"/>
        <v>42</v>
      </c>
      <c r="N840" s="113">
        <f t="shared" si="805"/>
        <v>59</v>
      </c>
      <c r="O840" s="113">
        <f t="shared" si="805"/>
        <v>0</v>
      </c>
      <c r="P840" s="114">
        <f t="shared" si="805"/>
        <v>16</v>
      </c>
      <c r="Q840" s="115">
        <f>(K840+L840)/J840</f>
        <v>0.70603015075376885</v>
      </c>
      <c r="R840" s="116">
        <f t="shared" si="799"/>
        <v>0.14824120603015076</v>
      </c>
      <c r="S840" s="116">
        <f t="shared" si="800"/>
        <v>4.0201005025125629E-2</v>
      </c>
      <c r="T840" s="116">
        <f t="shared" si="801"/>
        <v>0</v>
      </c>
      <c r="U840" s="117">
        <f t="shared" si="802"/>
        <v>0.89447236180904521</v>
      </c>
      <c r="V840" s="127"/>
    </row>
    <row r="841" spans="2:25" ht="15.75" hidden="1" x14ac:dyDescent="0.2">
      <c r="B841" s="711">
        <v>46140</v>
      </c>
      <c r="C841" s="105" t="s">
        <v>12</v>
      </c>
      <c r="D841" s="105" t="s">
        <v>13</v>
      </c>
      <c r="E841" s="711">
        <v>46141</v>
      </c>
      <c r="G841" s="833">
        <v>46141</v>
      </c>
      <c r="H841" s="120" t="s">
        <v>75</v>
      </c>
      <c r="I841" s="120" t="s">
        <v>106</v>
      </c>
      <c r="J841" s="106">
        <v>237</v>
      </c>
      <c r="K841" s="106">
        <f t="shared" si="803"/>
        <v>30</v>
      </c>
      <c r="L841" s="106">
        <v>9</v>
      </c>
      <c r="M841" s="106">
        <v>198</v>
      </c>
      <c r="N841" s="106">
        <v>0</v>
      </c>
      <c r="O841" s="106">
        <v>0</v>
      </c>
      <c r="P841" s="106">
        <v>0</v>
      </c>
      <c r="Q841" s="108">
        <f>(K841+L841)/J841</f>
        <v>0.16455696202531644</v>
      </c>
      <c r="R841" s="109">
        <f t="shared" ref="R841:R852" si="806">N841/J841</f>
        <v>0</v>
      </c>
      <c r="S841" s="109">
        <f t="shared" ref="S841:S852" si="807">P841/J841</f>
        <v>0</v>
      </c>
      <c r="T841" s="109">
        <f t="shared" ref="T841:T852" si="808">O841/J841</f>
        <v>0</v>
      </c>
      <c r="U841" s="110">
        <f t="shared" ref="U841:U852" si="809">S841+R841+Q841+T841</f>
        <v>0.16455696202531644</v>
      </c>
      <c r="V841" s="136"/>
    </row>
    <row r="842" spans="2:25" ht="15.75" hidden="1" x14ac:dyDescent="0.2">
      <c r="B842" s="711">
        <v>46140</v>
      </c>
      <c r="C842" s="105" t="s">
        <v>12</v>
      </c>
      <c r="D842" s="105" t="s">
        <v>13</v>
      </c>
      <c r="E842" s="711">
        <v>46141</v>
      </c>
      <c r="G842" s="834"/>
      <c r="H842" s="120" t="s">
        <v>84</v>
      </c>
      <c r="I842" s="120" t="s">
        <v>43</v>
      </c>
      <c r="J842" s="106">
        <v>40</v>
      </c>
      <c r="K842" s="106">
        <f t="shared" si="803"/>
        <v>0</v>
      </c>
      <c r="L842" s="106">
        <v>0</v>
      </c>
      <c r="M842" s="106">
        <v>40</v>
      </c>
      <c r="N842" s="106">
        <v>0</v>
      </c>
      <c r="O842" s="106">
        <v>0</v>
      </c>
      <c r="P842" s="106">
        <v>0</v>
      </c>
      <c r="Q842" s="108">
        <f>(K842+L842)/J842</f>
        <v>0</v>
      </c>
      <c r="R842" s="109">
        <f t="shared" ref="R842" si="810">N842/J842</f>
        <v>0</v>
      </c>
      <c r="S842" s="109">
        <f t="shared" ref="S842" si="811">P842/J842</f>
        <v>0</v>
      </c>
      <c r="T842" s="109">
        <f t="shared" ref="T842" si="812">O842/J842</f>
        <v>0</v>
      </c>
      <c r="U842" s="110">
        <f t="shared" ref="U842" si="813">S842+R842+Q842+T842</f>
        <v>0</v>
      </c>
      <c r="V842" s="136"/>
    </row>
    <row r="843" spans="2:25" ht="15.75" hidden="1" x14ac:dyDescent="0.2">
      <c r="B843" s="711">
        <v>46140</v>
      </c>
      <c r="C843" s="105" t="s">
        <v>12</v>
      </c>
      <c r="D843" s="105" t="s">
        <v>13</v>
      </c>
      <c r="E843" s="711">
        <v>46141</v>
      </c>
      <c r="G843" s="835"/>
      <c r="H843" s="120" t="s">
        <v>25</v>
      </c>
      <c r="I843" s="120" t="s">
        <v>106</v>
      </c>
      <c r="J843" s="106">
        <v>245</v>
      </c>
      <c r="K843" s="106">
        <f t="shared" si="803"/>
        <v>0</v>
      </c>
      <c r="L843" s="106">
        <v>0</v>
      </c>
      <c r="M843" s="106">
        <v>245</v>
      </c>
      <c r="N843" s="106">
        <v>0</v>
      </c>
      <c r="O843" s="106">
        <v>0</v>
      </c>
      <c r="P843" s="106">
        <v>0</v>
      </c>
      <c r="Q843" s="108">
        <f t="shared" ref="Q843" si="814">(K843+L843)/J843</f>
        <v>0</v>
      </c>
      <c r="R843" s="109">
        <f t="shared" si="806"/>
        <v>0</v>
      </c>
      <c r="S843" s="109">
        <f t="shared" si="807"/>
        <v>0</v>
      </c>
      <c r="T843" s="109">
        <f t="shared" si="808"/>
        <v>0</v>
      </c>
      <c r="U843" s="110">
        <f t="shared" si="809"/>
        <v>0</v>
      </c>
      <c r="V843" s="136"/>
    </row>
    <row r="844" spans="2:25" ht="15.75" hidden="1" x14ac:dyDescent="0.2">
      <c r="B844" s="711">
        <v>46140</v>
      </c>
      <c r="C844" s="105" t="s">
        <v>12</v>
      </c>
      <c r="D844" s="105" t="s">
        <v>13</v>
      </c>
      <c r="E844" s="711">
        <v>46141</v>
      </c>
      <c r="G844" s="190"/>
      <c r="H844" s="113" t="s">
        <v>19</v>
      </c>
      <c r="I844" s="113"/>
      <c r="J844" s="113">
        <f t="shared" ref="J844:P844" si="815">SUM(J841:J843)</f>
        <v>522</v>
      </c>
      <c r="K844" s="113">
        <f t="shared" si="815"/>
        <v>30</v>
      </c>
      <c r="L844" s="113">
        <f t="shared" si="815"/>
        <v>9</v>
      </c>
      <c r="M844" s="114">
        <f t="shared" si="815"/>
        <v>483</v>
      </c>
      <c r="N844" s="113">
        <f t="shared" si="815"/>
        <v>0</v>
      </c>
      <c r="O844" s="113">
        <f t="shared" si="815"/>
        <v>0</v>
      </c>
      <c r="P844" s="114">
        <f t="shared" si="815"/>
        <v>0</v>
      </c>
      <c r="Q844" s="115">
        <f>(K844+L844)/J844</f>
        <v>7.4712643678160925E-2</v>
      </c>
      <c r="R844" s="116">
        <f t="shared" si="806"/>
        <v>0</v>
      </c>
      <c r="S844" s="116">
        <f t="shared" si="807"/>
        <v>0</v>
      </c>
      <c r="T844" s="116">
        <f t="shared" si="808"/>
        <v>0</v>
      </c>
      <c r="U844" s="117">
        <f t="shared" si="809"/>
        <v>7.4712643678160925E-2</v>
      </c>
      <c r="V844" s="127"/>
    </row>
    <row r="845" spans="2:25" ht="15.75" hidden="1" x14ac:dyDescent="0.2">
      <c r="B845" s="711">
        <v>46140</v>
      </c>
      <c r="C845" s="105" t="s">
        <v>18</v>
      </c>
      <c r="D845" s="105" t="s">
        <v>20</v>
      </c>
      <c r="E845" s="711">
        <v>46140</v>
      </c>
      <c r="G845" s="833">
        <v>46140</v>
      </c>
      <c r="H845" s="120" t="s">
        <v>75</v>
      </c>
      <c r="I845" s="120" t="s">
        <v>112</v>
      </c>
      <c r="J845" s="106">
        <v>22</v>
      </c>
      <c r="K845" s="106">
        <v>8</v>
      </c>
      <c r="L845" s="106">
        <v>16</v>
      </c>
      <c r="M845" s="106">
        <v>0</v>
      </c>
      <c r="N845" s="106">
        <v>0</v>
      </c>
      <c r="O845" s="106">
        <v>0</v>
      </c>
      <c r="P845" s="106">
        <v>0</v>
      </c>
      <c r="Q845" s="108">
        <f t="shared" ref="Q845:Q847" si="816">(K845+L845)/J845</f>
        <v>1.0909090909090908</v>
      </c>
      <c r="R845" s="109">
        <f t="shared" si="806"/>
        <v>0</v>
      </c>
      <c r="S845" s="109">
        <f t="shared" si="807"/>
        <v>0</v>
      </c>
      <c r="T845" s="109">
        <f t="shared" si="808"/>
        <v>0</v>
      </c>
      <c r="U845" s="110">
        <f t="shared" si="809"/>
        <v>1.0909090909090908</v>
      </c>
      <c r="V845" s="136"/>
    </row>
    <row r="846" spans="2:25" ht="15.75" hidden="1" x14ac:dyDescent="0.2">
      <c r="B846" s="711">
        <v>46140</v>
      </c>
      <c r="C846" s="105" t="s">
        <v>18</v>
      </c>
      <c r="D846" s="105" t="s">
        <v>20</v>
      </c>
      <c r="E846" s="711">
        <v>46140</v>
      </c>
      <c r="G846" s="834"/>
      <c r="H846" s="120" t="s">
        <v>25</v>
      </c>
      <c r="I846" s="120" t="s">
        <v>105</v>
      </c>
      <c r="J846" s="106">
        <v>21</v>
      </c>
      <c r="K846" s="106">
        <v>10</v>
      </c>
      <c r="L846" s="106">
        <v>5</v>
      </c>
      <c r="M846" s="106">
        <v>0</v>
      </c>
      <c r="N846" s="106">
        <v>0</v>
      </c>
      <c r="O846" s="106">
        <v>0</v>
      </c>
      <c r="P846" s="106">
        <v>10</v>
      </c>
      <c r="Q846" s="108">
        <f t="shared" si="816"/>
        <v>0.7142857142857143</v>
      </c>
      <c r="R846" s="109">
        <f t="shared" si="806"/>
        <v>0</v>
      </c>
      <c r="S846" s="109">
        <f t="shared" si="807"/>
        <v>0.47619047619047616</v>
      </c>
      <c r="T846" s="109">
        <f t="shared" si="808"/>
        <v>0</v>
      </c>
      <c r="U846" s="110">
        <f t="shared" si="809"/>
        <v>1.1904761904761905</v>
      </c>
      <c r="V846" s="136"/>
    </row>
    <row r="847" spans="2:25" ht="15.75" hidden="1" x14ac:dyDescent="0.2">
      <c r="B847" s="711">
        <v>46140</v>
      </c>
      <c r="C847" s="105" t="s">
        <v>18</v>
      </c>
      <c r="D847" s="105" t="s">
        <v>20</v>
      </c>
      <c r="E847" s="711">
        <v>46140</v>
      </c>
      <c r="G847" s="835"/>
      <c r="H847" s="120" t="s">
        <v>14</v>
      </c>
      <c r="I847" s="120" t="s">
        <v>105</v>
      </c>
      <c r="J847" s="106">
        <v>8</v>
      </c>
      <c r="K847" s="106">
        <v>8</v>
      </c>
      <c r="L847" s="106">
        <v>0</v>
      </c>
      <c r="M847" s="106">
        <v>0</v>
      </c>
      <c r="N847" s="106">
        <v>0</v>
      </c>
      <c r="O847" s="106">
        <v>0</v>
      </c>
      <c r="P847" s="106">
        <v>6</v>
      </c>
      <c r="Q847" s="108">
        <f t="shared" si="816"/>
        <v>1</v>
      </c>
      <c r="R847" s="109">
        <f t="shared" si="806"/>
        <v>0</v>
      </c>
      <c r="S847" s="109">
        <f t="shared" si="807"/>
        <v>0.75</v>
      </c>
      <c r="T847" s="109">
        <f t="shared" si="808"/>
        <v>0</v>
      </c>
      <c r="U847" s="110">
        <f t="shared" si="809"/>
        <v>1.75</v>
      </c>
      <c r="V847" s="136"/>
    </row>
    <row r="848" spans="2:25" ht="15.75" hidden="1" x14ac:dyDescent="0.2">
      <c r="B848" s="711">
        <v>46140</v>
      </c>
      <c r="C848" s="105" t="s">
        <v>18</v>
      </c>
      <c r="D848" s="105" t="s">
        <v>20</v>
      </c>
      <c r="E848" s="711">
        <v>46141</v>
      </c>
      <c r="G848" s="838">
        <v>46141</v>
      </c>
      <c r="H848" s="120" t="s">
        <v>75</v>
      </c>
      <c r="I848" s="120" t="s">
        <v>112</v>
      </c>
      <c r="J848" s="106">
        <v>237</v>
      </c>
      <c r="K848" s="106">
        <f>77-8</f>
        <v>69</v>
      </c>
      <c r="L848" s="106">
        <f>71-16</f>
        <v>55</v>
      </c>
      <c r="M848" s="106">
        <v>29</v>
      </c>
      <c r="N848" s="106">
        <v>38</v>
      </c>
      <c r="O848" s="106">
        <v>0</v>
      </c>
      <c r="P848" s="106">
        <v>6</v>
      </c>
      <c r="Q848" s="108">
        <f>(K848+L848)/J848</f>
        <v>0.52320675105485237</v>
      </c>
      <c r="R848" s="109">
        <f t="shared" si="806"/>
        <v>0.16033755274261605</v>
      </c>
      <c r="S848" s="109">
        <f t="shared" si="807"/>
        <v>2.5316455696202531E-2</v>
      </c>
      <c r="T848" s="109">
        <f t="shared" si="808"/>
        <v>0</v>
      </c>
      <c r="U848" s="110">
        <f t="shared" si="809"/>
        <v>0.70886075949367089</v>
      </c>
      <c r="V848" s="136"/>
    </row>
    <row r="849" spans="2:25" ht="15.75" hidden="1" x14ac:dyDescent="0.2">
      <c r="B849" s="711">
        <v>46140</v>
      </c>
      <c r="C849" s="105" t="s">
        <v>18</v>
      </c>
      <c r="D849" s="105" t="s">
        <v>20</v>
      </c>
      <c r="E849" s="711">
        <v>46141</v>
      </c>
      <c r="G849" s="839"/>
      <c r="H849" s="120" t="s">
        <v>84</v>
      </c>
      <c r="I849" s="120" t="s">
        <v>106</v>
      </c>
      <c r="J849" s="106">
        <v>40</v>
      </c>
      <c r="K849" s="106">
        <v>0</v>
      </c>
      <c r="L849" s="106">
        <v>0</v>
      </c>
      <c r="M849" s="106">
        <v>0</v>
      </c>
      <c r="N849" s="106">
        <v>0</v>
      </c>
      <c r="O849" s="106">
        <v>0</v>
      </c>
      <c r="P849" s="106">
        <v>0</v>
      </c>
      <c r="Q849" s="108">
        <f t="shared" ref="Q849:Q851" si="817">(K849+L849)/J849</f>
        <v>0</v>
      </c>
      <c r="R849" s="109">
        <f t="shared" si="806"/>
        <v>0</v>
      </c>
      <c r="S849" s="109">
        <f t="shared" si="807"/>
        <v>0</v>
      </c>
      <c r="T849" s="109">
        <f t="shared" si="808"/>
        <v>0</v>
      </c>
      <c r="U849" s="110">
        <f t="shared" si="809"/>
        <v>0</v>
      </c>
      <c r="V849" s="136"/>
    </row>
    <row r="850" spans="2:25" ht="15.75" hidden="1" x14ac:dyDescent="0.2">
      <c r="B850" s="711">
        <v>46140</v>
      </c>
      <c r="C850" s="105" t="s">
        <v>18</v>
      </c>
      <c r="D850" s="105" t="s">
        <v>20</v>
      </c>
      <c r="E850" s="711">
        <v>46141</v>
      </c>
      <c r="G850" s="839"/>
      <c r="H850" s="120" t="s">
        <v>120</v>
      </c>
      <c r="I850" s="120" t="s">
        <v>106</v>
      </c>
      <c r="J850" s="106">
        <v>92</v>
      </c>
      <c r="K850" s="106">
        <v>7</v>
      </c>
      <c r="L850" s="106">
        <v>0</v>
      </c>
      <c r="M850" s="106">
        <v>0</v>
      </c>
      <c r="N850" s="106">
        <v>3</v>
      </c>
      <c r="O850" s="106">
        <v>5</v>
      </c>
      <c r="P850" s="106">
        <v>5</v>
      </c>
      <c r="Q850" s="108">
        <f t="shared" si="817"/>
        <v>7.6086956521739135E-2</v>
      </c>
      <c r="R850" s="109">
        <f t="shared" si="806"/>
        <v>3.2608695652173912E-2</v>
      </c>
      <c r="S850" s="109">
        <f t="shared" si="807"/>
        <v>5.434782608695652E-2</v>
      </c>
      <c r="T850" s="109">
        <f t="shared" si="808"/>
        <v>5.434782608695652E-2</v>
      </c>
      <c r="U850" s="110">
        <f t="shared" si="809"/>
        <v>0.21739130434782608</v>
      </c>
      <c r="V850" s="136"/>
    </row>
    <row r="851" spans="2:25" ht="15.75" hidden="1" x14ac:dyDescent="0.2">
      <c r="B851" s="711">
        <v>46140</v>
      </c>
      <c r="C851" s="105" t="s">
        <v>18</v>
      </c>
      <c r="D851" s="105" t="s">
        <v>20</v>
      </c>
      <c r="E851" s="711">
        <v>46141</v>
      </c>
      <c r="G851" s="848"/>
      <c r="H851" s="120" t="s">
        <v>25</v>
      </c>
      <c r="I851" s="120" t="s">
        <v>105</v>
      </c>
      <c r="J851" s="106">
        <v>245</v>
      </c>
      <c r="K851" s="106">
        <v>60</v>
      </c>
      <c r="L851" s="106">
        <v>9</v>
      </c>
      <c r="M851" s="106">
        <v>98</v>
      </c>
      <c r="N851" s="106">
        <v>105</v>
      </c>
      <c r="O851" s="106">
        <v>0</v>
      </c>
      <c r="P851" s="106">
        <v>17</v>
      </c>
      <c r="Q851" s="108">
        <f t="shared" si="817"/>
        <v>0.28163265306122448</v>
      </c>
      <c r="R851" s="109">
        <f t="shared" si="806"/>
        <v>0.42857142857142855</v>
      </c>
      <c r="S851" s="109">
        <f t="shared" si="807"/>
        <v>6.9387755102040816E-2</v>
      </c>
      <c r="T851" s="109">
        <f t="shared" si="808"/>
        <v>0</v>
      </c>
      <c r="U851" s="110">
        <f t="shared" si="809"/>
        <v>0.7795918367346939</v>
      </c>
      <c r="V851" s="136"/>
    </row>
    <row r="852" spans="2:25" s="97" customFormat="1" ht="16.5" hidden="1" customHeight="1" x14ac:dyDescent="0.2">
      <c r="B852" s="711">
        <v>46140</v>
      </c>
      <c r="C852" s="105" t="s">
        <v>18</v>
      </c>
      <c r="D852" s="105" t="s">
        <v>20</v>
      </c>
      <c r="E852" s="711">
        <v>46141</v>
      </c>
      <c r="F852" s="89"/>
      <c r="G852" s="190"/>
      <c r="H852" s="113" t="s">
        <v>19</v>
      </c>
      <c r="I852" s="113"/>
      <c r="J852" s="113">
        <f t="shared" ref="J852:P852" si="818">SUM(J845:J851)</f>
        <v>665</v>
      </c>
      <c r="K852" s="113">
        <f t="shared" si="818"/>
        <v>162</v>
      </c>
      <c r="L852" s="113">
        <f t="shared" si="818"/>
        <v>85</v>
      </c>
      <c r="M852" s="113">
        <f t="shared" si="818"/>
        <v>127</v>
      </c>
      <c r="N852" s="113">
        <f t="shared" si="818"/>
        <v>146</v>
      </c>
      <c r="O852" s="113">
        <f t="shared" si="818"/>
        <v>5</v>
      </c>
      <c r="P852" s="113">
        <f t="shared" si="818"/>
        <v>44</v>
      </c>
      <c r="Q852" s="115">
        <f>(K852+L852)/J852</f>
        <v>0.37142857142857144</v>
      </c>
      <c r="R852" s="116">
        <f t="shared" si="806"/>
        <v>0.21954887218045113</v>
      </c>
      <c r="S852" s="116">
        <f t="shared" si="807"/>
        <v>6.616541353383458E-2</v>
      </c>
      <c r="T852" s="116">
        <f t="shared" si="808"/>
        <v>7.5187969924812026E-3</v>
      </c>
      <c r="U852" s="117">
        <f t="shared" si="809"/>
        <v>0.66466165413533829</v>
      </c>
      <c r="V852" s="127"/>
      <c r="W852" s="88"/>
      <c r="X852" s="88"/>
      <c r="Y852" s="118"/>
    </row>
    <row r="853" spans="2:25" ht="15.75" hidden="1" x14ac:dyDescent="0.2">
      <c r="B853" s="711">
        <v>46141</v>
      </c>
      <c r="C853" s="105" t="s">
        <v>22</v>
      </c>
      <c r="D853" s="105" t="s">
        <v>23</v>
      </c>
      <c r="E853" s="711">
        <v>46141</v>
      </c>
      <c r="G853" s="838">
        <v>46141</v>
      </c>
      <c r="H853" s="120" t="s">
        <v>75</v>
      </c>
      <c r="I853" s="120" t="s">
        <v>106</v>
      </c>
      <c r="J853" s="106">
        <v>237</v>
      </c>
      <c r="K853" s="106">
        <f>237-116</f>
        <v>121</v>
      </c>
      <c r="L853" s="106">
        <f>104-19</f>
        <v>85</v>
      </c>
      <c r="M853" s="106">
        <v>6</v>
      </c>
      <c r="N853" s="106">
        <v>0</v>
      </c>
      <c r="O853" s="106">
        <v>19</v>
      </c>
      <c r="P853" s="106">
        <v>6</v>
      </c>
      <c r="Q853" s="108">
        <f>(K853+L853)/J853</f>
        <v>0.86919831223628696</v>
      </c>
      <c r="R853" s="109">
        <f t="shared" ref="R853:R857" si="819">N853/J853</f>
        <v>0</v>
      </c>
      <c r="S853" s="109">
        <f t="shared" ref="S853:S857" si="820">P853/J853</f>
        <v>2.5316455696202531E-2</v>
      </c>
      <c r="T853" s="109">
        <f t="shared" ref="T853:T857" si="821">O853/J853</f>
        <v>8.0168776371308023E-2</v>
      </c>
      <c r="U853" s="110">
        <f t="shared" ref="U853:U857" si="822">S853+R853+Q853+T853</f>
        <v>0.97468354430379756</v>
      </c>
      <c r="V853" s="136"/>
    </row>
    <row r="854" spans="2:25" ht="15.75" hidden="1" x14ac:dyDescent="0.2">
      <c r="B854" s="711">
        <v>46141</v>
      </c>
      <c r="C854" s="105" t="s">
        <v>22</v>
      </c>
      <c r="D854" s="105" t="s">
        <v>23</v>
      </c>
      <c r="E854" s="711">
        <v>46141</v>
      </c>
      <c r="G854" s="839"/>
      <c r="H854" s="120" t="s">
        <v>84</v>
      </c>
      <c r="I854" s="120" t="s">
        <v>43</v>
      </c>
      <c r="J854" s="106">
        <v>40</v>
      </c>
      <c r="K854" s="106">
        <v>22</v>
      </c>
      <c r="L854" s="106">
        <v>0</v>
      </c>
      <c r="M854" s="106">
        <v>17</v>
      </c>
      <c r="N854" s="106">
        <v>0</v>
      </c>
      <c r="O854" s="106">
        <v>0</v>
      </c>
      <c r="P854" s="106">
        <v>1</v>
      </c>
      <c r="Q854" s="108">
        <f t="shared" ref="Q854:Q856" si="823">(K854+L854)/J854</f>
        <v>0.55000000000000004</v>
      </c>
      <c r="R854" s="109">
        <f t="shared" si="819"/>
        <v>0</v>
      </c>
      <c r="S854" s="109">
        <f t="shared" si="820"/>
        <v>2.5000000000000001E-2</v>
      </c>
      <c r="T854" s="109">
        <f t="shared" si="821"/>
        <v>0</v>
      </c>
      <c r="U854" s="110">
        <f t="shared" si="822"/>
        <v>0.57500000000000007</v>
      </c>
      <c r="V854" s="136"/>
    </row>
    <row r="855" spans="2:25" ht="15.75" hidden="1" x14ac:dyDescent="0.2">
      <c r="B855" s="711">
        <v>46141</v>
      </c>
      <c r="C855" s="105" t="s">
        <v>22</v>
      </c>
      <c r="D855" s="105" t="s">
        <v>23</v>
      </c>
      <c r="E855" s="711">
        <v>46141</v>
      </c>
      <c r="G855" s="839"/>
      <c r="H855" s="120" t="s">
        <v>120</v>
      </c>
      <c r="I855" s="120" t="s">
        <v>106</v>
      </c>
      <c r="J855" s="106">
        <v>92</v>
      </c>
      <c r="K855" s="106">
        <v>89</v>
      </c>
      <c r="L855" s="106">
        <v>0</v>
      </c>
      <c r="M855" s="106">
        <v>0</v>
      </c>
      <c r="N855" s="106">
        <v>0</v>
      </c>
      <c r="O855" s="106">
        <v>0</v>
      </c>
      <c r="P855" s="106">
        <v>3</v>
      </c>
      <c r="Q855" s="108">
        <f t="shared" si="823"/>
        <v>0.96739130434782605</v>
      </c>
      <c r="R855" s="109">
        <f t="shared" si="819"/>
        <v>0</v>
      </c>
      <c r="S855" s="109">
        <f t="shared" si="820"/>
        <v>3.2608695652173912E-2</v>
      </c>
      <c r="T855" s="109">
        <f t="shared" si="821"/>
        <v>0</v>
      </c>
      <c r="U855" s="110">
        <f t="shared" si="822"/>
        <v>1</v>
      </c>
      <c r="V855" s="136"/>
    </row>
    <row r="856" spans="2:25" ht="15.75" hidden="1" x14ac:dyDescent="0.2">
      <c r="B856" s="711">
        <v>46141</v>
      </c>
      <c r="C856" s="105" t="s">
        <v>22</v>
      </c>
      <c r="D856" s="105" t="s">
        <v>23</v>
      </c>
      <c r="E856" s="711">
        <v>46141</v>
      </c>
      <c r="G856" s="848"/>
      <c r="H856" s="120" t="s">
        <v>25</v>
      </c>
      <c r="I856" s="120" t="s">
        <v>106</v>
      </c>
      <c r="J856" s="106">
        <v>245</v>
      </c>
      <c r="K856" s="106">
        <f>245-113</f>
        <v>132</v>
      </c>
      <c r="L856" s="106">
        <v>37</v>
      </c>
      <c r="M856" s="106">
        <v>40</v>
      </c>
      <c r="N856" s="106">
        <v>10</v>
      </c>
      <c r="O856" s="106">
        <v>9</v>
      </c>
      <c r="P856" s="106">
        <v>17</v>
      </c>
      <c r="Q856" s="108">
        <f t="shared" si="823"/>
        <v>0.68979591836734699</v>
      </c>
      <c r="R856" s="109">
        <f t="shared" si="819"/>
        <v>4.0816326530612242E-2</v>
      </c>
      <c r="S856" s="109">
        <f t="shared" si="820"/>
        <v>6.9387755102040816E-2</v>
      </c>
      <c r="T856" s="109">
        <f t="shared" si="821"/>
        <v>3.6734693877551024E-2</v>
      </c>
      <c r="U856" s="110">
        <f t="shared" si="822"/>
        <v>0.83673469387755106</v>
      </c>
      <c r="V856" s="136"/>
    </row>
    <row r="857" spans="2:25" s="97" customFormat="1" ht="16.5" hidden="1" customHeight="1" x14ac:dyDescent="0.2">
      <c r="B857" s="711">
        <v>46141</v>
      </c>
      <c r="C857" s="105" t="s">
        <v>22</v>
      </c>
      <c r="D857" s="105" t="s">
        <v>23</v>
      </c>
      <c r="E857" s="711">
        <v>46141</v>
      </c>
      <c r="F857" s="89"/>
      <c r="G857" s="190"/>
      <c r="H857" s="113" t="s">
        <v>19</v>
      </c>
      <c r="I857" s="113"/>
      <c r="J857" s="113">
        <f t="shared" ref="J857:P857" si="824">SUM(J853:J856)</f>
        <v>614</v>
      </c>
      <c r="K857" s="113">
        <f t="shared" si="824"/>
        <v>364</v>
      </c>
      <c r="L857" s="113">
        <f t="shared" si="824"/>
        <v>122</v>
      </c>
      <c r="M857" s="113">
        <f t="shared" si="824"/>
        <v>63</v>
      </c>
      <c r="N857" s="113">
        <f t="shared" si="824"/>
        <v>10</v>
      </c>
      <c r="O857" s="113">
        <f t="shared" si="824"/>
        <v>28</v>
      </c>
      <c r="P857" s="113">
        <f t="shared" si="824"/>
        <v>27</v>
      </c>
      <c r="Q857" s="115">
        <f>(K857+L857)/J857</f>
        <v>0.79153094462540718</v>
      </c>
      <c r="R857" s="116">
        <f t="shared" si="819"/>
        <v>1.6286644951140065E-2</v>
      </c>
      <c r="S857" s="116">
        <f t="shared" si="820"/>
        <v>4.3973941368078175E-2</v>
      </c>
      <c r="T857" s="116">
        <f t="shared" si="821"/>
        <v>4.5602605863192182E-2</v>
      </c>
      <c r="U857" s="117">
        <f t="shared" si="822"/>
        <v>0.89739413680781766</v>
      </c>
      <c r="V857" s="127"/>
      <c r="W857" s="88"/>
      <c r="X857" s="88"/>
      <c r="Y857" s="118"/>
    </row>
    <row r="858" spans="2:25" ht="15.75" hidden="1" x14ac:dyDescent="0.2">
      <c r="B858" s="711">
        <v>46141</v>
      </c>
      <c r="C858" s="105" t="s">
        <v>12</v>
      </c>
      <c r="D858" s="105" t="s">
        <v>13</v>
      </c>
      <c r="E858" s="711">
        <v>46141</v>
      </c>
      <c r="G858" s="714">
        <v>46141</v>
      </c>
      <c r="H858" s="120" t="s">
        <v>25</v>
      </c>
      <c r="I858" s="120" t="s">
        <v>106</v>
      </c>
      <c r="J858" s="106">
        <v>77</v>
      </c>
      <c r="K858" s="106">
        <f>J858-L858-M858-N858-O858-P858</f>
        <v>33</v>
      </c>
      <c r="L858" s="106">
        <v>27</v>
      </c>
      <c r="M858" s="106">
        <v>0</v>
      </c>
      <c r="N858" s="106">
        <v>0</v>
      </c>
      <c r="O858" s="106">
        <v>0</v>
      </c>
      <c r="P858" s="106">
        <v>17</v>
      </c>
      <c r="Q858" s="108">
        <f t="shared" ref="Q858" si="825">(K858+L858)/J858</f>
        <v>0.77922077922077926</v>
      </c>
      <c r="R858" s="109">
        <f t="shared" ref="R858:R860" si="826">N858/J858</f>
        <v>0</v>
      </c>
      <c r="S858" s="109">
        <f t="shared" ref="S858:S860" si="827">P858/J858</f>
        <v>0.22077922077922077</v>
      </c>
      <c r="T858" s="109">
        <f t="shared" ref="T858:T860" si="828">O858/J858</f>
        <v>0</v>
      </c>
      <c r="U858" s="110">
        <f t="shared" ref="U858:U860" si="829">S858+R858+Q858+T858</f>
        <v>1</v>
      </c>
      <c r="V858" s="136"/>
    </row>
    <row r="859" spans="2:25" ht="15.75" hidden="1" x14ac:dyDescent="0.2">
      <c r="B859" s="711">
        <v>46141</v>
      </c>
      <c r="C859" s="105" t="s">
        <v>12</v>
      </c>
      <c r="D859" s="105" t="s">
        <v>13</v>
      </c>
      <c r="E859" s="711">
        <v>46141</v>
      </c>
      <c r="G859" s="853" t="s">
        <v>19</v>
      </c>
      <c r="H859" s="854"/>
      <c r="I859" s="855"/>
      <c r="J859" s="113">
        <f t="shared" ref="J859:P859" si="830">SUM(J858:J858)</f>
        <v>77</v>
      </c>
      <c r="K859" s="113">
        <f t="shared" si="830"/>
        <v>33</v>
      </c>
      <c r="L859" s="113">
        <f t="shared" si="830"/>
        <v>27</v>
      </c>
      <c r="M859" s="113">
        <f t="shared" si="830"/>
        <v>0</v>
      </c>
      <c r="N859" s="114">
        <f t="shared" si="830"/>
        <v>0</v>
      </c>
      <c r="O859" s="113">
        <f t="shared" si="830"/>
        <v>0</v>
      </c>
      <c r="P859" s="114">
        <f t="shared" si="830"/>
        <v>17</v>
      </c>
      <c r="Q859" s="115">
        <f>(K859+L859)/J859</f>
        <v>0.77922077922077926</v>
      </c>
      <c r="R859" s="116">
        <f t="shared" si="826"/>
        <v>0</v>
      </c>
      <c r="S859" s="116">
        <f t="shared" si="827"/>
        <v>0.22077922077922077</v>
      </c>
      <c r="T859" s="116">
        <f t="shared" si="828"/>
        <v>0</v>
      </c>
      <c r="U859" s="117">
        <f t="shared" si="829"/>
        <v>1</v>
      </c>
      <c r="V859" s="127"/>
    </row>
    <row r="860" spans="2:25" ht="15.75" hidden="1" x14ac:dyDescent="0.2">
      <c r="B860" s="711">
        <v>46141</v>
      </c>
      <c r="C860" s="105" t="s">
        <v>12</v>
      </c>
      <c r="D860" s="105" t="s">
        <v>13</v>
      </c>
      <c r="E860" s="711">
        <v>46141</v>
      </c>
      <c r="G860" s="714">
        <v>46144</v>
      </c>
      <c r="H860" s="120" t="s">
        <v>118</v>
      </c>
      <c r="I860" s="120" t="s">
        <v>43</v>
      </c>
      <c r="J860" s="106">
        <v>14</v>
      </c>
      <c r="K860" s="106">
        <f>J860-L860-M860-N860-O860-P860</f>
        <v>0</v>
      </c>
      <c r="L860" s="106">
        <v>0</v>
      </c>
      <c r="M860" s="106">
        <v>14</v>
      </c>
      <c r="N860" s="106">
        <v>0</v>
      </c>
      <c r="O860" s="106">
        <v>0</v>
      </c>
      <c r="P860" s="106">
        <v>0</v>
      </c>
      <c r="Q860" s="108">
        <f t="shared" ref="Q860" si="831">(K860+L860)/J860</f>
        <v>0</v>
      </c>
      <c r="R860" s="109">
        <f t="shared" si="826"/>
        <v>0</v>
      </c>
      <c r="S860" s="109">
        <f t="shared" si="827"/>
        <v>0</v>
      </c>
      <c r="T860" s="109">
        <f t="shared" si="828"/>
        <v>0</v>
      </c>
      <c r="U860" s="110">
        <f t="shared" si="829"/>
        <v>0</v>
      </c>
      <c r="V860" s="136"/>
    </row>
    <row r="861" spans="2:25" ht="15.75" hidden="1" x14ac:dyDescent="0.2">
      <c r="B861" s="711">
        <v>46141</v>
      </c>
      <c r="C861" s="105" t="s">
        <v>12</v>
      </c>
      <c r="D861" s="105" t="s">
        <v>13</v>
      </c>
      <c r="E861" s="711">
        <v>46144</v>
      </c>
      <c r="G861" s="714">
        <v>46144</v>
      </c>
      <c r="H861" s="120" t="s">
        <v>120</v>
      </c>
      <c r="I861" s="120" t="s">
        <v>43</v>
      </c>
      <c r="J861" s="106">
        <v>87</v>
      </c>
      <c r="K861" s="106">
        <f>J861-L861-M861-N861-O861-P861</f>
        <v>62</v>
      </c>
      <c r="L861" s="106">
        <v>4</v>
      </c>
      <c r="M861" s="106">
        <v>21</v>
      </c>
      <c r="N861" s="106">
        <v>0</v>
      </c>
      <c r="O861" s="106">
        <v>0</v>
      </c>
      <c r="P861" s="106">
        <v>0</v>
      </c>
      <c r="Q861" s="108">
        <f t="shared" ref="Q861" si="832">(K861+L861)/J861</f>
        <v>0.75862068965517238</v>
      </c>
      <c r="R861" s="109">
        <f t="shared" ref="R861:R874" si="833">N861/J861</f>
        <v>0</v>
      </c>
      <c r="S861" s="109">
        <f t="shared" ref="S861:S874" si="834">P861/J861</f>
        <v>0</v>
      </c>
      <c r="T861" s="109">
        <f t="shared" ref="T861:T874" si="835">O861/J861</f>
        <v>0</v>
      </c>
      <c r="U861" s="110">
        <f t="shared" ref="U861:U874" si="836">S861+R861+Q861+T861</f>
        <v>0.75862068965517238</v>
      </c>
      <c r="V861" s="136"/>
    </row>
    <row r="862" spans="2:25" ht="15.75" hidden="1" x14ac:dyDescent="0.2">
      <c r="B862" s="711">
        <v>46141</v>
      </c>
      <c r="C862" s="105" t="s">
        <v>12</v>
      </c>
      <c r="D862" s="105" t="s">
        <v>13</v>
      </c>
      <c r="E862" s="711">
        <v>46144</v>
      </c>
      <c r="G862" s="853" t="s">
        <v>19</v>
      </c>
      <c r="H862" s="854"/>
      <c r="I862" s="855"/>
      <c r="J862" s="113">
        <f>SUM(J860:J861)</f>
        <v>101</v>
      </c>
      <c r="K862" s="113">
        <f t="shared" ref="K862:P862" si="837">SUM(K860:K861)</f>
        <v>62</v>
      </c>
      <c r="L862" s="113">
        <f t="shared" si="837"/>
        <v>4</v>
      </c>
      <c r="M862" s="113">
        <f t="shared" si="837"/>
        <v>35</v>
      </c>
      <c r="N862" s="114">
        <f t="shared" si="837"/>
        <v>0</v>
      </c>
      <c r="O862" s="113">
        <f t="shared" si="837"/>
        <v>0</v>
      </c>
      <c r="P862" s="114">
        <f t="shared" si="837"/>
        <v>0</v>
      </c>
      <c r="Q862" s="115">
        <f>(K862+L862)/J862</f>
        <v>0.65346534653465349</v>
      </c>
      <c r="R862" s="116">
        <f t="shared" si="833"/>
        <v>0</v>
      </c>
      <c r="S862" s="116">
        <f t="shared" si="834"/>
        <v>0</v>
      </c>
      <c r="T862" s="116">
        <f t="shared" si="835"/>
        <v>0</v>
      </c>
      <c r="U862" s="117">
        <f t="shared" si="836"/>
        <v>0.65346534653465349</v>
      </c>
      <c r="V862" s="127"/>
    </row>
    <row r="863" spans="2:25" ht="15.75" hidden="1" x14ac:dyDescent="0.2">
      <c r="B863" s="711">
        <v>46141</v>
      </c>
      <c r="C863" s="105" t="s">
        <v>12</v>
      </c>
      <c r="D863" s="105" t="s">
        <v>13</v>
      </c>
      <c r="E863" s="711">
        <v>776631</v>
      </c>
      <c r="G863" s="833">
        <v>46146</v>
      </c>
      <c r="H863" s="120" t="s">
        <v>75</v>
      </c>
      <c r="I863" s="120" t="s">
        <v>106</v>
      </c>
      <c r="J863" s="106">
        <v>25</v>
      </c>
      <c r="K863" s="106">
        <f>J863-L863-M863-N863-O863-P863</f>
        <v>25</v>
      </c>
      <c r="L863" s="106">
        <v>0</v>
      </c>
      <c r="M863" s="106">
        <v>0</v>
      </c>
      <c r="N863" s="106">
        <v>0</v>
      </c>
      <c r="O863" s="106">
        <v>0</v>
      </c>
      <c r="P863" s="106">
        <v>0</v>
      </c>
      <c r="Q863" s="108">
        <f>(K863+L863)/J863</f>
        <v>1</v>
      </c>
      <c r="R863" s="109">
        <f t="shared" si="833"/>
        <v>0</v>
      </c>
      <c r="S863" s="109">
        <f t="shared" si="834"/>
        <v>0</v>
      </c>
      <c r="T863" s="109">
        <f t="shared" si="835"/>
        <v>0</v>
      </c>
      <c r="U863" s="110">
        <f t="shared" si="836"/>
        <v>1</v>
      </c>
      <c r="V863" s="136"/>
    </row>
    <row r="864" spans="2:25" ht="15.75" hidden="1" x14ac:dyDescent="0.2">
      <c r="B864" s="711">
        <v>46141</v>
      </c>
      <c r="C864" s="105" t="s">
        <v>12</v>
      </c>
      <c r="D864" s="105" t="s">
        <v>13</v>
      </c>
      <c r="E864" s="711">
        <v>776631</v>
      </c>
      <c r="G864" s="834"/>
      <c r="H864" s="120" t="s">
        <v>84</v>
      </c>
      <c r="I864" s="120" t="s">
        <v>43</v>
      </c>
      <c r="J864" s="106">
        <v>323</v>
      </c>
      <c r="K864" s="106">
        <f>J864-L864-M864-N864-O864-P864</f>
        <v>0</v>
      </c>
      <c r="L864" s="106">
        <v>0</v>
      </c>
      <c r="M864" s="106">
        <v>315</v>
      </c>
      <c r="N864" s="106">
        <v>0</v>
      </c>
      <c r="O864" s="106">
        <v>0</v>
      </c>
      <c r="P864" s="106">
        <v>8</v>
      </c>
      <c r="Q864" s="108">
        <f t="shared" ref="Q864:Q866" si="838">(K864+L864)/J864</f>
        <v>0</v>
      </c>
      <c r="R864" s="109">
        <f t="shared" si="833"/>
        <v>0</v>
      </c>
      <c r="S864" s="109">
        <f t="shared" si="834"/>
        <v>2.4767801857585141E-2</v>
      </c>
      <c r="T864" s="109">
        <f t="shared" si="835"/>
        <v>0</v>
      </c>
      <c r="U864" s="110">
        <f t="shared" si="836"/>
        <v>2.4767801857585141E-2</v>
      </c>
      <c r="V864" s="136"/>
    </row>
    <row r="865" spans="2:25" ht="15.75" hidden="1" x14ac:dyDescent="0.2">
      <c r="B865" s="711">
        <v>46141</v>
      </c>
      <c r="C865" s="105" t="s">
        <v>12</v>
      </c>
      <c r="D865" s="105" t="s">
        <v>13</v>
      </c>
      <c r="E865" s="711">
        <v>776631</v>
      </c>
      <c r="G865" s="834"/>
      <c r="H865" s="120" t="s">
        <v>14</v>
      </c>
      <c r="I865" s="120" t="s">
        <v>106</v>
      </c>
      <c r="J865" s="106">
        <v>161</v>
      </c>
      <c r="K865" s="106">
        <f>J865-L865-M865-N865-O865-P865</f>
        <v>35</v>
      </c>
      <c r="L865" s="106">
        <v>10</v>
      </c>
      <c r="M865" s="106">
        <v>90</v>
      </c>
      <c r="N865" s="106">
        <v>25</v>
      </c>
      <c r="O865" s="106">
        <v>0</v>
      </c>
      <c r="P865" s="106">
        <v>1</v>
      </c>
      <c r="Q865" s="108">
        <f t="shared" ref="Q865" si="839">(K865+L865)/J865</f>
        <v>0.27950310559006208</v>
      </c>
      <c r="R865" s="109">
        <f t="shared" ref="R865" si="840">N865/J865</f>
        <v>0.15527950310559005</v>
      </c>
      <c r="S865" s="109">
        <f t="shared" ref="S865" si="841">P865/J865</f>
        <v>6.2111801242236021E-3</v>
      </c>
      <c r="T865" s="109">
        <f t="shared" ref="T865" si="842">O865/J865</f>
        <v>0</v>
      </c>
      <c r="U865" s="110">
        <f t="shared" ref="U865" si="843">S865+R865+Q865+T865</f>
        <v>0.44099378881987572</v>
      </c>
      <c r="V865" s="136"/>
    </row>
    <row r="866" spans="2:25" ht="15.75" hidden="1" x14ac:dyDescent="0.2">
      <c r="B866" s="711">
        <v>46141</v>
      </c>
      <c r="C866" s="105" t="s">
        <v>12</v>
      </c>
      <c r="D866" s="105" t="s">
        <v>13</v>
      </c>
      <c r="E866" s="711">
        <v>776631</v>
      </c>
      <c r="G866" s="835"/>
      <c r="H866" s="120" t="s">
        <v>17</v>
      </c>
      <c r="I866" s="120" t="s">
        <v>105</v>
      </c>
      <c r="J866" s="106">
        <v>176</v>
      </c>
      <c r="K866" s="106">
        <f>J866-L866-M866-N866-O866-P866</f>
        <v>159</v>
      </c>
      <c r="L866" s="106">
        <v>0</v>
      </c>
      <c r="M866" s="106">
        <v>0</v>
      </c>
      <c r="N866" s="106">
        <v>0</v>
      </c>
      <c r="O866" s="106">
        <v>0</v>
      </c>
      <c r="P866" s="106">
        <v>17</v>
      </c>
      <c r="Q866" s="108">
        <f t="shared" si="838"/>
        <v>0.90340909090909094</v>
      </c>
      <c r="R866" s="109">
        <f t="shared" si="833"/>
        <v>0</v>
      </c>
      <c r="S866" s="109">
        <f t="shared" si="834"/>
        <v>9.6590909090909088E-2</v>
      </c>
      <c r="T866" s="109">
        <f t="shared" si="835"/>
        <v>0</v>
      </c>
      <c r="U866" s="110">
        <f t="shared" si="836"/>
        <v>1</v>
      </c>
      <c r="V866" s="136"/>
    </row>
    <row r="867" spans="2:25" ht="15.75" hidden="1" x14ac:dyDescent="0.2">
      <c r="B867" s="711">
        <v>46141</v>
      </c>
      <c r="C867" s="105" t="s">
        <v>12</v>
      </c>
      <c r="D867" s="105" t="s">
        <v>13</v>
      </c>
      <c r="E867" s="711">
        <v>776631</v>
      </c>
      <c r="G867" s="853" t="s">
        <v>19</v>
      </c>
      <c r="H867" s="854"/>
      <c r="I867" s="855"/>
      <c r="J867" s="113">
        <f t="shared" ref="J867:P867" si="844">SUM(J863:J866)</f>
        <v>685</v>
      </c>
      <c r="K867" s="113">
        <f t="shared" si="844"/>
        <v>219</v>
      </c>
      <c r="L867" s="113">
        <f t="shared" si="844"/>
        <v>10</v>
      </c>
      <c r="M867" s="113">
        <f t="shared" si="844"/>
        <v>405</v>
      </c>
      <c r="N867" s="114">
        <f t="shared" si="844"/>
        <v>25</v>
      </c>
      <c r="O867" s="113">
        <f t="shared" si="844"/>
        <v>0</v>
      </c>
      <c r="P867" s="114">
        <f t="shared" si="844"/>
        <v>26</v>
      </c>
      <c r="Q867" s="115">
        <f>(K867+L867)/J867</f>
        <v>0.33430656934306568</v>
      </c>
      <c r="R867" s="116">
        <f t="shared" si="833"/>
        <v>3.6496350364963501E-2</v>
      </c>
      <c r="S867" s="116">
        <f t="shared" si="834"/>
        <v>3.7956204379562042E-2</v>
      </c>
      <c r="T867" s="116">
        <f t="shared" si="835"/>
        <v>0</v>
      </c>
      <c r="U867" s="117">
        <f t="shared" si="836"/>
        <v>0.40875912408759124</v>
      </c>
      <c r="V867" s="127"/>
    </row>
    <row r="868" spans="2:25" ht="15.75" hidden="1" x14ac:dyDescent="0.2">
      <c r="B868" s="711">
        <v>46140</v>
      </c>
      <c r="C868" s="105" t="s">
        <v>22</v>
      </c>
      <c r="D868" s="105" t="s">
        <v>23</v>
      </c>
      <c r="E868" s="711">
        <v>46140</v>
      </c>
      <c r="G868" s="856">
        <v>46140</v>
      </c>
      <c r="H868" s="120" t="s">
        <v>75</v>
      </c>
      <c r="I868" s="120" t="s">
        <v>112</v>
      </c>
      <c r="J868" s="106">
        <v>217</v>
      </c>
      <c r="K868" s="106">
        <v>126</v>
      </c>
      <c r="L868" s="106">
        <v>66</v>
      </c>
      <c r="M868" s="106">
        <v>3</v>
      </c>
      <c r="N868" s="106">
        <v>0</v>
      </c>
      <c r="O868" s="106">
        <v>19</v>
      </c>
      <c r="P868" s="106">
        <v>3</v>
      </c>
      <c r="Q868" s="108">
        <f t="shared" ref="Q868:Q870" si="845">(K868+L868)/J868</f>
        <v>0.88479262672811065</v>
      </c>
      <c r="R868" s="109">
        <f t="shared" si="833"/>
        <v>0</v>
      </c>
      <c r="S868" s="109">
        <f t="shared" si="834"/>
        <v>1.3824884792626729E-2</v>
      </c>
      <c r="T868" s="109">
        <f t="shared" si="835"/>
        <v>8.755760368663594E-2</v>
      </c>
      <c r="U868" s="110">
        <f t="shared" si="836"/>
        <v>0.98617511520737333</v>
      </c>
      <c r="V868" s="136"/>
    </row>
    <row r="869" spans="2:25" ht="15.75" hidden="1" x14ac:dyDescent="0.2">
      <c r="B869" s="711">
        <v>46140</v>
      </c>
      <c r="C869" s="105" t="s">
        <v>22</v>
      </c>
      <c r="D869" s="105" t="s">
        <v>23</v>
      </c>
      <c r="E869" s="711">
        <v>46140</v>
      </c>
      <c r="G869" s="857"/>
      <c r="H869" s="120" t="s">
        <v>84</v>
      </c>
      <c r="I869" s="120" t="s">
        <v>106</v>
      </c>
      <c r="J869" s="106">
        <v>57</v>
      </c>
      <c r="K869" s="106">
        <v>39</v>
      </c>
      <c r="L869" s="106">
        <v>2</v>
      </c>
      <c r="M869" s="106">
        <v>15</v>
      </c>
      <c r="N869" s="106">
        <v>0</v>
      </c>
      <c r="O869" s="106">
        <v>0</v>
      </c>
      <c r="P869" s="106">
        <v>1</v>
      </c>
      <c r="Q869" s="108">
        <f t="shared" si="845"/>
        <v>0.7192982456140351</v>
      </c>
      <c r="R869" s="109">
        <f t="shared" si="833"/>
        <v>0</v>
      </c>
      <c r="S869" s="109">
        <f t="shared" si="834"/>
        <v>1.7543859649122806E-2</v>
      </c>
      <c r="T869" s="109">
        <f t="shared" si="835"/>
        <v>0</v>
      </c>
      <c r="U869" s="110">
        <f t="shared" si="836"/>
        <v>0.73684210526315796</v>
      </c>
      <c r="V869" s="136"/>
    </row>
    <row r="870" spans="2:25" ht="15.75" hidden="1" x14ac:dyDescent="0.2">
      <c r="B870" s="711">
        <v>46140</v>
      </c>
      <c r="C870" s="105" t="s">
        <v>22</v>
      </c>
      <c r="D870" s="105" t="s">
        <v>23</v>
      </c>
      <c r="E870" s="711">
        <v>46140</v>
      </c>
      <c r="G870" s="857"/>
      <c r="H870" s="120" t="s">
        <v>120</v>
      </c>
      <c r="I870" s="120" t="s">
        <v>106</v>
      </c>
      <c r="J870" s="106">
        <v>63</v>
      </c>
      <c r="K870" s="106">
        <v>43</v>
      </c>
      <c r="L870" s="106">
        <v>2</v>
      </c>
      <c r="M870" s="106">
        <v>17</v>
      </c>
      <c r="N870" s="106">
        <v>0</v>
      </c>
      <c r="O870" s="106">
        <v>0</v>
      </c>
      <c r="P870" s="106">
        <v>1</v>
      </c>
      <c r="Q870" s="108">
        <f t="shared" si="845"/>
        <v>0.7142857142857143</v>
      </c>
      <c r="R870" s="109">
        <f t="shared" si="833"/>
        <v>0</v>
      </c>
      <c r="S870" s="109">
        <f t="shared" si="834"/>
        <v>1.5873015873015872E-2</v>
      </c>
      <c r="T870" s="109">
        <f t="shared" si="835"/>
        <v>0</v>
      </c>
      <c r="U870" s="110">
        <f t="shared" si="836"/>
        <v>0.73015873015873023</v>
      </c>
      <c r="V870" s="136"/>
    </row>
    <row r="871" spans="2:25" ht="15.75" hidden="1" x14ac:dyDescent="0.2">
      <c r="B871" s="711">
        <v>46140</v>
      </c>
      <c r="C871" s="105" t="s">
        <v>22</v>
      </c>
      <c r="D871" s="105" t="s">
        <v>23</v>
      </c>
      <c r="E871" s="711">
        <v>46140</v>
      </c>
      <c r="G871" s="857"/>
      <c r="H871" s="120" t="s">
        <v>118</v>
      </c>
      <c r="I871" s="120" t="s">
        <v>106</v>
      </c>
      <c r="J871" s="106">
        <v>23</v>
      </c>
      <c r="K871" s="106">
        <v>0</v>
      </c>
      <c r="L871" s="106">
        <v>0</v>
      </c>
      <c r="M871" s="106">
        <v>22</v>
      </c>
      <c r="N871" s="106">
        <v>0</v>
      </c>
      <c r="O871" s="106">
        <v>0</v>
      </c>
      <c r="P871" s="106">
        <v>1</v>
      </c>
      <c r="Q871" s="108">
        <f>(K871+L871)/J871</f>
        <v>0</v>
      </c>
      <c r="R871" s="109">
        <f t="shared" si="833"/>
        <v>0</v>
      </c>
      <c r="S871" s="109">
        <f t="shared" si="834"/>
        <v>4.3478260869565216E-2</v>
      </c>
      <c r="T871" s="109">
        <f t="shared" si="835"/>
        <v>0</v>
      </c>
      <c r="U871" s="110">
        <f t="shared" si="836"/>
        <v>4.3478260869565216E-2</v>
      </c>
      <c r="V871" s="136"/>
    </row>
    <row r="872" spans="2:25" ht="15.75" hidden="1" x14ac:dyDescent="0.2">
      <c r="B872" s="711">
        <v>46140</v>
      </c>
      <c r="C872" s="105" t="s">
        <v>22</v>
      </c>
      <c r="D872" s="105" t="s">
        <v>23</v>
      </c>
      <c r="E872" s="711">
        <v>46140</v>
      </c>
      <c r="G872" s="857"/>
      <c r="H872" s="120" t="s">
        <v>14</v>
      </c>
      <c r="I872" s="120" t="s">
        <v>106</v>
      </c>
      <c r="J872" s="106">
        <v>198</v>
      </c>
      <c r="K872" s="106">
        <v>155</v>
      </c>
      <c r="L872" s="106">
        <v>36</v>
      </c>
      <c r="M872" s="106">
        <v>1</v>
      </c>
      <c r="N872" s="106">
        <v>0</v>
      </c>
      <c r="O872" s="106">
        <v>0</v>
      </c>
      <c r="P872" s="106">
        <v>6</v>
      </c>
      <c r="Q872" s="108">
        <f t="shared" ref="Q872:Q873" si="846">(K872+L872)/J872</f>
        <v>0.96464646464646464</v>
      </c>
      <c r="R872" s="109">
        <f t="shared" si="833"/>
        <v>0</v>
      </c>
      <c r="S872" s="109">
        <f t="shared" si="834"/>
        <v>3.0303030303030304E-2</v>
      </c>
      <c r="T872" s="109">
        <f t="shared" si="835"/>
        <v>0</v>
      </c>
      <c r="U872" s="110">
        <f t="shared" si="836"/>
        <v>0.99494949494949492</v>
      </c>
      <c r="V872" s="136"/>
    </row>
    <row r="873" spans="2:25" ht="15.75" hidden="1" x14ac:dyDescent="0.2">
      <c r="B873" s="711">
        <v>46140</v>
      </c>
      <c r="C873" s="105" t="s">
        <v>22</v>
      </c>
      <c r="D873" s="105" t="s">
        <v>23</v>
      </c>
      <c r="E873" s="711">
        <v>46140</v>
      </c>
      <c r="G873" s="858"/>
      <c r="H873" s="120" t="s">
        <v>25</v>
      </c>
      <c r="I873" s="120" t="s">
        <v>105</v>
      </c>
      <c r="J873" s="106">
        <v>245</v>
      </c>
      <c r="K873" s="106">
        <v>28</v>
      </c>
      <c r="L873" s="106">
        <v>17</v>
      </c>
      <c r="M873" s="106">
        <v>174</v>
      </c>
      <c r="N873" s="106">
        <v>0</v>
      </c>
      <c r="O873" s="106">
        <v>15</v>
      </c>
      <c r="P873" s="106">
        <v>13</v>
      </c>
      <c r="Q873" s="108">
        <f t="shared" si="846"/>
        <v>0.18367346938775511</v>
      </c>
      <c r="R873" s="109">
        <f t="shared" si="833"/>
        <v>0</v>
      </c>
      <c r="S873" s="109">
        <f t="shared" si="834"/>
        <v>5.3061224489795916E-2</v>
      </c>
      <c r="T873" s="109">
        <f t="shared" si="835"/>
        <v>6.1224489795918366E-2</v>
      </c>
      <c r="U873" s="110">
        <f t="shared" si="836"/>
        <v>0.29795918367346941</v>
      </c>
      <c r="V873" s="136"/>
    </row>
    <row r="874" spans="2:25" s="97" customFormat="1" ht="16.5" hidden="1" customHeight="1" x14ac:dyDescent="0.2">
      <c r="B874" s="711">
        <v>46140</v>
      </c>
      <c r="C874" s="105" t="s">
        <v>22</v>
      </c>
      <c r="D874" s="105" t="s">
        <v>23</v>
      </c>
      <c r="E874" s="711">
        <v>46140</v>
      </c>
      <c r="F874" s="89"/>
      <c r="G874" s="190"/>
      <c r="H874" s="113" t="s">
        <v>19</v>
      </c>
      <c r="I874" s="113"/>
      <c r="J874" s="113">
        <f t="shared" ref="J874:P874" si="847">SUM(J868:J873)</f>
        <v>803</v>
      </c>
      <c r="K874" s="113">
        <f t="shared" si="847"/>
        <v>391</v>
      </c>
      <c r="L874" s="113">
        <f t="shared" si="847"/>
        <v>123</v>
      </c>
      <c r="M874" s="113">
        <f t="shared" si="847"/>
        <v>232</v>
      </c>
      <c r="N874" s="113">
        <f t="shared" si="847"/>
        <v>0</v>
      </c>
      <c r="O874" s="113">
        <f t="shared" si="847"/>
        <v>34</v>
      </c>
      <c r="P874" s="113">
        <f t="shared" si="847"/>
        <v>25</v>
      </c>
      <c r="Q874" s="115">
        <f>(K874+L874)/J874</f>
        <v>0.64009962640099627</v>
      </c>
      <c r="R874" s="116">
        <f t="shared" si="833"/>
        <v>0</v>
      </c>
      <c r="S874" s="116">
        <f t="shared" si="834"/>
        <v>3.1133250311332503E-2</v>
      </c>
      <c r="T874" s="116">
        <f t="shared" si="835"/>
        <v>4.2341220423412207E-2</v>
      </c>
      <c r="U874" s="117">
        <f t="shared" si="836"/>
        <v>0.71357409713574094</v>
      </c>
      <c r="V874" s="127"/>
      <c r="W874" s="88"/>
      <c r="X874" s="88"/>
      <c r="Y874" s="118"/>
    </row>
    <row r="875" spans="2:25" ht="15.75" hidden="1" x14ac:dyDescent="0.2">
      <c r="B875" s="711">
        <v>46145</v>
      </c>
      <c r="C875" s="105" t="s">
        <v>43</v>
      </c>
      <c r="D875" s="105" t="s">
        <v>23</v>
      </c>
      <c r="E875" s="711">
        <v>776631</v>
      </c>
      <c r="G875" s="833">
        <v>46146</v>
      </c>
      <c r="H875" s="120" t="s">
        <v>75</v>
      </c>
      <c r="I875" s="120" t="s">
        <v>106</v>
      </c>
      <c r="J875" s="106">
        <v>25</v>
      </c>
      <c r="K875" s="106">
        <f>J875-L875-M875-N875-O875-P875</f>
        <v>25</v>
      </c>
      <c r="L875" s="106">
        <v>0</v>
      </c>
      <c r="M875" s="106">
        <v>0</v>
      </c>
      <c r="N875" s="106">
        <v>0</v>
      </c>
      <c r="O875" s="106">
        <v>0</v>
      </c>
      <c r="P875" s="106">
        <v>0</v>
      </c>
      <c r="Q875" s="108">
        <f>(K875+L875)/J875</f>
        <v>1</v>
      </c>
      <c r="R875" s="109">
        <f t="shared" ref="R875:R879" si="848">N875/J875</f>
        <v>0</v>
      </c>
      <c r="S875" s="109">
        <f t="shared" ref="S875:S879" si="849">P875/J875</f>
        <v>0</v>
      </c>
      <c r="T875" s="109">
        <f t="shared" ref="T875:T879" si="850">O875/J875</f>
        <v>0</v>
      </c>
      <c r="U875" s="110">
        <f t="shared" ref="U875:U879" si="851">S875+R875+Q875+T875</f>
        <v>1</v>
      </c>
      <c r="V875" s="136"/>
    </row>
    <row r="876" spans="2:25" ht="15.75" hidden="1" x14ac:dyDescent="0.2">
      <c r="B876" s="711">
        <v>46145</v>
      </c>
      <c r="C876" s="105" t="s">
        <v>43</v>
      </c>
      <c r="D876" s="105" t="s">
        <v>23</v>
      </c>
      <c r="E876" s="711">
        <v>776631</v>
      </c>
      <c r="G876" s="834"/>
      <c r="H876" s="120" t="s">
        <v>84</v>
      </c>
      <c r="I876" s="120" t="s">
        <v>43</v>
      </c>
      <c r="J876" s="106">
        <v>323</v>
      </c>
      <c r="K876" s="106">
        <v>0</v>
      </c>
      <c r="L876" s="106">
        <v>0</v>
      </c>
      <c r="M876" s="106">
        <v>295</v>
      </c>
      <c r="N876" s="106">
        <v>18</v>
      </c>
      <c r="O876" s="106">
        <v>0</v>
      </c>
      <c r="P876" s="106">
        <v>10</v>
      </c>
      <c r="Q876" s="108">
        <f t="shared" ref="Q876:Q878" si="852">(K876+L876)/J876</f>
        <v>0</v>
      </c>
      <c r="R876" s="109">
        <f t="shared" si="848"/>
        <v>5.5727554179566562E-2</v>
      </c>
      <c r="S876" s="109">
        <f t="shared" si="849"/>
        <v>3.0959752321981424E-2</v>
      </c>
      <c r="T876" s="109">
        <f t="shared" si="850"/>
        <v>0</v>
      </c>
      <c r="U876" s="110">
        <f t="shared" si="851"/>
        <v>8.6687306501547989E-2</v>
      </c>
      <c r="V876" s="136"/>
    </row>
    <row r="877" spans="2:25" ht="15.75" hidden="1" x14ac:dyDescent="0.2">
      <c r="B877" s="711">
        <v>46145</v>
      </c>
      <c r="C877" s="105" t="s">
        <v>43</v>
      </c>
      <c r="D877" s="105" t="s">
        <v>23</v>
      </c>
      <c r="E877" s="711">
        <v>776631</v>
      </c>
      <c r="G877" s="834"/>
      <c r="H877" s="120" t="s">
        <v>14</v>
      </c>
      <c r="I877" s="120" t="s">
        <v>106</v>
      </c>
      <c r="J877" s="106">
        <v>161</v>
      </c>
      <c r="K877" s="106">
        <f>161-118</f>
        <v>43</v>
      </c>
      <c r="L877" s="106">
        <v>28</v>
      </c>
      <c r="M877" s="106">
        <v>16</v>
      </c>
      <c r="N877" s="106">
        <v>73</v>
      </c>
      <c r="O877" s="106">
        <v>0</v>
      </c>
      <c r="P877" s="106">
        <v>1</v>
      </c>
      <c r="Q877" s="108">
        <f t="shared" si="852"/>
        <v>0.44099378881987578</v>
      </c>
      <c r="R877" s="109">
        <f t="shared" si="848"/>
        <v>0.453416149068323</v>
      </c>
      <c r="S877" s="109">
        <f t="shared" si="849"/>
        <v>6.2111801242236021E-3</v>
      </c>
      <c r="T877" s="109">
        <f t="shared" si="850"/>
        <v>0</v>
      </c>
      <c r="U877" s="110">
        <f t="shared" si="851"/>
        <v>0.90062111801242239</v>
      </c>
      <c r="V877" s="136"/>
    </row>
    <row r="878" spans="2:25" ht="15.75" hidden="1" x14ac:dyDescent="0.2">
      <c r="B878" s="711">
        <v>46145</v>
      </c>
      <c r="C878" s="105" t="s">
        <v>43</v>
      </c>
      <c r="D878" s="105" t="s">
        <v>23</v>
      </c>
      <c r="E878" s="711">
        <v>776631</v>
      </c>
      <c r="G878" s="835"/>
      <c r="H878" s="120" t="s">
        <v>17</v>
      </c>
      <c r="I878" s="120" t="s">
        <v>105</v>
      </c>
      <c r="J878" s="106">
        <v>176</v>
      </c>
      <c r="K878" s="106">
        <v>0</v>
      </c>
      <c r="L878" s="106">
        <v>0</v>
      </c>
      <c r="M878" s="106">
        <v>175</v>
      </c>
      <c r="N878" s="106">
        <v>0</v>
      </c>
      <c r="O878" s="106">
        <v>0</v>
      </c>
      <c r="P878" s="106">
        <v>1</v>
      </c>
      <c r="Q878" s="108">
        <f t="shared" si="852"/>
        <v>0</v>
      </c>
      <c r="R878" s="109">
        <f t="shared" si="848"/>
        <v>0</v>
      </c>
      <c r="S878" s="109">
        <f t="shared" si="849"/>
        <v>5.681818181818182E-3</v>
      </c>
      <c r="T878" s="109">
        <f t="shared" si="850"/>
        <v>0</v>
      </c>
      <c r="U878" s="110">
        <f t="shared" si="851"/>
        <v>5.681818181818182E-3</v>
      </c>
      <c r="V878" s="136"/>
    </row>
    <row r="879" spans="2:25" ht="15.75" hidden="1" x14ac:dyDescent="0.2">
      <c r="B879" s="711">
        <v>46145</v>
      </c>
      <c r="C879" s="105" t="s">
        <v>43</v>
      </c>
      <c r="D879" s="105" t="s">
        <v>23</v>
      </c>
      <c r="E879" s="711">
        <v>776631</v>
      </c>
      <c r="G879" s="853" t="s">
        <v>19</v>
      </c>
      <c r="H879" s="854"/>
      <c r="I879" s="855"/>
      <c r="J879" s="113">
        <f t="shared" ref="J879:P879" si="853">SUM(J875:J878)</f>
        <v>685</v>
      </c>
      <c r="K879" s="113">
        <f t="shared" si="853"/>
        <v>68</v>
      </c>
      <c r="L879" s="113">
        <f t="shared" si="853"/>
        <v>28</v>
      </c>
      <c r="M879" s="113">
        <f t="shared" si="853"/>
        <v>486</v>
      </c>
      <c r="N879" s="114">
        <f t="shared" si="853"/>
        <v>91</v>
      </c>
      <c r="O879" s="113">
        <f t="shared" si="853"/>
        <v>0</v>
      </c>
      <c r="P879" s="114">
        <f t="shared" si="853"/>
        <v>12</v>
      </c>
      <c r="Q879" s="115">
        <f>(K879+L879)/J879</f>
        <v>0.14014598540145987</v>
      </c>
      <c r="R879" s="116">
        <f t="shared" si="848"/>
        <v>0.13284671532846715</v>
      </c>
      <c r="S879" s="116">
        <f t="shared" si="849"/>
        <v>1.7518248175182483E-2</v>
      </c>
      <c r="T879" s="116">
        <f t="shared" si="850"/>
        <v>0</v>
      </c>
      <c r="U879" s="117">
        <f t="shared" si="851"/>
        <v>0.29051094890510953</v>
      </c>
      <c r="V879" s="127"/>
    </row>
    <row r="880" spans="2:25" ht="15.75" hidden="1" x14ac:dyDescent="0.2">
      <c r="B880" s="711">
        <v>46146</v>
      </c>
      <c r="C880" s="105" t="s">
        <v>22</v>
      </c>
      <c r="D880" s="105" t="s">
        <v>23</v>
      </c>
      <c r="E880" s="711">
        <v>776631</v>
      </c>
      <c r="G880" s="833">
        <v>46146</v>
      </c>
      <c r="H880" s="120" t="s">
        <v>75</v>
      </c>
      <c r="I880" s="120" t="s">
        <v>106</v>
      </c>
      <c r="J880" s="106">
        <v>25</v>
      </c>
      <c r="K880" s="106">
        <f>J880-L880-M880-N880-O880-P880</f>
        <v>25</v>
      </c>
      <c r="L880" s="106">
        <v>0</v>
      </c>
      <c r="M880" s="106">
        <v>0</v>
      </c>
      <c r="N880" s="106">
        <v>0</v>
      </c>
      <c r="O880" s="106">
        <v>0</v>
      </c>
      <c r="P880" s="106">
        <v>0</v>
      </c>
      <c r="Q880" s="108">
        <f>(K880+L880)/J880</f>
        <v>1</v>
      </c>
      <c r="R880" s="109">
        <f t="shared" ref="R880:R884" si="854">N880/J880</f>
        <v>0</v>
      </c>
      <c r="S880" s="109">
        <f t="shared" ref="S880:S884" si="855">P880/J880</f>
        <v>0</v>
      </c>
      <c r="T880" s="109">
        <f t="shared" ref="T880:T884" si="856">O880/J880</f>
        <v>0</v>
      </c>
      <c r="U880" s="110">
        <f t="shared" ref="U880:U884" si="857">S880+R880+Q880+T880</f>
        <v>1</v>
      </c>
      <c r="V880" s="136"/>
    </row>
    <row r="881" spans="2:22" ht="15.75" hidden="1" x14ac:dyDescent="0.2">
      <c r="B881" s="711">
        <v>46146</v>
      </c>
      <c r="C881" s="105" t="s">
        <v>22</v>
      </c>
      <c r="D881" s="105" t="s">
        <v>23</v>
      </c>
      <c r="E881" s="711">
        <v>776631</v>
      </c>
      <c r="G881" s="834"/>
      <c r="H881" s="120" t="s">
        <v>84</v>
      </c>
      <c r="I881" s="120" t="s">
        <v>43</v>
      </c>
      <c r="J881" s="106">
        <v>323</v>
      </c>
      <c r="K881" s="106">
        <f>323-215</f>
        <v>108</v>
      </c>
      <c r="L881" s="106">
        <v>59</v>
      </c>
      <c r="M881" s="106">
        <v>137</v>
      </c>
      <c r="N881" s="106">
        <v>0</v>
      </c>
      <c r="O881" s="106">
        <v>10</v>
      </c>
      <c r="P881" s="106">
        <v>9</v>
      </c>
      <c r="Q881" s="108">
        <f t="shared" ref="Q881:Q883" si="858">(K881+L881)/J881</f>
        <v>0.51702786377708976</v>
      </c>
      <c r="R881" s="109">
        <f t="shared" si="854"/>
        <v>0</v>
      </c>
      <c r="S881" s="109">
        <f t="shared" si="855"/>
        <v>2.7863777089783281E-2</v>
      </c>
      <c r="T881" s="109">
        <f t="shared" si="856"/>
        <v>3.0959752321981424E-2</v>
      </c>
      <c r="U881" s="110">
        <f t="shared" si="857"/>
        <v>0.57585139318885448</v>
      </c>
      <c r="V881" s="136"/>
    </row>
    <row r="882" spans="2:22" ht="15.75" hidden="1" x14ac:dyDescent="0.2">
      <c r="B882" s="711">
        <v>46146</v>
      </c>
      <c r="C882" s="105" t="s">
        <v>22</v>
      </c>
      <c r="D882" s="105" t="s">
        <v>23</v>
      </c>
      <c r="E882" s="711">
        <v>776631</v>
      </c>
      <c r="G882" s="834"/>
      <c r="H882" s="120" t="s">
        <v>14</v>
      </c>
      <c r="I882" s="120" t="s">
        <v>106</v>
      </c>
      <c r="J882" s="106">
        <v>161</v>
      </c>
      <c r="K882" s="106">
        <f>161-47</f>
        <v>114</v>
      </c>
      <c r="L882" s="106">
        <v>31</v>
      </c>
      <c r="M882" s="106">
        <v>0</v>
      </c>
      <c r="N882" s="106">
        <v>0</v>
      </c>
      <c r="O882" s="106">
        <v>13</v>
      </c>
      <c r="P882" s="106">
        <v>3</v>
      </c>
      <c r="Q882" s="108">
        <f t="shared" si="858"/>
        <v>0.90062111801242239</v>
      </c>
      <c r="R882" s="109">
        <f t="shared" si="854"/>
        <v>0</v>
      </c>
      <c r="S882" s="109">
        <f t="shared" si="855"/>
        <v>1.8633540372670808E-2</v>
      </c>
      <c r="T882" s="109">
        <f t="shared" si="856"/>
        <v>8.0745341614906832E-2</v>
      </c>
      <c r="U882" s="110">
        <f t="shared" si="857"/>
        <v>1</v>
      </c>
      <c r="V882" s="136"/>
    </row>
    <row r="883" spans="2:22" ht="15.75" hidden="1" x14ac:dyDescent="0.2">
      <c r="B883" s="711">
        <v>46146</v>
      </c>
      <c r="C883" s="105" t="s">
        <v>22</v>
      </c>
      <c r="D883" s="105" t="s">
        <v>23</v>
      </c>
      <c r="E883" s="711">
        <v>776631</v>
      </c>
      <c r="G883" s="835"/>
      <c r="H883" s="120" t="s">
        <v>17</v>
      </c>
      <c r="I883" s="120" t="s">
        <v>105</v>
      </c>
      <c r="J883" s="106">
        <v>176</v>
      </c>
      <c r="K883" s="106">
        <f>176-162</f>
        <v>14</v>
      </c>
      <c r="L883" s="106">
        <v>0</v>
      </c>
      <c r="M883" s="106">
        <f>161-23</f>
        <v>138</v>
      </c>
      <c r="N883" s="106">
        <v>0</v>
      </c>
      <c r="O883" s="106">
        <v>23</v>
      </c>
      <c r="P883" s="106">
        <v>1</v>
      </c>
      <c r="Q883" s="108">
        <f t="shared" si="858"/>
        <v>7.9545454545454544E-2</v>
      </c>
      <c r="R883" s="109">
        <f t="shared" si="854"/>
        <v>0</v>
      </c>
      <c r="S883" s="109">
        <f t="shared" si="855"/>
        <v>5.681818181818182E-3</v>
      </c>
      <c r="T883" s="109">
        <f t="shared" si="856"/>
        <v>0.13068181818181818</v>
      </c>
      <c r="U883" s="110">
        <f t="shared" si="857"/>
        <v>0.21590909090909088</v>
      </c>
      <c r="V883" s="136"/>
    </row>
    <row r="884" spans="2:22" ht="15.75" hidden="1" x14ac:dyDescent="0.2">
      <c r="B884" s="711">
        <v>46146</v>
      </c>
      <c r="C884" s="105" t="s">
        <v>22</v>
      </c>
      <c r="D884" s="105" t="s">
        <v>23</v>
      </c>
      <c r="E884" s="711">
        <v>776631</v>
      </c>
      <c r="G884" s="853" t="s">
        <v>19</v>
      </c>
      <c r="H884" s="854"/>
      <c r="I884" s="855"/>
      <c r="J884" s="113">
        <f>SUM(J880:J883)</f>
        <v>685</v>
      </c>
      <c r="K884" s="113">
        <f t="shared" ref="K884:P884" si="859">SUM(K880:K883)</f>
        <v>261</v>
      </c>
      <c r="L884" s="113">
        <f t="shared" si="859"/>
        <v>90</v>
      </c>
      <c r="M884" s="113">
        <f t="shared" si="859"/>
        <v>275</v>
      </c>
      <c r="N884" s="114">
        <f t="shared" si="859"/>
        <v>0</v>
      </c>
      <c r="O884" s="113">
        <f t="shared" si="859"/>
        <v>46</v>
      </c>
      <c r="P884" s="114">
        <f t="shared" si="859"/>
        <v>13</v>
      </c>
      <c r="Q884" s="115">
        <f>(K884+L884)/J884</f>
        <v>0.51240875912408756</v>
      </c>
      <c r="R884" s="116">
        <f t="shared" si="854"/>
        <v>0</v>
      </c>
      <c r="S884" s="116">
        <f t="shared" si="855"/>
        <v>1.8978102189781021E-2</v>
      </c>
      <c r="T884" s="116">
        <f t="shared" si="856"/>
        <v>6.7153284671532851E-2</v>
      </c>
      <c r="U884" s="117">
        <f t="shared" si="857"/>
        <v>0.5985401459854014</v>
      </c>
      <c r="V884" s="127"/>
    </row>
    <row r="885" spans="2:22" ht="15.75" hidden="1" x14ac:dyDescent="0.2">
      <c r="B885" s="711">
        <v>46146</v>
      </c>
      <c r="C885" s="105" t="s">
        <v>22</v>
      </c>
      <c r="D885" s="105" t="s">
        <v>13</v>
      </c>
      <c r="E885" s="711">
        <v>776631</v>
      </c>
      <c r="G885" s="833">
        <v>46146</v>
      </c>
      <c r="H885" s="120" t="s">
        <v>75</v>
      </c>
      <c r="I885" s="120" t="s">
        <v>106</v>
      </c>
      <c r="J885" s="106">
        <v>25</v>
      </c>
      <c r="K885" s="106">
        <f>J885-L885-M885-N885-O885-P885</f>
        <v>2</v>
      </c>
      <c r="L885" s="106">
        <v>1</v>
      </c>
      <c r="M885" s="106">
        <v>2</v>
      </c>
      <c r="N885" s="106">
        <v>0</v>
      </c>
      <c r="O885" s="106">
        <v>18</v>
      </c>
      <c r="P885" s="106">
        <v>2</v>
      </c>
      <c r="Q885" s="108">
        <f>(K885+L885)/J885</f>
        <v>0.12</v>
      </c>
      <c r="R885" s="109">
        <f t="shared" ref="R885:R888" si="860">N885/J885</f>
        <v>0</v>
      </c>
      <c r="S885" s="109">
        <f t="shared" ref="S885:S888" si="861">P885/J885</f>
        <v>0.08</v>
      </c>
      <c r="T885" s="109">
        <f t="shared" ref="T885:T888" si="862">O885/J885</f>
        <v>0.72</v>
      </c>
      <c r="U885" s="110">
        <f t="shared" ref="U885:U888" si="863">S885+R885+Q885+T885</f>
        <v>0.91999999999999993</v>
      </c>
      <c r="V885" s="136" t="s">
        <v>21</v>
      </c>
    </row>
    <row r="886" spans="2:22" ht="15.75" hidden="1" x14ac:dyDescent="0.2">
      <c r="B886" s="711">
        <v>46146</v>
      </c>
      <c r="C886" s="105" t="s">
        <v>22</v>
      </c>
      <c r="D886" s="105" t="s">
        <v>13</v>
      </c>
      <c r="E886" s="711">
        <v>776631</v>
      </c>
      <c r="G886" s="834"/>
      <c r="H886" s="120" t="s">
        <v>84</v>
      </c>
      <c r="I886" s="120" t="s">
        <v>43</v>
      </c>
      <c r="J886" s="106">
        <v>156</v>
      </c>
      <c r="K886" s="106">
        <f>J886-L886-M886-N886-O886-P886</f>
        <v>3</v>
      </c>
      <c r="L886" s="106">
        <v>3</v>
      </c>
      <c r="M886" s="106">
        <v>118</v>
      </c>
      <c r="N886" s="106">
        <v>23</v>
      </c>
      <c r="O886" s="106">
        <v>0</v>
      </c>
      <c r="P886" s="106">
        <v>9</v>
      </c>
      <c r="Q886" s="108">
        <f t="shared" ref="Q886:Q887" si="864">(K886+L886)/J886</f>
        <v>3.8461538461538464E-2</v>
      </c>
      <c r="R886" s="109">
        <f t="shared" si="860"/>
        <v>0.14743589743589744</v>
      </c>
      <c r="S886" s="109">
        <f t="shared" si="861"/>
        <v>5.7692307692307696E-2</v>
      </c>
      <c r="T886" s="109">
        <f t="shared" si="862"/>
        <v>0</v>
      </c>
      <c r="U886" s="110">
        <f t="shared" si="863"/>
        <v>0.24358974358974358</v>
      </c>
      <c r="V886" s="136"/>
    </row>
    <row r="887" spans="2:22" ht="15.75" hidden="1" x14ac:dyDescent="0.2">
      <c r="B887" s="711">
        <v>46146</v>
      </c>
      <c r="C887" s="105" t="s">
        <v>22</v>
      </c>
      <c r="D887" s="105" t="s">
        <v>13</v>
      </c>
      <c r="E887" s="711">
        <v>776631</v>
      </c>
      <c r="G887" s="835"/>
      <c r="H887" s="120" t="s">
        <v>17</v>
      </c>
      <c r="I887" s="120" t="s">
        <v>105</v>
      </c>
      <c r="J887" s="106">
        <v>162</v>
      </c>
      <c r="K887" s="106">
        <f t="shared" ref="K887" si="865">J887-L887-M887-N887-O887-P887</f>
        <v>92</v>
      </c>
      <c r="L887" s="106">
        <v>34</v>
      </c>
      <c r="M887" s="106">
        <v>25</v>
      </c>
      <c r="N887" s="106">
        <v>0</v>
      </c>
      <c r="O887" s="106">
        <v>10</v>
      </c>
      <c r="P887" s="106">
        <v>1</v>
      </c>
      <c r="Q887" s="108">
        <f t="shared" si="864"/>
        <v>0.77777777777777779</v>
      </c>
      <c r="R887" s="109">
        <f t="shared" si="860"/>
        <v>0</v>
      </c>
      <c r="S887" s="109">
        <f t="shared" si="861"/>
        <v>6.1728395061728392E-3</v>
      </c>
      <c r="T887" s="109">
        <f t="shared" si="862"/>
        <v>6.1728395061728392E-2</v>
      </c>
      <c r="U887" s="110">
        <f t="shared" si="863"/>
        <v>0.84567901234567899</v>
      </c>
      <c r="V887" s="136" t="s">
        <v>21</v>
      </c>
    </row>
    <row r="888" spans="2:22" ht="15.75" hidden="1" x14ac:dyDescent="0.2">
      <c r="B888" s="711">
        <v>46146</v>
      </c>
      <c r="C888" s="105" t="s">
        <v>22</v>
      </c>
      <c r="D888" s="105" t="s">
        <v>13</v>
      </c>
      <c r="E888" s="711">
        <v>776631</v>
      </c>
      <c r="G888" s="853" t="s">
        <v>19</v>
      </c>
      <c r="H888" s="854"/>
      <c r="I888" s="855"/>
      <c r="J888" s="113">
        <f t="shared" ref="J888:P888" si="866">SUM(J885:J887)</f>
        <v>343</v>
      </c>
      <c r="K888" s="113">
        <f t="shared" si="866"/>
        <v>97</v>
      </c>
      <c r="L888" s="113">
        <f t="shared" si="866"/>
        <v>38</v>
      </c>
      <c r="M888" s="113">
        <f t="shared" si="866"/>
        <v>145</v>
      </c>
      <c r="N888" s="114">
        <f t="shared" si="866"/>
        <v>23</v>
      </c>
      <c r="O888" s="113">
        <f t="shared" si="866"/>
        <v>28</v>
      </c>
      <c r="P888" s="114">
        <f t="shared" si="866"/>
        <v>12</v>
      </c>
      <c r="Q888" s="115">
        <f>(K888+L888)/J888</f>
        <v>0.39358600583090381</v>
      </c>
      <c r="R888" s="116">
        <f t="shared" si="860"/>
        <v>6.7055393586005832E-2</v>
      </c>
      <c r="S888" s="116">
        <f t="shared" si="861"/>
        <v>3.4985422740524783E-2</v>
      </c>
      <c r="T888" s="116">
        <f t="shared" si="862"/>
        <v>8.1632653061224483E-2</v>
      </c>
      <c r="U888" s="117">
        <f t="shared" si="863"/>
        <v>0.57725947521865895</v>
      </c>
      <c r="V888" s="127"/>
    </row>
    <row r="889" spans="2:22" ht="15.75" hidden="1" x14ac:dyDescent="0.2">
      <c r="B889" s="711">
        <v>46146</v>
      </c>
      <c r="C889" s="105" t="s">
        <v>22</v>
      </c>
      <c r="D889" s="105" t="s">
        <v>13</v>
      </c>
      <c r="E889" s="711">
        <v>776632</v>
      </c>
      <c r="G889" s="833">
        <v>776632</v>
      </c>
      <c r="H889" s="120" t="s">
        <v>75</v>
      </c>
      <c r="I889" s="120" t="s">
        <v>106</v>
      </c>
      <c r="J889" s="106">
        <v>179</v>
      </c>
      <c r="K889" s="106">
        <f>J889-L889-M889-N889-O889-P889</f>
        <v>20</v>
      </c>
      <c r="L889" s="106">
        <v>2</v>
      </c>
      <c r="M889" s="106">
        <v>149</v>
      </c>
      <c r="N889" s="106">
        <v>0</v>
      </c>
      <c r="O889" s="106">
        <v>0</v>
      </c>
      <c r="P889" s="106">
        <v>8</v>
      </c>
      <c r="Q889" s="108">
        <f>(K889+L889)/J889</f>
        <v>0.12290502793296089</v>
      </c>
      <c r="R889" s="109">
        <f t="shared" ref="R889:R902" si="867">N889/J889</f>
        <v>0</v>
      </c>
      <c r="S889" s="109">
        <f t="shared" ref="S889:S902" si="868">P889/J889</f>
        <v>4.4692737430167599E-2</v>
      </c>
      <c r="T889" s="109">
        <f t="shared" ref="T889:T902" si="869">O889/J889</f>
        <v>0</v>
      </c>
      <c r="U889" s="110">
        <f t="shared" ref="U889:U902" si="870">S889+R889+Q889+T889</f>
        <v>0.16759776536312848</v>
      </c>
      <c r="V889" s="136"/>
    </row>
    <row r="890" spans="2:22" ht="15.75" hidden="1" x14ac:dyDescent="0.2">
      <c r="B890" s="711">
        <v>46146</v>
      </c>
      <c r="C890" s="105" t="s">
        <v>22</v>
      </c>
      <c r="D890" s="105" t="s">
        <v>13</v>
      </c>
      <c r="E890" s="711">
        <v>776632</v>
      </c>
      <c r="G890" s="834"/>
      <c r="H890" s="120" t="s">
        <v>14</v>
      </c>
      <c r="I890" s="120" t="s">
        <v>106</v>
      </c>
      <c r="J890" s="106">
        <v>222</v>
      </c>
      <c r="K890" s="106">
        <f>J890-L890-M890-N890-O890-P890</f>
        <v>0</v>
      </c>
      <c r="L890" s="106">
        <v>0</v>
      </c>
      <c r="M890" s="106">
        <v>214</v>
      </c>
      <c r="N890" s="106">
        <v>0</v>
      </c>
      <c r="O890" s="106">
        <v>0</v>
      </c>
      <c r="P890" s="106">
        <v>8</v>
      </c>
      <c r="Q890" s="108">
        <f t="shared" ref="Q890:Q892" si="871">(K890+L890)/J890</f>
        <v>0</v>
      </c>
      <c r="R890" s="109">
        <f t="shared" ref="R890:R892" si="872">N890/J890</f>
        <v>0</v>
      </c>
      <c r="S890" s="109">
        <f t="shared" ref="S890:S892" si="873">P890/J890</f>
        <v>3.6036036036036036E-2</v>
      </c>
      <c r="T890" s="109">
        <f t="shared" ref="T890:T892" si="874">O890/J890</f>
        <v>0</v>
      </c>
      <c r="U890" s="110">
        <f t="shared" ref="U890:U892" si="875">S890+R890+Q890+T890</f>
        <v>3.6036036036036036E-2</v>
      </c>
      <c r="V890" s="136"/>
    </row>
    <row r="891" spans="2:22" ht="15.75" hidden="1" x14ac:dyDescent="0.2">
      <c r="B891" s="711">
        <v>46146</v>
      </c>
      <c r="C891" s="105" t="s">
        <v>22</v>
      </c>
      <c r="D891" s="105" t="s">
        <v>13</v>
      </c>
      <c r="E891" s="711">
        <v>776632</v>
      </c>
      <c r="G891" s="834"/>
      <c r="H891" s="120" t="s">
        <v>118</v>
      </c>
      <c r="I891" s="120" t="s">
        <v>43</v>
      </c>
      <c r="J891" s="106">
        <v>20</v>
      </c>
      <c r="K891" s="106">
        <f t="shared" ref="K891:K892" si="876">J891-L891-M891-N891-O891-P891</f>
        <v>0</v>
      </c>
      <c r="L891" s="106">
        <v>0</v>
      </c>
      <c r="M891" s="106">
        <v>18</v>
      </c>
      <c r="N891" s="106">
        <v>0</v>
      </c>
      <c r="O891" s="106">
        <v>0</v>
      </c>
      <c r="P891" s="106">
        <v>2</v>
      </c>
      <c r="Q891" s="108">
        <f t="shared" si="871"/>
        <v>0</v>
      </c>
      <c r="R891" s="109">
        <f t="shared" si="872"/>
        <v>0</v>
      </c>
      <c r="S891" s="109">
        <f t="shared" si="873"/>
        <v>0.1</v>
      </c>
      <c r="T891" s="109">
        <f t="shared" si="874"/>
        <v>0</v>
      </c>
      <c r="U891" s="110">
        <f t="shared" si="875"/>
        <v>0.1</v>
      </c>
      <c r="V891" s="136"/>
    </row>
    <row r="892" spans="2:22" ht="15.75" hidden="1" x14ac:dyDescent="0.2">
      <c r="B892" s="711">
        <v>46146</v>
      </c>
      <c r="C892" s="105" t="s">
        <v>22</v>
      </c>
      <c r="D892" s="105" t="s">
        <v>13</v>
      </c>
      <c r="E892" s="711">
        <v>776632</v>
      </c>
      <c r="G892" s="834"/>
      <c r="H892" s="120" t="s">
        <v>84</v>
      </c>
      <c r="I892" s="120" t="s">
        <v>43</v>
      </c>
      <c r="J892" s="106">
        <v>20</v>
      </c>
      <c r="K892" s="106">
        <f t="shared" si="876"/>
        <v>0</v>
      </c>
      <c r="L892" s="106">
        <v>0</v>
      </c>
      <c r="M892" s="106">
        <v>20</v>
      </c>
      <c r="N892" s="106">
        <v>0</v>
      </c>
      <c r="O892" s="106">
        <v>0</v>
      </c>
      <c r="P892" s="106">
        <v>0</v>
      </c>
      <c r="Q892" s="108">
        <f t="shared" si="871"/>
        <v>0</v>
      </c>
      <c r="R892" s="109">
        <f t="shared" si="872"/>
        <v>0</v>
      </c>
      <c r="S892" s="109">
        <f t="shared" si="873"/>
        <v>0</v>
      </c>
      <c r="T892" s="109">
        <f t="shared" si="874"/>
        <v>0</v>
      </c>
      <c r="U892" s="110">
        <f t="shared" si="875"/>
        <v>0</v>
      </c>
      <c r="V892" s="136"/>
    </row>
    <row r="893" spans="2:22" ht="15.75" hidden="1" x14ac:dyDescent="0.2">
      <c r="B893" s="711">
        <v>46146</v>
      </c>
      <c r="C893" s="105" t="s">
        <v>22</v>
      </c>
      <c r="D893" s="105" t="s">
        <v>13</v>
      </c>
      <c r="E893" s="711">
        <v>776632</v>
      </c>
      <c r="G893" s="835"/>
      <c r="H893" s="120" t="s">
        <v>17</v>
      </c>
      <c r="I893" s="120" t="s">
        <v>105</v>
      </c>
      <c r="J893" s="106">
        <v>203</v>
      </c>
      <c r="K893" s="106">
        <f t="shared" ref="K893" si="877">J893-L893-M893-N893-O893-P893</f>
        <v>0</v>
      </c>
      <c r="L893" s="106">
        <v>0</v>
      </c>
      <c r="M893" s="106">
        <v>203</v>
      </c>
      <c r="N893" s="106">
        <v>0</v>
      </c>
      <c r="O893" s="106">
        <v>0</v>
      </c>
      <c r="P893" s="106">
        <v>0</v>
      </c>
      <c r="Q893" s="108">
        <f t="shared" ref="Q893" si="878">(K893+L893)/J893</f>
        <v>0</v>
      </c>
      <c r="R893" s="109">
        <f t="shared" si="867"/>
        <v>0</v>
      </c>
      <c r="S893" s="109">
        <f t="shared" si="868"/>
        <v>0</v>
      </c>
      <c r="T893" s="109">
        <f t="shared" si="869"/>
        <v>0</v>
      </c>
      <c r="U893" s="110">
        <f t="shared" si="870"/>
        <v>0</v>
      </c>
      <c r="V893" s="136"/>
    </row>
    <row r="894" spans="2:22" ht="15.75" hidden="1" x14ac:dyDescent="0.2">
      <c r="B894" s="711">
        <v>46146</v>
      </c>
      <c r="C894" s="105" t="s">
        <v>22</v>
      </c>
      <c r="D894" s="105" t="s">
        <v>13</v>
      </c>
      <c r="E894" s="711">
        <v>776632</v>
      </c>
      <c r="G894" s="853" t="s">
        <v>19</v>
      </c>
      <c r="H894" s="854"/>
      <c r="I894" s="855"/>
      <c r="J894" s="113">
        <f t="shared" ref="J894:P894" si="879">SUM(J889:J893)</f>
        <v>644</v>
      </c>
      <c r="K894" s="113">
        <f t="shared" si="879"/>
        <v>20</v>
      </c>
      <c r="L894" s="113">
        <f t="shared" si="879"/>
        <v>2</v>
      </c>
      <c r="M894" s="113">
        <f t="shared" si="879"/>
        <v>604</v>
      </c>
      <c r="N894" s="114">
        <f t="shared" si="879"/>
        <v>0</v>
      </c>
      <c r="O894" s="113">
        <f t="shared" si="879"/>
        <v>0</v>
      </c>
      <c r="P894" s="114">
        <f t="shared" si="879"/>
        <v>18</v>
      </c>
      <c r="Q894" s="115">
        <f>(K894+L894)/J894</f>
        <v>3.4161490683229816E-2</v>
      </c>
      <c r="R894" s="116">
        <f t="shared" si="867"/>
        <v>0</v>
      </c>
      <c r="S894" s="116">
        <f t="shared" si="868"/>
        <v>2.7950310559006212E-2</v>
      </c>
      <c r="T894" s="116">
        <f t="shared" si="869"/>
        <v>0</v>
      </c>
      <c r="U894" s="117">
        <f t="shared" si="870"/>
        <v>6.2111801242236031E-2</v>
      </c>
      <c r="V894" s="127"/>
    </row>
    <row r="895" spans="2:22" ht="15.75" hidden="1" x14ac:dyDescent="0.2">
      <c r="B895" s="711">
        <v>46146</v>
      </c>
      <c r="C895" s="105" t="s">
        <v>18</v>
      </c>
      <c r="D895" s="105" t="s">
        <v>20</v>
      </c>
      <c r="E895" s="711">
        <v>46146</v>
      </c>
      <c r="G895" s="833">
        <v>46146</v>
      </c>
      <c r="H895" s="120" t="s">
        <v>75</v>
      </c>
      <c r="I895" s="120" t="s">
        <v>112</v>
      </c>
      <c r="J895" s="106">
        <v>25</v>
      </c>
      <c r="K895" s="106">
        <v>8</v>
      </c>
      <c r="L895" s="106">
        <v>16</v>
      </c>
      <c r="M895" s="106">
        <v>0</v>
      </c>
      <c r="N895" s="106">
        <v>0</v>
      </c>
      <c r="O895" s="106">
        <v>0</v>
      </c>
      <c r="P895" s="106">
        <v>1</v>
      </c>
      <c r="Q895" s="108">
        <f t="shared" ref="Q895:Q897" si="880">(K895+L895)/J895</f>
        <v>0.96</v>
      </c>
      <c r="R895" s="109">
        <f t="shared" si="867"/>
        <v>0</v>
      </c>
      <c r="S895" s="109">
        <f t="shared" si="868"/>
        <v>0.04</v>
      </c>
      <c r="T895" s="109">
        <f t="shared" si="869"/>
        <v>0</v>
      </c>
      <c r="U895" s="110">
        <f t="shared" si="870"/>
        <v>1</v>
      </c>
      <c r="V895" s="136"/>
    </row>
    <row r="896" spans="2:22" ht="15.75" hidden="1" x14ac:dyDescent="0.2">
      <c r="B896" s="711">
        <v>46146</v>
      </c>
      <c r="C896" s="105" t="s">
        <v>18</v>
      </c>
      <c r="D896" s="105" t="s">
        <v>20</v>
      </c>
      <c r="E896" s="711">
        <v>46146</v>
      </c>
      <c r="G896" s="835"/>
      <c r="H896" s="120" t="s">
        <v>17</v>
      </c>
      <c r="I896" s="120" t="s">
        <v>105</v>
      </c>
      <c r="J896" s="106">
        <v>24</v>
      </c>
      <c r="K896" s="106">
        <v>16</v>
      </c>
      <c r="L896" s="106">
        <v>10</v>
      </c>
      <c r="M896" s="106">
        <v>0</v>
      </c>
      <c r="N896" s="106">
        <v>0</v>
      </c>
      <c r="O896" s="106">
        <v>0</v>
      </c>
      <c r="P896" s="106">
        <v>0</v>
      </c>
      <c r="Q896" s="108">
        <f t="shared" si="880"/>
        <v>1.0833333333333333</v>
      </c>
      <c r="R896" s="109">
        <f t="shared" si="867"/>
        <v>0</v>
      </c>
      <c r="S896" s="109">
        <f t="shared" si="868"/>
        <v>0</v>
      </c>
      <c r="T896" s="109">
        <f t="shared" si="869"/>
        <v>0</v>
      </c>
      <c r="U896" s="110">
        <f t="shared" si="870"/>
        <v>1.0833333333333333</v>
      </c>
      <c r="V896" s="136"/>
    </row>
    <row r="897" spans="2:25" ht="15.75" hidden="1" x14ac:dyDescent="0.2">
      <c r="B897" s="711">
        <v>46146</v>
      </c>
      <c r="C897" s="105" t="s">
        <v>18</v>
      </c>
      <c r="D897" s="105" t="s">
        <v>20</v>
      </c>
      <c r="E897" s="711">
        <v>46147</v>
      </c>
      <c r="G897" s="838">
        <v>46147</v>
      </c>
      <c r="H897" s="120" t="s">
        <v>75</v>
      </c>
      <c r="I897" s="120" t="s">
        <v>112</v>
      </c>
      <c r="J897" s="106">
        <v>179</v>
      </c>
      <c r="K897" s="106">
        <v>76</v>
      </c>
      <c r="L897" s="106">
        <v>93</v>
      </c>
      <c r="M897" s="106">
        <v>33</v>
      </c>
      <c r="N897" s="106">
        <v>0</v>
      </c>
      <c r="O897" s="106">
        <v>0</v>
      </c>
      <c r="P897" s="106">
        <v>8</v>
      </c>
      <c r="Q897" s="108">
        <f t="shared" si="880"/>
        <v>0.94413407821229045</v>
      </c>
      <c r="R897" s="109">
        <f t="shared" si="867"/>
        <v>0</v>
      </c>
      <c r="S897" s="109">
        <f t="shared" si="868"/>
        <v>4.4692737430167599E-2</v>
      </c>
      <c r="T897" s="109">
        <f t="shared" si="869"/>
        <v>0</v>
      </c>
      <c r="U897" s="110">
        <f t="shared" si="870"/>
        <v>0.988826815642458</v>
      </c>
      <c r="V897" s="136"/>
    </row>
    <row r="898" spans="2:25" ht="15.75" hidden="1" x14ac:dyDescent="0.2">
      <c r="B898" s="711">
        <v>46146</v>
      </c>
      <c r="C898" s="105" t="s">
        <v>18</v>
      </c>
      <c r="D898" s="105" t="s">
        <v>20</v>
      </c>
      <c r="E898" s="711">
        <v>46147</v>
      </c>
      <c r="G898" s="839"/>
      <c r="H898" s="120" t="s">
        <v>84</v>
      </c>
      <c r="I898" s="120" t="s">
        <v>43</v>
      </c>
      <c r="J898" s="106">
        <v>170</v>
      </c>
      <c r="K898" s="106">
        <v>3</v>
      </c>
      <c r="L898" s="106">
        <v>0</v>
      </c>
      <c r="M898" s="106">
        <v>68</v>
      </c>
      <c r="N898" s="106">
        <f>69-23</f>
        <v>46</v>
      </c>
      <c r="O898" s="106">
        <v>0</v>
      </c>
      <c r="P898" s="106">
        <v>1</v>
      </c>
      <c r="Q898" s="108">
        <f>(K898+L898)/J898</f>
        <v>1.7647058823529412E-2</v>
      </c>
      <c r="R898" s="109">
        <f t="shared" si="867"/>
        <v>0.27058823529411763</v>
      </c>
      <c r="S898" s="109">
        <f t="shared" si="868"/>
        <v>5.8823529411764705E-3</v>
      </c>
      <c r="T898" s="109">
        <f t="shared" si="869"/>
        <v>0</v>
      </c>
      <c r="U898" s="110">
        <f t="shared" si="870"/>
        <v>0.29411764705882348</v>
      </c>
      <c r="V898" s="136"/>
    </row>
    <row r="899" spans="2:25" ht="15.75" hidden="1" x14ac:dyDescent="0.2">
      <c r="B899" s="711">
        <v>46146</v>
      </c>
      <c r="C899" s="105" t="s">
        <v>18</v>
      </c>
      <c r="D899" s="105" t="s">
        <v>20</v>
      </c>
      <c r="E899" s="711">
        <v>46147</v>
      </c>
      <c r="G899" s="839"/>
      <c r="H899" s="120" t="s">
        <v>14</v>
      </c>
      <c r="I899" s="120" t="s">
        <v>106</v>
      </c>
      <c r="J899" s="106">
        <v>222</v>
      </c>
      <c r="K899" s="106">
        <v>93</v>
      </c>
      <c r="L899" s="106">
        <v>20</v>
      </c>
      <c r="M899" s="106">
        <v>80</v>
      </c>
      <c r="N899" s="106">
        <v>22</v>
      </c>
      <c r="O899" s="106">
        <v>0</v>
      </c>
      <c r="P899" s="106">
        <v>8</v>
      </c>
      <c r="Q899" s="108">
        <f t="shared" ref="Q899:Q901" si="881">(K899+L899)/J899</f>
        <v>0.50900900900900903</v>
      </c>
      <c r="R899" s="109">
        <f t="shared" si="867"/>
        <v>9.90990990990991E-2</v>
      </c>
      <c r="S899" s="109">
        <f t="shared" si="868"/>
        <v>3.6036036036036036E-2</v>
      </c>
      <c r="T899" s="109">
        <f t="shared" si="869"/>
        <v>0</v>
      </c>
      <c r="U899" s="110">
        <f t="shared" si="870"/>
        <v>0.64414414414414423</v>
      </c>
      <c r="V899" s="136"/>
    </row>
    <row r="900" spans="2:25" ht="15.75" hidden="1" x14ac:dyDescent="0.2">
      <c r="B900" s="711">
        <v>46146</v>
      </c>
      <c r="C900" s="105" t="s">
        <v>18</v>
      </c>
      <c r="D900" s="105" t="s">
        <v>20</v>
      </c>
      <c r="E900" s="711">
        <v>46147</v>
      </c>
      <c r="G900" s="839"/>
      <c r="H900" s="120" t="s">
        <v>118</v>
      </c>
      <c r="I900" s="120" t="s">
        <v>106</v>
      </c>
      <c r="J900" s="106">
        <v>60</v>
      </c>
      <c r="K900" s="106">
        <v>0</v>
      </c>
      <c r="L900" s="106">
        <v>0</v>
      </c>
      <c r="M900" s="106">
        <v>18</v>
      </c>
      <c r="N900" s="106">
        <v>41</v>
      </c>
      <c r="O900" s="106">
        <v>0</v>
      </c>
      <c r="P900" s="106">
        <v>1</v>
      </c>
      <c r="Q900" s="108">
        <f t="shared" si="881"/>
        <v>0</v>
      </c>
      <c r="R900" s="109">
        <f t="shared" si="867"/>
        <v>0.68333333333333335</v>
      </c>
      <c r="S900" s="109">
        <f t="shared" si="868"/>
        <v>1.6666666666666666E-2</v>
      </c>
      <c r="T900" s="109">
        <f t="shared" si="869"/>
        <v>0</v>
      </c>
      <c r="U900" s="110">
        <f t="shared" si="870"/>
        <v>0.70000000000000007</v>
      </c>
      <c r="V900" s="136"/>
    </row>
    <row r="901" spans="2:25" ht="15.75" hidden="1" x14ac:dyDescent="0.2">
      <c r="B901" s="711">
        <v>46146</v>
      </c>
      <c r="C901" s="105" t="s">
        <v>18</v>
      </c>
      <c r="D901" s="105" t="s">
        <v>20</v>
      </c>
      <c r="E901" s="711">
        <v>46147</v>
      </c>
      <c r="G901" s="848"/>
      <c r="H901" s="120" t="s">
        <v>17</v>
      </c>
      <c r="I901" s="120" t="s">
        <v>105</v>
      </c>
      <c r="J901" s="106">
        <v>206</v>
      </c>
      <c r="K901" s="106">
        <v>0</v>
      </c>
      <c r="L901" s="106">
        <v>0</v>
      </c>
      <c r="M901" s="106">
        <v>0</v>
      </c>
      <c r="N901" s="106">
        <v>0</v>
      </c>
      <c r="O901" s="106">
        <v>0</v>
      </c>
      <c r="P901" s="106">
        <v>7</v>
      </c>
      <c r="Q901" s="108">
        <f t="shared" si="881"/>
        <v>0</v>
      </c>
      <c r="R901" s="109">
        <f t="shared" si="867"/>
        <v>0</v>
      </c>
      <c r="S901" s="109">
        <f t="shared" si="868"/>
        <v>3.3980582524271843E-2</v>
      </c>
      <c r="T901" s="109">
        <f t="shared" si="869"/>
        <v>0</v>
      </c>
      <c r="U901" s="110">
        <f t="shared" si="870"/>
        <v>3.3980582524271843E-2</v>
      </c>
      <c r="V901" s="136"/>
    </row>
    <row r="902" spans="2:25" s="97" customFormat="1" ht="16.5" hidden="1" customHeight="1" x14ac:dyDescent="0.2">
      <c r="B902" s="711">
        <v>46146</v>
      </c>
      <c r="C902" s="105" t="s">
        <v>18</v>
      </c>
      <c r="D902" s="105" t="s">
        <v>20</v>
      </c>
      <c r="E902" s="711">
        <v>46147</v>
      </c>
      <c r="F902" s="89"/>
      <c r="G902" s="190"/>
      <c r="H902" s="113" t="s">
        <v>19</v>
      </c>
      <c r="I902" s="113"/>
      <c r="J902" s="113">
        <f t="shared" ref="J902:P902" si="882">SUM(J895:J901)</f>
        <v>886</v>
      </c>
      <c r="K902" s="113">
        <f t="shared" si="882"/>
        <v>196</v>
      </c>
      <c r="L902" s="113">
        <f t="shared" si="882"/>
        <v>139</v>
      </c>
      <c r="M902" s="113">
        <f t="shared" si="882"/>
        <v>199</v>
      </c>
      <c r="N902" s="113">
        <f t="shared" si="882"/>
        <v>109</v>
      </c>
      <c r="O902" s="113">
        <f t="shared" si="882"/>
        <v>0</v>
      </c>
      <c r="P902" s="113">
        <f t="shared" si="882"/>
        <v>26</v>
      </c>
      <c r="Q902" s="115">
        <f>(K902+L902)/J902</f>
        <v>0.37810383747178328</v>
      </c>
      <c r="R902" s="116">
        <f t="shared" si="867"/>
        <v>0.12302483069977427</v>
      </c>
      <c r="S902" s="116">
        <f t="shared" si="868"/>
        <v>2.9345372460496615E-2</v>
      </c>
      <c r="T902" s="116">
        <f t="shared" si="869"/>
        <v>0</v>
      </c>
      <c r="U902" s="117">
        <f t="shared" si="870"/>
        <v>0.53047404063205417</v>
      </c>
      <c r="V902" s="127"/>
      <c r="W902" s="88"/>
      <c r="X902" s="88"/>
      <c r="Y902" s="118"/>
    </row>
    <row r="903" spans="2:25" ht="15.75" hidden="1" x14ac:dyDescent="0.2">
      <c r="B903" s="711">
        <v>46147</v>
      </c>
      <c r="C903" s="105" t="s">
        <v>22</v>
      </c>
      <c r="D903" s="105" t="s">
        <v>23</v>
      </c>
      <c r="E903" s="711">
        <v>46147</v>
      </c>
      <c r="G903" s="838">
        <v>46147</v>
      </c>
      <c r="H903" s="120" t="s">
        <v>75</v>
      </c>
      <c r="I903" s="120" t="s">
        <v>112</v>
      </c>
      <c r="J903" s="106">
        <v>179</v>
      </c>
      <c r="K903" s="106">
        <f>179-84</f>
        <v>95</v>
      </c>
      <c r="L903" s="106">
        <v>50</v>
      </c>
      <c r="M903" s="106">
        <v>12</v>
      </c>
      <c r="N903" s="106">
        <v>0</v>
      </c>
      <c r="O903" s="106">
        <v>15</v>
      </c>
      <c r="P903" s="106">
        <v>7</v>
      </c>
      <c r="Q903" s="108">
        <f t="shared" ref="Q903" si="883">(K903+L903)/J903</f>
        <v>0.81005586592178769</v>
      </c>
      <c r="R903" s="109">
        <f t="shared" ref="R903:R908" si="884">N903/J903</f>
        <v>0</v>
      </c>
      <c r="S903" s="109">
        <f t="shared" ref="S903:S908" si="885">P903/J903</f>
        <v>3.9106145251396648E-2</v>
      </c>
      <c r="T903" s="109">
        <f t="shared" ref="T903:T908" si="886">O903/J903</f>
        <v>8.3798882681564241E-2</v>
      </c>
      <c r="U903" s="110">
        <f t="shared" ref="U903:U908" si="887">S903+R903+Q903+T903</f>
        <v>0.93296089385474856</v>
      </c>
      <c r="V903" s="136"/>
    </row>
    <row r="904" spans="2:25" ht="15.75" hidden="1" x14ac:dyDescent="0.2">
      <c r="B904" s="711">
        <v>46147</v>
      </c>
      <c r="C904" s="105" t="s">
        <v>22</v>
      </c>
      <c r="D904" s="105" t="s">
        <v>23</v>
      </c>
      <c r="E904" s="711">
        <v>46147</v>
      </c>
      <c r="G904" s="839"/>
      <c r="H904" s="120" t="s">
        <v>84</v>
      </c>
      <c r="I904" s="120" t="s">
        <v>43</v>
      </c>
      <c r="J904" s="106">
        <v>170</v>
      </c>
      <c r="K904" s="106">
        <f>170-17</f>
        <v>153</v>
      </c>
      <c r="L904" s="106">
        <v>0</v>
      </c>
      <c r="M904" s="106">
        <v>7</v>
      </c>
      <c r="N904" s="106">
        <v>0</v>
      </c>
      <c r="O904" s="106">
        <v>10</v>
      </c>
      <c r="P904" s="106">
        <v>0</v>
      </c>
      <c r="Q904" s="108">
        <f>(K904+L904)/J904</f>
        <v>0.9</v>
      </c>
      <c r="R904" s="109">
        <f t="shared" si="884"/>
        <v>0</v>
      </c>
      <c r="S904" s="109">
        <f t="shared" si="885"/>
        <v>0</v>
      </c>
      <c r="T904" s="109">
        <f t="shared" si="886"/>
        <v>5.8823529411764705E-2</v>
      </c>
      <c r="U904" s="110">
        <f t="shared" si="887"/>
        <v>0.95882352941176474</v>
      </c>
      <c r="V904" s="136"/>
    </row>
    <row r="905" spans="2:25" ht="15.75" hidden="1" x14ac:dyDescent="0.2">
      <c r="B905" s="711">
        <v>46147</v>
      </c>
      <c r="C905" s="105" t="s">
        <v>22</v>
      </c>
      <c r="D905" s="105" t="s">
        <v>23</v>
      </c>
      <c r="E905" s="711">
        <v>46147</v>
      </c>
      <c r="G905" s="839"/>
      <c r="H905" s="120" t="s">
        <v>14</v>
      </c>
      <c r="I905" s="120" t="s">
        <v>106</v>
      </c>
      <c r="J905" s="106">
        <v>222</v>
      </c>
      <c r="K905" s="106">
        <f>222-52</f>
        <v>170</v>
      </c>
      <c r="L905" s="106">
        <v>36</v>
      </c>
      <c r="M905" s="106">
        <v>2</v>
      </c>
      <c r="N905" s="106">
        <v>0</v>
      </c>
      <c r="O905" s="106">
        <v>8</v>
      </c>
      <c r="P905" s="106">
        <v>6</v>
      </c>
      <c r="Q905" s="108">
        <f t="shared" ref="Q905:Q907" si="888">(K905+L905)/J905</f>
        <v>0.92792792792792789</v>
      </c>
      <c r="R905" s="109">
        <f t="shared" si="884"/>
        <v>0</v>
      </c>
      <c r="S905" s="109">
        <f t="shared" si="885"/>
        <v>2.7027027027027029E-2</v>
      </c>
      <c r="T905" s="109">
        <f t="shared" si="886"/>
        <v>3.6036036036036036E-2</v>
      </c>
      <c r="U905" s="110">
        <f t="shared" si="887"/>
        <v>0.99099099099099097</v>
      </c>
      <c r="V905" s="136"/>
    </row>
    <row r="906" spans="2:25" ht="15.75" hidden="1" x14ac:dyDescent="0.2">
      <c r="B906" s="711">
        <v>46147</v>
      </c>
      <c r="C906" s="105" t="s">
        <v>22</v>
      </c>
      <c r="D906" s="105" t="s">
        <v>23</v>
      </c>
      <c r="E906" s="711">
        <v>46147</v>
      </c>
      <c r="G906" s="839"/>
      <c r="H906" s="120" t="s">
        <v>118</v>
      </c>
      <c r="I906" s="120" t="s">
        <v>106</v>
      </c>
      <c r="J906" s="106">
        <v>60</v>
      </c>
      <c r="K906" s="106">
        <v>57</v>
      </c>
      <c r="L906" s="106">
        <v>0</v>
      </c>
      <c r="M906" s="106">
        <v>2</v>
      </c>
      <c r="N906" s="106">
        <v>0</v>
      </c>
      <c r="O906" s="106">
        <v>0</v>
      </c>
      <c r="P906" s="106">
        <v>1</v>
      </c>
      <c r="Q906" s="108">
        <f t="shared" si="888"/>
        <v>0.95</v>
      </c>
      <c r="R906" s="109">
        <f t="shared" si="884"/>
        <v>0</v>
      </c>
      <c r="S906" s="109">
        <f t="shared" si="885"/>
        <v>1.6666666666666666E-2</v>
      </c>
      <c r="T906" s="109">
        <f t="shared" si="886"/>
        <v>0</v>
      </c>
      <c r="U906" s="110">
        <f t="shared" si="887"/>
        <v>0.96666666666666667</v>
      </c>
      <c r="V906" s="136"/>
    </row>
    <row r="907" spans="2:25" ht="15.75" hidden="1" x14ac:dyDescent="0.2">
      <c r="B907" s="711">
        <v>46147</v>
      </c>
      <c r="C907" s="105" t="s">
        <v>22</v>
      </c>
      <c r="D907" s="105" t="s">
        <v>23</v>
      </c>
      <c r="E907" s="711">
        <v>46147</v>
      </c>
      <c r="G907" s="848"/>
      <c r="H907" s="120" t="s">
        <v>17</v>
      </c>
      <c r="I907" s="120" t="s">
        <v>105</v>
      </c>
      <c r="J907" s="106">
        <v>206</v>
      </c>
      <c r="K907" s="106">
        <v>10</v>
      </c>
      <c r="L907" s="106">
        <v>13</v>
      </c>
      <c r="M907" s="106">
        <v>98</v>
      </c>
      <c r="N907" s="106">
        <v>48</v>
      </c>
      <c r="O907" s="106">
        <v>30</v>
      </c>
      <c r="P907" s="106">
        <v>7</v>
      </c>
      <c r="Q907" s="108">
        <f t="shared" si="888"/>
        <v>0.11165048543689321</v>
      </c>
      <c r="R907" s="109">
        <f t="shared" si="884"/>
        <v>0.23300970873786409</v>
      </c>
      <c r="S907" s="109">
        <f t="shared" si="885"/>
        <v>3.3980582524271843E-2</v>
      </c>
      <c r="T907" s="109">
        <f t="shared" si="886"/>
        <v>0.14563106796116504</v>
      </c>
      <c r="U907" s="110">
        <f t="shared" si="887"/>
        <v>0.52427184466019416</v>
      </c>
      <c r="V907" s="136"/>
    </row>
    <row r="908" spans="2:25" s="97" customFormat="1" ht="16.5" hidden="1" customHeight="1" x14ac:dyDescent="0.2">
      <c r="B908" s="711">
        <v>46147</v>
      </c>
      <c r="C908" s="105" t="s">
        <v>22</v>
      </c>
      <c r="D908" s="105" t="s">
        <v>23</v>
      </c>
      <c r="E908" s="711">
        <v>46147</v>
      </c>
      <c r="F908" s="89"/>
      <c r="G908" s="190"/>
      <c r="H908" s="113" t="s">
        <v>19</v>
      </c>
      <c r="I908" s="113"/>
      <c r="J908" s="113">
        <f>SUM(J903:J907)</f>
        <v>837</v>
      </c>
      <c r="K908" s="113">
        <f t="shared" ref="K908:P908" si="889">SUM(K903:K907)</f>
        <v>485</v>
      </c>
      <c r="L908" s="113">
        <f t="shared" si="889"/>
        <v>99</v>
      </c>
      <c r="M908" s="113">
        <f t="shared" si="889"/>
        <v>121</v>
      </c>
      <c r="N908" s="113">
        <f t="shared" si="889"/>
        <v>48</v>
      </c>
      <c r="O908" s="113">
        <f t="shared" si="889"/>
        <v>63</v>
      </c>
      <c r="P908" s="113">
        <f t="shared" si="889"/>
        <v>21</v>
      </c>
      <c r="Q908" s="115">
        <f>(K908+L908)/J908</f>
        <v>0.69772998805256869</v>
      </c>
      <c r="R908" s="116">
        <f t="shared" si="884"/>
        <v>5.7347670250896057E-2</v>
      </c>
      <c r="S908" s="116">
        <f t="shared" si="885"/>
        <v>2.5089605734767026E-2</v>
      </c>
      <c r="T908" s="116">
        <f t="shared" si="886"/>
        <v>7.5268817204301078E-2</v>
      </c>
      <c r="U908" s="117">
        <f t="shared" si="887"/>
        <v>0.8554360812425329</v>
      </c>
      <c r="V908" s="127"/>
      <c r="W908" s="88"/>
      <c r="X908" s="88"/>
      <c r="Y908" s="118"/>
    </row>
    <row r="909" spans="2:25" ht="15.75" hidden="1" x14ac:dyDescent="0.2">
      <c r="B909" s="711">
        <v>46147</v>
      </c>
      <c r="C909" s="105" t="s">
        <v>12</v>
      </c>
      <c r="D909" s="105" t="s">
        <v>13</v>
      </c>
      <c r="E909" s="711">
        <v>46147</v>
      </c>
      <c r="G909" s="833">
        <v>46147</v>
      </c>
      <c r="H909" s="120" t="s">
        <v>75</v>
      </c>
      <c r="I909" s="120" t="s">
        <v>112</v>
      </c>
      <c r="J909" s="106">
        <v>34</v>
      </c>
      <c r="K909" s="106">
        <f>J909-L909-M909-N909-O909-P909</f>
        <v>13</v>
      </c>
      <c r="L909" s="106">
        <v>5</v>
      </c>
      <c r="M909" s="106">
        <v>0</v>
      </c>
      <c r="N909" s="106">
        <v>0</v>
      </c>
      <c r="O909" s="106">
        <v>10</v>
      </c>
      <c r="P909" s="106">
        <v>6</v>
      </c>
      <c r="Q909" s="108">
        <f t="shared" ref="Q909" si="890">(K909+L909)/J909</f>
        <v>0.52941176470588236</v>
      </c>
      <c r="R909" s="109">
        <f t="shared" ref="R909:R912" si="891">N909/J909</f>
        <v>0</v>
      </c>
      <c r="S909" s="109">
        <f t="shared" ref="S909:S912" si="892">P909/J909</f>
        <v>0.17647058823529413</v>
      </c>
      <c r="T909" s="109">
        <f t="shared" ref="T909:T912" si="893">O909/J909</f>
        <v>0.29411764705882354</v>
      </c>
      <c r="U909" s="110">
        <f t="shared" ref="U909:U912" si="894">S909+R909+Q909+T909</f>
        <v>1</v>
      </c>
      <c r="V909" s="136" t="s">
        <v>21</v>
      </c>
    </row>
    <row r="910" spans="2:25" ht="15.75" hidden="1" x14ac:dyDescent="0.2">
      <c r="B910" s="711">
        <v>46147</v>
      </c>
      <c r="C910" s="105" t="s">
        <v>12</v>
      </c>
      <c r="D910" s="105" t="s">
        <v>13</v>
      </c>
      <c r="E910" s="711">
        <v>46147</v>
      </c>
      <c r="G910" s="834"/>
      <c r="H910" s="120" t="s">
        <v>14</v>
      </c>
      <c r="I910" s="120" t="s">
        <v>106</v>
      </c>
      <c r="J910" s="106">
        <v>21</v>
      </c>
      <c r="K910" s="106">
        <f t="shared" ref="K910:K911" si="895">J910-L910-M910-N910-O910-P910</f>
        <v>5</v>
      </c>
      <c r="L910" s="106">
        <v>11</v>
      </c>
      <c r="M910" s="106">
        <v>0</v>
      </c>
      <c r="N910" s="106">
        <v>0</v>
      </c>
      <c r="O910" s="106">
        <v>0</v>
      </c>
      <c r="P910" s="106">
        <v>5</v>
      </c>
      <c r="Q910" s="108">
        <f t="shared" ref="Q910:Q911" si="896">(K910+L910)/J910</f>
        <v>0.76190476190476186</v>
      </c>
      <c r="R910" s="109">
        <f t="shared" si="891"/>
        <v>0</v>
      </c>
      <c r="S910" s="109">
        <f t="shared" si="892"/>
        <v>0.23809523809523808</v>
      </c>
      <c r="T910" s="109">
        <f t="shared" si="893"/>
        <v>0</v>
      </c>
      <c r="U910" s="110">
        <f t="shared" si="894"/>
        <v>1</v>
      </c>
      <c r="V910" s="136"/>
    </row>
    <row r="911" spans="2:25" ht="15.75" hidden="1" x14ac:dyDescent="0.2">
      <c r="B911" s="711">
        <v>46147</v>
      </c>
      <c r="C911" s="105" t="s">
        <v>12</v>
      </c>
      <c r="D911" s="105" t="s">
        <v>13</v>
      </c>
      <c r="E911" s="711">
        <v>46147</v>
      </c>
      <c r="G911" s="835"/>
      <c r="H911" s="120" t="s">
        <v>17</v>
      </c>
      <c r="I911" s="120" t="s">
        <v>105</v>
      </c>
      <c r="J911" s="106">
        <v>185</v>
      </c>
      <c r="K911" s="106">
        <f t="shared" si="895"/>
        <v>109</v>
      </c>
      <c r="L911" s="106">
        <v>31</v>
      </c>
      <c r="M911" s="106">
        <v>6</v>
      </c>
      <c r="N911" s="106">
        <v>0</v>
      </c>
      <c r="O911" s="106">
        <v>30</v>
      </c>
      <c r="P911" s="106">
        <v>9</v>
      </c>
      <c r="Q911" s="108">
        <f t="shared" si="896"/>
        <v>0.7567567567567568</v>
      </c>
      <c r="R911" s="109">
        <f t="shared" si="891"/>
        <v>0</v>
      </c>
      <c r="S911" s="109">
        <f t="shared" si="892"/>
        <v>4.8648648648648651E-2</v>
      </c>
      <c r="T911" s="109">
        <f t="shared" si="893"/>
        <v>0.16216216216216217</v>
      </c>
      <c r="U911" s="110">
        <f t="shared" si="894"/>
        <v>0.96756756756756757</v>
      </c>
      <c r="V911" s="136" t="s">
        <v>21</v>
      </c>
    </row>
    <row r="912" spans="2:25" ht="15.75" hidden="1" x14ac:dyDescent="0.2">
      <c r="B912" s="711">
        <v>46147</v>
      </c>
      <c r="C912" s="105" t="s">
        <v>12</v>
      </c>
      <c r="D912" s="105" t="s">
        <v>13</v>
      </c>
      <c r="E912" s="711">
        <v>46147</v>
      </c>
      <c r="G912" s="190"/>
      <c r="H912" s="113" t="s">
        <v>19</v>
      </c>
      <c r="I912" s="113"/>
      <c r="J912" s="113">
        <f t="shared" ref="J912:P912" si="897">SUM(J909:J911)</f>
        <v>240</v>
      </c>
      <c r="K912" s="113">
        <f t="shared" si="897"/>
        <v>127</v>
      </c>
      <c r="L912" s="113">
        <f t="shared" si="897"/>
        <v>47</v>
      </c>
      <c r="M912" s="113">
        <f t="shared" si="897"/>
        <v>6</v>
      </c>
      <c r="N912" s="113">
        <f t="shared" si="897"/>
        <v>0</v>
      </c>
      <c r="O912" s="113">
        <f t="shared" si="897"/>
        <v>40</v>
      </c>
      <c r="P912" s="113">
        <f t="shared" si="897"/>
        <v>20</v>
      </c>
      <c r="Q912" s="115">
        <f>(K912+L912)/J912</f>
        <v>0.72499999999999998</v>
      </c>
      <c r="R912" s="116">
        <f t="shared" si="891"/>
        <v>0</v>
      </c>
      <c r="S912" s="116">
        <f t="shared" si="892"/>
        <v>8.3333333333333329E-2</v>
      </c>
      <c r="T912" s="116">
        <f t="shared" si="893"/>
        <v>0.16666666666666666</v>
      </c>
      <c r="U912" s="117">
        <f t="shared" si="894"/>
        <v>0.97499999999999998</v>
      </c>
      <c r="V912" s="127"/>
    </row>
    <row r="913" spans="2:22" ht="15.75" hidden="1" x14ac:dyDescent="0.2">
      <c r="B913" s="711">
        <v>46147</v>
      </c>
      <c r="C913" s="105" t="s">
        <v>12</v>
      </c>
      <c r="D913" s="105" t="s">
        <v>13</v>
      </c>
      <c r="E913" s="711">
        <v>46148</v>
      </c>
      <c r="G913" s="833">
        <v>46148</v>
      </c>
      <c r="H913" s="120" t="s">
        <v>75</v>
      </c>
      <c r="I913" s="120" t="s">
        <v>112</v>
      </c>
      <c r="J913" s="106">
        <v>225</v>
      </c>
      <c r="K913" s="106">
        <f>J913-L913-M913-N913-O913-P913</f>
        <v>63</v>
      </c>
      <c r="L913" s="106">
        <v>37</v>
      </c>
      <c r="M913" s="106">
        <v>123</v>
      </c>
      <c r="N913" s="106">
        <v>0</v>
      </c>
      <c r="O913" s="106">
        <v>0</v>
      </c>
      <c r="P913" s="106">
        <v>2</v>
      </c>
      <c r="Q913" s="108">
        <f t="shared" ref="Q913" si="898">(K913+L913)/J913</f>
        <v>0.44444444444444442</v>
      </c>
      <c r="R913" s="109">
        <f t="shared" ref="R913:R922" si="899">N913/J913</f>
        <v>0</v>
      </c>
      <c r="S913" s="109">
        <f t="shared" ref="S913:S922" si="900">P913/J913</f>
        <v>8.8888888888888889E-3</v>
      </c>
      <c r="T913" s="109">
        <f t="shared" ref="T913:T922" si="901">O913/J913</f>
        <v>0</v>
      </c>
      <c r="U913" s="110">
        <f t="shared" ref="U913:U922" si="902">S913+R913+Q913+T913</f>
        <v>0.45333333333333331</v>
      </c>
      <c r="V913" s="136"/>
    </row>
    <row r="914" spans="2:22" ht="15.75" hidden="1" x14ac:dyDescent="0.2">
      <c r="B914" s="711">
        <v>46147</v>
      </c>
      <c r="C914" s="105" t="s">
        <v>12</v>
      </c>
      <c r="D914" s="105" t="s">
        <v>13</v>
      </c>
      <c r="E914" s="711">
        <v>46148</v>
      </c>
      <c r="G914" s="834"/>
      <c r="H914" s="120" t="s">
        <v>84</v>
      </c>
      <c r="I914" s="120" t="s">
        <v>43</v>
      </c>
      <c r="J914" s="106">
        <v>15</v>
      </c>
      <c r="K914" s="106">
        <f t="shared" ref="K914:K917" si="903">J914-L914-M914-N914-O914-P914</f>
        <v>0</v>
      </c>
      <c r="L914" s="106">
        <v>0</v>
      </c>
      <c r="M914" s="106">
        <v>15</v>
      </c>
      <c r="N914" s="106">
        <v>0</v>
      </c>
      <c r="O914" s="106">
        <v>0</v>
      </c>
      <c r="P914" s="106">
        <v>0</v>
      </c>
      <c r="Q914" s="108">
        <f>(K914+L914)/J914</f>
        <v>0</v>
      </c>
      <c r="R914" s="109">
        <f t="shared" si="899"/>
        <v>0</v>
      </c>
      <c r="S914" s="109">
        <f t="shared" si="900"/>
        <v>0</v>
      </c>
      <c r="T914" s="109">
        <f t="shared" si="901"/>
        <v>0</v>
      </c>
      <c r="U914" s="110">
        <f t="shared" si="902"/>
        <v>0</v>
      </c>
      <c r="V914" s="136"/>
    </row>
    <row r="915" spans="2:22" ht="15.75" hidden="1" x14ac:dyDescent="0.2">
      <c r="B915" s="711">
        <v>46147</v>
      </c>
      <c r="C915" s="105" t="s">
        <v>12</v>
      </c>
      <c r="D915" s="105" t="s">
        <v>13</v>
      </c>
      <c r="E915" s="711">
        <v>46148</v>
      </c>
      <c r="G915" s="834"/>
      <c r="H915" s="120" t="s">
        <v>14</v>
      </c>
      <c r="I915" s="120" t="s">
        <v>106</v>
      </c>
      <c r="J915" s="106">
        <v>171</v>
      </c>
      <c r="K915" s="106">
        <f t="shared" si="903"/>
        <v>0</v>
      </c>
      <c r="L915" s="106">
        <v>0</v>
      </c>
      <c r="M915" s="106">
        <v>171</v>
      </c>
      <c r="N915" s="106">
        <v>0</v>
      </c>
      <c r="O915" s="106">
        <v>0</v>
      </c>
      <c r="P915" s="106">
        <v>0</v>
      </c>
      <c r="Q915" s="108">
        <f t="shared" ref="Q915:Q917" si="904">(K915+L915)/J915</f>
        <v>0</v>
      </c>
      <c r="R915" s="109">
        <f t="shared" si="899"/>
        <v>0</v>
      </c>
      <c r="S915" s="109">
        <f t="shared" si="900"/>
        <v>0</v>
      </c>
      <c r="T915" s="109">
        <f t="shared" si="901"/>
        <v>0</v>
      </c>
      <c r="U915" s="110">
        <f t="shared" si="902"/>
        <v>0</v>
      </c>
      <c r="V915" s="136"/>
    </row>
    <row r="916" spans="2:22" ht="15.75" hidden="1" x14ac:dyDescent="0.2">
      <c r="B916" s="711">
        <v>46147</v>
      </c>
      <c r="C916" s="105" t="s">
        <v>12</v>
      </c>
      <c r="D916" s="105" t="s">
        <v>13</v>
      </c>
      <c r="E916" s="711">
        <v>46148</v>
      </c>
      <c r="G916" s="834"/>
      <c r="H916" s="120" t="s">
        <v>120</v>
      </c>
      <c r="I916" s="120" t="s">
        <v>106</v>
      </c>
      <c r="J916" s="106">
        <v>25</v>
      </c>
      <c r="K916" s="106">
        <f t="shared" si="903"/>
        <v>0</v>
      </c>
      <c r="L916" s="106">
        <v>0</v>
      </c>
      <c r="M916" s="106">
        <v>25</v>
      </c>
      <c r="N916" s="106">
        <v>0</v>
      </c>
      <c r="O916" s="106">
        <v>0</v>
      </c>
      <c r="P916" s="106">
        <v>0</v>
      </c>
      <c r="Q916" s="108">
        <f t="shared" si="904"/>
        <v>0</v>
      </c>
      <c r="R916" s="109">
        <f t="shared" si="899"/>
        <v>0</v>
      </c>
      <c r="S916" s="109">
        <f t="shared" si="900"/>
        <v>0</v>
      </c>
      <c r="T916" s="109">
        <f t="shared" si="901"/>
        <v>0</v>
      </c>
      <c r="U916" s="110">
        <f t="shared" si="902"/>
        <v>0</v>
      </c>
      <c r="V916" s="136"/>
    </row>
    <row r="917" spans="2:22" ht="15.75" hidden="1" x14ac:dyDescent="0.2">
      <c r="B917" s="711">
        <v>46147</v>
      </c>
      <c r="C917" s="105" t="s">
        <v>12</v>
      </c>
      <c r="D917" s="105" t="s">
        <v>13</v>
      </c>
      <c r="E917" s="711">
        <v>46148</v>
      </c>
      <c r="G917" s="835"/>
      <c r="H917" s="120" t="s">
        <v>17</v>
      </c>
      <c r="I917" s="120" t="s">
        <v>105</v>
      </c>
      <c r="J917" s="106">
        <v>197</v>
      </c>
      <c r="K917" s="106">
        <f t="shared" si="903"/>
        <v>0</v>
      </c>
      <c r="L917" s="106">
        <v>0</v>
      </c>
      <c r="M917" s="106">
        <v>197</v>
      </c>
      <c r="N917" s="106">
        <v>0</v>
      </c>
      <c r="O917" s="106">
        <v>0</v>
      </c>
      <c r="P917" s="106">
        <v>0</v>
      </c>
      <c r="Q917" s="108">
        <f t="shared" si="904"/>
        <v>0</v>
      </c>
      <c r="R917" s="109">
        <f t="shared" si="899"/>
        <v>0</v>
      </c>
      <c r="S917" s="109">
        <f t="shared" si="900"/>
        <v>0</v>
      </c>
      <c r="T917" s="109">
        <f t="shared" si="901"/>
        <v>0</v>
      </c>
      <c r="U917" s="110">
        <f t="shared" si="902"/>
        <v>0</v>
      </c>
      <c r="V917" s="136"/>
    </row>
    <row r="918" spans="2:22" ht="15.75" hidden="1" x14ac:dyDescent="0.2">
      <c r="B918" s="711">
        <v>46147</v>
      </c>
      <c r="C918" s="105" t="s">
        <v>12</v>
      </c>
      <c r="D918" s="105" t="s">
        <v>13</v>
      </c>
      <c r="E918" s="711">
        <v>46148</v>
      </c>
      <c r="G918" s="190"/>
      <c r="H918" s="113" t="s">
        <v>19</v>
      </c>
      <c r="I918" s="113"/>
      <c r="J918" s="113">
        <f>SUM(J913:J917)</f>
        <v>633</v>
      </c>
      <c r="K918" s="113">
        <f t="shared" ref="K918:P918" si="905">SUM(K913:K917)</f>
        <v>63</v>
      </c>
      <c r="L918" s="113">
        <f t="shared" si="905"/>
        <v>37</v>
      </c>
      <c r="M918" s="113">
        <f t="shared" si="905"/>
        <v>531</v>
      </c>
      <c r="N918" s="113">
        <f t="shared" si="905"/>
        <v>0</v>
      </c>
      <c r="O918" s="113">
        <f t="shared" si="905"/>
        <v>0</v>
      </c>
      <c r="P918" s="113">
        <f t="shared" si="905"/>
        <v>2</v>
      </c>
      <c r="Q918" s="115">
        <f>(K918+L918)/J918</f>
        <v>0.15797788309636651</v>
      </c>
      <c r="R918" s="116">
        <f t="shared" si="899"/>
        <v>0</v>
      </c>
      <c r="S918" s="116">
        <f t="shared" si="900"/>
        <v>3.1595576619273301E-3</v>
      </c>
      <c r="T918" s="116">
        <f t="shared" si="901"/>
        <v>0</v>
      </c>
      <c r="U918" s="117">
        <f t="shared" si="902"/>
        <v>0.16113744075829384</v>
      </c>
      <c r="V918" s="127"/>
    </row>
    <row r="919" spans="2:22" ht="15.75" hidden="1" x14ac:dyDescent="0.2">
      <c r="B919" s="711">
        <v>46147</v>
      </c>
      <c r="C919" s="105" t="s">
        <v>18</v>
      </c>
      <c r="D919" s="105" t="s">
        <v>20</v>
      </c>
      <c r="E919" s="711">
        <v>46148</v>
      </c>
      <c r="G919" s="833">
        <v>46147</v>
      </c>
      <c r="H919" s="120" t="s">
        <v>75</v>
      </c>
      <c r="I919" s="120" t="s">
        <v>112</v>
      </c>
      <c r="J919" s="106">
        <v>34</v>
      </c>
      <c r="K919" s="106">
        <f>J919-L919-M919-N919-O919-P919</f>
        <v>25</v>
      </c>
      <c r="L919" s="106">
        <v>4</v>
      </c>
      <c r="M919" s="106">
        <v>0</v>
      </c>
      <c r="N919" s="106">
        <v>0</v>
      </c>
      <c r="O919" s="106">
        <v>0</v>
      </c>
      <c r="P919" s="106">
        <v>5</v>
      </c>
      <c r="Q919" s="108">
        <f t="shared" ref="Q919:Q921" si="906">(K919+L919)/J919</f>
        <v>0.8529411764705882</v>
      </c>
      <c r="R919" s="109">
        <f t="shared" si="899"/>
        <v>0</v>
      </c>
      <c r="S919" s="109">
        <f t="shared" si="900"/>
        <v>0.14705882352941177</v>
      </c>
      <c r="T919" s="109">
        <f t="shared" si="901"/>
        <v>0</v>
      </c>
      <c r="U919" s="110">
        <f t="shared" si="902"/>
        <v>1</v>
      </c>
    </row>
    <row r="920" spans="2:22" ht="15.75" hidden="1" x14ac:dyDescent="0.2">
      <c r="B920" s="711">
        <v>46147</v>
      </c>
      <c r="C920" s="105" t="s">
        <v>18</v>
      </c>
      <c r="D920" s="105" t="s">
        <v>20</v>
      </c>
      <c r="E920" s="711">
        <v>46148</v>
      </c>
      <c r="G920" s="834"/>
      <c r="H920" s="120" t="s">
        <v>14</v>
      </c>
      <c r="I920" s="120" t="s">
        <v>106</v>
      </c>
      <c r="J920" s="106">
        <v>21</v>
      </c>
      <c r="K920" s="106">
        <f>J920-L920-M920-N920-O920-P920</f>
        <v>15</v>
      </c>
      <c r="L920" s="106">
        <v>0</v>
      </c>
      <c r="M920" s="106">
        <v>0</v>
      </c>
      <c r="N920" s="106">
        <v>0</v>
      </c>
      <c r="O920" s="106">
        <v>0</v>
      </c>
      <c r="P920" s="106">
        <v>6</v>
      </c>
      <c r="Q920" s="108">
        <f t="shared" si="906"/>
        <v>0.7142857142857143</v>
      </c>
      <c r="R920" s="109">
        <f t="shared" si="899"/>
        <v>0</v>
      </c>
      <c r="S920" s="109">
        <f t="shared" si="900"/>
        <v>0.2857142857142857</v>
      </c>
      <c r="T920" s="109">
        <f t="shared" si="901"/>
        <v>0</v>
      </c>
      <c r="U920" s="110">
        <f t="shared" si="902"/>
        <v>1</v>
      </c>
      <c r="V920" s="136"/>
    </row>
    <row r="921" spans="2:22" ht="15.75" hidden="1" x14ac:dyDescent="0.2">
      <c r="B921" s="711">
        <v>46147</v>
      </c>
      <c r="C921" s="105" t="s">
        <v>18</v>
      </c>
      <c r="D921" s="105" t="s">
        <v>20</v>
      </c>
      <c r="E921" s="711">
        <v>46148</v>
      </c>
      <c r="G921" s="835"/>
      <c r="H921" s="120" t="s">
        <v>17</v>
      </c>
      <c r="I921" s="120" t="s">
        <v>105</v>
      </c>
      <c r="J921" s="106">
        <v>185</v>
      </c>
      <c r="K921" s="106">
        <f>J921-L921-M921-N921-O921-P921</f>
        <v>159</v>
      </c>
      <c r="L921" s="106">
        <v>18</v>
      </c>
      <c r="M921" s="106">
        <v>0</v>
      </c>
      <c r="N921" s="106">
        <v>0</v>
      </c>
      <c r="O921" s="106">
        <v>0</v>
      </c>
      <c r="P921" s="106">
        <v>8</v>
      </c>
      <c r="Q921" s="108">
        <f t="shared" si="906"/>
        <v>0.95675675675675675</v>
      </c>
      <c r="R921" s="109">
        <f t="shared" si="899"/>
        <v>0</v>
      </c>
      <c r="S921" s="109">
        <f t="shared" si="900"/>
        <v>4.3243243243243246E-2</v>
      </c>
      <c r="T921" s="109">
        <f t="shared" si="901"/>
        <v>0</v>
      </c>
      <c r="U921" s="110">
        <f t="shared" si="902"/>
        <v>1</v>
      </c>
      <c r="V921" s="136"/>
    </row>
    <row r="922" spans="2:22" ht="15.75" hidden="1" x14ac:dyDescent="0.2">
      <c r="B922" s="711">
        <v>46147</v>
      </c>
      <c r="C922" s="105" t="s">
        <v>18</v>
      </c>
      <c r="D922" s="105" t="s">
        <v>20</v>
      </c>
      <c r="E922" s="711">
        <v>46148</v>
      </c>
      <c r="G922" s="190"/>
      <c r="H922" s="113" t="s">
        <v>19</v>
      </c>
      <c r="I922" s="113"/>
      <c r="J922" s="113">
        <f t="shared" ref="J922" si="907">SUM(J919:J921)</f>
        <v>240</v>
      </c>
      <c r="K922" s="113"/>
      <c r="L922" s="113"/>
      <c r="M922" s="113"/>
      <c r="N922" s="113"/>
      <c r="O922" s="113"/>
      <c r="P922" s="113"/>
      <c r="Q922" s="115">
        <f>(K922+L922)/J922</f>
        <v>0</v>
      </c>
      <c r="R922" s="116">
        <f t="shared" si="899"/>
        <v>0</v>
      </c>
      <c r="S922" s="116">
        <f t="shared" si="900"/>
        <v>0</v>
      </c>
      <c r="T922" s="116">
        <f t="shared" si="901"/>
        <v>0</v>
      </c>
      <c r="U922" s="117">
        <f t="shared" si="902"/>
        <v>0</v>
      </c>
      <c r="V922" s="127"/>
    </row>
    <row r="923" spans="2:22" ht="15.75" hidden="1" x14ac:dyDescent="0.2">
      <c r="B923" s="711">
        <v>46147</v>
      </c>
      <c r="C923" s="105" t="s">
        <v>18</v>
      </c>
      <c r="D923" s="105" t="s">
        <v>20</v>
      </c>
      <c r="E923" s="711">
        <v>46148</v>
      </c>
      <c r="G923" s="833">
        <v>46148</v>
      </c>
      <c r="H923" s="120" t="s">
        <v>75</v>
      </c>
      <c r="I923" s="120" t="s">
        <v>112</v>
      </c>
      <c r="J923" s="106">
        <v>225</v>
      </c>
      <c r="K923" s="106">
        <v>63</v>
      </c>
      <c r="L923" s="106">
        <v>25</v>
      </c>
      <c r="M923" s="106">
        <v>17</v>
      </c>
      <c r="N923" s="106">
        <v>0</v>
      </c>
      <c r="O923" s="106">
        <v>18</v>
      </c>
      <c r="P923" s="106">
        <v>2</v>
      </c>
      <c r="Q923" s="108">
        <f t="shared" ref="Q923" si="908">(K923+L923)/J923</f>
        <v>0.39111111111111113</v>
      </c>
      <c r="R923" s="109">
        <f t="shared" ref="R923:R928" si="909">N923/J923</f>
        <v>0</v>
      </c>
      <c r="S923" s="109">
        <f t="shared" ref="S923:S928" si="910">P923/J923</f>
        <v>8.8888888888888889E-3</v>
      </c>
      <c r="T923" s="109">
        <f t="shared" ref="T923:T928" si="911">O923/J923</f>
        <v>0.08</v>
      </c>
      <c r="U923" s="110">
        <f t="shared" ref="U923:U928" si="912">S923+R923+Q923+T923</f>
        <v>0.48000000000000004</v>
      </c>
      <c r="V923" s="136"/>
    </row>
    <row r="924" spans="2:22" ht="15.75" hidden="1" x14ac:dyDescent="0.2">
      <c r="B924" s="711">
        <v>46147</v>
      </c>
      <c r="C924" s="105" t="s">
        <v>18</v>
      </c>
      <c r="D924" s="105" t="s">
        <v>20</v>
      </c>
      <c r="E924" s="711">
        <v>46148</v>
      </c>
      <c r="G924" s="834"/>
      <c r="H924" s="120" t="s">
        <v>84</v>
      </c>
      <c r="I924" s="120" t="s">
        <v>43</v>
      </c>
      <c r="J924" s="106">
        <v>15</v>
      </c>
      <c r="K924" s="106">
        <v>0</v>
      </c>
      <c r="L924" s="106">
        <v>0</v>
      </c>
      <c r="M924" s="106">
        <v>11</v>
      </c>
      <c r="N924" s="106">
        <v>0</v>
      </c>
      <c r="O924" s="106">
        <v>4</v>
      </c>
      <c r="P924" s="106">
        <v>0</v>
      </c>
      <c r="Q924" s="108">
        <f>(K924+L924)/J924</f>
        <v>0</v>
      </c>
      <c r="R924" s="109">
        <f t="shared" si="909"/>
        <v>0</v>
      </c>
      <c r="S924" s="109">
        <f t="shared" si="910"/>
        <v>0</v>
      </c>
      <c r="T924" s="109">
        <f t="shared" si="911"/>
        <v>0.26666666666666666</v>
      </c>
      <c r="U924" s="110">
        <f t="shared" si="912"/>
        <v>0.26666666666666666</v>
      </c>
      <c r="V924" s="136"/>
    </row>
    <row r="925" spans="2:22" ht="15.75" hidden="1" x14ac:dyDescent="0.2">
      <c r="B925" s="711">
        <v>46147</v>
      </c>
      <c r="C925" s="105" t="s">
        <v>18</v>
      </c>
      <c r="D925" s="105" t="s">
        <v>20</v>
      </c>
      <c r="E925" s="711">
        <v>46148</v>
      </c>
      <c r="G925" s="834"/>
      <c r="H925" s="120" t="s">
        <v>14</v>
      </c>
      <c r="I925" s="120" t="s">
        <v>106</v>
      </c>
      <c r="J925" s="106">
        <v>171</v>
      </c>
      <c r="K925" s="106">
        <v>97</v>
      </c>
      <c r="L925" s="106">
        <v>21</v>
      </c>
      <c r="M925" s="106">
        <v>28</v>
      </c>
      <c r="N925" s="106">
        <v>17</v>
      </c>
      <c r="O925" s="106">
        <v>10</v>
      </c>
      <c r="P925" s="106">
        <v>0</v>
      </c>
      <c r="Q925" s="108">
        <f t="shared" ref="Q925:Q927" si="913">(K925+L925)/J925</f>
        <v>0.6900584795321637</v>
      </c>
      <c r="R925" s="109">
        <f t="shared" si="909"/>
        <v>9.9415204678362568E-2</v>
      </c>
      <c r="S925" s="109">
        <f t="shared" si="910"/>
        <v>0</v>
      </c>
      <c r="T925" s="109">
        <f t="shared" si="911"/>
        <v>5.8479532163742687E-2</v>
      </c>
      <c r="U925" s="110">
        <f t="shared" si="912"/>
        <v>0.84795321637426901</v>
      </c>
      <c r="V925" s="136"/>
    </row>
    <row r="926" spans="2:22" ht="15.75" hidden="1" x14ac:dyDescent="0.2">
      <c r="B926" s="711">
        <v>46147</v>
      </c>
      <c r="C926" s="105" t="s">
        <v>18</v>
      </c>
      <c r="D926" s="105" t="s">
        <v>20</v>
      </c>
      <c r="E926" s="711">
        <v>46148</v>
      </c>
      <c r="G926" s="834"/>
      <c r="H926" s="120" t="s">
        <v>120</v>
      </c>
      <c r="I926" s="120" t="s">
        <v>106</v>
      </c>
      <c r="J926" s="106">
        <v>25</v>
      </c>
      <c r="K926" s="106">
        <v>0</v>
      </c>
      <c r="L926" s="106">
        <v>0</v>
      </c>
      <c r="M926" s="106">
        <v>3</v>
      </c>
      <c r="N926" s="106">
        <v>20</v>
      </c>
      <c r="O926" s="106">
        <v>2</v>
      </c>
      <c r="P926" s="106">
        <v>1</v>
      </c>
      <c r="Q926" s="108">
        <f t="shared" si="913"/>
        <v>0</v>
      </c>
      <c r="R926" s="109">
        <f t="shared" si="909"/>
        <v>0.8</v>
      </c>
      <c r="S926" s="109">
        <f t="shared" si="910"/>
        <v>0.04</v>
      </c>
      <c r="T926" s="109">
        <f t="shared" si="911"/>
        <v>0.08</v>
      </c>
      <c r="U926" s="110">
        <f t="shared" si="912"/>
        <v>0.92</v>
      </c>
      <c r="V926" s="136"/>
    </row>
    <row r="927" spans="2:22" ht="15.75" hidden="1" x14ac:dyDescent="0.2">
      <c r="B927" s="711">
        <v>46147</v>
      </c>
      <c r="C927" s="105" t="s">
        <v>18</v>
      </c>
      <c r="D927" s="105" t="s">
        <v>20</v>
      </c>
      <c r="E927" s="711">
        <v>46148</v>
      </c>
      <c r="G927" s="835"/>
      <c r="H927" s="120" t="s">
        <v>17</v>
      </c>
      <c r="I927" s="120" t="s">
        <v>105</v>
      </c>
      <c r="J927" s="106">
        <v>197</v>
      </c>
      <c r="K927" s="106">
        <v>1</v>
      </c>
      <c r="L927" s="106">
        <v>0</v>
      </c>
      <c r="M927" s="106">
        <v>146</v>
      </c>
      <c r="N927" s="106">
        <v>19</v>
      </c>
      <c r="O927" s="106">
        <v>28</v>
      </c>
      <c r="P927" s="106">
        <v>3</v>
      </c>
      <c r="Q927" s="108">
        <f t="shared" si="913"/>
        <v>5.076142131979695E-3</v>
      </c>
      <c r="R927" s="109">
        <f t="shared" si="909"/>
        <v>9.6446700507614211E-2</v>
      </c>
      <c r="S927" s="109">
        <f t="shared" si="910"/>
        <v>1.5228426395939087E-2</v>
      </c>
      <c r="T927" s="109">
        <f t="shared" si="911"/>
        <v>0.14213197969543148</v>
      </c>
      <c r="U927" s="110">
        <f t="shared" si="912"/>
        <v>0.25888324873096447</v>
      </c>
      <c r="V927" s="136"/>
    </row>
    <row r="928" spans="2:22" ht="15.75" hidden="1" x14ac:dyDescent="0.2">
      <c r="B928" s="711">
        <v>46147</v>
      </c>
      <c r="C928" s="105" t="s">
        <v>18</v>
      </c>
      <c r="D928" s="105" t="s">
        <v>20</v>
      </c>
      <c r="E928" s="711">
        <v>46148</v>
      </c>
      <c r="G928" s="190"/>
      <c r="H928" s="113" t="s">
        <v>19</v>
      </c>
      <c r="I928" s="113"/>
      <c r="J928" s="113">
        <f>SUM(J923:J927)</f>
        <v>633</v>
      </c>
      <c r="K928" s="113">
        <f t="shared" ref="K928:P928" si="914">SUM(K923:K927)</f>
        <v>161</v>
      </c>
      <c r="L928" s="113">
        <f t="shared" si="914"/>
        <v>46</v>
      </c>
      <c r="M928" s="113">
        <f t="shared" si="914"/>
        <v>205</v>
      </c>
      <c r="N928" s="113">
        <f t="shared" si="914"/>
        <v>56</v>
      </c>
      <c r="O928" s="113">
        <f>SUM(O923:O927)</f>
        <v>62</v>
      </c>
      <c r="P928" s="113">
        <f t="shared" si="914"/>
        <v>6</v>
      </c>
      <c r="Q928" s="115">
        <f>(K928+L928)/J928</f>
        <v>0.32701421800947866</v>
      </c>
      <c r="R928" s="116">
        <f t="shared" si="909"/>
        <v>8.8467614533965247E-2</v>
      </c>
      <c r="S928" s="116">
        <f t="shared" si="910"/>
        <v>9.4786729857819912E-3</v>
      </c>
      <c r="T928" s="116">
        <f t="shared" si="911"/>
        <v>9.7946287519747238E-2</v>
      </c>
      <c r="U928" s="117">
        <f t="shared" si="912"/>
        <v>0.52290679304897314</v>
      </c>
      <c r="V928" s="127"/>
    </row>
    <row r="929" spans="2:22" ht="15.75" hidden="1" x14ac:dyDescent="0.2">
      <c r="B929" s="711">
        <v>46148</v>
      </c>
      <c r="C929" s="105" t="s">
        <v>22</v>
      </c>
      <c r="D929" s="105" t="s">
        <v>23</v>
      </c>
      <c r="E929" s="711">
        <v>46148</v>
      </c>
      <c r="G929" s="833">
        <v>46148</v>
      </c>
      <c r="H929" s="120" t="s">
        <v>75</v>
      </c>
      <c r="I929" s="120" t="s">
        <v>112</v>
      </c>
      <c r="J929" s="106">
        <v>225</v>
      </c>
      <c r="K929" s="106">
        <f>225-62</f>
        <v>163</v>
      </c>
      <c r="L929" s="106">
        <f>54-18</f>
        <v>36</v>
      </c>
      <c r="M929" s="106">
        <v>5</v>
      </c>
      <c r="N929" s="106">
        <v>0</v>
      </c>
      <c r="O929" s="106">
        <v>18</v>
      </c>
      <c r="P929" s="106">
        <v>3</v>
      </c>
      <c r="Q929" s="108">
        <f t="shared" ref="Q929" si="915">(K929+L929)/J929</f>
        <v>0.88444444444444448</v>
      </c>
      <c r="R929" s="109">
        <f t="shared" ref="R929:R934" si="916">N929/J929</f>
        <v>0</v>
      </c>
      <c r="S929" s="109">
        <f t="shared" ref="S929:S934" si="917">P929/J929</f>
        <v>1.3333333333333334E-2</v>
      </c>
      <c r="T929" s="109">
        <f t="shared" ref="T929:T934" si="918">O929/J929</f>
        <v>0.08</v>
      </c>
      <c r="U929" s="110">
        <f t="shared" ref="U929:U934" si="919">S929+R929+Q929+T929</f>
        <v>0.97777777777777775</v>
      </c>
      <c r="V929" s="136"/>
    </row>
    <row r="930" spans="2:22" ht="15.75" hidden="1" x14ac:dyDescent="0.2">
      <c r="B930" s="711">
        <v>46148</v>
      </c>
      <c r="C930" s="105" t="s">
        <v>22</v>
      </c>
      <c r="D930" s="105" t="s">
        <v>23</v>
      </c>
      <c r="E930" s="711">
        <v>46148</v>
      </c>
      <c r="G930" s="834"/>
      <c r="H930" s="120" t="s">
        <v>84</v>
      </c>
      <c r="I930" s="120" t="s">
        <v>43</v>
      </c>
      <c r="J930" s="106">
        <v>15</v>
      </c>
      <c r="K930" s="106">
        <v>9</v>
      </c>
      <c r="L930" s="106">
        <v>2</v>
      </c>
      <c r="M930" s="106">
        <v>2</v>
      </c>
      <c r="N930" s="106">
        <v>0</v>
      </c>
      <c r="O930" s="106">
        <v>2</v>
      </c>
      <c r="P930" s="106">
        <v>0</v>
      </c>
      <c r="Q930" s="108">
        <f>(K930+L930)/J930</f>
        <v>0.73333333333333328</v>
      </c>
      <c r="R930" s="109">
        <f t="shared" si="916"/>
        <v>0</v>
      </c>
      <c r="S930" s="109">
        <f t="shared" si="917"/>
        <v>0</v>
      </c>
      <c r="T930" s="109">
        <f t="shared" si="918"/>
        <v>0.13333333333333333</v>
      </c>
      <c r="U930" s="110">
        <f t="shared" si="919"/>
        <v>0.86666666666666659</v>
      </c>
      <c r="V930" s="136"/>
    </row>
    <row r="931" spans="2:22" ht="15.75" hidden="1" x14ac:dyDescent="0.2">
      <c r="B931" s="711">
        <v>46148</v>
      </c>
      <c r="C931" s="105" t="s">
        <v>22</v>
      </c>
      <c r="D931" s="105" t="s">
        <v>23</v>
      </c>
      <c r="E931" s="711">
        <v>46148</v>
      </c>
      <c r="G931" s="834"/>
      <c r="H931" s="120" t="s">
        <v>14</v>
      </c>
      <c r="I931" s="120" t="s">
        <v>106</v>
      </c>
      <c r="J931" s="106">
        <v>171</v>
      </c>
      <c r="K931" s="106">
        <f>171-33</f>
        <v>138</v>
      </c>
      <c r="L931" s="106">
        <v>21</v>
      </c>
      <c r="M931" s="106">
        <v>2</v>
      </c>
      <c r="N931" s="106">
        <v>0</v>
      </c>
      <c r="O931" s="106">
        <v>10</v>
      </c>
      <c r="P931" s="106">
        <v>0</v>
      </c>
      <c r="Q931" s="108">
        <f t="shared" ref="Q931:Q933" si="920">(K931+L931)/J931</f>
        <v>0.92982456140350878</v>
      </c>
      <c r="R931" s="109">
        <f t="shared" si="916"/>
        <v>0</v>
      </c>
      <c r="S931" s="109">
        <f t="shared" si="917"/>
        <v>0</v>
      </c>
      <c r="T931" s="109">
        <f t="shared" si="918"/>
        <v>5.8479532163742687E-2</v>
      </c>
      <c r="U931" s="110">
        <f t="shared" si="919"/>
        <v>0.98830409356725146</v>
      </c>
      <c r="V931" s="136"/>
    </row>
    <row r="932" spans="2:22" ht="15.75" hidden="1" x14ac:dyDescent="0.2">
      <c r="B932" s="711">
        <v>46148</v>
      </c>
      <c r="C932" s="105" t="s">
        <v>22</v>
      </c>
      <c r="D932" s="105" t="s">
        <v>23</v>
      </c>
      <c r="E932" s="711">
        <v>46148</v>
      </c>
      <c r="G932" s="834"/>
      <c r="H932" s="120" t="s">
        <v>120</v>
      </c>
      <c r="I932" s="120" t="s">
        <v>106</v>
      </c>
      <c r="J932" s="106">
        <v>25</v>
      </c>
      <c r="K932" s="106">
        <v>21</v>
      </c>
      <c r="L932" s="106">
        <v>0</v>
      </c>
      <c r="M932" s="106">
        <v>3</v>
      </c>
      <c r="N932" s="106">
        <v>0</v>
      </c>
      <c r="O932" s="106">
        <v>0</v>
      </c>
      <c r="P932" s="106">
        <v>1</v>
      </c>
      <c r="Q932" s="108">
        <f t="shared" si="920"/>
        <v>0.84</v>
      </c>
      <c r="R932" s="109">
        <f t="shared" si="916"/>
        <v>0</v>
      </c>
      <c r="S932" s="109">
        <f t="shared" si="917"/>
        <v>0.04</v>
      </c>
      <c r="T932" s="109">
        <f t="shared" si="918"/>
        <v>0</v>
      </c>
      <c r="U932" s="110">
        <f t="shared" si="919"/>
        <v>0.88</v>
      </c>
      <c r="V932" s="136"/>
    </row>
    <row r="933" spans="2:22" ht="15.75" hidden="1" x14ac:dyDescent="0.2">
      <c r="B933" s="711">
        <v>46148</v>
      </c>
      <c r="C933" s="105" t="s">
        <v>22</v>
      </c>
      <c r="D933" s="105" t="s">
        <v>23</v>
      </c>
      <c r="E933" s="711">
        <v>46148</v>
      </c>
      <c r="G933" s="835"/>
      <c r="H933" s="120" t="s">
        <v>17</v>
      </c>
      <c r="I933" s="120" t="s">
        <v>105</v>
      </c>
      <c r="J933" s="106">
        <v>197</v>
      </c>
      <c r="K933" s="106">
        <f>197-134</f>
        <v>63</v>
      </c>
      <c r="L933" s="106">
        <v>22</v>
      </c>
      <c r="M933" s="106">
        <v>66</v>
      </c>
      <c r="N933" s="106">
        <v>19</v>
      </c>
      <c r="O933" s="106">
        <v>24</v>
      </c>
      <c r="P933" s="106">
        <v>3</v>
      </c>
      <c r="Q933" s="108">
        <f t="shared" si="920"/>
        <v>0.43147208121827413</v>
      </c>
      <c r="R933" s="109">
        <f t="shared" si="916"/>
        <v>9.6446700507614211E-2</v>
      </c>
      <c r="S933" s="109">
        <f t="shared" si="917"/>
        <v>1.5228426395939087E-2</v>
      </c>
      <c r="T933" s="109">
        <f t="shared" si="918"/>
        <v>0.12182741116751269</v>
      </c>
      <c r="U933" s="110">
        <f t="shared" si="919"/>
        <v>0.6649746192893401</v>
      </c>
      <c r="V933" s="136"/>
    </row>
    <row r="934" spans="2:22" ht="15.75" hidden="1" x14ac:dyDescent="0.2">
      <c r="B934" s="711">
        <v>46148</v>
      </c>
      <c r="C934" s="105" t="s">
        <v>22</v>
      </c>
      <c r="D934" s="105" t="s">
        <v>23</v>
      </c>
      <c r="E934" s="711">
        <v>46148</v>
      </c>
      <c r="G934" s="190"/>
      <c r="H934" s="113" t="s">
        <v>19</v>
      </c>
      <c r="I934" s="113"/>
      <c r="J934" s="113">
        <f>SUM(J929:J933)</f>
        <v>633</v>
      </c>
      <c r="K934" s="113">
        <f t="shared" ref="K934:N934" si="921">SUM(K929:K933)</f>
        <v>394</v>
      </c>
      <c r="L934" s="113">
        <f t="shared" si="921"/>
        <v>81</v>
      </c>
      <c r="M934" s="113">
        <f t="shared" si="921"/>
        <v>78</v>
      </c>
      <c r="N934" s="113">
        <f t="shared" si="921"/>
        <v>19</v>
      </c>
      <c r="O934" s="113">
        <f>SUM(O929:O933)</f>
        <v>54</v>
      </c>
      <c r="P934" s="113">
        <f t="shared" ref="P934" si="922">SUM(P929:P933)</f>
        <v>7</v>
      </c>
      <c r="Q934" s="115">
        <f>(K934+L934)/J934</f>
        <v>0.75039494470774093</v>
      </c>
      <c r="R934" s="116">
        <f t="shared" si="916"/>
        <v>3.0015797788309637E-2</v>
      </c>
      <c r="S934" s="116">
        <f t="shared" si="917"/>
        <v>1.1058451816745656E-2</v>
      </c>
      <c r="T934" s="116">
        <f t="shared" si="918"/>
        <v>8.5308056872037921E-2</v>
      </c>
      <c r="U934" s="117">
        <f t="shared" si="919"/>
        <v>0.87677725118483418</v>
      </c>
      <c r="V934" s="127"/>
    </row>
    <row r="935" spans="2:22" ht="15.75" hidden="1" x14ac:dyDescent="0.2">
      <c r="B935" s="711">
        <v>46148</v>
      </c>
      <c r="C935" s="105" t="s">
        <v>12</v>
      </c>
      <c r="D935" s="105" t="s">
        <v>13</v>
      </c>
      <c r="E935" s="711">
        <v>46148</v>
      </c>
      <c r="G935" s="833">
        <v>46148</v>
      </c>
      <c r="H935" s="120" t="s">
        <v>75</v>
      </c>
      <c r="I935" s="120" t="s">
        <v>112</v>
      </c>
      <c r="J935" s="106">
        <f>15+18+12</f>
        <v>45</v>
      </c>
      <c r="K935" s="106">
        <f>J935-L935-M935-N935-O935-P935</f>
        <v>15</v>
      </c>
      <c r="L935" s="106">
        <v>18</v>
      </c>
      <c r="M935" s="106">
        <v>0</v>
      </c>
      <c r="N935" s="106">
        <v>0</v>
      </c>
      <c r="O935" s="106">
        <v>12</v>
      </c>
      <c r="P935" s="106">
        <v>0</v>
      </c>
      <c r="Q935" s="108">
        <f t="shared" ref="Q935" si="923">(K935+L935)/J935</f>
        <v>0.73333333333333328</v>
      </c>
      <c r="R935" s="109">
        <f t="shared" ref="R935:R939" si="924">N935/J935</f>
        <v>0</v>
      </c>
      <c r="S935" s="109">
        <f t="shared" ref="S935:S939" si="925">P935/J935</f>
        <v>0</v>
      </c>
      <c r="T935" s="109">
        <f t="shared" ref="T935:T939" si="926">O935/J935</f>
        <v>0.26666666666666666</v>
      </c>
      <c r="U935" s="110">
        <f t="shared" ref="U935:U939" si="927">S935+R935+Q935+T935</f>
        <v>1</v>
      </c>
      <c r="V935" s="136"/>
    </row>
    <row r="936" spans="2:22" ht="15.75" hidden="1" x14ac:dyDescent="0.2">
      <c r="B936" s="711">
        <v>46148</v>
      </c>
      <c r="C936" s="105" t="s">
        <v>12</v>
      </c>
      <c r="D936" s="105" t="s">
        <v>13</v>
      </c>
      <c r="E936" s="711">
        <v>46148</v>
      </c>
      <c r="G936" s="834"/>
      <c r="H936" s="120" t="s">
        <v>84</v>
      </c>
      <c r="I936" s="120" t="s">
        <v>43</v>
      </c>
      <c r="J936" s="106">
        <v>2</v>
      </c>
      <c r="K936" s="106">
        <f t="shared" ref="K936:K938" si="928">J936-L936-M936-N936-O936-P936</f>
        <v>0</v>
      </c>
      <c r="L936" s="106">
        <v>0</v>
      </c>
      <c r="M936" s="106">
        <v>2</v>
      </c>
      <c r="N936" s="106">
        <v>0</v>
      </c>
      <c r="O936" s="106">
        <v>0</v>
      </c>
      <c r="P936" s="106">
        <v>0</v>
      </c>
      <c r="Q936" s="108">
        <f>(K936+L936)/J936</f>
        <v>0</v>
      </c>
      <c r="R936" s="109">
        <f t="shared" si="924"/>
        <v>0</v>
      </c>
      <c r="S936" s="109">
        <f t="shared" si="925"/>
        <v>0</v>
      </c>
      <c r="T936" s="109">
        <f t="shared" si="926"/>
        <v>0</v>
      </c>
      <c r="U936" s="110">
        <f t="shared" si="927"/>
        <v>0</v>
      </c>
      <c r="V936" s="136"/>
    </row>
    <row r="937" spans="2:22" ht="15.75" hidden="1" x14ac:dyDescent="0.2">
      <c r="B937" s="711">
        <v>46148</v>
      </c>
      <c r="C937" s="105" t="s">
        <v>12</v>
      </c>
      <c r="D937" s="105" t="s">
        <v>13</v>
      </c>
      <c r="E937" s="711">
        <v>46148</v>
      </c>
      <c r="G937" s="834"/>
      <c r="H937" s="120" t="s">
        <v>14</v>
      </c>
      <c r="I937" s="120" t="s">
        <v>106</v>
      </c>
      <c r="J937" s="106">
        <v>3</v>
      </c>
      <c r="K937" s="106">
        <f t="shared" si="928"/>
        <v>3</v>
      </c>
      <c r="L937" s="106">
        <v>0</v>
      </c>
      <c r="M937" s="106">
        <v>0</v>
      </c>
      <c r="N937" s="106">
        <v>0</v>
      </c>
      <c r="O937" s="106">
        <v>0</v>
      </c>
      <c r="P937" s="106">
        <v>0</v>
      </c>
      <c r="Q937" s="108">
        <f t="shared" ref="Q937:Q938" si="929">(K937+L937)/J937</f>
        <v>1</v>
      </c>
      <c r="R937" s="109">
        <f t="shared" si="924"/>
        <v>0</v>
      </c>
      <c r="S937" s="109">
        <f t="shared" si="925"/>
        <v>0</v>
      </c>
      <c r="T937" s="109">
        <f t="shared" si="926"/>
        <v>0</v>
      </c>
      <c r="U937" s="110">
        <f t="shared" si="927"/>
        <v>1</v>
      </c>
      <c r="V937" s="136"/>
    </row>
    <row r="938" spans="2:22" ht="15.75" hidden="1" x14ac:dyDescent="0.2">
      <c r="B938" s="711">
        <v>46148</v>
      </c>
      <c r="C938" s="105" t="s">
        <v>12</v>
      </c>
      <c r="D938" s="105" t="s">
        <v>13</v>
      </c>
      <c r="E938" s="711">
        <v>46148</v>
      </c>
      <c r="G938" s="835"/>
      <c r="H938" s="120" t="s">
        <v>17</v>
      </c>
      <c r="I938" s="120" t="s">
        <v>105</v>
      </c>
      <c r="J938" s="106">
        <v>197</v>
      </c>
      <c r="K938" s="106">
        <f t="shared" si="928"/>
        <v>139</v>
      </c>
      <c r="L938" s="106">
        <v>26</v>
      </c>
      <c r="M938" s="106">
        <v>5</v>
      </c>
      <c r="N938" s="106">
        <v>0</v>
      </c>
      <c r="O938" s="106">
        <v>24</v>
      </c>
      <c r="P938" s="106">
        <v>3</v>
      </c>
      <c r="Q938" s="108">
        <f t="shared" si="929"/>
        <v>0.8375634517766497</v>
      </c>
      <c r="R938" s="109">
        <f t="shared" si="924"/>
        <v>0</v>
      </c>
      <c r="S938" s="109">
        <f t="shared" si="925"/>
        <v>1.5228426395939087E-2</v>
      </c>
      <c r="T938" s="109">
        <f t="shared" si="926"/>
        <v>0.12182741116751269</v>
      </c>
      <c r="U938" s="110">
        <f t="shared" si="927"/>
        <v>0.97461928934010156</v>
      </c>
      <c r="V938" s="136" t="s">
        <v>119</v>
      </c>
    </row>
    <row r="939" spans="2:22" ht="15.75" hidden="1" x14ac:dyDescent="0.2">
      <c r="B939" s="711">
        <v>46148</v>
      </c>
      <c r="C939" s="105" t="s">
        <v>12</v>
      </c>
      <c r="D939" s="105" t="s">
        <v>13</v>
      </c>
      <c r="E939" s="711">
        <v>46148</v>
      </c>
      <c r="G939" s="190"/>
      <c r="H939" s="113" t="s">
        <v>19</v>
      </c>
      <c r="I939" s="113"/>
      <c r="J939" s="113">
        <f t="shared" ref="J939:P939" si="930">SUM(J935:J938)</f>
        <v>247</v>
      </c>
      <c r="K939" s="113">
        <f t="shared" si="930"/>
        <v>157</v>
      </c>
      <c r="L939" s="113">
        <f t="shared" si="930"/>
        <v>44</v>
      </c>
      <c r="M939" s="113">
        <f t="shared" si="930"/>
        <v>7</v>
      </c>
      <c r="N939" s="113">
        <f t="shared" si="930"/>
        <v>0</v>
      </c>
      <c r="O939" s="113">
        <f t="shared" si="930"/>
        <v>36</v>
      </c>
      <c r="P939" s="113">
        <f t="shared" si="930"/>
        <v>3</v>
      </c>
      <c r="Q939" s="115">
        <f>(K939+L939)/J939</f>
        <v>0.81376518218623484</v>
      </c>
      <c r="R939" s="116">
        <f t="shared" si="924"/>
        <v>0</v>
      </c>
      <c r="S939" s="116">
        <f t="shared" si="925"/>
        <v>1.2145748987854251E-2</v>
      </c>
      <c r="T939" s="116">
        <f t="shared" si="926"/>
        <v>0.145748987854251</v>
      </c>
      <c r="U939" s="117">
        <f t="shared" si="927"/>
        <v>0.97165991902834015</v>
      </c>
      <c r="V939" s="127"/>
    </row>
    <row r="940" spans="2:22" ht="15.75" hidden="1" x14ac:dyDescent="0.2">
      <c r="B940" s="711">
        <v>46148</v>
      </c>
      <c r="C940" s="105" t="s">
        <v>12</v>
      </c>
      <c r="D940" s="105" t="s">
        <v>13</v>
      </c>
      <c r="E940" s="711">
        <v>46149</v>
      </c>
      <c r="G940" s="833">
        <v>46149</v>
      </c>
      <c r="H940" s="120" t="s">
        <v>75</v>
      </c>
      <c r="I940" s="120" t="s">
        <v>112</v>
      </c>
      <c r="J940" s="106">
        <v>242</v>
      </c>
      <c r="K940" s="106">
        <f>J940-L940-M940-N940-O940-P940</f>
        <v>86</v>
      </c>
      <c r="L940" s="106">
        <v>49</v>
      </c>
      <c r="M940" s="106">
        <v>107</v>
      </c>
      <c r="N940" s="106">
        <v>0</v>
      </c>
      <c r="O940" s="106">
        <v>0</v>
      </c>
      <c r="P940" s="106">
        <v>0</v>
      </c>
      <c r="Q940" s="108">
        <f t="shared" ref="Q940" si="931">(K940+L940)/J940</f>
        <v>0.55785123966942152</v>
      </c>
      <c r="R940" s="109">
        <f t="shared" ref="R940:R956" si="932">N940/J940</f>
        <v>0</v>
      </c>
      <c r="S940" s="109">
        <f t="shared" ref="S940:S956" si="933">P940/J940</f>
        <v>0</v>
      </c>
      <c r="T940" s="109">
        <f t="shared" ref="T940:T956" si="934">O940/J940</f>
        <v>0</v>
      </c>
      <c r="U940" s="110">
        <f t="shared" ref="U940:U956" si="935">S940+R940+Q940+T940</f>
        <v>0.55785123966942152</v>
      </c>
      <c r="V940" s="136"/>
    </row>
    <row r="941" spans="2:22" ht="15.75" hidden="1" x14ac:dyDescent="0.2">
      <c r="B941" s="711">
        <v>46148</v>
      </c>
      <c r="C941" s="105" t="s">
        <v>12</v>
      </c>
      <c r="D941" s="105" t="s">
        <v>13</v>
      </c>
      <c r="E941" s="711">
        <v>46149</v>
      </c>
      <c r="G941" s="834"/>
      <c r="H941" s="120" t="s">
        <v>84</v>
      </c>
      <c r="I941" s="120" t="s">
        <v>43</v>
      </c>
      <c r="J941" s="106">
        <v>52</v>
      </c>
      <c r="K941" s="106">
        <f t="shared" ref="K941:K945" si="936">J941-L941-M941-N941-O941-P941</f>
        <v>0</v>
      </c>
      <c r="L941" s="106">
        <v>0</v>
      </c>
      <c r="M941" s="106">
        <v>52</v>
      </c>
      <c r="N941" s="106">
        <v>0</v>
      </c>
      <c r="O941" s="106">
        <v>0</v>
      </c>
      <c r="P941" s="106">
        <v>0</v>
      </c>
      <c r="Q941" s="108">
        <f>(K941+L941)/J941</f>
        <v>0</v>
      </c>
      <c r="R941" s="109">
        <f t="shared" si="932"/>
        <v>0</v>
      </c>
      <c r="S941" s="109">
        <f t="shared" si="933"/>
        <v>0</v>
      </c>
      <c r="T941" s="109">
        <f t="shared" si="934"/>
        <v>0</v>
      </c>
      <c r="U941" s="110">
        <f t="shared" si="935"/>
        <v>0</v>
      </c>
      <c r="V941" s="136"/>
    </row>
    <row r="942" spans="2:22" ht="15.75" hidden="1" x14ac:dyDescent="0.2">
      <c r="B942" s="711">
        <v>46148</v>
      </c>
      <c r="C942" s="105" t="s">
        <v>12</v>
      </c>
      <c r="D942" s="105" t="s">
        <v>13</v>
      </c>
      <c r="E942" s="711">
        <v>46149</v>
      </c>
      <c r="G942" s="834"/>
      <c r="H942" s="120" t="s">
        <v>14</v>
      </c>
      <c r="I942" s="120" t="s">
        <v>106</v>
      </c>
      <c r="J942" s="106">
        <v>208</v>
      </c>
      <c r="K942" s="106">
        <f t="shared" si="936"/>
        <v>0</v>
      </c>
      <c r="L942" s="106">
        <v>0</v>
      </c>
      <c r="M942" s="106">
        <v>208</v>
      </c>
      <c r="N942" s="106">
        <v>0</v>
      </c>
      <c r="O942" s="106">
        <v>0</v>
      </c>
      <c r="P942" s="106">
        <v>0</v>
      </c>
      <c r="Q942" s="108">
        <f t="shared" ref="Q942:Q945" si="937">(K942+L942)/J942</f>
        <v>0</v>
      </c>
      <c r="R942" s="109">
        <f t="shared" si="932"/>
        <v>0</v>
      </c>
      <c r="S942" s="109">
        <f t="shared" si="933"/>
        <v>0</v>
      </c>
      <c r="T942" s="109">
        <f t="shared" si="934"/>
        <v>0</v>
      </c>
      <c r="U942" s="110">
        <f t="shared" si="935"/>
        <v>0</v>
      </c>
      <c r="V942" s="136"/>
    </row>
    <row r="943" spans="2:22" ht="15.75" hidden="1" x14ac:dyDescent="0.2">
      <c r="B943" s="711">
        <v>46148</v>
      </c>
      <c r="C943" s="105" t="s">
        <v>12</v>
      </c>
      <c r="D943" s="105" t="s">
        <v>13</v>
      </c>
      <c r="E943" s="711">
        <v>46149</v>
      </c>
      <c r="G943" s="834"/>
      <c r="H943" s="120" t="s">
        <v>26</v>
      </c>
      <c r="I943" s="120" t="s">
        <v>112</v>
      </c>
      <c r="J943" s="106">
        <v>3</v>
      </c>
      <c r="K943" s="106">
        <f t="shared" si="936"/>
        <v>0</v>
      </c>
      <c r="L943" s="106">
        <v>0</v>
      </c>
      <c r="M943" s="106">
        <v>3</v>
      </c>
      <c r="N943" s="106">
        <v>0</v>
      </c>
      <c r="O943" s="106">
        <v>0</v>
      </c>
      <c r="P943" s="106">
        <v>0</v>
      </c>
      <c r="Q943" s="108">
        <f t="shared" ref="Q943" si="938">(K943+L943)/J943</f>
        <v>0</v>
      </c>
      <c r="R943" s="109">
        <f t="shared" ref="R943" si="939">N943/J943</f>
        <v>0</v>
      </c>
      <c r="S943" s="109">
        <f t="shared" ref="S943" si="940">P943/J943</f>
        <v>0</v>
      </c>
      <c r="T943" s="109">
        <f t="shared" ref="T943" si="941">O943/J943</f>
        <v>0</v>
      </c>
      <c r="U943" s="110">
        <f t="shared" ref="U943" si="942">S943+R943+Q943+T943</f>
        <v>0</v>
      </c>
      <c r="V943" s="136"/>
    </row>
    <row r="944" spans="2:22" ht="15.75" hidden="1" x14ac:dyDescent="0.2">
      <c r="B944" s="711">
        <v>46148</v>
      </c>
      <c r="C944" s="105" t="s">
        <v>12</v>
      </c>
      <c r="D944" s="105" t="s">
        <v>13</v>
      </c>
      <c r="E944" s="711">
        <v>46149</v>
      </c>
      <c r="G944" s="834"/>
      <c r="H944" s="120" t="s">
        <v>120</v>
      </c>
      <c r="I944" s="120" t="s">
        <v>43</v>
      </c>
      <c r="J944" s="106">
        <v>24</v>
      </c>
      <c r="K944" s="106">
        <f t="shared" si="936"/>
        <v>0</v>
      </c>
      <c r="L944" s="106">
        <v>0</v>
      </c>
      <c r="M944" s="106">
        <v>24</v>
      </c>
      <c r="N944" s="106">
        <v>0</v>
      </c>
      <c r="O944" s="106">
        <v>0</v>
      </c>
      <c r="P944" s="106">
        <v>0</v>
      </c>
      <c r="Q944" s="108">
        <f t="shared" ref="Q944" si="943">(K944+L944)/J944</f>
        <v>0</v>
      </c>
      <c r="R944" s="109">
        <f t="shared" ref="R944" si="944">N944/J944</f>
        <v>0</v>
      </c>
      <c r="S944" s="109">
        <f t="shared" ref="S944" si="945">P944/J944</f>
        <v>0</v>
      </c>
      <c r="T944" s="109">
        <f t="shared" ref="T944" si="946">O944/J944</f>
        <v>0</v>
      </c>
      <c r="U944" s="110">
        <f t="shared" ref="U944" si="947">S944+R944+Q944+T944</f>
        <v>0</v>
      </c>
      <c r="V944" s="136"/>
    </row>
    <row r="945" spans="2:25" ht="15.75" hidden="1" x14ac:dyDescent="0.2">
      <c r="B945" s="711">
        <v>46148</v>
      </c>
      <c r="C945" s="105" t="s">
        <v>12</v>
      </c>
      <c r="D945" s="105" t="s">
        <v>13</v>
      </c>
      <c r="E945" s="711">
        <v>46149</v>
      </c>
      <c r="G945" s="835"/>
      <c r="H945" s="120" t="s">
        <v>17</v>
      </c>
      <c r="I945" s="120" t="s">
        <v>105</v>
      </c>
      <c r="J945" s="106">
        <v>206</v>
      </c>
      <c r="K945" s="106">
        <f t="shared" si="936"/>
        <v>0</v>
      </c>
      <c r="L945" s="106">
        <v>0</v>
      </c>
      <c r="M945" s="106">
        <v>206</v>
      </c>
      <c r="N945" s="106">
        <v>0</v>
      </c>
      <c r="O945" s="106">
        <v>0</v>
      </c>
      <c r="P945" s="106">
        <v>0</v>
      </c>
      <c r="Q945" s="108">
        <f t="shared" si="937"/>
        <v>0</v>
      </c>
      <c r="R945" s="109">
        <f t="shared" si="932"/>
        <v>0</v>
      </c>
      <c r="S945" s="109">
        <f t="shared" si="933"/>
        <v>0</v>
      </c>
      <c r="T945" s="109">
        <f t="shared" si="934"/>
        <v>0</v>
      </c>
      <c r="U945" s="110">
        <f t="shared" si="935"/>
        <v>0</v>
      </c>
      <c r="V945" s="136"/>
    </row>
    <row r="946" spans="2:25" ht="15.75" hidden="1" x14ac:dyDescent="0.2">
      <c r="B946" s="711">
        <v>46148</v>
      </c>
      <c r="C946" s="105" t="s">
        <v>12</v>
      </c>
      <c r="D946" s="105" t="s">
        <v>13</v>
      </c>
      <c r="E946" s="711">
        <v>46149</v>
      </c>
      <c r="G946" s="190"/>
      <c r="H946" s="113" t="s">
        <v>19</v>
      </c>
      <c r="I946" s="113"/>
      <c r="J946" s="113">
        <f t="shared" ref="J946:P946" si="948">SUM(J940:J945)</f>
        <v>735</v>
      </c>
      <c r="K946" s="113">
        <f t="shared" si="948"/>
        <v>86</v>
      </c>
      <c r="L946" s="113">
        <f t="shared" si="948"/>
        <v>49</v>
      </c>
      <c r="M946" s="113">
        <f t="shared" si="948"/>
        <v>600</v>
      </c>
      <c r="N946" s="113">
        <f t="shared" si="948"/>
        <v>0</v>
      </c>
      <c r="O946" s="113">
        <f t="shared" si="948"/>
        <v>0</v>
      </c>
      <c r="P946" s="113">
        <f t="shared" si="948"/>
        <v>0</v>
      </c>
      <c r="Q946" s="115">
        <f>(K946+L946)/J946</f>
        <v>0.18367346938775511</v>
      </c>
      <c r="R946" s="116">
        <f t="shared" si="932"/>
        <v>0</v>
      </c>
      <c r="S946" s="116">
        <f t="shared" si="933"/>
        <v>0</v>
      </c>
      <c r="T946" s="116">
        <f t="shared" si="934"/>
        <v>0</v>
      </c>
      <c r="U946" s="117">
        <f t="shared" si="935"/>
        <v>0.18367346938775511</v>
      </c>
      <c r="V946" s="127"/>
    </row>
    <row r="947" spans="2:25" ht="15.75" hidden="1" x14ac:dyDescent="0.2">
      <c r="B947" s="711">
        <v>46148</v>
      </c>
      <c r="C947" s="105" t="s">
        <v>18</v>
      </c>
      <c r="D947" s="105" t="s">
        <v>20</v>
      </c>
      <c r="E947" s="711">
        <v>46148</v>
      </c>
      <c r="G947" s="833">
        <v>46148</v>
      </c>
      <c r="H947" s="120" t="s">
        <v>75</v>
      </c>
      <c r="I947" s="120" t="s">
        <v>112</v>
      </c>
      <c r="J947" s="106">
        <f>SUM(K947:P947)</f>
        <v>22</v>
      </c>
      <c r="K947" s="106">
        <v>7</v>
      </c>
      <c r="L947" s="106">
        <v>14</v>
      </c>
      <c r="M947" s="106">
        <v>0</v>
      </c>
      <c r="N947" s="106">
        <v>0</v>
      </c>
      <c r="O947" s="106">
        <v>0</v>
      </c>
      <c r="P947" s="106">
        <v>1</v>
      </c>
      <c r="Q947" s="108">
        <f t="shared" ref="Q947:Q950" si="949">(K947+L947)/J947</f>
        <v>0.95454545454545459</v>
      </c>
      <c r="R947" s="109">
        <f t="shared" si="932"/>
        <v>0</v>
      </c>
      <c r="S947" s="109">
        <f t="shared" si="933"/>
        <v>4.5454545454545456E-2</v>
      </c>
      <c r="T947" s="109">
        <f t="shared" si="934"/>
        <v>0</v>
      </c>
      <c r="U947" s="110">
        <f t="shared" si="935"/>
        <v>1</v>
      </c>
      <c r="V947" s="136"/>
    </row>
    <row r="948" spans="2:25" ht="15.75" hidden="1" x14ac:dyDescent="0.2">
      <c r="B948" s="711">
        <v>46148</v>
      </c>
      <c r="C948" s="105" t="s">
        <v>18</v>
      </c>
      <c r="D948" s="105" t="s">
        <v>20</v>
      </c>
      <c r="E948" s="711">
        <v>46148</v>
      </c>
      <c r="G948" s="834"/>
      <c r="H948" s="120" t="s">
        <v>14</v>
      </c>
      <c r="I948" s="120" t="s">
        <v>106</v>
      </c>
      <c r="J948" s="106">
        <f>SUM(K948:P948)</f>
        <v>5</v>
      </c>
      <c r="K948" s="106">
        <v>5</v>
      </c>
      <c r="L948" s="106">
        <v>0</v>
      </c>
      <c r="M948" s="106">
        <v>0</v>
      </c>
      <c r="N948" s="106">
        <v>0</v>
      </c>
      <c r="O948" s="106">
        <v>0</v>
      </c>
      <c r="P948" s="106">
        <v>0</v>
      </c>
      <c r="Q948" s="108">
        <f t="shared" ref="Q948" si="950">(K948+L948)/J948</f>
        <v>1</v>
      </c>
      <c r="R948" s="109">
        <f t="shared" ref="R948" si="951">N948/J948</f>
        <v>0</v>
      </c>
      <c r="S948" s="109">
        <f t="shared" ref="S948" si="952">P948/J948</f>
        <v>0</v>
      </c>
      <c r="T948" s="109">
        <f t="shared" ref="T948" si="953">O948/J948</f>
        <v>0</v>
      </c>
      <c r="U948" s="110">
        <f t="shared" ref="U948" si="954">S948+R948+Q948+T948</f>
        <v>1</v>
      </c>
      <c r="V948" s="136"/>
    </row>
    <row r="949" spans="2:25" ht="15.75" hidden="1" x14ac:dyDescent="0.2">
      <c r="B949" s="711">
        <v>46148</v>
      </c>
      <c r="C949" s="105" t="s">
        <v>18</v>
      </c>
      <c r="D949" s="105" t="s">
        <v>20</v>
      </c>
      <c r="E949" s="711">
        <v>46148</v>
      </c>
      <c r="G949" s="835"/>
      <c r="H949" s="120" t="s">
        <v>17</v>
      </c>
      <c r="I949" s="120" t="s">
        <v>105</v>
      </c>
      <c r="J949" s="106">
        <f>SUM(K949:P949)</f>
        <v>35</v>
      </c>
      <c r="K949" s="106">
        <v>17</v>
      </c>
      <c r="L949" s="106">
        <v>17</v>
      </c>
      <c r="M949" s="106">
        <v>0</v>
      </c>
      <c r="N949" s="106">
        <v>0</v>
      </c>
      <c r="O949" s="106">
        <v>0</v>
      </c>
      <c r="P949" s="106">
        <v>1</v>
      </c>
      <c r="Q949" s="108">
        <f t="shared" si="949"/>
        <v>0.97142857142857142</v>
      </c>
      <c r="R949" s="109">
        <f t="shared" si="932"/>
        <v>0</v>
      </c>
      <c r="S949" s="109">
        <f t="shared" si="933"/>
        <v>2.8571428571428571E-2</v>
      </c>
      <c r="T949" s="109">
        <f t="shared" si="934"/>
        <v>0</v>
      </c>
      <c r="U949" s="110">
        <f t="shared" si="935"/>
        <v>1</v>
      </c>
      <c r="V949" s="136"/>
    </row>
    <row r="950" spans="2:25" ht="15.75" hidden="1" x14ac:dyDescent="0.2">
      <c r="B950" s="711">
        <v>46148</v>
      </c>
      <c r="C950" s="105" t="s">
        <v>18</v>
      </c>
      <c r="D950" s="105" t="s">
        <v>20</v>
      </c>
      <c r="E950" s="711">
        <v>46149</v>
      </c>
      <c r="G950" s="838">
        <v>46149</v>
      </c>
      <c r="H950" s="120" t="s">
        <v>75</v>
      </c>
      <c r="I950" s="120" t="s">
        <v>112</v>
      </c>
      <c r="J950" s="106">
        <v>242</v>
      </c>
      <c r="K950" s="106">
        <v>55</v>
      </c>
      <c r="L950" s="106">
        <v>37</v>
      </c>
      <c r="M950" s="106">
        <v>25</v>
      </c>
      <c r="N950" s="106">
        <v>0</v>
      </c>
      <c r="O950" s="106">
        <v>0</v>
      </c>
      <c r="P950" s="106">
        <v>5</v>
      </c>
      <c r="Q950" s="108">
        <f t="shared" si="949"/>
        <v>0.38016528925619836</v>
      </c>
      <c r="R950" s="109">
        <f t="shared" si="932"/>
        <v>0</v>
      </c>
      <c r="S950" s="109">
        <f t="shared" si="933"/>
        <v>2.0661157024793389E-2</v>
      </c>
      <c r="T950" s="109">
        <f t="shared" si="934"/>
        <v>0</v>
      </c>
      <c r="U950" s="110">
        <f t="shared" si="935"/>
        <v>0.40082644628099173</v>
      </c>
      <c r="V950" s="136"/>
    </row>
    <row r="951" spans="2:25" ht="15.75" hidden="1" x14ac:dyDescent="0.2">
      <c r="B951" s="711">
        <v>46148</v>
      </c>
      <c r="C951" s="105" t="s">
        <v>18</v>
      </c>
      <c r="D951" s="105" t="s">
        <v>20</v>
      </c>
      <c r="E951" s="711">
        <v>46149</v>
      </c>
      <c r="G951" s="839"/>
      <c r="H951" s="120" t="s">
        <v>84</v>
      </c>
      <c r="I951" s="120" t="s">
        <v>43</v>
      </c>
      <c r="J951" s="106">
        <v>52</v>
      </c>
      <c r="K951" s="106">
        <v>0</v>
      </c>
      <c r="L951" s="106">
        <v>0</v>
      </c>
      <c r="M951" s="106">
        <v>46</v>
      </c>
      <c r="N951" s="106">
        <v>0</v>
      </c>
      <c r="O951" s="106">
        <v>0</v>
      </c>
      <c r="P951" s="106">
        <v>6</v>
      </c>
      <c r="Q951" s="108">
        <f>(K951+L951)/J951</f>
        <v>0</v>
      </c>
      <c r="R951" s="109">
        <f t="shared" si="932"/>
        <v>0</v>
      </c>
      <c r="S951" s="109">
        <f t="shared" si="933"/>
        <v>0.11538461538461539</v>
      </c>
      <c r="T951" s="109">
        <f t="shared" si="934"/>
        <v>0</v>
      </c>
      <c r="U951" s="110">
        <f t="shared" si="935"/>
        <v>0.11538461538461539</v>
      </c>
      <c r="V951" s="136"/>
    </row>
    <row r="952" spans="2:25" ht="15.75" hidden="1" x14ac:dyDescent="0.2">
      <c r="B952" s="711">
        <v>46148</v>
      </c>
      <c r="C952" s="105" t="s">
        <v>18</v>
      </c>
      <c r="D952" s="105" t="s">
        <v>20</v>
      </c>
      <c r="E952" s="711">
        <v>46149</v>
      </c>
      <c r="G952" s="839"/>
      <c r="H952" s="120" t="s">
        <v>14</v>
      </c>
      <c r="I952" s="120" t="s">
        <v>106</v>
      </c>
      <c r="J952" s="106">
        <v>208</v>
      </c>
      <c r="K952" s="106">
        <v>132</v>
      </c>
      <c r="L952" s="106">
        <v>47</v>
      </c>
      <c r="M952" s="106">
        <v>19</v>
      </c>
      <c r="N952" s="106">
        <v>0</v>
      </c>
      <c r="O952" s="106">
        <v>0</v>
      </c>
      <c r="P952" s="106">
        <v>11</v>
      </c>
      <c r="Q952" s="108">
        <f t="shared" ref="Q952:Q955" si="955">(K952+L952)/J952</f>
        <v>0.86057692307692313</v>
      </c>
      <c r="R952" s="109">
        <f t="shared" si="932"/>
        <v>0</v>
      </c>
      <c r="S952" s="109">
        <f t="shared" si="933"/>
        <v>5.2884615384615384E-2</v>
      </c>
      <c r="T952" s="109">
        <f t="shared" si="934"/>
        <v>0</v>
      </c>
      <c r="U952" s="110">
        <f t="shared" si="935"/>
        <v>0.91346153846153855</v>
      </c>
      <c r="V952" s="136"/>
    </row>
    <row r="953" spans="2:25" ht="15.75" hidden="1" x14ac:dyDescent="0.2">
      <c r="B953" s="711">
        <v>46148</v>
      </c>
      <c r="C953" s="105" t="s">
        <v>18</v>
      </c>
      <c r="D953" s="105" t="s">
        <v>20</v>
      </c>
      <c r="E953" s="711">
        <v>46149</v>
      </c>
      <c r="G953" s="839"/>
      <c r="H953" s="120" t="s">
        <v>120</v>
      </c>
      <c r="I953" s="120" t="s">
        <v>106</v>
      </c>
      <c r="J953" s="106">
        <v>23</v>
      </c>
      <c r="K953" s="106">
        <v>0</v>
      </c>
      <c r="L953" s="106">
        <v>0</v>
      </c>
      <c r="M953" s="106">
        <v>0</v>
      </c>
      <c r="N953" s="106">
        <v>12</v>
      </c>
      <c r="O953" s="106">
        <v>0</v>
      </c>
      <c r="P953" s="106">
        <v>11</v>
      </c>
      <c r="Q953" s="108">
        <f t="shared" si="955"/>
        <v>0</v>
      </c>
      <c r="R953" s="109">
        <f t="shared" si="932"/>
        <v>0.52173913043478259</v>
      </c>
      <c r="S953" s="109">
        <f t="shared" si="933"/>
        <v>0.47826086956521741</v>
      </c>
      <c r="T953" s="109">
        <f t="shared" si="934"/>
        <v>0</v>
      </c>
      <c r="U953" s="110">
        <f t="shared" si="935"/>
        <v>1</v>
      </c>
      <c r="V953" s="136"/>
    </row>
    <row r="954" spans="2:25" ht="15.75" hidden="1" x14ac:dyDescent="0.2">
      <c r="B954" s="711">
        <v>46148</v>
      </c>
      <c r="C954" s="105" t="s">
        <v>18</v>
      </c>
      <c r="D954" s="105" t="s">
        <v>20</v>
      </c>
      <c r="E954" s="711">
        <v>46149</v>
      </c>
      <c r="G954" s="839"/>
      <c r="H954" s="120" t="s">
        <v>26</v>
      </c>
      <c r="I954" s="120" t="s">
        <v>106</v>
      </c>
      <c r="J954" s="106">
        <v>3</v>
      </c>
      <c r="K954" s="106">
        <v>1</v>
      </c>
      <c r="L954" s="106">
        <v>0</v>
      </c>
      <c r="M954" s="106">
        <v>2</v>
      </c>
      <c r="N954" s="106">
        <v>0</v>
      </c>
      <c r="O954" s="106">
        <v>0</v>
      </c>
      <c r="P954" s="106">
        <v>0</v>
      </c>
      <c r="Q954" s="108">
        <f t="shared" ref="Q954" si="956">(K954+L954)/J954</f>
        <v>0.33333333333333331</v>
      </c>
      <c r="R954" s="109">
        <f t="shared" ref="R954" si="957">N954/J954</f>
        <v>0</v>
      </c>
      <c r="S954" s="109">
        <f t="shared" ref="S954" si="958">P954/J954</f>
        <v>0</v>
      </c>
      <c r="T954" s="109">
        <f t="shared" ref="T954" si="959">O954/J954</f>
        <v>0</v>
      </c>
      <c r="U954" s="110">
        <f t="shared" ref="U954" si="960">S954+R954+Q954+T954</f>
        <v>0.33333333333333331</v>
      </c>
      <c r="V954" s="136"/>
    </row>
    <row r="955" spans="2:25" ht="15.75" hidden="1" x14ac:dyDescent="0.2">
      <c r="B955" s="711">
        <v>46148</v>
      </c>
      <c r="C955" s="105" t="s">
        <v>18</v>
      </c>
      <c r="D955" s="105" t="s">
        <v>20</v>
      </c>
      <c r="E955" s="711">
        <v>46149</v>
      </c>
      <c r="G955" s="848"/>
      <c r="H955" s="120" t="s">
        <v>17</v>
      </c>
      <c r="I955" s="120" t="s">
        <v>105</v>
      </c>
      <c r="J955" s="106">
        <v>208</v>
      </c>
      <c r="K955" s="106">
        <v>0</v>
      </c>
      <c r="L955" s="106">
        <v>0</v>
      </c>
      <c r="M955" s="106">
        <v>204</v>
      </c>
      <c r="N955" s="106">
        <v>0</v>
      </c>
      <c r="O955" s="106">
        <v>0</v>
      </c>
      <c r="P955" s="106">
        <v>4</v>
      </c>
      <c r="Q955" s="108">
        <f t="shared" si="955"/>
        <v>0</v>
      </c>
      <c r="R955" s="109">
        <f t="shared" si="932"/>
        <v>0</v>
      </c>
      <c r="S955" s="109">
        <f t="shared" si="933"/>
        <v>1.9230769230769232E-2</v>
      </c>
      <c r="T955" s="109">
        <f t="shared" si="934"/>
        <v>0</v>
      </c>
      <c r="U955" s="110">
        <f t="shared" si="935"/>
        <v>1.9230769230769232E-2</v>
      </c>
      <c r="V955" s="136"/>
    </row>
    <row r="956" spans="2:25" s="97" customFormat="1" ht="16.5" hidden="1" customHeight="1" x14ac:dyDescent="0.2">
      <c r="B956" s="711">
        <v>46148</v>
      </c>
      <c r="C956" s="105" t="s">
        <v>18</v>
      </c>
      <c r="D956" s="105" t="s">
        <v>20</v>
      </c>
      <c r="E956" s="711">
        <v>46149</v>
      </c>
      <c r="F956" s="89"/>
      <c r="G956" s="190"/>
      <c r="H956" s="113" t="s">
        <v>19</v>
      </c>
      <c r="I956" s="113"/>
      <c r="J956" s="113">
        <f t="shared" ref="J956:P956" si="961">SUM(J947:J955)</f>
        <v>798</v>
      </c>
      <c r="K956" s="113">
        <f t="shared" si="961"/>
        <v>217</v>
      </c>
      <c r="L956" s="113">
        <f t="shared" si="961"/>
        <v>115</v>
      </c>
      <c r="M956" s="113">
        <f t="shared" si="961"/>
        <v>296</v>
      </c>
      <c r="N956" s="113">
        <f t="shared" si="961"/>
        <v>12</v>
      </c>
      <c r="O956" s="113">
        <f t="shared" si="961"/>
        <v>0</v>
      </c>
      <c r="P956" s="113">
        <f t="shared" si="961"/>
        <v>39</v>
      </c>
      <c r="Q956" s="115">
        <f>(K956+L956)/J956</f>
        <v>0.41604010025062654</v>
      </c>
      <c r="R956" s="116">
        <f t="shared" si="932"/>
        <v>1.5037593984962405E-2</v>
      </c>
      <c r="S956" s="116">
        <f t="shared" si="933"/>
        <v>4.8872180451127817E-2</v>
      </c>
      <c r="T956" s="116">
        <f t="shared" si="934"/>
        <v>0</v>
      </c>
      <c r="U956" s="117">
        <f t="shared" si="935"/>
        <v>0.47994987468671679</v>
      </c>
      <c r="V956" s="127"/>
      <c r="W956" s="88"/>
      <c r="X956" s="88"/>
      <c r="Y956" s="118"/>
    </row>
    <row r="957" spans="2:25" ht="15.75" hidden="1" x14ac:dyDescent="0.2">
      <c r="B957" s="711">
        <v>46149</v>
      </c>
      <c r="C957" s="105" t="s">
        <v>22</v>
      </c>
      <c r="D957" s="105" t="s">
        <v>23</v>
      </c>
      <c r="E957" s="711">
        <v>46149</v>
      </c>
      <c r="G957" s="838">
        <v>46149</v>
      </c>
      <c r="H957" s="120" t="s">
        <v>75</v>
      </c>
      <c r="I957" s="120" t="s">
        <v>112</v>
      </c>
      <c r="J957" s="106">
        <v>242</v>
      </c>
      <c r="K957" s="106">
        <f>242-75</f>
        <v>167</v>
      </c>
      <c r="L957" s="106">
        <v>56</v>
      </c>
      <c r="M957" s="106">
        <v>3</v>
      </c>
      <c r="N957" s="106">
        <v>0</v>
      </c>
      <c r="O957" s="106">
        <v>12</v>
      </c>
      <c r="P957" s="106">
        <v>4</v>
      </c>
      <c r="Q957" s="108">
        <f t="shared" ref="Q957" si="962">(K957+L957)/J957</f>
        <v>0.92148760330578516</v>
      </c>
      <c r="R957" s="109">
        <f t="shared" ref="R957:R962" si="963">N957/J957</f>
        <v>0</v>
      </c>
      <c r="S957" s="109">
        <f t="shared" ref="S957:S962" si="964">P957/J957</f>
        <v>1.6528925619834711E-2</v>
      </c>
      <c r="T957" s="109">
        <f t="shared" ref="T957:T962" si="965">O957/J957</f>
        <v>4.9586776859504134E-2</v>
      </c>
      <c r="U957" s="110">
        <f t="shared" ref="U957:U962" si="966">S957+R957+Q957+T957</f>
        <v>0.98760330578512412</v>
      </c>
      <c r="V957" s="136"/>
    </row>
    <row r="958" spans="2:25" ht="15.75" hidden="1" x14ac:dyDescent="0.2">
      <c r="B958" s="711">
        <v>46149</v>
      </c>
      <c r="C958" s="105" t="s">
        <v>22</v>
      </c>
      <c r="D958" s="105" t="s">
        <v>23</v>
      </c>
      <c r="E958" s="711">
        <v>46149</v>
      </c>
      <c r="G958" s="839"/>
      <c r="H958" s="120" t="s">
        <v>84</v>
      </c>
      <c r="I958" s="120" t="s">
        <v>43</v>
      </c>
      <c r="J958" s="106">
        <v>52</v>
      </c>
      <c r="K958" s="106">
        <v>41</v>
      </c>
      <c r="L958" s="106">
        <v>0</v>
      </c>
      <c r="M958" s="106">
        <v>4</v>
      </c>
      <c r="N958" s="106">
        <v>0</v>
      </c>
      <c r="O958" s="106">
        <v>1</v>
      </c>
      <c r="P958" s="106">
        <v>6</v>
      </c>
      <c r="Q958" s="108">
        <f>(K958+L958)/J958</f>
        <v>0.78846153846153844</v>
      </c>
      <c r="R958" s="109">
        <f t="shared" si="963"/>
        <v>0</v>
      </c>
      <c r="S958" s="109">
        <f t="shared" si="964"/>
        <v>0.11538461538461539</v>
      </c>
      <c r="T958" s="109">
        <f t="shared" si="965"/>
        <v>1.9230769230769232E-2</v>
      </c>
      <c r="U958" s="110">
        <f t="shared" si="966"/>
        <v>0.92307692307692313</v>
      </c>
      <c r="V958" s="136"/>
    </row>
    <row r="959" spans="2:25" ht="15.75" hidden="1" x14ac:dyDescent="0.2">
      <c r="B959" s="711">
        <v>46149</v>
      </c>
      <c r="C959" s="105" t="s">
        <v>22</v>
      </c>
      <c r="D959" s="105" t="s">
        <v>23</v>
      </c>
      <c r="E959" s="711">
        <v>46149</v>
      </c>
      <c r="G959" s="839"/>
      <c r="H959" s="120" t="s">
        <v>14</v>
      </c>
      <c r="I959" s="120" t="s">
        <v>106</v>
      </c>
      <c r="J959" s="106">
        <v>208</v>
      </c>
      <c r="K959" s="106">
        <f>208-55</f>
        <v>153</v>
      </c>
      <c r="L959" s="106">
        <v>33</v>
      </c>
      <c r="M959" s="106">
        <v>5</v>
      </c>
      <c r="N959" s="106">
        <v>0</v>
      </c>
      <c r="O959" s="106">
        <v>12</v>
      </c>
      <c r="P959" s="106">
        <v>5</v>
      </c>
      <c r="Q959" s="108">
        <f t="shared" ref="Q959:Q961" si="967">(K959+L959)/J959</f>
        <v>0.89423076923076927</v>
      </c>
      <c r="R959" s="109">
        <f t="shared" si="963"/>
        <v>0</v>
      </c>
      <c r="S959" s="109">
        <f t="shared" si="964"/>
        <v>2.403846153846154E-2</v>
      </c>
      <c r="T959" s="109">
        <f t="shared" si="965"/>
        <v>5.7692307692307696E-2</v>
      </c>
      <c r="U959" s="110">
        <f t="shared" si="966"/>
        <v>0.97596153846153855</v>
      </c>
      <c r="V959" s="136"/>
    </row>
    <row r="960" spans="2:25" ht="15.75" hidden="1" x14ac:dyDescent="0.2">
      <c r="B960" s="711">
        <v>46149</v>
      </c>
      <c r="C960" s="105" t="s">
        <v>22</v>
      </c>
      <c r="D960" s="105" t="s">
        <v>23</v>
      </c>
      <c r="E960" s="711">
        <v>46149</v>
      </c>
      <c r="G960" s="839"/>
      <c r="H960" s="120" t="s">
        <v>120</v>
      </c>
      <c r="I960" s="120" t="s">
        <v>106</v>
      </c>
      <c r="J960" s="106">
        <v>23</v>
      </c>
      <c r="K960" s="106">
        <v>20</v>
      </c>
      <c r="L960" s="106">
        <v>0</v>
      </c>
      <c r="M960" s="106">
        <v>0</v>
      </c>
      <c r="N960" s="106">
        <v>0</v>
      </c>
      <c r="O960" s="106">
        <v>0</v>
      </c>
      <c r="P960" s="106">
        <v>3</v>
      </c>
      <c r="Q960" s="108">
        <f t="shared" si="967"/>
        <v>0.86956521739130432</v>
      </c>
      <c r="R960" s="109">
        <f t="shared" si="963"/>
        <v>0</v>
      </c>
      <c r="S960" s="109">
        <f t="shared" si="964"/>
        <v>0.13043478260869565</v>
      </c>
      <c r="T960" s="109">
        <f t="shared" si="965"/>
        <v>0</v>
      </c>
      <c r="U960" s="110">
        <f t="shared" si="966"/>
        <v>1</v>
      </c>
      <c r="V960" s="136"/>
    </row>
    <row r="961" spans="2:25" ht="15.75" hidden="1" x14ac:dyDescent="0.2">
      <c r="B961" s="711">
        <v>46149</v>
      </c>
      <c r="C961" s="105" t="s">
        <v>22</v>
      </c>
      <c r="D961" s="105" t="s">
        <v>23</v>
      </c>
      <c r="E961" s="711">
        <v>46149</v>
      </c>
      <c r="G961" s="848"/>
      <c r="H961" s="120" t="s">
        <v>17</v>
      </c>
      <c r="I961" s="120" t="s">
        <v>105</v>
      </c>
      <c r="J961" s="106">
        <v>208</v>
      </c>
      <c r="K961" s="106">
        <v>48</v>
      </c>
      <c r="L961" s="106">
        <v>0</v>
      </c>
      <c r="M961" s="106">
        <v>100</v>
      </c>
      <c r="N961" s="106">
        <v>29</v>
      </c>
      <c r="O961" s="106">
        <v>27</v>
      </c>
      <c r="P961" s="106">
        <v>4</v>
      </c>
      <c r="Q961" s="108">
        <f t="shared" si="967"/>
        <v>0.23076923076923078</v>
      </c>
      <c r="R961" s="109">
        <f t="shared" si="963"/>
        <v>0.13942307692307693</v>
      </c>
      <c r="S961" s="109">
        <f t="shared" si="964"/>
        <v>1.9230769230769232E-2</v>
      </c>
      <c r="T961" s="109">
        <f t="shared" si="965"/>
        <v>0.12980769230769232</v>
      </c>
      <c r="U961" s="110">
        <f t="shared" si="966"/>
        <v>0.51923076923076927</v>
      </c>
      <c r="V961" s="136"/>
    </row>
    <row r="962" spans="2:25" s="97" customFormat="1" ht="16.5" hidden="1" customHeight="1" x14ac:dyDescent="0.2">
      <c r="B962" s="711">
        <v>46149</v>
      </c>
      <c r="C962" s="105" t="s">
        <v>22</v>
      </c>
      <c r="D962" s="105" t="s">
        <v>23</v>
      </c>
      <c r="E962" s="711">
        <v>46149</v>
      </c>
      <c r="F962" s="89"/>
      <c r="G962" s="190"/>
      <c r="H962" s="113" t="s">
        <v>19</v>
      </c>
      <c r="I962" s="113"/>
      <c r="J962" s="113">
        <f t="shared" ref="J962:P962" si="968">SUM(J957:J961)</f>
        <v>733</v>
      </c>
      <c r="K962" s="113">
        <f t="shared" si="968"/>
        <v>429</v>
      </c>
      <c r="L962" s="113">
        <f t="shared" si="968"/>
        <v>89</v>
      </c>
      <c r="M962" s="113">
        <f t="shared" si="968"/>
        <v>112</v>
      </c>
      <c r="N962" s="113">
        <f t="shared" si="968"/>
        <v>29</v>
      </c>
      <c r="O962" s="113">
        <f t="shared" si="968"/>
        <v>52</v>
      </c>
      <c r="P962" s="113">
        <f t="shared" si="968"/>
        <v>22</v>
      </c>
      <c r="Q962" s="115">
        <f>(K962+L962)/J962</f>
        <v>0.70668485675306958</v>
      </c>
      <c r="R962" s="116">
        <f t="shared" si="963"/>
        <v>3.9563437926330151E-2</v>
      </c>
      <c r="S962" s="116">
        <f t="shared" si="964"/>
        <v>3.0013642564802184E-2</v>
      </c>
      <c r="T962" s="116">
        <f t="shared" si="965"/>
        <v>7.0941336971350619E-2</v>
      </c>
      <c r="U962" s="117">
        <f t="shared" si="966"/>
        <v>0.84720327421555253</v>
      </c>
      <c r="V962" s="127"/>
      <c r="W962" s="88"/>
      <c r="X962" s="88"/>
      <c r="Y962" s="118"/>
    </row>
    <row r="963" spans="2:25" ht="15.75" hidden="1" x14ac:dyDescent="0.2">
      <c r="B963" s="711">
        <v>46149</v>
      </c>
      <c r="C963" s="105" t="s">
        <v>22</v>
      </c>
      <c r="D963" s="105" t="s">
        <v>13</v>
      </c>
      <c r="E963" s="711">
        <v>46149</v>
      </c>
      <c r="G963" s="833">
        <v>46149</v>
      </c>
      <c r="H963" s="120" t="s">
        <v>75</v>
      </c>
      <c r="I963" s="120" t="s">
        <v>112</v>
      </c>
      <c r="J963" s="106">
        <v>21</v>
      </c>
      <c r="K963" s="106">
        <f>J963-L963-M963-N963-O963-P963</f>
        <v>7</v>
      </c>
      <c r="L963" s="106">
        <v>2</v>
      </c>
      <c r="M963" s="106">
        <v>0</v>
      </c>
      <c r="N963" s="106">
        <v>0</v>
      </c>
      <c r="O963" s="106">
        <v>12</v>
      </c>
      <c r="P963" s="106">
        <v>0</v>
      </c>
      <c r="Q963" s="108">
        <f t="shared" ref="Q963" si="969">(K963+L963)/J963</f>
        <v>0.42857142857142855</v>
      </c>
      <c r="R963" s="109">
        <f t="shared" ref="R963:R980" si="970">N963/J963</f>
        <v>0</v>
      </c>
      <c r="S963" s="109">
        <f t="shared" ref="S963:S980" si="971">P963/J963</f>
        <v>0</v>
      </c>
      <c r="T963" s="109">
        <f t="shared" ref="T963:T980" si="972">O963/J963</f>
        <v>0.5714285714285714</v>
      </c>
      <c r="U963" s="110">
        <f t="shared" ref="U963:U980" si="973">S963+R963+Q963+T963</f>
        <v>1</v>
      </c>
      <c r="V963" s="136"/>
    </row>
    <row r="964" spans="2:25" ht="15.75" hidden="1" x14ac:dyDescent="0.2">
      <c r="B964" s="711">
        <v>46149</v>
      </c>
      <c r="C964" s="105" t="s">
        <v>22</v>
      </c>
      <c r="D964" s="105" t="s">
        <v>13</v>
      </c>
      <c r="E964" s="711">
        <v>46149</v>
      </c>
      <c r="G964" s="835"/>
      <c r="H964" s="120" t="s">
        <v>17</v>
      </c>
      <c r="I964" s="120" t="s">
        <v>105</v>
      </c>
      <c r="J964" s="106">
        <v>208</v>
      </c>
      <c r="K964" s="106">
        <f>J964-L964-M964-N964-O964-P964</f>
        <v>140</v>
      </c>
      <c r="L964" s="106">
        <v>36</v>
      </c>
      <c r="M964" s="106">
        <v>2</v>
      </c>
      <c r="N964" s="106">
        <v>0</v>
      </c>
      <c r="O964" s="106">
        <v>28</v>
      </c>
      <c r="P964" s="106">
        <v>2</v>
      </c>
      <c r="Q964" s="108">
        <f t="shared" ref="Q964" si="974">(K964+L964)/J964</f>
        <v>0.84615384615384615</v>
      </c>
      <c r="R964" s="109">
        <f t="shared" si="970"/>
        <v>0</v>
      </c>
      <c r="S964" s="109">
        <f t="shared" si="971"/>
        <v>9.6153846153846159E-3</v>
      </c>
      <c r="T964" s="109">
        <f t="shared" si="972"/>
        <v>0.13461538461538461</v>
      </c>
      <c r="U964" s="110">
        <f t="shared" si="973"/>
        <v>0.99038461538461531</v>
      </c>
      <c r="V964" s="136" t="s">
        <v>21</v>
      </c>
    </row>
    <row r="965" spans="2:25" ht="15.75" hidden="1" x14ac:dyDescent="0.2">
      <c r="B965" s="711">
        <v>46149</v>
      </c>
      <c r="C965" s="105" t="s">
        <v>22</v>
      </c>
      <c r="D965" s="105" t="s">
        <v>13</v>
      </c>
      <c r="E965" s="711">
        <v>46149</v>
      </c>
      <c r="G965" s="190"/>
      <c r="H965" s="113" t="s">
        <v>19</v>
      </c>
      <c r="I965" s="113"/>
      <c r="J965" s="113">
        <f t="shared" ref="J965:P965" si="975">SUM(J963:J964)</f>
        <v>229</v>
      </c>
      <c r="K965" s="113">
        <f t="shared" si="975"/>
        <v>147</v>
      </c>
      <c r="L965" s="113">
        <f t="shared" si="975"/>
        <v>38</v>
      </c>
      <c r="M965" s="113">
        <f t="shared" si="975"/>
        <v>2</v>
      </c>
      <c r="N965" s="113">
        <f t="shared" si="975"/>
        <v>0</v>
      </c>
      <c r="O965" s="113">
        <f t="shared" si="975"/>
        <v>40</v>
      </c>
      <c r="P965" s="113">
        <f t="shared" si="975"/>
        <v>2</v>
      </c>
      <c r="Q965" s="115">
        <f>(K965+L965)/J965</f>
        <v>0.80786026200873362</v>
      </c>
      <c r="R965" s="116">
        <f t="shared" si="970"/>
        <v>0</v>
      </c>
      <c r="S965" s="116">
        <f t="shared" si="971"/>
        <v>8.7336244541484712E-3</v>
      </c>
      <c r="T965" s="116">
        <f t="shared" si="972"/>
        <v>0.17467248908296942</v>
      </c>
      <c r="U965" s="117">
        <f t="shared" si="973"/>
        <v>0.99126637554585151</v>
      </c>
      <c r="V965" s="127"/>
    </row>
    <row r="966" spans="2:25" ht="15.75" hidden="1" x14ac:dyDescent="0.2">
      <c r="B966" s="711">
        <v>46149</v>
      </c>
      <c r="C966" s="105" t="s">
        <v>22</v>
      </c>
      <c r="D966" s="105" t="s">
        <v>13</v>
      </c>
      <c r="E966" s="711">
        <v>46150</v>
      </c>
      <c r="G966" s="833">
        <v>46150</v>
      </c>
      <c r="H966" s="120" t="s">
        <v>75</v>
      </c>
      <c r="I966" s="120" t="s">
        <v>112</v>
      </c>
      <c r="J966" s="106">
        <v>232</v>
      </c>
      <c r="K966" s="106">
        <f>J966-L966-M966-N966-O966-P966</f>
        <v>61</v>
      </c>
      <c r="L966" s="106">
        <v>17</v>
      </c>
      <c r="M966" s="106">
        <v>135</v>
      </c>
      <c r="N966" s="106">
        <v>19</v>
      </c>
      <c r="O966" s="106">
        <v>0</v>
      </c>
      <c r="P966" s="106">
        <v>0</v>
      </c>
      <c r="Q966" s="108">
        <f t="shared" ref="Q966" si="976">(K966+L966)/J966</f>
        <v>0.33620689655172414</v>
      </c>
      <c r="R966" s="109">
        <f t="shared" si="970"/>
        <v>8.1896551724137928E-2</v>
      </c>
      <c r="S966" s="109">
        <f t="shared" si="971"/>
        <v>0</v>
      </c>
      <c r="T966" s="109">
        <f t="shared" si="972"/>
        <v>0</v>
      </c>
      <c r="U966" s="110">
        <f t="shared" si="973"/>
        <v>0.4181034482758621</v>
      </c>
      <c r="V966" s="136"/>
    </row>
    <row r="967" spans="2:25" ht="15.75" hidden="1" x14ac:dyDescent="0.2">
      <c r="B967" s="711">
        <v>46149</v>
      </c>
      <c r="C967" s="105" t="s">
        <v>22</v>
      </c>
      <c r="D967" s="105" t="s">
        <v>13</v>
      </c>
      <c r="E967" s="711">
        <v>46150</v>
      </c>
      <c r="G967" s="834"/>
      <c r="H967" s="120" t="s">
        <v>84</v>
      </c>
      <c r="I967" s="120" t="s">
        <v>43</v>
      </c>
      <c r="J967" s="106">
        <v>28</v>
      </c>
      <c r="K967" s="106">
        <f t="shared" ref="K967:K970" si="977">J967-L967-M967-N967-O967-P967</f>
        <v>0</v>
      </c>
      <c r="L967" s="106">
        <v>0</v>
      </c>
      <c r="M967" s="106">
        <v>28</v>
      </c>
      <c r="N967" s="106">
        <v>0</v>
      </c>
      <c r="O967" s="106">
        <v>0</v>
      </c>
      <c r="P967" s="106">
        <v>0</v>
      </c>
      <c r="Q967" s="108">
        <f>(K967+L967)/J967</f>
        <v>0</v>
      </c>
      <c r="R967" s="109">
        <f t="shared" si="970"/>
        <v>0</v>
      </c>
      <c r="S967" s="109">
        <f t="shared" si="971"/>
        <v>0</v>
      </c>
      <c r="T967" s="109">
        <f t="shared" si="972"/>
        <v>0</v>
      </c>
      <c r="U967" s="110">
        <f t="shared" si="973"/>
        <v>0</v>
      </c>
      <c r="V967" s="136"/>
    </row>
    <row r="968" spans="2:25" ht="15.75" hidden="1" x14ac:dyDescent="0.2">
      <c r="B968" s="711">
        <v>46149</v>
      </c>
      <c r="C968" s="105" t="s">
        <v>22</v>
      </c>
      <c r="D968" s="105" t="s">
        <v>13</v>
      </c>
      <c r="E968" s="711">
        <v>46150</v>
      </c>
      <c r="G968" s="834"/>
      <c r="H968" s="120" t="s">
        <v>14</v>
      </c>
      <c r="I968" s="120" t="s">
        <v>106</v>
      </c>
      <c r="J968" s="106">
        <v>207</v>
      </c>
      <c r="K968" s="106">
        <f t="shared" si="977"/>
        <v>0</v>
      </c>
      <c r="L968" s="106">
        <v>0</v>
      </c>
      <c r="M968" s="106">
        <v>207</v>
      </c>
      <c r="N968" s="106">
        <v>0</v>
      </c>
      <c r="O968" s="106">
        <v>0</v>
      </c>
      <c r="P968" s="106">
        <v>0</v>
      </c>
      <c r="Q968" s="108">
        <f t="shared" ref="Q968:Q970" si="978">(K968+L968)/J968</f>
        <v>0</v>
      </c>
      <c r="R968" s="109">
        <f t="shared" si="970"/>
        <v>0</v>
      </c>
      <c r="S968" s="109">
        <f t="shared" si="971"/>
        <v>0</v>
      </c>
      <c r="T968" s="109">
        <f t="shared" si="972"/>
        <v>0</v>
      </c>
      <c r="U968" s="110">
        <f t="shared" si="973"/>
        <v>0</v>
      </c>
      <c r="V968" s="136"/>
    </row>
    <row r="969" spans="2:25" ht="15.75" hidden="1" x14ac:dyDescent="0.2">
      <c r="B969" s="711">
        <v>46149</v>
      </c>
      <c r="C969" s="105" t="s">
        <v>22</v>
      </c>
      <c r="D969" s="105" t="s">
        <v>13</v>
      </c>
      <c r="E969" s="711">
        <v>46150</v>
      </c>
      <c r="G969" s="834"/>
      <c r="H969" s="120" t="s">
        <v>120</v>
      </c>
      <c r="I969" s="120" t="s">
        <v>106</v>
      </c>
      <c r="J969" s="106">
        <v>21</v>
      </c>
      <c r="K969" s="106">
        <f t="shared" si="977"/>
        <v>0</v>
      </c>
      <c r="L969" s="106">
        <v>0</v>
      </c>
      <c r="M969" s="106">
        <v>21</v>
      </c>
      <c r="N969" s="106">
        <v>0</v>
      </c>
      <c r="O969" s="106">
        <v>0</v>
      </c>
      <c r="P969" s="106">
        <v>0</v>
      </c>
      <c r="Q969" s="108">
        <f t="shared" si="978"/>
        <v>0</v>
      </c>
      <c r="R969" s="109">
        <f t="shared" si="970"/>
        <v>0</v>
      </c>
      <c r="S969" s="109">
        <f t="shared" si="971"/>
        <v>0</v>
      </c>
      <c r="T969" s="109">
        <f t="shared" si="972"/>
        <v>0</v>
      </c>
      <c r="U969" s="110">
        <f t="shared" si="973"/>
        <v>0</v>
      </c>
      <c r="V969" s="136"/>
    </row>
    <row r="970" spans="2:25" ht="15.75" hidden="1" x14ac:dyDescent="0.2">
      <c r="B970" s="711">
        <v>46149</v>
      </c>
      <c r="C970" s="105" t="s">
        <v>22</v>
      </c>
      <c r="D970" s="105" t="s">
        <v>13</v>
      </c>
      <c r="E970" s="711">
        <v>46150</v>
      </c>
      <c r="G970" s="835"/>
      <c r="H970" s="120" t="s">
        <v>17</v>
      </c>
      <c r="I970" s="120" t="s">
        <v>105</v>
      </c>
      <c r="J970" s="106">
        <v>187</v>
      </c>
      <c r="K970" s="106">
        <f t="shared" si="977"/>
        <v>0</v>
      </c>
      <c r="L970" s="106">
        <v>0</v>
      </c>
      <c r="M970" s="106">
        <v>187</v>
      </c>
      <c r="N970" s="106">
        <v>0</v>
      </c>
      <c r="O970" s="106">
        <v>0</v>
      </c>
      <c r="P970" s="106">
        <v>0</v>
      </c>
      <c r="Q970" s="108">
        <f t="shared" si="978"/>
        <v>0</v>
      </c>
      <c r="R970" s="109">
        <f t="shared" si="970"/>
        <v>0</v>
      </c>
      <c r="S970" s="109">
        <f t="shared" si="971"/>
        <v>0</v>
      </c>
      <c r="T970" s="109">
        <f t="shared" si="972"/>
        <v>0</v>
      </c>
      <c r="U970" s="110">
        <f t="shared" si="973"/>
        <v>0</v>
      </c>
      <c r="V970" s="136"/>
    </row>
    <row r="971" spans="2:25" ht="15.75" hidden="1" x14ac:dyDescent="0.2">
      <c r="B971" s="711">
        <v>46149</v>
      </c>
      <c r="C971" s="105" t="s">
        <v>22</v>
      </c>
      <c r="D971" s="105" t="s">
        <v>13</v>
      </c>
      <c r="E971" s="711">
        <v>46150</v>
      </c>
      <c r="G971" s="190"/>
      <c r="H971" s="113" t="s">
        <v>19</v>
      </c>
      <c r="I971" s="113"/>
      <c r="J971" s="113">
        <f t="shared" ref="J971" si="979">SUM(J966:J970)</f>
        <v>675</v>
      </c>
      <c r="K971" s="113">
        <f t="shared" ref="K971" si="980">SUM(K966:K970)</f>
        <v>61</v>
      </c>
      <c r="L971" s="113">
        <f t="shared" ref="L971" si="981">SUM(L966:L970)</f>
        <v>17</v>
      </c>
      <c r="M971" s="113">
        <f t="shared" ref="M971" si="982">SUM(M966:M970)</f>
        <v>578</v>
      </c>
      <c r="N971" s="113">
        <f t="shared" ref="N971" si="983">SUM(N966:N970)</f>
        <v>19</v>
      </c>
      <c r="O971" s="113">
        <f t="shared" ref="O971" si="984">SUM(O966:O970)</f>
        <v>0</v>
      </c>
      <c r="P971" s="113">
        <f t="shared" ref="P971" si="985">SUM(P966:P970)</f>
        <v>0</v>
      </c>
      <c r="Q971" s="115">
        <f>(K971+L971)/J971</f>
        <v>0.11555555555555555</v>
      </c>
      <c r="R971" s="116">
        <f t="shared" si="970"/>
        <v>2.8148148148148148E-2</v>
      </c>
      <c r="S971" s="116">
        <f t="shared" si="971"/>
        <v>0</v>
      </c>
      <c r="T971" s="116">
        <f t="shared" si="972"/>
        <v>0</v>
      </c>
      <c r="U971" s="117">
        <f t="shared" si="973"/>
        <v>0.14370370370370369</v>
      </c>
      <c r="V971" s="127"/>
    </row>
    <row r="972" spans="2:25" ht="15.75" hidden="1" x14ac:dyDescent="0.2">
      <c r="B972" s="711">
        <v>46149</v>
      </c>
      <c r="C972" s="105" t="s">
        <v>18</v>
      </c>
      <c r="D972" s="105" t="s">
        <v>20</v>
      </c>
      <c r="E972" s="711">
        <v>46149</v>
      </c>
      <c r="G972" s="833">
        <v>46149</v>
      </c>
      <c r="H972" s="120" t="s">
        <v>75</v>
      </c>
      <c r="I972" s="120" t="s">
        <v>112</v>
      </c>
      <c r="J972" s="106">
        <f>SUM(K972:P972)</f>
        <v>24</v>
      </c>
      <c r="K972" s="106">
        <f>97-89</f>
        <v>8</v>
      </c>
      <c r="L972" s="106">
        <f>56-42</f>
        <v>14</v>
      </c>
      <c r="M972" s="106">
        <v>0</v>
      </c>
      <c r="N972" s="106">
        <v>0</v>
      </c>
      <c r="O972" s="106">
        <v>0</v>
      </c>
      <c r="P972" s="106">
        <v>2</v>
      </c>
      <c r="Q972" s="108">
        <f t="shared" ref="Q972:Q974" si="986">(K972+L972)/J972</f>
        <v>0.91666666666666663</v>
      </c>
      <c r="R972" s="109">
        <f t="shared" si="970"/>
        <v>0</v>
      </c>
      <c r="S972" s="109">
        <f t="shared" si="971"/>
        <v>8.3333333333333329E-2</v>
      </c>
      <c r="T972" s="109">
        <f t="shared" si="972"/>
        <v>0</v>
      </c>
      <c r="U972" s="110">
        <f t="shared" si="973"/>
        <v>1</v>
      </c>
      <c r="V972" s="136"/>
    </row>
    <row r="973" spans="2:25" ht="15.75" hidden="1" x14ac:dyDescent="0.2">
      <c r="B973" s="711">
        <v>46149</v>
      </c>
      <c r="C973" s="105" t="s">
        <v>18</v>
      </c>
      <c r="D973" s="105" t="s">
        <v>20</v>
      </c>
      <c r="E973" s="711">
        <v>46149</v>
      </c>
      <c r="G973" s="835"/>
      <c r="H973" s="120" t="s">
        <v>17</v>
      </c>
      <c r="I973" s="120" t="s">
        <v>105</v>
      </c>
      <c r="J973" s="106">
        <f>SUM(K973:P973)</f>
        <v>34</v>
      </c>
      <c r="K973" s="106">
        <v>14</v>
      </c>
      <c r="L973" s="106">
        <v>18</v>
      </c>
      <c r="M973" s="106">
        <v>0</v>
      </c>
      <c r="N973" s="106">
        <v>0</v>
      </c>
      <c r="O973" s="106">
        <v>0</v>
      </c>
      <c r="P973" s="106">
        <v>2</v>
      </c>
      <c r="Q973" s="108">
        <f t="shared" si="986"/>
        <v>0.94117647058823528</v>
      </c>
      <c r="R973" s="109">
        <f t="shared" si="970"/>
        <v>0</v>
      </c>
      <c r="S973" s="109">
        <f t="shared" si="971"/>
        <v>5.8823529411764705E-2</v>
      </c>
      <c r="T973" s="109">
        <f t="shared" si="972"/>
        <v>0</v>
      </c>
      <c r="U973" s="110">
        <f t="shared" si="973"/>
        <v>1</v>
      </c>
      <c r="V973" s="136"/>
    </row>
    <row r="974" spans="2:25" ht="15.75" hidden="1" x14ac:dyDescent="0.2">
      <c r="B974" s="711">
        <v>46149</v>
      </c>
      <c r="C974" s="105" t="s">
        <v>18</v>
      </c>
      <c r="D974" s="105" t="s">
        <v>20</v>
      </c>
      <c r="E974" s="711">
        <v>46150</v>
      </c>
      <c r="G974" s="838">
        <v>46150</v>
      </c>
      <c r="H974" s="120" t="s">
        <v>75</v>
      </c>
      <c r="I974" s="120" t="s">
        <v>112</v>
      </c>
      <c r="J974" s="106">
        <f>SUM(K974:P974)</f>
        <v>153</v>
      </c>
      <c r="K974" s="106">
        <v>89</v>
      </c>
      <c r="L974" s="106">
        <v>42</v>
      </c>
      <c r="M974" s="106">
        <v>20</v>
      </c>
      <c r="N974" s="106">
        <v>0</v>
      </c>
      <c r="O974" s="106">
        <v>0</v>
      </c>
      <c r="P974" s="106">
        <v>2</v>
      </c>
      <c r="Q974" s="108">
        <f t="shared" si="986"/>
        <v>0.85620915032679734</v>
      </c>
      <c r="R974" s="109">
        <f t="shared" si="970"/>
        <v>0</v>
      </c>
      <c r="S974" s="109">
        <f t="shared" si="971"/>
        <v>1.3071895424836602E-2</v>
      </c>
      <c r="T974" s="109">
        <f t="shared" si="972"/>
        <v>0</v>
      </c>
      <c r="U974" s="110">
        <f t="shared" si="973"/>
        <v>0.8692810457516339</v>
      </c>
      <c r="V974" s="136"/>
    </row>
    <row r="975" spans="2:25" ht="15.75" hidden="1" x14ac:dyDescent="0.2">
      <c r="B975" s="711">
        <v>46149</v>
      </c>
      <c r="C975" s="105" t="s">
        <v>18</v>
      </c>
      <c r="D975" s="105" t="s">
        <v>20</v>
      </c>
      <c r="E975" s="711">
        <v>46150</v>
      </c>
      <c r="G975" s="839"/>
      <c r="H975" s="120" t="s">
        <v>84</v>
      </c>
      <c r="I975" s="120" t="s">
        <v>43</v>
      </c>
      <c r="J975" s="106">
        <v>28</v>
      </c>
      <c r="K975" s="106">
        <v>0</v>
      </c>
      <c r="L975" s="106">
        <v>0</v>
      </c>
      <c r="M975" s="106">
        <v>28</v>
      </c>
      <c r="N975" s="106">
        <v>0</v>
      </c>
      <c r="O975" s="106">
        <v>0</v>
      </c>
      <c r="P975" s="106">
        <v>0</v>
      </c>
      <c r="Q975" s="108">
        <f>(K975+L975)/J975</f>
        <v>0</v>
      </c>
      <c r="R975" s="109">
        <f t="shared" si="970"/>
        <v>0</v>
      </c>
      <c r="S975" s="109">
        <f t="shared" si="971"/>
        <v>0</v>
      </c>
      <c r="T975" s="109">
        <f t="shared" si="972"/>
        <v>0</v>
      </c>
      <c r="U975" s="110">
        <f t="shared" si="973"/>
        <v>0</v>
      </c>
      <c r="V975" s="136"/>
    </row>
    <row r="976" spans="2:25" ht="15.75" hidden="1" x14ac:dyDescent="0.2">
      <c r="B976" s="711">
        <v>46149</v>
      </c>
      <c r="C976" s="105" t="s">
        <v>18</v>
      </c>
      <c r="D976" s="105" t="s">
        <v>20</v>
      </c>
      <c r="E976" s="711">
        <v>46150</v>
      </c>
      <c r="G976" s="839"/>
      <c r="H976" s="120" t="s">
        <v>14</v>
      </c>
      <c r="I976" s="120" t="s">
        <v>106</v>
      </c>
      <c r="J976" s="106">
        <v>207</v>
      </c>
      <c r="K976" s="106">
        <v>133</v>
      </c>
      <c r="L976" s="106">
        <v>25</v>
      </c>
      <c r="M976" s="106">
        <f>35-13</f>
        <v>22</v>
      </c>
      <c r="N976" s="106">
        <v>4</v>
      </c>
      <c r="O976" s="106">
        <v>13</v>
      </c>
      <c r="P976" s="106">
        <v>10</v>
      </c>
      <c r="Q976" s="108">
        <f t="shared" ref="Q976:Q979" si="987">(K976+L976)/J976</f>
        <v>0.76328502415458932</v>
      </c>
      <c r="R976" s="109">
        <f t="shared" si="970"/>
        <v>1.932367149758454E-2</v>
      </c>
      <c r="S976" s="109">
        <f t="shared" si="971"/>
        <v>4.8309178743961352E-2</v>
      </c>
      <c r="T976" s="109">
        <f t="shared" si="972"/>
        <v>6.280193236714976E-2</v>
      </c>
      <c r="U976" s="110">
        <f t="shared" si="973"/>
        <v>0.893719806763285</v>
      </c>
      <c r="V976" s="136"/>
    </row>
    <row r="977" spans="2:25" ht="15.75" hidden="1" x14ac:dyDescent="0.2">
      <c r="B977" s="711">
        <v>46149</v>
      </c>
      <c r="C977" s="105" t="s">
        <v>18</v>
      </c>
      <c r="D977" s="105" t="s">
        <v>20</v>
      </c>
      <c r="E977" s="711">
        <v>46150</v>
      </c>
      <c r="G977" s="839"/>
      <c r="H977" s="120" t="s">
        <v>120</v>
      </c>
      <c r="I977" s="120" t="s">
        <v>106</v>
      </c>
      <c r="J977" s="106">
        <v>21</v>
      </c>
      <c r="K977" s="106">
        <v>4</v>
      </c>
      <c r="L977" s="106">
        <v>2</v>
      </c>
      <c r="M977" s="106">
        <v>1</v>
      </c>
      <c r="N977" s="106">
        <v>0</v>
      </c>
      <c r="O977" s="106">
        <v>0</v>
      </c>
      <c r="P977" s="106">
        <v>14</v>
      </c>
      <c r="Q977" s="108">
        <f t="shared" si="987"/>
        <v>0.2857142857142857</v>
      </c>
      <c r="R977" s="109">
        <f t="shared" si="970"/>
        <v>0</v>
      </c>
      <c r="S977" s="109">
        <f t="shared" si="971"/>
        <v>0.66666666666666663</v>
      </c>
      <c r="T977" s="109">
        <f t="shared" si="972"/>
        <v>0</v>
      </c>
      <c r="U977" s="110">
        <f t="shared" si="973"/>
        <v>0.95238095238095233</v>
      </c>
      <c r="V977" s="136"/>
    </row>
    <row r="978" spans="2:25" ht="15.75" hidden="1" x14ac:dyDescent="0.2">
      <c r="B978" s="711">
        <v>46149</v>
      </c>
      <c r="C978" s="105" t="s">
        <v>18</v>
      </c>
      <c r="D978" s="105" t="s">
        <v>20</v>
      </c>
      <c r="E978" s="711">
        <v>46150</v>
      </c>
      <c r="G978" s="839"/>
      <c r="H978" s="120" t="s">
        <v>118</v>
      </c>
      <c r="I978" s="120" t="s">
        <v>106</v>
      </c>
      <c r="J978" s="106">
        <v>15</v>
      </c>
      <c r="K978" s="106">
        <v>14</v>
      </c>
      <c r="L978" s="106">
        <v>0</v>
      </c>
      <c r="M978" s="106">
        <v>0</v>
      </c>
      <c r="N978" s="106">
        <v>0</v>
      </c>
      <c r="O978" s="106">
        <v>0</v>
      </c>
      <c r="P978" s="106">
        <v>1</v>
      </c>
      <c r="Q978" s="108">
        <f t="shared" si="987"/>
        <v>0.93333333333333335</v>
      </c>
      <c r="R978" s="109">
        <f t="shared" si="970"/>
        <v>0</v>
      </c>
      <c r="S978" s="109">
        <f t="shared" si="971"/>
        <v>6.6666666666666666E-2</v>
      </c>
      <c r="T978" s="109">
        <f t="shared" si="972"/>
        <v>0</v>
      </c>
      <c r="U978" s="110">
        <f t="shared" si="973"/>
        <v>1</v>
      </c>
      <c r="V978" s="136"/>
    </row>
    <row r="979" spans="2:25" ht="15.75" hidden="1" x14ac:dyDescent="0.2">
      <c r="B979" s="711">
        <v>46149</v>
      </c>
      <c r="C979" s="105" t="s">
        <v>18</v>
      </c>
      <c r="D979" s="105" t="s">
        <v>20</v>
      </c>
      <c r="E979" s="711">
        <v>46150</v>
      </c>
      <c r="G979" s="848"/>
      <c r="H979" s="120" t="s">
        <v>17</v>
      </c>
      <c r="I979" s="120" t="s">
        <v>105</v>
      </c>
      <c r="J979" s="106">
        <v>184</v>
      </c>
      <c r="K979" s="106">
        <v>0</v>
      </c>
      <c r="L979" s="106">
        <v>0</v>
      </c>
      <c r="M979" s="106">
        <v>173</v>
      </c>
      <c r="N979" s="106">
        <v>6</v>
      </c>
      <c r="O979" s="106">
        <v>0</v>
      </c>
      <c r="P979" s="106">
        <v>5</v>
      </c>
      <c r="Q979" s="108">
        <f t="shared" si="987"/>
        <v>0</v>
      </c>
      <c r="R979" s="109">
        <f t="shared" si="970"/>
        <v>3.2608695652173912E-2</v>
      </c>
      <c r="S979" s="109">
        <f t="shared" si="971"/>
        <v>2.717391304347826E-2</v>
      </c>
      <c r="T979" s="109">
        <f t="shared" si="972"/>
        <v>0</v>
      </c>
      <c r="U979" s="110">
        <f t="shared" si="973"/>
        <v>5.9782608695652176E-2</v>
      </c>
      <c r="V979" s="136"/>
    </row>
    <row r="980" spans="2:25" s="97" customFormat="1" ht="16.5" hidden="1" customHeight="1" x14ac:dyDescent="0.2">
      <c r="B980" s="711">
        <v>46149</v>
      </c>
      <c r="C980" s="105" t="s">
        <v>18</v>
      </c>
      <c r="D980" s="105" t="s">
        <v>20</v>
      </c>
      <c r="E980" s="711">
        <v>46150</v>
      </c>
      <c r="F980" s="89"/>
      <c r="G980" s="190"/>
      <c r="H980" s="113" t="s">
        <v>19</v>
      </c>
      <c r="I980" s="113"/>
      <c r="J980" s="113">
        <f t="shared" ref="J980:P980" si="988">SUM(J972:J979)</f>
        <v>666</v>
      </c>
      <c r="K980" s="113">
        <f t="shared" si="988"/>
        <v>262</v>
      </c>
      <c r="L980" s="113">
        <f t="shared" si="988"/>
        <v>101</v>
      </c>
      <c r="M980" s="113">
        <f t="shared" si="988"/>
        <v>244</v>
      </c>
      <c r="N980" s="113">
        <f t="shared" si="988"/>
        <v>10</v>
      </c>
      <c r="O980" s="113">
        <f t="shared" si="988"/>
        <v>13</v>
      </c>
      <c r="P980" s="113">
        <f t="shared" si="988"/>
        <v>36</v>
      </c>
      <c r="Q980" s="115">
        <f>(K980+L980)/J980</f>
        <v>0.54504504504504503</v>
      </c>
      <c r="R980" s="116">
        <f t="shared" si="970"/>
        <v>1.5015015015015015E-2</v>
      </c>
      <c r="S980" s="116">
        <f t="shared" si="971"/>
        <v>5.4054054054054057E-2</v>
      </c>
      <c r="T980" s="116">
        <f t="shared" si="972"/>
        <v>1.951951951951952E-2</v>
      </c>
      <c r="U980" s="117">
        <f t="shared" si="973"/>
        <v>0.63363363363363356</v>
      </c>
      <c r="V980" s="127"/>
      <c r="W980" s="88"/>
      <c r="X980" s="88"/>
      <c r="Y980" s="118"/>
    </row>
    <row r="981" spans="2:25" ht="15.75" hidden="1" x14ac:dyDescent="0.2">
      <c r="B981" s="711">
        <v>46150</v>
      </c>
      <c r="C981" s="105" t="s">
        <v>22</v>
      </c>
      <c r="D981" s="105" t="s">
        <v>23</v>
      </c>
      <c r="E981" s="711">
        <v>46150</v>
      </c>
      <c r="G981" s="838">
        <v>46150</v>
      </c>
      <c r="H981" s="120" t="s">
        <v>75</v>
      </c>
      <c r="I981" s="120" t="s">
        <v>112</v>
      </c>
      <c r="J981" s="106">
        <v>153</v>
      </c>
      <c r="K981" s="106">
        <f>153-75</f>
        <v>78</v>
      </c>
      <c r="L981" s="106">
        <v>59</v>
      </c>
      <c r="M981" s="106">
        <v>1</v>
      </c>
      <c r="N981" s="106">
        <v>0</v>
      </c>
      <c r="O981" s="106">
        <v>15</v>
      </c>
      <c r="P981" s="106">
        <v>0</v>
      </c>
      <c r="Q981" s="108">
        <f t="shared" ref="Q981" si="989">(K981+L981)/J981</f>
        <v>0.89542483660130723</v>
      </c>
      <c r="R981" s="109">
        <f t="shared" ref="R981:R987" si="990">N981/J981</f>
        <v>0</v>
      </c>
      <c r="S981" s="109">
        <f t="shared" ref="S981:S987" si="991">P981/J981</f>
        <v>0</v>
      </c>
      <c r="T981" s="109">
        <f t="shared" ref="T981:T987" si="992">O981/J981</f>
        <v>9.8039215686274508E-2</v>
      </c>
      <c r="U981" s="110">
        <f t="shared" ref="U981:U987" si="993">S981+R981+Q981+T981</f>
        <v>0.99346405228758172</v>
      </c>
      <c r="V981" s="136"/>
    </row>
    <row r="982" spans="2:25" ht="15.75" hidden="1" x14ac:dyDescent="0.2">
      <c r="B982" s="711">
        <v>46150</v>
      </c>
      <c r="C982" s="105" t="s">
        <v>22</v>
      </c>
      <c r="D982" s="105" t="s">
        <v>23</v>
      </c>
      <c r="E982" s="711">
        <v>46150</v>
      </c>
      <c r="G982" s="839"/>
      <c r="H982" s="120" t="s">
        <v>84</v>
      </c>
      <c r="I982" s="120" t="s">
        <v>43</v>
      </c>
      <c r="J982" s="106">
        <v>28</v>
      </c>
      <c r="K982" s="106">
        <v>15</v>
      </c>
      <c r="L982" s="106">
        <v>6</v>
      </c>
      <c r="M982" s="106">
        <v>2</v>
      </c>
      <c r="N982" s="106">
        <v>0</v>
      </c>
      <c r="O982" s="106">
        <v>5</v>
      </c>
      <c r="P982" s="106">
        <v>0</v>
      </c>
      <c r="Q982" s="108">
        <f>(K982+L982)/J982</f>
        <v>0.75</v>
      </c>
      <c r="R982" s="109">
        <f t="shared" si="990"/>
        <v>0</v>
      </c>
      <c r="S982" s="109">
        <f t="shared" si="991"/>
        <v>0</v>
      </c>
      <c r="T982" s="109">
        <f t="shared" si="992"/>
        <v>0.17857142857142858</v>
      </c>
      <c r="U982" s="110">
        <f t="shared" si="993"/>
        <v>0.9285714285714286</v>
      </c>
      <c r="V982" s="136"/>
    </row>
    <row r="983" spans="2:25" ht="15.75" hidden="1" x14ac:dyDescent="0.2">
      <c r="B983" s="711">
        <v>46150</v>
      </c>
      <c r="C983" s="105" t="s">
        <v>22</v>
      </c>
      <c r="D983" s="105" t="s">
        <v>23</v>
      </c>
      <c r="E983" s="711">
        <v>46150</v>
      </c>
      <c r="G983" s="839"/>
      <c r="H983" s="120" t="s">
        <v>14</v>
      </c>
      <c r="I983" s="120" t="s">
        <v>106</v>
      </c>
      <c r="J983" s="106">
        <v>207</v>
      </c>
      <c r="K983" s="106">
        <f>207-42</f>
        <v>165</v>
      </c>
      <c r="L983" s="106">
        <v>16</v>
      </c>
      <c r="M983" s="106">
        <v>3</v>
      </c>
      <c r="N983" s="106">
        <v>0</v>
      </c>
      <c r="O983" s="106">
        <v>15</v>
      </c>
      <c r="P983" s="106">
        <v>8</v>
      </c>
      <c r="Q983" s="108">
        <f t="shared" ref="Q983:Q986" si="994">(K983+L983)/J983</f>
        <v>0.87439613526570048</v>
      </c>
      <c r="R983" s="109">
        <f t="shared" si="990"/>
        <v>0</v>
      </c>
      <c r="S983" s="109">
        <f t="shared" si="991"/>
        <v>3.864734299516908E-2</v>
      </c>
      <c r="T983" s="109">
        <f t="shared" si="992"/>
        <v>7.2463768115942032E-2</v>
      </c>
      <c r="U983" s="110">
        <f t="shared" si="993"/>
        <v>0.98550724637681153</v>
      </c>
      <c r="V983" s="136"/>
    </row>
    <row r="984" spans="2:25" ht="15.75" hidden="1" x14ac:dyDescent="0.2">
      <c r="B984" s="711">
        <v>46150</v>
      </c>
      <c r="C984" s="105" t="s">
        <v>22</v>
      </c>
      <c r="D984" s="105" t="s">
        <v>23</v>
      </c>
      <c r="E984" s="711">
        <v>46150</v>
      </c>
      <c r="G984" s="839"/>
      <c r="H984" s="120" t="s">
        <v>120</v>
      </c>
      <c r="I984" s="120" t="s">
        <v>106</v>
      </c>
      <c r="J984" s="106">
        <v>21</v>
      </c>
      <c r="K984" s="106">
        <v>4</v>
      </c>
      <c r="L984" s="106">
        <v>2</v>
      </c>
      <c r="M984" s="106">
        <v>1</v>
      </c>
      <c r="N984" s="106">
        <v>0</v>
      </c>
      <c r="O984" s="106">
        <v>0</v>
      </c>
      <c r="P984" s="106">
        <v>14</v>
      </c>
      <c r="Q984" s="108">
        <f t="shared" si="994"/>
        <v>0.2857142857142857</v>
      </c>
      <c r="R984" s="109">
        <f t="shared" si="990"/>
        <v>0</v>
      </c>
      <c r="S984" s="109">
        <f t="shared" si="991"/>
        <v>0.66666666666666663</v>
      </c>
      <c r="T984" s="109">
        <f t="shared" si="992"/>
        <v>0</v>
      </c>
      <c r="U984" s="110">
        <f t="shared" si="993"/>
        <v>0.95238095238095233</v>
      </c>
      <c r="V984" s="136"/>
    </row>
    <row r="985" spans="2:25" ht="15.75" hidden="1" x14ac:dyDescent="0.2">
      <c r="B985" s="711">
        <v>46150</v>
      </c>
      <c r="C985" s="105" t="s">
        <v>22</v>
      </c>
      <c r="D985" s="105" t="s">
        <v>23</v>
      </c>
      <c r="E985" s="711">
        <v>46150</v>
      </c>
      <c r="G985" s="839"/>
      <c r="H985" s="120" t="s">
        <v>118</v>
      </c>
      <c r="I985" s="120" t="s">
        <v>106</v>
      </c>
      <c r="J985" s="106">
        <v>15</v>
      </c>
      <c r="K985" s="106">
        <v>14</v>
      </c>
      <c r="L985" s="106">
        <v>0</v>
      </c>
      <c r="M985" s="106">
        <v>0</v>
      </c>
      <c r="N985" s="106">
        <v>0</v>
      </c>
      <c r="O985" s="106">
        <v>0</v>
      </c>
      <c r="P985" s="106">
        <v>1</v>
      </c>
      <c r="Q985" s="108">
        <f t="shared" si="994"/>
        <v>0.93333333333333335</v>
      </c>
      <c r="R985" s="109">
        <f t="shared" si="990"/>
        <v>0</v>
      </c>
      <c r="S985" s="109">
        <f t="shared" si="991"/>
        <v>6.6666666666666666E-2</v>
      </c>
      <c r="T985" s="109">
        <f t="shared" si="992"/>
        <v>0</v>
      </c>
      <c r="U985" s="110">
        <f t="shared" si="993"/>
        <v>1</v>
      </c>
      <c r="V985" s="136"/>
    </row>
    <row r="986" spans="2:25" ht="15.75" hidden="1" x14ac:dyDescent="0.2">
      <c r="B986" s="711">
        <v>46150</v>
      </c>
      <c r="C986" s="105" t="s">
        <v>22</v>
      </c>
      <c r="D986" s="105" t="s">
        <v>23</v>
      </c>
      <c r="E986" s="711">
        <v>46150</v>
      </c>
      <c r="G986" s="848"/>
      <c r="H986" s="120" t="s">
        <v>17</v>
      </c>
      <c r="I986" s="120" t="s">
        <v>105</v>
      </c>
      <c r="J986" s="106">
        <v>184</v>
      </c>
      <c r="K986" s="106">
        <v>64</v>
      </c>
      <c r="L986" s="106">
        <v>19</v>
      </c>
      <c r="M986" s="106">
        <f>96-27</f>
        <v>69</v>
      </c>
      <c r="N986" s="106">
        <v>0</v>
      </c>
      <c r="O986" s="106">
        <v>27</v>
      </c>
      <c r="P986" s="106">
        <v>5</v>
      </c>
      <c r="Q986" s="108">
        <f t="shared" si="994"/>
        <v>0.45108695652173914</v>
      </c>
      <c r="R986" s="109">
        <f t="shared" si="990"/>
        <v>0</v>
      </c>
      <c r="S986" s="109">
        <f t="shared" si="991"/>
        <v>2.717391304347826E-2</v>
      </c>
      <c r="T986" s="109">
        <f t="shared" si="992"/>
        <v>0.14673913043478262</v>
      </c>
      <c r="U986" s="110">
        <f t="shared" si="993"/>
        <v>0.625</v>
      </c>
      <c r="V986" s="136"/>
    </row>
    <row r="987" spans="2:25" s="97" customFormat="1" ht="16.5" hidden="1" customHeight="1" x14ac:dyDescent="0.2">
      <c r="B987" s="711">
        <v>46150</v>
      </c>
      <c r="C987" s="105" t="s">
        <v>22</v>
      </c>
      <c r="D987" s="105" t="s">
        <v>23</v>
      </c>
      <c r="E987" s="711">
        <v>46150</v>
      </c>
      <c r="F987" s="89"/>
      <c r="G987" s="190"/>
      <c r="H987" s="113" t="s">
        <v>19</v>
      </c>
      <c r="I987" s="113"/>
      <c r="J987" s="113">
        <f t="shared" ref="J987:P987" si="995">SUM(J981:J986)</f>
        <v>608</v>
      </c>
      <c r="K987" s="113">
        <f t="shared" si="995"/>
        <v>340</v>
      </c>
      <c r="L987" s="113">
        <f t="shared" si="995"/>
        <v>102</v>
      </c>
      <c r="M987" s="113">
        <f t="shared" si="995"/>
        <v>76</v>
      </c>
      <c r="N987" s="113">
        <f t="shared" si="995"/>
        <v>0</v>
      </c>
      <c r="O987" s="113">
        <f t="shared" si="995"/>
        <v>62</v>
      </c>
      <c r="P987" s="113">
        <f t="shared" si="995"/>
        <v>28</v>
      </c>
      <c r="Q987" s="115">
        <f>(K987+L987)/J987</f>
        <v>0.72697368421052633</v>
      </c>
      <c r="R987" s="116">
        <f t="shared" si="990"/>
        <v>0</v>
      </c>
      <c r="S987" s="116">
        <f t="shared" si="991"/>
        <v>4.6052631578947366E-2</v>
      </c>
      <c r="T987" s="116">
        <f t="shared" si="992"/>
        <v>0.10197368421052631</v>
      </c>
      <c r="U987" s="117">
        <f t="shared" si="993"/>
        <v>0.875</v>
      </c>
      <c r="V987" s="127"/>
      <c r="W987" s="88"/>
      <c r="X987" s="88"/>
      <c r="Y987" s="118"/>
    </row>
    <row r="988" spans="2:25" ht="15.75" hidden="1" x14ac:dyDescent="0.2">
      <c r="B988" s="711">
        <v>46150</v>
      </c>
      <c r="C988" s="105" t="s">
        <v>22</v>
      </c>
      <c r="D988" s="105" t="s">
        <v>13</v>
      </c>
      <c r="E988" s="711">
        <v>46150</v>
      </c>
      <c r="G988" s="833">
        <v>46150</v>
      </c>
      <c r="H988" s="120" t="s">
        <v>75</v>
      </c>
      <c r="I988" s="120" t="s">
        <v>112</v>
      </c>
      <c r="J988" s="106">
        <v>26</v>
      </c>
      <c r="K988" s="106">
        <f>J988-L988-M988-N988-O988-P988</f>
        <v>8</v>
      </c>
      <c r="L988" s="106">
        <v>6</v>
      </c>
      <c r="M988" s="106">
        <v>0</v>
      </c>
      <c r="N988" s="106">
        <v>0</v>
      </c>
      <c r="O988" s="106">
        <v>12</v>
      </c>
      <c r="P988" s="106">
        <v>0</v>
      </c>
      <c r="Q988" s="108">
        <f t="shared" ref="Q988" si="996">(K988+L988)/J988</f>
        <v>0.53846153846153844</v>
      </c>
      <c r="R988" s="109">
        <f t="shared" ref="R988:R1005" si="997">N988/J988</f>
        <v>0</v>
      </c>
      <c r="S988" s="109">
        <f t="shared" ref="S988:S1005" si="998">P988/J988</f>
        <v>0</v>
      </c>
      <c r="T988" s="109">
        <f t="shared" ref="T988:T1005" si="999">O988/J988</f>
        <v>0.46153846153846156</v>
      </c>
      <c r="U988" s="110">
        <f t="shared" ref="U988:U1005" si="1000">S988+R988+Q988+T988</f>
        <v>1</v>
      </c>
      <c r="V988" s="136"/>
    </row>
    <row r="989" spans="2:25" ht="15.75" hidden="1" x14ac:dyDescent="0.2">
      <c r="B989" s="711">
        <v>46150</v>
      </c>
      <c r="C989" s="105" t="s">
        <v>22</v>
      </c>
      <c r="D989" s="105" t="s">
        <v>13</v>
      </c>
      <c r="E989" s="711">
        <v>46150</v>
      </c>
      <c r="G989" s="834"/>
      <c r="H989" s="120" t="s">
        <v>84</v>
      </c>
      <c r="I989" s="120" t="s">
        <v>43</v>
      </c>
      <c r="J989" s="106">
        <v>4</v>
      </c>
      <c r="K989" s="106">
        <f t="shared" ref="K989:K992" si="1001">J989-L989-M989-N989-O989-P989</f>
        <v>4</v>
      </c>
      <c r="L989" s="106">
        <v>0</v>
      </c>
      <c r="M989" s="106">
        <v>0</v>
      </c>
      <c r="N989" s="106">
        <v>0</v>
      </c>
      <c r="O989" s="106">
        <v>0</v>
      </c>
      <c r="P989" s="106">
        <v>0</v>
      </c>
      <c r="Q989" s="108">
        <f>(K989+L989)/J989</f>
        <v>1</v>
      </c>
      <c r="R989" s="109">
        <f t="shared" si="997"/>
        <v>0</v>
      </c>
      <c r="S989" s="109">
        <f t="shared" si="998"/>
        <v>0</v>
      </c>
      <c r="T989" s="109">
        <f t="shared" si="999"/>
        <v>0</v>
      </c>
      <c r="U989" s="110">
        <f t="shared" si="1000"/>
        <v>1</v>
      </c>
      <c r="V989" s="136"/>
    </row>
    <row r="990" spans="2:25" ht="15.75" hidden="1" x14ac:dyDescent="0.2">
      <c r="B990" s="711">
        <v>46150</v>
      </c>
      <c r="C990" s="105" t="s">
        <v>22</v>
      </c>
      <c r="D990" s="105" t="s">
        <v>13</v>
      </c>
      <c r="E990" s="711">
        <v>46150</v>
      </c>
      <c r="G990" s="834"/>
      <c r="H990" s="120" t="s">
        <v>14</v>
      </c>
      <c r="I990" s="120" t="s">
        <v>106</v>
      </c>
      <c r="J990" s="106">
        <v>31</v>
      </c>
      <c r="K990" s="106">
        <f t="shared" si="1001"/>
        <v>14</v>
      </c>
      <c r="L990" s="106">
        <v>9</v>
      </c>
      <c r="M990" s="106">
        <v>0</v>
      </c>
      <c r="N990" s="106">
        <v>0</v>
      </c>
      <c r="O990" s="106">
        <v>0</v>
      </c>
      <c r="P990" s="106">
        <v>8</v>
      </c>
      <c r="Q990" s="108">
        <f t="shared" ref="Q990:Q992" si="1002">(K990+L990)/J990</f>
        <v>0.74193548387096775</v>
      </c>
      <c r="R990" s="109">
        <f t="shared" si="997"/>
        <v>0</v>
      </c>
      <c r="S990" s="109">
        <f t="shared" si="998"/>
        <v>0.25806451612903225</v>
      </c>
      <c r="T990" s="109">
        <f t="shared" si="999"/>
        <v>0</v>
      </c>
      <c r="U990" s="110">
        <f t="shared" si="1000"/>
        <v>1</v>
      </c>
      <c r="V990" s="136"/>
    </row>
    <row r="991" spans="2:25" ht="15.75" hidden="1" x14ac:dyDescent="0.2">
      <c r="B991" s="711">
        <v>46150</v>
      </c>
      <c r="C991" s="105" t="s">
        <v>22</v>
      </c>
      <c r="D991" s="105" t="s">
        <v>13</v>
      </c>
      <c r="E991" s="711">
        <v>46150</v>
      </c>
      <c r="G991" s="834"/>
      <c r="H991" s="120" t="s">
        <v>120</v>
      </c>
      <c r="I991" s="120" t="s">
        <v>106</v>
      </c>
      <c r="J991" s="106">
        <v>1</v>
      </c>
      <c r="K991" s="106">
        <v>1</v>
      </c>
      <c r="L991" s="106">
        <v>0</v>
      </c>
      <c r="M991" s="106">
        <v>0</v>
      </c>
      <c r="N991" s="106">
        <v>0</v>
      </c>
      <c r="O991" s="106">
        <v>0</v>
      </c>
      <c r="P991" s="106">
        <v>0</v>
      </c>
      <c r="Q991" s="108">
        <f t="shared" si="1002"/>
        <v>1</v>
      </c>
      <c r="R991" s="109">
        <f t="shared" si="997"/>
        <v>0</v>
      </c>
      <c r="S991" s="109">
        <f t="shared" si="998"/>
        <v>0</v>
      </c>
      <c r="T991" s="109">
        <f t="shared" si="999"/>
        <v>0</v>
      </c>
      <c r="U991" s="110">
        <f t="shared" si="1000"/>
        <v>1</v>
      </c>
      <c r="V991" s="136"/>
    </row>
    <row r="992" spans="2:25" ht="15.75" hidden="1" x14ac:dyDescent="0.2">
      <c r="B992" s="711">
        <v>46150</v>
      </c>
      <c r="C992" s="105" t="s">
        <v>22</v>
      </c>
      <c r="D992" s="105" t="s">
        <v>13</v>
      </c>
      <c r="E992" s="711">
        <v>46150</v>
      </c>
      <c r="G992" s="835"/>
      <c r="H992" s="120" t="s">
        <v>17</v>
      </c>
      <c r="I992" s="120" t="s">
        <v>105</v>
      </c>
      <c r="J992" s="106">
        <v>184</v>
      </c>
      <c r="K992" s="106">
        <f t="shared" si="1001"/>
        <v>99</v>
      </c>
      <c r="L992" s="106">
        <v>45</v>
      </c>
      <c r="M992" s="106">
        <v>8</v>
      </c>
      <c r="N992" s="106">
        <v>0</v>
      </c>
      <c r="O992" s="106">
        <v>29</v>
      </c>
      <c r="P992" s="106">
        <v>3</v>
      </c>
      <c r="Q992" s="108">
        <f t="shared" si="1002"/>
        <v>0.78260869565217395</v>
      </c>
      <c r="R992" s="109">
        <f t="shared" si="997"/>
        <v>0</v>
      </c>
      <c r="S992" s="109">
        <f t="shared" si="998"/>
        <v>1.6304347826086956E-2</v>
      </c>
      <c r="T992" s="109">
        <f t="shared" si="999"/>
        <v>0.15760869565217392</v>
      </c>
      <c r="U992" s="110">
        <f t="shared" si="1000"/>
        <v>0.95652173913043481</v>
      </c>
      <c r="V992" s="136" t="s">
        <v>124</v>
      </c>
    </row>
    <row r="993" spans="2:25" ht="15.75" hidden="1" x14ac:dyDescent="0.2">
      <c r="B993" s="711">
        <v>46150</v>
      </c>
      <c r="C993" s="105" t="s">
        <v>22</v>
      </c>
      <c r="D993" s="105" t="s">
        <v>13</v>
      </c>
      <c r="E993" s="711">
        <v>46150</v>
      </c>
      <c r="G993" s="113"/>
      <c r="H993" s="113" t="s">
        <v>19</v>
      </c>
      <c r="I993" s="113"/>
      <c r="J993" s="113">
        <f t="shared" ref="J993:P993" si="1003">SUM(J988:J992)</f>
        <v>246</v>
      </c>
      <c r="K993" s="113">
        <f t="shared" si="1003"/>
        <v>126</v>
      </c>
      <c r="L993" s="113">
        <f t="shared" si="1003"/>
        <v>60</v>
      </c>
      <c r="M993" s="113">
        <f t="shared" si="1003"/>
        <v>8</v>
      </c>
      <c r="N993" s="113">
        <f t="shared" si="1003"/>
        <v>0</v>
      </c>
      <c r="O993" s="113">
        <f t="shared" si="1003"/>
        <v>41</v>
      </c>
      <c r="P993" s="113">
        <f t="shared" si="1003"/>
        <v>11</v>
      </c>
      <c r="Q993" s="115">
        <f>(K993+L993)/J993</f>
        <v>0.75609756097560976</v>
      </c>
      <c r="R993" s="116">
        <f t="shared" si="997"/>
        <v>0</v>
      </c>
      <c r="S993" s="116">
        <f t="shared" si="998"/>
        <v>4.4715447154471545E-2</v>
      </c>
      <c r="T993" s="116">
        <f t="shared" si="999"/>
        <v>0.16666666666666666</v>
      </c>
      <c r="U993" s="117">
        <f t="shared" si="1000"/>
        <v>0.9674796747967479</v>
      </c>
      <c r="V993" s="127"/>
    </row>
    <row r="994" spans="2:25" ht="15.75" hidden="1" x14ac:dyDescent="0.2">
      <c r="B994" s="711">
        <v>46150</v>
      </c>
      <c r="C994" s="105" t="s">
        <v>22</v>
      </c>
      <c r="D994" s="105" t="s">
        <v>13</v>
      </c>
      <c r="E994" s="711">
        <v>46151</v>
      </c>
      <c r="G994" s="833">
        <v>46151</v>
      </c>
      <c r="H994" s="120" t="s">
        <v>75</v>
      </c>
      <c r="I994" s="120" t="s">
        <v>112</v>
      </c>
      <c r="J994" s="106">
        <v>227</v>
      </c>
      <c r="K994" s="106">
        <f>J994-L994-M994-N994-O994-P994</f>
        <v>57</v>
      </c>
      <c r="L994" s="106">
        <v>19</v>
      </c>
      <c r="M994" s="106">
        <v>125</v>
      </c>
      <c r="N994" s="106">
        <v>26</v>
      </c>
      <c r="O994" s="106">
        <v>0</v>
      </c>
      <c r="P994" s="106">
        <v>0</v>
      </c>
      <c r="Q994" s="108">
        <f t="shared" ref="Q994" si="1004">(K994+L994)/J994</f>
        <v>0.33480176211453744</v>
      </c>
      <c r="R994" s="109">
        <f t="shared" si="997"/>
        <v>0.11453744493392071</v>
      </c>
      <c r="S994" s="109">
        <f t="shared" si="998"/>
        <v>0</v>
      </c>
      <c r="T994" s="109">
        <f t="shared" si="999"/>
        <v>0</v>
      </c>
      <c r="U994" s="110">
        <f t="shared" si="1000"/>
        <v>0.44933920704845814</v>
      </c>
      <c r="V994" s="136"/>
    </row>
    <row r="995" spans="2:25" ht="15.75" hidden="1" x14ac:dyDescent="0.2">
      <c r="B995" s="711">
        <v>46150</v>
      </c>
      <c r="C995" s="105" t="s">
        <v>22</v>
      </c>
      <c r="D995" s="105" t="s">
        <v>13</v>
      </c>
      <c r="E995" s="711">
        <v>46151</v>
      </c>
      <c r="G995" s="834"/>
      <c r="H995" s="120" t="s">
        <v>14</v>
      </c>
      <c r="I995" s="120" t="s">
        <v>106</v>
      </c>
      <c r="J995" s="106">
        <v>211</v>
      </c>
      <c r="K995" s="106">
        <f t="shared" ref="K995:K997" si="1005">J995-L995-M995-N995-O995-P995</f>
        <v>0</v>
      </c>
      <c r="L995" s="106">
        <v>0</v>
      </c>
      <c r="M995" s="106">
        <v>211</v>
      </c>
      <c r="N995" s="106">
        <v>0</v>
      </c>
      <c r="O995" s="106">
        <v>0</v>
      </c>
      <c r="P995" s="106">
        <v>0</v>
      </c>
      <c r="Q995" s="108">
        <f t="shared" ref="Q995:Q997" si="1006">(K995+L995)/J995</f>
        <v>0</v>
      </c>
      <c r="R995" s="109">
        <f t="shared" si="997"/>
        <v>0</v>
      </c>
      <c r="S995" s="109">
        <f t="shared" si="998"/>
        <v>0</v>
      </c>
      <c r="T995" s="109">
        <f t="shared" si="999"/>
        <v>0</v>
      </c>
      <c r="U995" s="110">
        <f t="shared" si="1000"/>
        <v>0</v>
      </c>
      <c r="V995" s="136"/>
    </row>
    <row r="996" spans="2:25" ht="15.75" hidden="1" x14ac:dyDescent="0.2">
      <c r="B996" s="711">
        <v>46150</v>
      </c>
      <c r="C996" s="105" t="s">
        <v>22</v>
      </c>
      <c r="D996" s="105" t="s">
        <v>13</v>
      </c>
      <c r="E996" s="711">
        <v>46151</v>
      </c>
      <c r="G996" s="834"/>
      <c r="H996" s="120" t="s">
        <v>120</v>
      </c>
      <c r="I996" s="120" t="s">
        <v>106</v>
      </c>
      <c r="J996" s="106">
        <v>17</v>
      </c>
      <c r="K996" s="106">
        <f t="shared" si="1005"/>
        <v>0</v>
      </c>
      <c r="L996" s="106">
        <v>0</v>
      </c>
      <c r="M996" s="106">
        <v>17</v>
      </c>
      <c r="N996" s="106">
        <v>0</v>
      </c>
      <c r="O996" s="106">
        <v>0</v>
      </c>
      <c r="P996" s="106">
        <v>0</v>
      </c>
      <c r="Q996" s="108">
        <f t="shared" si="1006"/>
        <v>0</v>
      </c>
      <c r="R996" s="109">
        <f t="shared" si="997"/>
        <v>0</v>
      </c>
      <c r="S996" s="109">
        <f t="shared" si="998"/>
        <v>0</v>
      </c>
      <c r="T996" s="109">
        <f t="shared" si="999"/>
        <v>0</v>
      </c>
      <c r="U996" s="110">
        <f t="shared" si="1000"/>
        <v>0</v>
      </c>
      <c r="V996" s="136"/>
    </row>
    <row r="997" spans="2:25" ht="15.75" hidden="1" x14ac:dyDescent="0.2">
      <c r="B997" s="711">
        <v>46150</v>
      </c>
      <c r="C997" s="105" t="s">
        <v>22</v>
      </c>
      <c r="D997" s="105" t="s">
        <v>13</v>
      </c>
      <c r="E997" s="711">
        <v>46151</v>
      </c>
      <c r="G997" s="835"/>
      <c r="H997" s="120" t="s">
        <v>25</v>
      </c>
      <c r="I997" s="120" t="s">
        <v>105</v>
      </c>
      <c r="J997" s="106">
        <v>199</v>
      </c>
      <c r="K997" s="106">
        <f t="shared" si="1005"/>
        <v>0</v>
      </c>
      <c r="L997" s="106">
        <v>0</v>
      </c>
      <c r="M997" s="106">
        <v>199</v>
      </c>
      <c r="N997" s="106">
        <v>0</v>
      </c>
      <c r="O997" s="106">
        <v>0</v>
      </c>
      <c r="P997" s="106">
        <v>0</v>
      </c>
      <c r="Q997" s="108">
        <f t="shared" si="1006"/>
        <v>0</v>
      </c>
      <c r="R997" s="109">
        <f t="shared" si="997"/>
        <v>0</v>
      </c>
      <c r="S997" s="109">
        <f t="shared" si="998"/>
        <v>0</v>
      </c>
      <c r="T997" s="109">
        <f t="shared" si="999"/>
        <v>0</v>
      </c>
      <c r="U997" s="110">
        <f t="shared" si="1000"/>
        <v>0</v>
      </c>
      <c r="V997" s="136"/>
    </row>
    <row r="998" spans="2:25" ht="15.75" hidden="1" x14ac:dyDescent="0.2">
      <c r="B998" s="711">
        <v>46150</v>
      </c>
      <c r="C998" s="105" t="s">
        <v>22</v>
      </c>
      <c r="D998" s="105" t="s">
        <v>13</v>
      </c>
      <c r="E998" s="711">
        <v>46151</v>
      </c>
      <c r="G998" s="190"/>
      <c r="H998" s="113" t="s">
        <v>19</v>
      </c>
      <c r="I998" s="113"/>
      <c r="J998" s="113">
        <f t="shared" ref="J998:P998" si="1007">SUM(J994:J997)</f>
        <v>654</v>
      </c>
      <c r="K998" s="113">
        <f t="shared" si="1007"/>
        <v>57</v>
      </c>
      <c r="L998" s="113">
        <f t="shared" si="1007"/>
        <v>19</v>
      </c>
      <c r="M998" s="113">
        <f t="shared" si="1007"/>
        <v>552</v>
      </c>
      <c r="N998" s="113">
        <f t="shared" si="1007"/>
        <v>26</v>
      </c>
      <c r="O998" s="113">
        <f t="shared" si="1007"/>
        <v>0</v>
      </c>
      <c r="P998" s="113">
        <f t="shared" si="1007"/>
        <v>0</v>
      </c>
      <c r="Q998" s="115">
        <f>(K998+L998)/J998</f>
        <v>0.11620795107033639</v>
      </c>
      <c r="R998" s="116">
        <f t="shared" si="997"/>
        <v>3.9755351681957186E-2</v>
      </c>
      <c r="S998" s="116">
        <f t="shared" si="998"/>
        <v>0</v>
      </c>
      <c r="T998" s="116">
        <f t="shared" si="999"/>
        <v>0</v>
      </c>
      <c r="U998" s="117">
        <f t="shared" si="1000"/>
        <v>0.15596330275229359</v>
      </c>
      <c r="V998" s="127"/>
    </row>
    <row r="999" spans="2:25" ht="15.75" hidden="1" x14ac:dyDescent="0.2">
      <c r="B999" s="711">
        <v>46150</v>
      </c>
      <c r="C999" s="105" t="s">
        <v>18</v>
      </c>
      <c r="D999" s="105" t="s">
        <v>20</v>
      </c>
      <c r="E999" s="711">
        <v>46150</v>
      </c>
      <c r="G999" s="833">
        <v>46150</v>
      </c>
      <c r="H999" s="120" t="s">
        <v>75</v>
      </c>
      <c r="I999" s="120" t="s">
        <v>112</v>
      </c>
      <c r="J999" s="106">
        <f>SUM(K999:P999)</f>
        <v>21</v>
      </c>
      <c r="K999" s="106">
        <v>4</v>
      </c>
      <c r="L999" s="106">
        <v>17</v>
      </c>
      <c r="M999" s="106">
        <v>0</v>
      </c>
      <c r="N999" s="106">
        <v>0</v>
      </c>
      <c r="O999" s="106">
        <v>0</v>
      </c>
      <c r="P999" s="106">
        <v>0</v>
      </c>
      <c r="Q999" s="108">
        <f t="shared" ref="Q999:Q1001" si="1008">(K999+L999)/J999</f>
        <v>1</v>
      </c>
      <c r="R999" s="109">
        <f t="shared" si="997"/>
        <v>0</v>
      </c>
      <c r="S999" s="109">
        <f t="shared" si="998"/>
        <v>0</v>
      </c>
      <c r="T999" s="109">
        <f t="shared" si="999"/>
        <v>0</v>
      </c>
      <c r="U999" s="110">
        <f t="shared" si="1000"/>
        <v>1</v>
      </c>
      <c r="V999" s="136"/>
    </row>
    <row r="1000" spans="2:25" ht="15.75" hidden="1" x14ac:dyDescent="0.2">
      <c r="B1000" s="711">
        <v>46150</v>
      </c>
      <c r="C1000" s="105" t="s">
        <v>18</v>
      </c>
      <c r="D1000" s="105" t="s">
        <v>20</v>
      </c>
      <c r="E1000" s="711">
        <v>46150</v>
      </c>
      <c r="G1000" s="835"/>
      <c r="H1000" s="120" t="s">
        <v>17</v>
      </c>
      <c r="I1000" s="120" t="s">
        <v>105</v>
      </c>
      <c r="J1000" s="106">
        <f>SUM(K1000:P1000)</f>
        <v>38</v>
      </c>
      <c r="K1000" s="106">
        <v>14</v>
      </c>
      <c r="L1000" s="106">
        <v>21</v>
      </c>
      <c r="M1000" s="106">
        <v>0</v>
      </c>
      <c r="N1000" s="106">
        <v>0</v>
      </c>
      <c r="O1000" s="106">
        <v>0</v>
      </c>
      <c r="P1000" s="106">
        <v>3</v>
      </c>
      <c r="Q1000" s="108">
        <f t="shared" si="1008"/>
        <v>0.92105263157894735</v>
      </c>
      <c r="R1000" s="109">
        <f t="shared" si="997"/>
        <v>0</v>
      </c>
      <c r="S1000" s="109">
        <f t="shared" si="998"/>
        <v>7.8947368421052627E-2</v>
      </c>
      <c r="T1000" s="109">
        <f t="shared" si="999"/>
        <v>0</v>
      </c>
      <c r="U1000" s="110">
        <f t="shared" si="1000"/>
        <v>1</v>
      </c>
      <c r="V1000" s="136"/>
    </row>
    <row r="1001" spans="2:25" ht="15.75" hidden="1" x14ac:dyDescent="0.2">
      <c r="B1001" s="711">
        <v>46150</v>
      </c>
      <c r="C1001" s="105" t="s">
        <v>18</v>
      </c>
      <c r="D1001" s="105" t="s">
        <v>20</v>
      </c>
      <c r="E1001" s="711">
        <v>46151</v>
      </c>
      <c r="G1001" s="838">
        <v>46151</v>
      </c>
      <c r="H1001" s="120" t="s">
        <v>75</v>
      </c>
      <c r="I1001" s="120" t="s">
        <v>112</v>
      </c>
      <c r="J1001" s="106">
        <f>SUM(K1001:P1001)</f>
        <v>152</v>
      </c>
      <c r="K1001" s="106">
        <v>77</v>
      </c>
      <c r="L1001" s="106">
        <v>43</v>
      </c>
      <c r="M1001" s="106">
        <v>8</v>
      </c>
      <c r="N1001" s="106">
        <v>4</v>
      </c>
      <c r="O1001" s="106">
        <v>20</v>
      </c>
      <c r="P1001" s="106">
        <v>0</v>
      </c>
      <c r="Q1001" s="108">
        <f t="shared" si="1008"/>
        <v>0.78947368421052633</v>
      </c>
      <c r="R1001" s="109">
        <f t="shared" si="997"/>
        <v>2.6315789473684209E-2</v>
      </c>
      <c r="S1001" s="109">
        <f t="shared" si="998"/>
        <v>0</v>
      </c>
      <c r="T1001" s="109">
        <f t="shared" si="999"/>
        <v>0.13157894736842105</v>
      </c>
      <c r="U1001" s="110">
        <f t="shared" si="1000"/>
        <v>0.94736842105263153</v>
      </c>
      <c r="V1001" s="136"/>
    </row>
    <row r="1002" spans="2:25" ht="15.75" hidden="1" x14ac:dyDescent="0.2">
      <c r="B1002" s="711">
        <v>46150</v>
      </c>
      <c r="C1002" s="105" t="s">
        <v>18</v>
      </c>
      <c r="D1002" s="105" t="s">
        <v>20</v>
      </c>
      <c r="E1002" s="711">
        <v>46151</v>
      </c>
      <c r="G1002" s="839"/>
      <c r="H1002" s="120" t="s">
        <v>14</v>
      </c>
      <c r="I1002" s="120" t="s">
        <v>106</v>
      </c>
      <c r="J1002" s="106">
        <v>211</v>
      </c>
      <c r="K1002" s="106">
        <v>130</v>
      </c>
      <c r="L1002" s="106">
        <v>28</v>
      </c>
      <c r="M1002" s="106">
        <v>30</v>
      </c>
      <c r="N1002" s="106">
        <v>0</v>
      </c>
      <c r="O1002" s="106">
        <v>10</v>
      </c>
      <c r="P1002" s="106">
        <v>12</v>
      </c>
      <c r="Q1002" s="108">
        <f t="shared" ref="Q1002:Q1004" si="1009">(K1002+L1002)/J1002</f>
        <v>0.74881516587677721</v>
      </c>
      <c r="R1002" s="109">
        <f t="shared" si="997"/>
        <v>0</v>
      </c>
      <c r="S1002" s="109">
        <f t="shared" si="998"/>
        <v>5.6872037914691941E-2</v>
      </c>
      <c r="T1002" s="109">
        <f t="shared" si="999"/>
        <v>4.7393364928909949E-2</v>
      </c>
      <c r="U1002" s="110">
        <f t="shared" si="1000"/>
        <v>0.85308056872037918</v>
      </c>
      <c r="V1002" s="136"/>
    </row>
    <row r="1003" spans="2:25" ht="15.75" hidden="1" x14ac:dyDescent="0.2">
      <c r="B1003" s="711">
        <v>46150</v>
      </c>
      <c r="C1003" s="105" t="s">
        <v>18</v>
      </c>
      <c r="D1003" s="105" t="s">
        <v>20</v>
      </c>
      <c r="E1003" s="711">
        <v>46151</v>
      </c>
      <c r="G1003" s="839"/>
      <c r="H1003" s="120" t="s">
        <v>120</v>
      </c>
      <c r="I1003" s="120" t="s">
        <v>106</v>
      </c>
      <c r="J1003" s="106">
        <v>17</v>
      </c>
      <c r="K1003" s="106">
        <v>0</v>
      </c>
      <c r="L1003" s="106">
        <v>0</v>
      </c>
      <c r="M1003" s="106">
        <v>6</v>
      </c>
      <c r="N1003" s="106">
        <v>0</v>
      </c>
      <c r="O1003" s="106">
        <v>0</v>
      </c>
      <c r="P1003" s="106">
        <v>11</v>
      </c>
      <c r="Q1003" s="108">
        <f t="shared" si="1009"/>
        <v>0</v>
      </c>
      <c r="R1003" s="109">
        <f t="shared" si="997"/>
        <v>0</v>
      </c>
      <c r="S1003" s="109">
        <f t="shared" si="998"/>
        <v>0.6470588235294118</v>
      </c>
      <c r="T1003" s="109">
        <f t="shared" si="999"/>
        <v>0</v>
      </c>
      <c r="U1003" s="110">
        <f t="shared" si="1000"/>
        <v>0.6470588235294118</v>
      </c>
      <c r="V1003" s="136"/>
    </row>
    <row r="1004" spans="2:25" ht="15.75" hidden="1" x14ac:dyDescent="0.2">
      <c r="B1004" s="711">
        <v>46150</v>
      </c>
      <c r="C1004" s="105" t="s">
        <v>18</v>
      </c>
      <c r="D1004" s="105" t="s">
        <v>20</v>
      </c>
      <c r="E1004" s="711">
        <v>46151</v>
      </c>
      <c r="G1004" s="848"/>
      <c r="H1004" s="120" t="s">
        <v>25</v>
      </c>
      <c r="I1004" s="120" t="s">
        <v>105</v>
      </c>
      <c r="J1004" s="106">
        <v>211</v>
      </c>
      <c r="K1004" s="106">
        <v>7</v>
      </c>
      <c r="L1004" s="106">
        <v>9</v>
      </c>
      <c r="M1004" s="106">
        <v>192</v>
      </c>
      <c r="N1004" s="106">
        <v>0</v>
      </c>
      <c r="O1004" s="106">
        <v>0</v>
      </c>
      <c r="P1004" s="106">
        <v>3</v>
      </c>
      <c r="Q1004" s="108">
        <f t="shared" si="1009"/>
        <v>7.582938388625593E-2</v>
      </c>
      <c r="R1004" s="109">
        <f t="shared" si="997"/>
        <v>0</v>
      </c>
      <c r="S1004" s="109">
        <f t="shared" si="998"/>
        <v>1.4218009478672985E-2</v>
      </c>
      <c r="T1004" s="109">
        <f t="shared" si="999"/>
        <v>0</v>
      </c>
      <c r="U1004" s="110">
        <f t="shared" si="1000"/>
        <v>9.004739336492891E-2</v>
      </c>
      <c r="V1004" s="136"/>
    </row>
    <row r="1005" spans="2:25" s="97" customFormat="1" ht="16.5" hidden="1" customHeight="1" x14ac:dyDescent="0.2">
      <c r="B1005" s="711">
        <v>46150</v>
      </c>
      <c r="C1005" s="105" t="s">
        <v>18</v>
      </c>
      <c r="D1005" s="105" t="s">
        <v>20</v>
      </c>
      <c r="E1005" s="711">
        <v>46151</v>
      </c>
      <c r="F1005" s="89"/>
      <c r="G1005" s="190"/>
      <c r="H1005" s="113" t="s">
        <v>19</v>
      </c>
      <c r="I1005" s="113"/>
      <c r="J1005" s="113">
        <f t="shared" ref="J1005:P1005" si="1010">SUM(J999:J1004)</f>
        <v>650</v>
      </c>
      <c r="K1005" s="113">
        <f t="shared" si="1010"/>
        <v>232</v>
      </c>
      <c r="L1005" s="113">
        <f t="shared" si="1010"/>
        <v>118</v>
      </c>
      <c r="M1005" s="113">
        <f t="shared" si="1010"/>
        <v>236</v>
      </c>
      <c r="N1005" s="113">
        <f t="shared" si="1010"/>
        <v>4</v>
      </c>
      <c r="O1005" s="113">
        <f t="shared" si="1010"/>
        <v>30</v>
      </c>
      <c r="P1005" s="113">
        <f t="shared" si="1010"/>
        <v>29</v>
      </c>
      <c r="Q1005" s="115">
        <f>(K1005+L1005)/J1005</f>
        <v>0.53846153846153844</v>
      </c>
      <c r="R1005" s="116">
        <f t="shared" si="997"/>
        <v>6.1538461538461538E-3</v>
      </c>
      <c r="S1005" s="116">
        <f t="shared" si="998"/>
        <v>4.4615384615384612E-2</v>
      </c>
      <c r="T1005" s="116">
        <f t="shared" si="999"/>
        <v>4.6153846153846156E-2</v>
      </c>
      <c r="U1005" s="117">
        <f t="shared" si="1000"/>
        <v>0.63538461538461544</v>
      </c>
      <c r="V1005" s="127"/>
      <c r="W1005" s="88"/>
      <c r="X1005" s="88"/>
      <c r="Y1005" s="118"/>
    </row>
    <row r="1006" spans="2:25" ht="15.75" hidden="1" x14ac:dyDescent="0.2">
      <c r="B1006" s="711">
        <v>46151</v>
      </c>
      <c r="C1006" s="105" t="s">
        <v>22</v>
      </c>
      <c r="D1006" s="105" t="s">
        <v>23</v>
      </c>
      <c r="E1006" s="711">
        <v>46151</v>
      </c>
      <c r="G1006" s="838">
        <v>46151</v>
      </c>
      <c r="H1006" s="120" t="s">
        <v>75</v>
      </c>
      <c r="I1006" s="120" t="s">
        <v>112</v>
      </c>
      <c r="J1006" s="106">
        <v>227</v>
      </c>
      <c r="K1006" s="106">
        <v>127</v>
      </c>
      <c r="L1006" s="106">
        <v>71</v>
      </c>
      <c r="M1006" s="106">
        <v>6</v>
      </c>
      <c r="N1006" s="106">
        <v>3</v>
      </c>
      <c r="O1006" s="106">
        <v>20</v>
      </c>
      <c r="P1006" s="106">
        <v>0</v>
      </c>
      <c r="Q1006" s="108">
        <f t="shared" ref="Q1006:Q1009" si="1011">(K1006+L1006)/J1006</f>
        <v>0.8722466960352423</v>
      </c>
      <c r="R1006" s="109">
        <f t="shared" ref="R1006:R1010" si="1012">N1006/J1006</f>
        <v>1.3215859030837005E-2</v>
      </c>
      <c r="S1006" s="109">
        <f t="shared" ref="S1006:S1010" si="1013">P1006/J1006</f>
        <v>0</v>
      </c>
      <c r="T1006" s="109">
        <f t="shared" ref="T1006:T1010" si="1014">O1006/J1006</f>
        <v>8.8105726872246701E-2</v>
      </c>
      <c r="U1006" s="110">
        <f t="shared" ref="U1006:U1010" si="1015">S1006+R1006+Q1006+T1006</f>
        <v>0.97356828193832601</v>
      </c>
      <c r="V1006" s="136"/>
    </row>
    <row r="1007" spans="2:25" ht="15.75" hidden="1" x14ac:dyDescent="0.2">
      <c r="B1007" s="711">
        <v>46151</v>
      </c>
      <c r="C1007" s="105" t="s">
        <v>22</v>
      </c>
      <c r="D1007" s="105" t="s">
        <v>23</v>
      </c>
      <c r="E1007" s="711">
        <v>46151</v>
      </c>
      <c r="G1007" s="839"/>
      <c r="H1007" s="120" t="s">
        <v>14</v>
      </c>
      <c r="I1007" s="120" t="s">
        <v>106</v>
      </c>
      <c r="J1007" s="106">
        <v>211</v>
      </c>
      <c r="K1007" s="106">
        <f>211-45</f>
        <v>166</v>
      </c>
      <c r="L1007" s="106">
        <v>16</v>
      </c>
      <c r="M1007" s="106">
        <v>2</v>
      </c>
      <c r="N1007" s="106">
        <v>0</v>
      </c>
      <c r="O1007" s="106">
        <v>13</v>
      </c>
      <c r="P1007" s="106">
        <v>14</v>
      </c>
      <c r="Q1007" s="108">
        <f t="shared" si="1011"/>
        <v>0.86255924170616116</v>
      </c>
      <c r="R1007" s="109">
        <f t="shared" si="1012"/>
        <v>0</v>
      </c>
      <c r="S1007" s="109">
        <f t="shared" si="1013"/>
        <v>6.6350710900473939E-2</v>
      </c>
      <c r="T1007" s="109">
        <f t="shared" si="1014"/>
        <v>6.1611374407582936E-2</v>
      </c>
      <c r="U1007" s="110">
        <f t="shared" si="1015"/>
        <v>0.99052132701421802</v>
      </c>
      <c r="V1007" s="136"/>
    </row>
    <row r="1008" spans="2:25" ht="15.75" hidden="1" x14ac:dyDescent="0.2">
      <c r="B1008" s="711">
        <v>46151</v>
      </c>
      <c r="C1008" s="105" t="s">
        <v>22</v>
      </c>
      <c r="D1008" s="105" t="s">
        <v>23</v>
      </c>
      <c r="E1008" s="711">
        <v>46151</v>
      </c>
      <c r="G1008" s="839"/>
      <c r="H1008" s="120" t="s">
        <v>120</v>
      </c>
      <c r="I1008" s="120" t="s">
        <v>106</v>
      </c>
      <c r="J1008" s="106">
        <v>29</v>
      </c>
      <c r="K1008" s="106">
        <v>15</v>
      </c>
      <c r="L1008" s="106">
        <v>0</v>
      </c>
      <c r="M1008" s="106">
        <v>7</v>
      </c>
      <c r="N1008" s="106">
        <v>0</v>
      </c>
      <c r="O1008" s="106">
        <v>0</v>
      </c>
      <c r="P1008" s="106">
        <v>11</v>
      </c>
      <c r="Q1008" s="108">
        <f t="shared" si="1011"/>
        <v>0.51724137931034486</v>
      </c>
      <c r="R1008" s="109">
        <f t="shared" si="1012"/>
        <v>0</v>
      </c>
      <c r="S1008" s="109">
        <f t="shared" si="1013"/>
        <v>0.37931034482758619</v>
      </c>
      <c r="T1008" s="109">
        <f t="shared" si="1014"/>
        <v>0</v>
      </c>
      <c r="U1008" s="110">
        <f t="shared" si="1015"/>
        <v>0.89655172413793105</v>
      </c>
      <c r="V1008" s="136"/>
    </row>
    <row r="1009" spans="2:25" ht="15.75" hidden="1" x14ac:dyDescent="0.2">
      <c r="B1009" s="711">
        <v>46151</v>
      </c>
      <c r="C1009" s="105" t="s">
        <v>22</v>
      </c>
      <c r="D1009" s="105" t="s">
        <v>23</v>
      </c>
      <c r="E1009" s="711">
        <v>46151</v>
      </c>
      <c r="G1009" s="848"/>
      <c r="H1009" s="120" t="s">
        <v>25</v>
      </c>
      <c r="I1009" s="120" t="s">
        <v>105</v>
      </c>
      <c r="J1009" s="106">
        <v>199</v>
      </c>
      <c r="K1009" s="106">
        <v>40</v>
      </c>
      <c r="L1009" s="106">
        <v>28</v>
      </c>
      <c r="M1009" s="106">
        <v>79</v>
      </c>
      <c r="N1009" s="106">
        <v>21</v>
      </c>
      <c r="O1009" s="106">
        <v>28</v>
      </c>
      <c r="P1009" s="106">
        <v>3</v>
      </c>
      <c r="Q1009" s="108">
        <f t="shared" si="1011"/>
        <v>0.34170854271356782</v>
      </c>
      <c r="R1009" s="109">
        <f t="shared" si="1012"/>
        <v>0.10552763819095477</v>
      </c>
      <c r="S1009" s="109">
        <f t="shared" si="1013"/>
        <v>1.507537688442211E-2</v>
      </c>
      <c r="T1009" s="109">
        <f t="shared" si="1014"/>
        <v>0.1407035175879397</v>
      </c>
      <c r="U1009" s="110">
        <f t="shared" si="1015"/>
        <v>0.60301507537688437</v>
      </c>
      <c r="V1009" s="136"/>
    </row>
    <row r="1010" spans="2:25" s="97" customFormat="1" ht="16.5" hidden="1" customHeight="1" x14ac:dyDescent="0.2">
      <c r="B1010" s="711">
        <v>46151</v>
      </c>
      <c r="C1010" s="105" t="s">
        <v>22</v>
      </c>
      <c r="D1010" s="105" t="s">
        <v>23</v>
      </c>
      <c r="E1010" s="711">
        <v>46151</v>
      </c>
      <c r="F1010" s="89"/>
      <c r="G1010" s="190"/>
      <c r="H1010" s="113" t="s">
        <v>19</v>
      </c>
      <c r="I1010" s="113"/>
      <c r="J1010" s="113">
        <f t="shared" ref="J1010:P1010" si="1016">SUM(J1006:J1009)</f>
        <v>666</v>
      </c>
      <c r="K1010" s="113">
        <f t="shared" si="1016"/>
        <v>348</v>
      </c>
      <c r="L1010" s="113">
        <f t="shared" si="1016"/>
        <v>115</v>
      </c>
      <c r="M1010" s="113">
        <f t="shared" si="1016"/>
        <v>94</v>
      </c>
      <c r="N1010" s="113">
        <f t="shared" si="1016"/>
        <v>24</v>
      </c>
      <c r="O1010" s="113">
        <f t="shared" si="1016"/>
        <v>61</v>
      </c>
      <c r="P1010" s="113">
        <f t="shared" si="1016"/>
        <v>28</v>
      </c>
      <c r="Q1010" s="115">
        <f>(K1010+L1010)/J1010</f>
        <v>0.69519519519519524</v>
      </c>
      <c r="R1010" s="116">
        <f t="shared" si="1012"/>
        <v>3.6036036036036036E-2</v>
      </c>
      <c r="S1010" s="116">
        <f t="shared" si="1013"/>
        <v>4.2042042042042045E-2</v>
      </c>
      <c r="T1010" s="116">
        <f t="shared" si="1014"/>
        <v>9.1591591591591595E-2</v>
      </c>
      <c r="U1010" s="117">
        <f t="shared" si="1015"/>
        <v>0.86486486486486491</v>
      </c>
      <c r="V1010" s="127"/>
      <c r="W1010" s="88"/>
      <c r="X1010" s="88"/>
      <c r="Y1010" s="118"/>
    </row>
    <row r="1011" spans="2:25" ht="15.75" hidden="1" x14ac:dyDescent="0.2">
      <c r="B1011" s="711">
        <v>46151</v>
      </c>
      <c r="C1011" s="105" t="s">
        <v>12</v>
      </c>
      <c r="D1011" s="105" t="s">
        <v>13</v>
      </c>
      <c r="E1011" s="711">
        <v>46151</v>
      </c>
      <c r="G1011" s="833">
        <v>46151</v>
      </c>
      <c r="H1011" s="120" t="s">
        <v>75</v>
      </c>
      <c r="I1011" s="120" t="s">
        <v>112</v>
      </c>
      <c r="J1011" s="106">
        <v>227</v>
      </c>
      <c r="K1011" s="106">
        <f>227-118</f>
        <v>109</v>
      </c>
      <c r="L1011" s="106">
        <v>91</v>
      </c>
      <c r="M1011" s="106">
        <v>3</v>
      </c>
      <c r="N1011" s="106">
        <v>0</v>
      </c>
      <c r="O1011" s="106">
        <v>20</v>
      </c>
      <c r="P1011" s="106">
        <v>0</v>
      </c>
      <c r="Q1011" s="108">
        <f t="shared" ref="Q1011:Q1014" si="1017">(K1011+L1011)/J1011</f>
        <v>0.88105726872246692</v>
      </c>
      <c r="R1011" s="109">
        <f t="shared" ref="R1011:R1014" si="1018">N1011/J1011</f>
        <v>0</v>
      </c>
      <c r="S1011" s="109">
        <f t="shared" ref="S1011:S1014" si="1019">P1011/J1011</f>
        <v>0</v>
      </c>
      <c r="T1011" s="109">
        <f t="shared" ref="T1011:T1014" si="1020">O1011/J1011</f>
        <v>8.8105726872246701E-2</v>
      </c>
      <c r="U1011" s="110">
        <f t="shared" ref="U1011:U1014" si="1021">S1011+R1011+Q1011+T1011</f>
        <v>0.96916299559471364</v>
      </c>
      <c r="V1011" s="136" t="s">
        <v>126</v>
      </c>
    </row>
    <row r="1012" spans="2:25" ht="15.75" hidden="1" x14ac:dyDescent="0.2">
      <c r="B1012" s="711">
        <v>46151</v>
      </c>
      <c r="C1012" s="105" t="s">
        <v>12</v>
      </c>
      <c r="D1012" s="105" t="s">
        <v>13</v>
      </c>
      <c r="E1012" s="711">
        <v>46151</v>
      </c>
      <c r="G1012" s="834"/>
      <c r="H1012" s="120" t="s">
        <v>14</v>
      </c>
      <c r="I1012" s="120" t="s">
        <v>106</v>
      </c>
      <c r="J1012" s="106">
        <v>211</v>
      </c>
      <c r="K1012" s="106">
        <f>211-59</f>
        <v>152</v>
      </c>
      <c r="L1012" s="106">
        <v>34</v>
      </c>
      <c r="M1012" s="106">
        <v>0</v>
      </c>
      <c r="N1012" s="106">
        <v>0</v>
      </c>
      <c r="O1012" s="106">
        <v>13</v>
      </c>
      <c r="P1012" s="106">
        <v>12</v>
      </c>
      <c r="Q1012" s="108">
        <f t="shared" si="1017"/>
        <v>0.88151658767772512</v>
      </c>
      <c r="R1012" s="109">
        <f t="shared" si="1018"/>
        <v>0</v>
      </c>
      <c r="S1012" s="109">
        <f t="shared" si="1019"/>
        <v>5.6872037914691941E-2</v>
      </c>
      <c r="T1012" s="109">
        <f t="shared" si="1020"/>
        <v>6.1611374407582936E-2</v>
      </c>
      <c r="U1012" s="110">
        <f t="shared" si="1021"/>
        <v>1</v>
      </c>
      <c r="V1012" s="136"/>
    </row>
    <row r="1013" spans="2:25" ht="15.75" hidden="1" x14ac:dyDescent="0.2">
      <c r="B1013" s="711">
        <v>46151</v>
      </c>
      <c r="C1013" s="105" t="s">
        <v>12</v>
      </c>
      <c r="D1013" s="105" t="s">
        <v>13</v>
      </c>
      <c r="E1013" s="711">
        <v>46151</v>
      </c>
      <c r="G1013" s="834"/>
      <c r="H1013" s="120" t="s">
        <v>120</v>
      </c>
      <c r="I1013" s="120" t="s">
        <v>106</v>
      </c>
      <c r="J1013" s="106">
        <v>29</v>
      </c>
      <c r="K1013" s="106">
        <v>12</v>
      </c>
      <c r="L1013" s="106">
        <v>0</v>
      </c>
      <c r="M1013" s="106">
        <v>6</v>
      </c>
      <c r="N1013" s="106">
        <v>0</v>
      </c>
      <c r="O1013" s="106">
        <v>0</v>
      </c>
      <c r="P1013" s="106">
        <v>11</v>
      </c>
      <c r="Q1013" s="108">
        <f t="shared" si="1017"/>
        <v>0.41379310344827586</v>
      </c>
      <c r="R1013" s="109">
        <f t="shared" si="1018"/>
        <v>0</v>
      </c>
      <c r="S1013" s="109">
        <f t="shared" si="1019"/>
        <v>0.37931034482758619</v>
      </c>
      <c r="T1013" s="109">
        <f t="shared" si="1020"/>
        <v>0</v>
      </c>
      <c r="U1013" s="110">
        <f t="shared" si="1021"/>
        <v>0.7931034482758621</v>
      </c>
      <c r="V1013" s="136"/>
    </row>
    <row r="1014" spans="2:25" ht="15.75" hidden="1" x14ac:dyDescent="0.2">
      <c r="B1014" s="711">
        <v>46151</v>
      </c>
      <c r="C1014" s="105" t="s">
        <v>12</v>
      </c>
      <c r="D1014" s="105" t="s">
        <v>13</v>
      </c>
      <c r="E1014" s="711">
        <v>46151</v>
      </c>
      <c r="G1014" s="835"/>
      <c r="H1014" s="120" t="s">
        <v>25</v>
      </c>
      <c r="I1014" s="120" t="s">
        <v>105</v>
      </c>
      <c r="J1014" s="106">
        <v>199</v>
      </c>
      <c r="K1014" s="106">
        <f>199-62</f>
        <v>137</v>
      </c>
      <c r="L1014" s="106">
        <v>23</v>
      </c>
      <c r="M1014" s="106">
        <v>10</v>
      </c>
      <c r="N1014" s="106">
        <v>0</v>
      </c>
      <c r="O1014" s="106">
        <v>28</v>
      </c>
      <c r="P1014" s="106">
        <v>1</v>
      </c>
      <c r="Q1014" s="108">
        <f t="shared" si="1017"/>
        <v>0.8040201005025126</v>
      </c>
      <c r="R1014" s="109">
        <f t="shared" si="1018"/>
        <v>0</v>
      </c>
      <c r="S1014" s="109">
        <f t="shared" si="1019"/>
        <v>5.0251256281407036E-3</v>
      </c>
      <c r="T1014" s="109">
        <f t="shared" si="1020"/>
        <v>0.1407035175879397</v>
      </c>
      <c r="U1014" s="110">
        <f t="shared" si="1021"/>
        <v>0.94974874371859297</v>
      </c>
      <c r="V1014" s="136" t="s">
        <v>126</v>
      </c>
    </row>
    <row r="1015" spans="2:25" ht="15.75" hidden="1" x14ac:dyDescent="0.2">
      <c r="B1015" s="711">
        <v>46151</v>
      </c>
      <c r="C1015" s="105" t="s">
        <v>12</v>
      </c>
      <c r="D1015" s="105" t="s">
        <v>13</v>
      </c>
      <c r="E1015" s="711">
        <v>46151</v>
      </c>
      <c r="G1015" s="190"/>
      <c r="H1015" s="113" t="s">
        <v>19</v>
      </c>
      <c r="I1015" s="113"/>
      <c r="J1015" s="113">
        <f t="shared" ref="J1015:P1015" si="1022">SUM(J1011:J1014)</f>
        <v>666</v>
      </c>
      <c r="K1015" s="113">
        <f t="shared" si="1022"/>
        <v>410</v>
      </c>
      <c r="L1015" s="113">
        <f t="shared" si="1022"/>
        <v>148</v>
      </c>
      <c r="M1015" s="113">
        <f>SUM(M1011:M1014)</f>
        <v>19</v>
      </c>
      <c r="N1015" s="113">
        <f t="shared" si="1022"/>
        <v>0</v>
      </c>
      <c r="O1015" s="113">
        <f t="shared" si="1022"/>
        <v>61</v>
      </c>
      <c r="P1015" s="113">
        <f t="shared" si="1022"/>
        <v>24</v>
      </c>
      <c r="Q1015" s="115">
        <f>(K1015+L1015)/J1015</f>
        <v>0.83783783783783783</v>
      </c>
      <c r="R1015" s="116">
        <f t="shared" ref="R1015:R1027" si="1023">N1015/J1015</f>
        <v>0</v>
      </c>
      <c r="S1015" s="116">
        <f t="shared" ref="S1015:S1027" si="1024">P1015/J1015</f>
        <v>3.6036036036036036E-2</v>
      </c>
      <c r="T1015" s="116">
        <f t="shared" ref="T1015:T1027" si="1025">O1015/J1015</f>
        <v>9.1591591591591595E-2</v>
      </c>
      <c r="U1015" s="117">
        <f t="shared" ref="U1015:U1027" si="1026">S1015+R1015+Q1015+T1015</f>
        <v>0.96546546546546541</v>
      </c>
      <c r="V1015" s="127"/>
    </row>
    <row r="1016" spans="2:25" ht="15.75" hidden="1" x14ac:dyDescent="0.2">
      <c r="B1016" s="711">
        <v>46151</v>
      </c>
      <c r="C1016" s="105" t="s">
        <v>12</v>
      </c>
      <c r="D1016" s="105" t="s">
        <v>13</v>
      </c>
      <c r="E1016" s="711">
        <v>46152</v>
      </c>
      <c r="G1016" s="833">
        <v>46152</v>
      </c>
      <c r="H1016" s="120" t="s">
        <v>75</v>
      </c>
      <c r="I1016" s="120" t="s">
        <v>112</v>
      </c>
      <c r="J1016" s="106">
        <v>221</v>
      </c>
      <c r="K1016" s="106">
        <v>72</v>
      </c>
      <c r="L1016" s="106">
        <v>30</v>
      </c>
      <c r="M1016" s="106">
        <v>119</v>
      </c>
      <c r="N1016" s="106">
        <v>0</v>
      </c>
      <c r="O1016" s="106">
        <v>0</v>
      </c>
      <c r="P1016" s="106">
        <v>0</v>
      </c>
      <c r="Q1016" s="108">
        <f t="shared" ref="Q1016:Q1019" si="1027">(K1016+L1016)/J1016</f>
        <v>0.46153846153846156</v>
      </c>
      <c r="R1016" s="109">
        <f t="shared" si="1023"/>
        <v>0</v>
      </c>
      <c r="S1016" s="109">
        <f t="shared" si="1024"/>
        <v>0</v>
      </c>
      <c r="T1016" s="109">
        <f t="shared" si="1025"/>
        <v>0</v>
      </c>
      <c r="U1016" s="110">
        <f t="shared" si="1026"/>
        <v>0.46153846153846156</v>
      </c>
      <c r="V1016" s="136"/>
    </row>
    <row r="1017" spans="2:25" ht="15.75" hidden="1" x14ac:dyDescent="0.2">
      <c r="B1017" s="711">
        <v>46151</v>
      </c>
      <c r="C1017" s="105" t="s">
        <v>12</v>
      </c>
      <c r="D1017" s="105" t="s">
        <v>13</v>
      </c>
      <c r="E1017" s="711">
        <v>46152</v>
      </c>
      <c r="G1017" s="834"/>
      <c r="H1017" s="120" t="s">
        <v>14</v>
      </c>
      <c r="I1017" s="120" t="s">
        <v>106</v>
      </c>
      <c r="J1017" s="106">
        <v>234</v>
      </c>
      <c r="K1017" s="106">
        <f t="shared" ref="K1017:K1019" si="1028">J1017-L1017-M1017-N1017-O1017-P1017</f>
        <v>234</v>
      </c>
      <c r="L1017" s="106">
        <v>0</v>
      </c>
      <c r="M1017" s="106">
        <v>0</v>
      </c>
      <c r="N1017" s="106">
        <v>0</v>
      </c>
      <c r="O1017" s="106">
        <v>0</v>
      </c>
      <c r="P1017" s="106">
        <v>0</v>
      </c>
      <c r="Q1017" s="108">
        <f t="shared" si="1027"/>
        <v>1</v>
      </c>
      <c r="R1017" s="109">
        <f t="shared" si="1023"/>
        <v>0</v>
      </c>
      <c r="S1017" s="109">
        <f t="shared" si="1024"/>
        <v>0</v>
      </c>
      <c r="T1017" s="109">
        <f t="shared" si="1025"/>
        <v>0</v>
      </c>
      <c r="U1017" s="110">
        <f t="shared" si="1026"/>
        <v>1</v>
      </c>
      <c r="V1017" s="136"/>
    </row>
    <row r="1018" spans="2:25" ht="15.75" hidden="1" x14ac:dyDescent="0.2">
      <c r="B1018" s="711">
        <v>46151</v>
      </c>
      <c r="C1018" s="105" t="s">
        <v>12</v>
      </c>
      <c r="D1018" s="105" t="s">
        <v>13</v>
      </c>
      <c r="E1018" s="711">
        <v>46152</v>
      </c>
      <c r="G1018" s="834"/>
      <c r="H1018" s="120" t="s">
        <v>120</v>
      </c>
      <c r="I1018" s="120" t="s">
        <v>106</v>
      </c>
      <c r="J1018" s="106">
        <v>75</v>
      </c>
      <c r="K1018" s="106">
        <f t="shared" si="1028"/>
        <v>75</v>
      </c>
      <c r="L1018" s="106">
        <v>0</v>
      </c>
      <c r="M1018" s="106">
        <v>0</v>
      </c>
      <c r="N1018" s="106">
        <v>0</v>
      </c>
      <c r="O1018" s="106">
        <v>0</v>
      </c>
      <c r="P1018" s="106">
        <v>0</v>
      </c>
      <c r="Q1018" s="108">
        <f t="shared" si="1027"/>
        <v>1</v>
      </c>
      <c r="R1018" s="109">
        <f t="shared" si="1023"/>
        <v>0</v>
      </c>
      <c r="S1018" s="109">
        <f t="shared" si="1024"/>
        <v>0</v>
      </c>
      <c r="T1018" s="109">
        <f t="shared" si="1025"/>
        <v>0</v>
      </c>
      <c r="U1018" s="110">
        <f t="shared" si="1026"/>
        <v>1</v>
      </c>
      <c r="V1018" s="136"/>
    </row>
    <row r="1019" spans="2:25" ht="15.75" hidden="1" x14ac:dyDescent="0.2">
      <c r="B1019" s="711">
        <v>46151</v>
      </c>
      <c r="C1019" s="105" t="s">
        <v>12</v>
      </c>
      <c r="D1019" s="105" t="s">
        <v>13</v>
      </c>
      <c r="E1019" s="711">
        <v>46152</v>
      </c>
      <c r="G1019" s="835"/>
      <c r="H1019" s="120" t="s">
        <v>17</v>
      </c>
      <c r="I1019" s="120" t="s">
        <v>105</v>
      </c>
      <c r="J1019" s="106">
        <v>178</v>
      </c>
      <c r="K1019" s="106">
        <f t="shared" si="1028"/>
        <v>178</v>
      </c>
      <c r="L1019" s="106">
        <v>0</v>
      </c>
      <c r="M1019" s="106">
        <v>0</v>
      </c>
      <c r="N1019" s="106">
        <v>0</v>
      </c>
      <c r="O1019" s="106">
        <v>0</v>
      </c>
      <c r="P1019" s="106">
        <v>0</v>
      </c>
      <c r="Q1019" s="108">
        <f t="shared" si="1027"/>
        <v>1</v>
      </c>
      <c r="R1019" s="109">
        <f t="shared" si="1023"/>
        <v>0</v>
      </c>
      <c r="S1019" s="109">
        <f t="shared" si="1024"/>
        <v>0</v>
      </c>
      <c r="T1019" s="109">
        <f t="shared" si="1025"/>
        <v>0</v>
      </c>
      <c r="U1019" s="110">
        <f t="shared" si="1026"/>
        <v>1</v>
      </c>
      <c r="V1019" s="136"/>
    </row>
    <row r="1020" spans="2:25" ht="15.75" hidden="1" x14ac:dyDescent="0.2">
      <c r="B1020" s="711">
        <v>46151</v>
      </c>
      <c r="C1020" s="105" t="s">
        <v>12</v>
      </c>
      <c r="D1020" s="105" t="s">
        <v>13</v>
      </c>
      <c r="E1020" s="711">
        <v>46152</v>
      </c>
      <c r="G1020" s="190"/>
      <c r="H1020" s="113" t="s">
        <v>19</v>
      </c>
      <c r="I1020" s="113"/>
      <c r="J1020" s="113">
        <f t="shared" ref="J1020" si="1029">SUM(J1016:J1019)</f>
        <v>708</v>
      </c>
      <c r="K1020" s="113">
        <f t="shared" ref="K1020" si="1030">SUM(K1016:K1019)</f>
        <v>559</v>
      </c>
      <c r="L1020" s="113">
        <f t="shared" ref="L1020" si="1031">SUM(L1016:L1019)</f>
        <v>30</v>
      </c>
      <c r="M1020" s="113">
        <f t="shared" ref="M1020" si="1032">SUM(M1016:M1019)</f>
        <v>119</v>
      </c>
      <c r="N1020" s="113">
        <f t="shared" ref="N1020" si="1033">SUM(N1016:N1019)</f>
        <v>0</v>
      </c>
      <c r="O1020" s="113">
        <f t="shared" ref="O1020" si="1034">SUM(O1016:O1019)</f>
        <v>0</v>
      </c>
      <c r="P1020" s="113">
        <f t="shared" ref="P1020" si="1035">SUM(P1016:P1019)</f>
        <v>0</v>
      </c>
      <c r="Q1020" s="115">
        <f>(K1020+L1020)/J1020</f>
        <v>0.83192090395480223</v>
      </c>
      <c r="R1020" s="116">
        <f t="shared" si="1023"/>
        <v>0</v>
      </c>
      <c r="S1020" s="116">
        <f t="shared" si="1024"/>
        <v>0</v>
      </c>
      <c r="T1020" s="116">
        <f t="shared" si="1025"/>
        <v>0</v>
      </c>
      <c r="U1020" s="117">
        <f t="shared" si="1026"/>
        <v>0.83192090395480223</v>
      </c>
      <c r="V1020" s="127"/>
    </row>
    <row r="1021" spans="2:25" ht="15.75" hidden="1" x14ac:dyDescent="0.2">
      <c r="B1021" s="711">
        <v>46151</v>
      </c>
      <c r="C1021" s="105" t="s">
        <v>18</v>
      </c>
      <c r="D1021" s="105" t="s">
        <v>20</v>
      </c>
      <c r="E1021" s="711">
        <v>46151</v>
      </c>
      <c r="G1021" s="833">
        <v>46151</v>
      </c>
      <c r="H1021" s="120" t="s">
        <v>75</v>
      </c>
      <c r="I1021" s="120" t="s">
        <v>112</v>
      </c>
      <c r="J1021" s="106">
        <f>SUM(K1021:P1021)</f>
        <v>20</v>
      </c>
      <c r="K1021" s="106">
        <v>7</v>
      </c>
      <c r="L1021" s="106">
        <v>13</v>
      </c>
      <c r="M1021" s="106">
        <v>0</v>
      </c>
      <c r="N1021" s="106">
        <v>0</v>
      </c>
      <c r="O1021" s="106">
        <v>0</v>
      </c>
      <c r="P1021" s="106">
        <v>0</v>
      </c>
      <c r="Q1021" s="108">
        <f t="shared" ref="Q1021:Q1026" si="1036">(K1021+L1021)/J1021</f>
        <v>1</v>
      </c>
      <c r="R1021" s="109">
        <f t="shared" si="1023"/>
        <v>0</v>
      </c>
      <c r="S1021" s="109">
        <f t="shared" si="1024"/>
        <v>0</v>
      </c>
      <c r="T1021" s="109">
        <f t="shared" si="1025"/>
        <v>0</v>
      </c>
      <c r="U1021" s="110">
        <f t="shared" si="1026"/>
        <v>1</v>
      </c>
      <c r="V1021" s="136"/>
    </row>
    <row r="1022" spans="2:25" ht="15.75" hidden="1" x14ac:dyDescent="0.2">
      <c r="B1022" s="711">
        <v>46151</v>
      </c>
      <c r="C1022" s="105" t="s">
        <v>18</v>
      </c>
      <c r="D1022" s="105" t="s">
        <v>20</v>
      </c>
      <c r="E1022" s="711">
        <v>46151</v>
      </c>
      <c r="G1022" s="835"/>
      <c r="H1022" s="120" t="s">
        <v>17</v>
      </c>
      <c r="I1022" s="120" t="s">
        <v>105</v>
      </c>
      <c r="J1022" s="106">
        <f>SUM(K1022:P1022)</f>
        <v>41</v>
      </c>
      <c r="K1022" s="106">
        <v>22</v>
      </c>
      <c r="L1022" s="106">
        <v>18</v>
      </c>
      <c r="M1022" s="106">
        <v>0</v>
      </c>
      <c r="N1022" s="106">
        <v>0</v>
      </c>
      <c r="O1022" s="106">
        <v>0</v>
      </c>
      <c r="P1022" s="106">
        <v>1</v>
      </c>
      <c r="Q1022" s="108">
        <f t="shared" si="1036"/>
        <v>0.97560975609756095</v>
      </c>
      <c r="R1022" s="109">
        <f t="shared" si="1023"/>
        <v>0</v>
      </c>
      <c r="S1022" s="109">
        <f t="shared" si="1024"/>
        <v>2.4390243902439025E-2</v>
      </c>
      <c r="T1022" s="109">
        <f t="shared" si="1025"/>
        <v>0</v>
      </c>
      <c r="U1022" s="110">
        <f t="shared" si="1026"/>
        <v>1</v>
      </c>
      <c r="V1022" s="136"/>
    </row>
    <row r="1023" spans="2:25" ht="15.75" hidden="1" x14ac:dyDescent="0.2">
      <c r="B1023" s="711">
        <v>46151</v>
      </c>
      <c r="C1023" s="105" t="s">
        <v>18</v>
      </c>
      <c r="D1023" s="105" t="s">
        <v>20</v>
      </c>
      <c r="E1023" s="711">
        <v>46152</v>
      </c>
      <c r="G1023" s="838">
        <v>46152</v>
      </c>
      <c r="H1023" s="120" t="s">
        <v>75</v>
      </c>
      <c r="I1023" s="120" t="s">
        <v>112</v>
      </c>
      <c r="J1023" s="106">
        <f>SUM(K1023:P1023)</f>
        <v>117</v>
      </c>
      <c r="K1023" s="106">
        <v>72</v>
      </c>
      <c r="L1023" s="106">
        <v>18</v>
      </c>
      <c r="M1023" s="106">
        <v>7</v>
      </c>
      <c r="N1023" s="106">
        <v>0</v>
      </c>
      <c r="O1023" s="106">
        <v>20</v>
      </c>
      <c r="P1023" s="106">
        <v>0</v>
      </c>
      <c r="Q1023" s="108">
        <f t="shared" si="1036"/>
        <v>0.76923076923076927</v>
      </c>
      <c r="R1023" s="109">
        <f t="shared" si="1023"/>
        <v>0</v>
      </c>
      <c r="S1023" s="109">
        <f t="shared" si="1024"/>
        <v>0</v>
      </c>
      <c r="T1023" s="109">
        <f t="shared" si="1025"/>
        <v>0.17094017094017094</v>
      </c>
      <c r="U1023" s="110">
        <f t="shared" si="1026"/>
        <v>0.94017094017094016</v>
      </c>
      <c r="V1023" s="136"/>
    </row>
    <row r="1024" spans="2:25" ht="15.75" hidden="1" x14ac:dyDescent="0.2">
      <c r="B1024" s="711">
        <v>46151</v>
      </c>
      <c r="C1024" s="105" t="s">
        <v>18</v>
      </c>
      <c r="D1024" s="105" t="s">
        <v>20</v>
      </c>
      <c r="E1024" s="711">
        <v>46152</v>
      </c>
      <c r="G1024" s="839"/>
      <c r="H1024" s="120" t="s">
        <v>14</v>
      </c>
      <c r="I1024" s="120" t="s">
        <v>106</v>
      </c>
      <c r="J1024" s="106">
        <v>234</v>
      </c>
      <c r="K1024" s="106">
        <v>136</v>
      </c>
      <c r="L1024" s="106">
        <v>37</v>
      </c>
      <c r="M1024" s="106">
        <f>36-14</f>
        <v>22</v>
      </c>
      <c r="N1024" s="106">
        <v>0</v>
      </c>
      <c r="O1024" s="106">
        <v>14</v>
      </c>
      <c r="P1024" s="106">
        <v>27</v>
      </c>
      <c r="Q1024" s="108">
        <f t="shared" si="1036"/>
        <v>0.73931623931623935</v>
      </c>
      <c r="R1024" s="109">
        <f t="shared" si="1023"/>
        <v>0</v>
      </c>
      <c r="S1024" s="109">
        <f t="shared" si="1024"/>
        <v>0.11538461538461539</v>
      </c>
      <c r="T1024" s="109">
        <f t="shared" si="1025"/>
        <v>5.9829059829059832E-2</v>
      </c>
      <c r="U1024" s="110">
        <f t="shared" si="1026"/>
        <v>0.91452991452991461</v>
      </c>
      <c r="V1024" s="136"/>
    </row>
    <row r="1025" spans="2:25" ht="15.75" hidden="1" x14ac:dyDescent="0.2">
      <c r="B1025" s="711">
        <v>46151</v>
      </c>
      <c r="C1025" s="105" t="s">
        <v>18</v>
      </c>
      <c r="D1025" s="105" t="s">
        <v>20</v>
      </c>
      <c r="E1025" s="711">
        <v>46152</v>
      </c>
      <c r="G1025" s="839"/>
      <c r="H1025" s="120" t="s">
        <v>120</v>
      </c>
      <c r="I1025" s="120" t="s">
        <v>106</v>
      </c>
      <c r="J1025" s="106">
        <v>75</v>
      </c>
      <c r="K1025" s="106">
        <v>0</v>
      </c>
      <c r="L1025" s="106">
        <v>0</v>
      </c>
      <c r="M1025" s="106">
        <v>17</v>
      </c>
      <c r="N1025" s="106">
        <v>21</v>
      </c>
      <c r="O1025" s="106">
        <v>0</v>
      </c>
      <c r="P1025" s="106">
        <v>0</v>
      </c>
      <c r="Q1025" s="108">
        <f t="shared" si="1036"/>
        <v>0</v>
      </c>
      <c r="R1025" s="109">
        <f t="shared" si="1023"/>
        <v>0.28000000000000003</v>
      </c>
      <c r="S1025" s="109">
        <f t="shared" si="1024"/>
        <v>0</v>
      </c>
      <c r="T1025" s="109">
        <f t="shared" si="1025"/>
        <v>0</v>
      </c>
      <c r="U1025" s="110">
        <f t="shared" si="1026"/>
        <v>0.28000000000000003</v>
      </c>
      <c r="V1025" s="136"/>
    </row>
    <row r="1026" spans="2:25" ht="15.75" hidden="1" x14ac:dyDescent="0.2">
      <c r="B1026" s="711">
        <v>46151</v>
      </c>
      <c r="C1026" s="105" t="s">
        <v>18</v>
      </c>
      <c r="D1026" s="105" t="s">
        <v>20</v>
      </c>
      <c r="E1026" s="711">
        <v>46152</v>
      </c>
      <c r="G1026" s="848"/>
      <c r="H1026" s="120" t="s">
        <v>17</v>
      </c>
      <c r="I1026" s="120" t="s">
        <v>105</v>
      </c>
      <c r="J1026" s="106">
        <v>178</v>
      </c>
      <c r="K1026" s="106">
        <v>0</v>
      </c>
      <c r="L1026" s="106">
        <v>0</v>
      </c>
      <c r="M1026" s="106">
        <v>178</v>
      </c>
      <c r="N1026" s="106">
        <v>0</v>
      </c>
      <c r="O1026" s="106">
        <v>0</v>
      </c>
      <c r="P1026" s="106">
        <v>7</v>
      </c>
      <c r="Q1026" s="108">
        <f t="shared" si="1036"/>
        <v>0</v>
      </c>
      <c r="R1026" s="109">
        <f t="shared" si="1023"/>
        <v>0</v>
      </c>
      <c r="S1026" s="109">
        <f t="shared" si="1024"/>
        <v>3.9325842696629212E-2</v>
      </c>
      <c r="T1026" s="109">
        <f t="shared" si="1025"/>
        <v>0</v>
      </c>
      <c r="U1026" s="110">
        <f t="shared" si="1026"/>
        <v>3.9325842696629212E-2</v>
      </c>
      <c r="V1026" s="136"/>
    </row>
    <row r="1027" spans="2:25" s="97" customFormat="1" ht="16.5" hidden="1" customHeight="1" x14ac:dyDescent="0.2">
      <c r="B1027" s="711">
        <v>46151</v>
      </c>
      <c r="C1027" s="105" t="s">
        <v>18</v>
      </c>
      <c r="D1027" s="105" t="s">
        <v>20</v>
      </c>
      <c r="E1027" s="711">
        <v>46151</v>
      </c>
      <c r="F1027" s="89"/>
      <c r="G1027" s="190"/>
      <c r="H1027" s="113" t="s">
        <v>19</v>
      </c>
      <c r="I1027" s="113"/>
      <c r="J1027" s="113">
        <f t="shared" ref="J1027:P1027" si="1037">SUM(J1021:J1026)</f>
        <v>665</v>
      </c>
      <c r="K1027" s="113">
        <f t="shared" si="1037"/>
        <v>237</v>
      </c>
      <c r="L1027" s="113">
        <f t="shared" si="1037"/>
        <v>86</v>
      </c>
      <c r="M1027" s="113">
        <f t="shared" si="1037"/>
        <v>224</v>
      </c>
      <c r="N1027" s="113">
        <f t="shared" si="1037"/>
        <v>21</v>
      </c>
      <c r="O1027" s="113">
        <f t="shared" si="1037"/>
        <v>34</v>
      </c>
      <c r="P1027" s="113">
        <f t="shared" si="1037"/>
        <v>35</v>
      </c>
      <c r="Q1027" s="115">
        <f>(K1027+L1027)/J1027</f>
        <v>0.48571428571428571</v>
      </c>
      <c r="R1027" s="116">
        <f t="shared" si="1023"/>
        <v>3.1578947368421054E-2</v>
      </c>
      <c r="S1027" s="116">
        <f t="shared" si="1024"/>
        <v>5.2631578947368418E-2</v>
      </c>
      <c r="T1027" s="116">
        <f t="shared" si="1025"/>
        <v>5.1127819548872182E-2</v>
      </c>
      <c r="U1027" s="117">
        <f t="shared" si="1026"/>
        <v>0.6210526315789473</v>
      </c>
      <c r="V1027" s="127"/>
      <c r="W1027" s="88"/>
      <c r="X1027" s="88"/>
      <c r="Y1027" s="118"/>
    </row>
    <row r="1028" spans="2:25" ht="15.75" hidden="1" x14ac:dyDescent="0.2">
      <c r="B1028" s="711">
        <v>46152</v>
      </c>
      <c r="C1028" s="105" t="s">
        <v>106</v>
      </c>
      <c r="D1028" s="105" t="s">
        <v>23</v>
      </c>
      <c r="E1028" s="711">
        <v>46152</v>
      </c>
      <c r="G1028" s="833">
        <v>46152</v>
      </c>
      <c r="H1028" s="120" t="s">
        <v>75</v>
      </c>
      <c r="I1028" s="120" t="s">
        <v>100</v>
      </c>
      <c r="J1028" s="106">
        <v>221</v>
      </c>
      <c r="K1028" s="106">
        <f>221-64</f>
        <v>157</v>
      </c>
      <c r="L1028" s="106">
        <v>43</v>
      </c>
      <c r="M1028" s="106">
        <v>0</v>
      </c>
      <c r="N1028" s="106">
        <v>0</v>
      </c>
      <c r="O1028" s="106">
        <v>20</v>
      </c>
      <c r="P1028" s="106">
        <v>1</v>
      </c>
      <c r="Q1028" s="108">
        <f t="shared" ref="Q1028:Q1036" si="1038">(K1028+L1028)/J1028</f>
        <v>0.90497737556561086</v>
      </c>
      <c r="R1028" s="109">
        <f t="shared" ref="R1028:R1045" si="1039">N1028/J1028</f>
        <v>0</v>
      </c>
      <c r="S1028" s="109">
        <f t="shared" ref="S1028:S1045" si="1040">P1028/J1028</f>
        <v>4.5248868778280547E-3</v>
      </c>
      <c r="T1028" s="109">
        <f t="shared" ref="T1028:T1045" si="1041">O1028/J1028</f>
        <v>9.0497737556561084E-2</v>
      </c>
      <c r="U1028" s="110">
        <f t="shared" ref="U1028:U1045" si="1042">S1028+R1028+Q1028+T1028</f>
        <v>1</v>
      </c>
      <c r="V1028" s="256"/>
    </row>
    <row r="1029" spans="2:25" ht="15.75" hidden="1" x14ac:dyDescent="0.2">
      <c r="B1029" s="711">
        <v>46152</v>
      </c>
      <c r="C1029" s="105" t="s">
        <v>106</v>
      </c>
      <c r="D1029" s="105" t="s">
        <v>23</v>
      </c>
      <c r="E1029" s="711">
        <v>46152</v>
      </c>
      <c r="G1029" s="834"/>
      <c r="H1029" s="120" t="s">
        <v>14</v>
      </c>
      <c r="I1029" s="120" t="s">
        <v>106</v>
      </c>
      <c r="J1029" s="106">
        <v>234</v>
      </c>
      <c r="K1029" s="106">
        <f>234-58</f>
        <v>176</v>
      </c>
      <c r="L1029" s="106">
        <v>34</v>
      </c>
      <c r="M1029" s="106">
        <v>0</v>
      </c>
      <c r="N1029" s="106">
        <v>0</v>
      </c>
      <c r="O1029" s="106">
        <v>13</v>
      </c>
      <c r="P1029" s="106">
        <v>11</v>
      </c>
      <c r="Q1029" s="108">
        <f t="shared" si="1038"/>
        <v>0.89743589743589747</v>
      </c>
      <c r="R1029" s="109">
        <f t="shared" si="1039"/>
        <v>0</v>
      </c>
      <c r="S1029" s="109">
        <f t="shared" si="1040"/>
        <v>4.7008547008547008E-2</v>
      </c>
      <c r="T1029" s="109">
        <f t="shared" si="1041"/>
        <v>5.5555555555555552E-2</v>
      </c>
      <c r="U1029" s="110">
        <f t="shared" si="1042"/>
        <v>1</v>
      </c>
      <c r="V1029" s="256"/>
    </row>
    <row r="1030" spans="2:25" ht="15.75" hidden="1" x14ac:dyDescent="0.2">
      <c r="B1030" s="711">
        <v>46152</v>
      </c>
      <c r="C1030" s="105" t="s">
        <v>106</v>
      </c>
      <c r="D1030" s="105" t="s">
        <v>23</v>
      </c>
      <c r="E1030" s="711">
        <v>46152</v>
      </c>
      <c r="G1030" s="834"/>
      <c r="H1030" s="120" t="s">
        <v>120</v>
      </c>
      <c r="I1030" s="120" t="s">
        <v>106</v>
      </c>
      <c r="J1030" s="106">
        <v>75</v>
      </c>
      <c r="K1030" s="106">
        <v>23</v>
      </c>
      <c r="L1030" s="106">
        <v>11</v>
      </c>
      <c r="M1030" s="106">
        <v>4</v>
      </c>
      <c r="N1030" s="106">
        <v>0</v>
      </c>
      <c r="O1030" s="106">
        <v>0</v>
      </c>
      <c r="P1030" s="106">
        <v>37</v>
      </c>
      <c r="Q1030" s="108">
        <f t="shared" ref="Q1030" si="1043">(K1030+L1030)/J1030</f>
        <v>0.45333333333333331</v>
      </c>
      <c r="R1030" s="109">
        <f t="shared" ref="R1030" si="1044">N1030/J1030</f>
        <v>0</v>
      </c>
      <c r="S1030" s="109">
        <f t="shared" ref="S1030" si="1045">P1030/J1030</f>
        <v>0.49333333333333335</v>
      </c>
      <c r="T1030" s="109">
        <f t="shared" ref="T1030" si="1046">O1030/J1030</f>
        <v>0</v>
      </c>
      <c r="U1030" s="110">
        <f t="shared" ref="U1030" si="1047">S1030+R1030+Q1030+T1030</f>
        <v>0.94666666666666666</v>
      </c>
      <c r="V1030" s="256"/>
    </row>
    <row r="1031" spans="2:25" ht="15.75" hidden="1" x14ac:dyDescent="0.2">
      <c r="B1031" s="711">
        <v>46152</v>
      </c>
      <c r="C1031" s="105" t="s">
        <v>106</v>
      </c>
      <c r="D1031" s="105" t="s">
        <v>23</v>
      </c>
      <c r="E1031" s="711">
        <v>46152</v>
      </c>
      <c r="G1031" s="835"/>
      <c r="H1031" s="257" t="s">
        <v>17</v>
      </c>
      <c r="I1031" s="257" t="s">
        <v>105</v>
      </c>
      <c r="J1031" s="258">
        <v>178</v>
      </c>
      <c r="K1031" s="258">
        <f>178-49</f>
        <v>129</v>
      </c>
      <c r="L1031" s="258">
        <v>15</v>
      </c>
      <c r="M1031" s="258">
        <v>5</v>
      </c>
      <c r="N1031" s="258">
        <v>0</v>
      </c>
      <c r="O1031" s="258">
        <v>20</v>
      </c>
      <c r="P1031" s="258">
        <v>9</v>
      </c>
      <c r="Q1031" s="259">
        <f t="shared" ref="Q1031" si="1048">(K1031+L1031)/J1031</f>
        <v>0.8089887640449438</v>
      </c>
      <c r="R1031" s="260">
        <f t="shared" ref="R1031" si="1049">N1031/J1031</f>
        <v>0</v>
      </c>
      <c r="S1031" s="260">
        <f t="shared" ref="S1031" si="1050">P1031/J1031</f>
        <v>5.0561797752808987E-2</v>
      </c>
      <c r="T1031" s="260">
        <f t="shared" ref="T1031" si="1051">O1031/J1031</f>
        <v>0.11235955056179775</v>
      </c>
      <c r="U1031" s="261">
        <f t="shared" ref="U1031" si="1052">S1031+R1031+Q1031+T1031</f>
        <v>0.9719101123595506</v>
      </c>
      <c r="V1031" s="262" t="s">
        <v>126</v>
      </c>
    </row>
    <row r="1032" spans="2:25" ht="15.75" hidden="1" x14ac:dyDescent="0.2">
      <c r="B1032" s="711">
        <v>46152</v>
      </c>
      <c r="C1032" s="105" t="s">
        <v>106</v>
      </c>
      <c r="D1032" s="105" t="s">
        <v>23</v>
      </c>
      <c r="E1032" s="711">
        <v>46153</v>
      </c>
      <c r="G1032" s="838">
        <v>46153</v>
      </c>
      <c r="H1032" s="198" t="s">
        <v>75</v>
      </c>
      <c r="I1032" s="198" t="s">
        <v>112</v>
      </c>
      <c r="J1032" s="198">
        <v>229</v>
      </c>
      <c r="K1032" s="198">
        <v>0</v>
      </c>
      <c r="L1032" s="198">
        <v>0</v>
      </c>
      <c r="M1032" s="198">
        <v>200</v>
      </c>
      <c r="N1032" s="198">
        <v>9</v>
      </c>
      <c r="O1032" s="198">
        <v>20</v>
      </c>
      <c r="P1032" s="198">
        <v>0</v>
      </c>
      <c r="Q1032" s="200">
        <f t="shared" si="1038"/>
        <v>0</v>
      </c>
      <c r="R1032" s="201">
        <f t="shared" si="1039"/>
        <v>3.9301310043668124E-2</v>
      </c>
      <c r="S1032" s="201">
        <f t="shared" si="1040"/>
        <v>0</v>
      </c>
      <c r="T1032" s="201">
        <f t="shared" si="1041"/>
        <v>8.7336244541484712E-2</v>
      </c>
      <c r="U1032" s="202">
        <f t="shared" si="1042"/>
        <v>0.12663755458515283</v>
      </c>
      <c r="V1032" s="256"/>
    </row>
    <row r="1033" spans="2:25" ht="15.75" hidden="1" x14ac:dyDescent="0.2">
      <c r="B1033" s="711">
        <v>46152</v>
      </c>
      <c r="C1033" s="105" t="s">
        <v>106</v>
      </c>
      <c r="D1033" s="105" t="s">
        <v>23</v>
      </c>
      <c r="E1033" s="711">
        <v>46153</v>
      </c>
      <c r="G1033" s="839"/>
      <c r="H1033" s="120" t="s">
        <v>84</v>
      </c>
      <c r="I1033" s="120" t="s">
        <v>128</v>
      </c>
      <c r="J1033" s="106">
        <v>266</v>
      </c>
      <c r="K1033" s="106">
        <v>0</v>
      </c>
      <c r="L1033" s="106">
        <v>3</v>
      </c>
      <c r="M1033" s="106">
        <v>215</v>
      </c>
      <c r="N1033" s="106">
        <v>33</v>
      </c>
      <c r="O1033" s="106">
        <v>4</v>
      </c>
      <c r="P1033" s="106">
        <v>11</v>
      </c>
      <c r="Q1033" s="108">
        <f t="shared" si="1038"/>
        <v>1.1278195488721804E-2</v>
      </c>
      <c r="R1033" s="109">
        <f t="shared" si="1039"/>
        <v>0.12406015037593984</v>
      </c>
      <c r="S1033" s="109">
        <f t="shared" si="1040"/>
        <v>4.1353383458646614E-2</v>
      </c>
      <c r="T1033" s="109">
        <f t="shared" si="1041"/>
        <v>1.5037593984962405E-2</v>
      </c>
      <c r="U1033" s="110">
        <f t="shared" si="1042"/>
        <v>0.19172932330827067</v>
      </c>
      <c r="V1033" s="256"/>
    </row>
    <row r="1034" spans="2:25" ht="15.75" hidden="1" x14ac:dyDescent="0.2">
      <c r="B1034" s="711">
        <v>46152</v>
      </c>
      <c r="C1034" s="105" t="s">
        <v>106</v>
      </c>
      <c r="D1034" s="105" t="s">
        <v>23</v>
      </c>
      <c r="E1034" s="711">
        <v>46153</v>
      </c>
      <c r="G1034" s="839"/>
      <c r="H1034" s="120" t="s">
        <v>14</v>
      </c>
      <c r="I1034" s="120" t="s">
        <v>106</v>
      </c>
      <c r="J1034" s="106">
        <v>211</v>
      </c>
      <c r="K1034" s="106">
        <v>0</v>
      </c>
      <c r="L1034" s="106">
        <v>0</v>
      </c>
      <c r="M1034" s="106">
        <v>179</v>
      </c>
      <c r="N1034" s="106">
        <v>0</v>
      </c>
      <c r="O1034" s="106">
        <v>11</v>
      </c>
      <c r="P1034" s="106">
        <v>21</v>
      </c>
      <c r="Q1034" s="108">
        <f t="shared" si="1038"/>
        <v>0</v>
      </c>
      <c r="R1034" s="109">
        <f t="shared" si="1039"/>
        <v>0</v>
      </c>
      <c r="S1034" s="109">
        <f t="shared" si="1040"/>
        <v>9.9526066350710901E-2</v>
      </c>
      <c r="T1034" s="109">
        <f t="shared" si="1041"/>
        <v>5.2132701421800945E-2</v>
      </c>
      <c r="U1034" s="110">
        <f t="shared" si="1042"/>
        <v>0.15165876777251186</v>
      </c>
      <c r="V1034" s="256"/>
    </row>
    <row r="1035" spans="2:25" ht="15.75" hidden="1" x14ac:dyDescent="0.2">
      <c r="B1035" s="711">
        <v>46152</v>
      </c>
      <c r="C1035" s="105" t="s">
        <v>106</v>
      </c>
      <c r="D1035" s="105" t="s">
        <v>23</v>
      </c>
      <c r="E1035" s="711">
        <v>46153</v>
      </c>
      <c r="G1035" s="839"/>
      <c r="H1035" s="120" t="s">
        <v>120</v>
      </c>
      <c r="I1035" s="120" t="s">
        <v>106</v>
      </c>
      <c r="J1035" s="106">
        <v>10</v>
      </c>
      <c r="K1035" s="106">
        <v>0</v>
      </c>
      <c r="L1035" s="106">
        <v>0</v>
      </c>
      <c r="M1035" s="106">
        <v>10</v>
      </c>
      <c r="N1035" s="106">
        <v>0</v>
      </c>
      <c r="O1035" s="106">
        <v>0</v>
      </c>
      <c r="P1035" s="106">
        <v>0</v>
      </c>
      <c r="Q1035" s="108">
        <f t="shared" ref="Q1035" si="1053">(K1035+L1035)/J1035</f>
        <v>0</v>
      </c>
      <c r="R1035" s="109">
        <f t="shared" ref="R1035" si="1054">N1035/J1035</f>
        <v>0</v>
      </c>
      <c r="S1035" s="109">
        <f t="shared" ref="S1035" si="1055">P1035/J1035</f>
        <v>0</v>
      </c>
      <c r="T1035" s="109">
        <f t="shared" ref="T1035" si="1056">O1035/J1035</f>
        <v>0</v>
      </c>
      <c r="U1035" s="110">
        <f t="shared" ref="U1035" si="1057">S1035+R1035+Q1035+T1035</f>
        <v>0</v>
      </c>
      <c r="V1035" s="256"/>
    </row>
    <row r="1036" spans="2:25" ht="15.75" hidden="1" x14ac:dyDescent="0.2">
      <c r="B1036" s="711">
        <v>46152</v>
      </c>
      <c r="C1036" s="105" t="s">
        <v>106</v>
      </c>
      <c r="D1036" s="105" t="s">
        <v>23</v>
      </c>
      <c r="E1036" s="711">
        <v>46153</v>
      </c>
      <c r="G1036" s="848"/>
      <c r="H1036" s="263" t="s">
        <v>25</v>
      </c>
      <c r="I1036" s="263" t="s">
        <v>105</v>
      </c>
      <c r="J1036" s="194">
        <v>225</v>
      </c>
      <c r="K1036" s="194">
        <v>0</v>
      </c>
      <c r="L1036" s="194">
        <v>0</v>
      </c>
      <c r="M1036" s="194">
        <v>225</v>
      </c>
      <c r="N1036" s="194">
        <v>0</v>
      </c>
      <c r="O1036" s="194">
        <v>0</v>
      </c>
      <c r="P1036" s="194">
        <v>0</v>
      </c>
      <c r="Q1036" s="195">
        <f t="shared" si="1038"/>
        <v>0</v>
      </c>
      <c r="R1036" s="196">
        <f t="shared" si="1039"/>
        <v>0</v>
      </c>
      <c r="S1036" s="196">
        <f t="shared" si="1040"/>
        <v>0</v>
      </c>
      <c r="T1036" s="196">
        <f t="shared" si="1041"/>
        <v>0</v>
      </c>
      <c r="U1036" s="197">
        <f t="shared" si="1042"/>
        <v>0</v>
      </c>
      <c r="V1036" s="256"/>
    </row>
    <row r="1037" spans="2:25" s="97" customFormat="1" ht="16.5" hidden="1" customHeight="1" x14ac:dyDescent="0.2">
      <c r="B1037" s="711">
        <v>46152</v>
      </c>
      <c r="C1037" s="105" t="s">
        <v>106</v>
      </c>
      <c r="D1037" s="105" t="s">
        <v>23</v>
      </c>
      <c r="E1037" s="711">
        <v>46153</v>
      </c>
      <c r="F1037" s="89"/>
      <c r="G1037" s="190"/>
      <c r="H1037" s="190" t="s">
        <v>19</v>
      </c>
      <c r="I1037" s="190"/>
      <c r="J1037" s="190">
        <f t="shared" ref="J1037:P1037" si="1058">SUM(J1028:J1036)</f>
        <v>1649</v>
      </c>
      <c r="K1037" s="190">
        <f t="shared" si="1058"/>
        <v>485</v>
      </c>
      <c r="L1037" s="190">
        <f t="shared" si="1058"/>
        <v>106</v>
      </c>
      <c r="M1037" s="190">
        <f t="shared" si="1058"/>
        <v>838</v>
      </c>
      <c r="N1037" s="190">
        <f t="shared" si="1058"/>
        <v>42</v>
      </c>
      <c r="O1037" s="190">
        <f t="shared" si="1058"/>
        <v>88</v>
      </c>
      <c r="P1037" s="190">
        <f t="shared" si="1058"/>
        <v>90</v>
      </c>
      <c r="Q1037" s="191">
        <f>(K1037+L1037)/J1037</f>
        <v>0.35839902971497878</v>
      </c>
      <c r="R1037" s="192">
        <f t="shared" si="1039"/>
        <v>2.5469981807155852E-2</v>
      </c>
      <c r="S1037" s="192">
        <f t="shared" si="1040"/>
        <v>5.4578532443905398E-2</v>
      </c>
      <c r="T1037" s="192">
        <f t="shared" si="1041"/>
        <v>5.3365676167374164E-2</v>
      </c>
      <c r="U1037" s="193">
        <f t="shared" si="1042"/>
        <v>0.49181322013341416</v>
      </c>
      <c r="V1037" s="213"/>
      <c r="W1037" s="88"/>
      <c r="X1037" s="88"/>
      <c r="Y1037" s="118"/>
    </row>
    <row r="1038" spans="2:25" ht="15.75" hidden="1" x14ac:dyDescent="0.2">
      <c r="B1038" s="711">
        <v>46152</v>
      </c>
      <c r="C1038" s="105" t="s">
        <v>18</v>
      </c>
      <c r="D1038" s="105" t="s">
        <v>20</v>
      </c>
      <c r="E1038" s="711">
        <v>46151</v>
      </c>
      <c r="G1038" s="833">
        <v>46152</v>
      </c>
      <c r="H1038" s="120" t="s">
        <v>75</v>
      </c>
      <c r="I1038" s="120" t="s">
        <v>112</v>
      </c>
      <c r="J1038" s="106">
        <f>SUM(K1038:P1038)</f>
        <v>19</v>
      </c>
      <c r="K1038" s="106">
        <v>0</v>
      </c>
      <c r="L1038" s="106">
        <v>19</v>
      </c>
      <c r="M1038" s="106">
        <v>0</v>
      </c>
      <c r="N1038" s="106">
        <v>0</v>
      </c>
      <c r="O1038" s="106">
        <v>0</v>
      </c>
      <c r="P1038" s="106">
        <v>0</v>
      </c>
      <c r="Q1038" s="108">
        <f t="shared" ref="Q1038:Q1044" si="1059">(K1038+L1038)/J1038</f>
        <v>1</v>
      </c>
      <c r="R1038" s="109">
        <f t="shared" si="1039"/>
        <v>0</v>
      </c>
      <c r="S1038" s="109">
        <f t="shared" si="1040"/>
        <v>0</v>
      </c>
      <c r="T1038" s="109">
        <f t="shared" si="1041"/>
        <v>0</v>
      </c>
      <c r="U1038" s="110">
        <f t="shared" si="1042"/>
        <v>1</v>
      </c>
      <c r="V1038" s="136"/>
    </row>
    <row r="1039" spans="2:25" ht="15.75" hidden="1" x14ac:dyDescent="0.2">
      <c r="B1039" s="711">
        <v>46152</v>
      </c>
      <c r="C1039" s="105" t="s">
        <v>18</v>
      </c>
      <c r="D1039" s="105" t="s">
        <v>20</v>
      </c>
      <c r="E1039" s="711">
        <v>46151</v>
      </c>
      <c r="G1039" s="835"/>
      <c r="H1039" s="120" t="s">
        <v>17</v>
      </c>
      <c r="I1039" s="120" t="s">
        <v>105</v>
      </c>
      <c r="J1039" s="106">
        <f>SUM(K1039:P1039)</f>
        <v>46</v>
      </c>
      <c r="K1039" s="106">
        <v>24</v>
      </c>
      <c r="L1039" s="106">
        <v>19</v>
      </c>
      <c r="M1039" s="106">
        <v>0</v>
      </c>
      <c r="N1039" s="106">
        <v>0</v>
      </c>
      <c r="O1039" s="106">
        <v>0</v>
      </c>
      <c r="P1039" s="106">
        <v>3</v>
      </c>
      <c r="Q1039" s="108">
        <f t="shared" si="1059"/>
        <v>0.93478260869565222</v>
      </c>
      <c r="R1039" s="109">
        <f t="shared" si="1039"/>
        <v>0</v>
      </c>
      <c r="S1039" s="109">
        <f t="shared" si="1040"/>
        <v>6.5217391304347824E-2</v>
      </c>
      <c r="T1039" s="109">
        <f t="shared" si="1041"/>
        <v>0</v>
      </c>
      <c r="U1039" s="110">
        <f t="shared" si="1042"/>
        <v>1</v>
      </c>
      <c r="V1039" s="136"/>
    </row>
    <row r="1040" spans="2:25" ht="15.75" hidden="1" x14ac:dyDescent="0.2">
      <c r="B1040" s="711">
        <v>46152</v>
      </c>
      <c r="C1040" s="105" t="s">
        <v>18</v>
      </c>
      <c r="D1040" s="105" t="s">
        <v>20</v>
      </c>
      <c r="E1040" s="711">
        <v>46152</v>
      </c>
      <c r="G1040" s="838">
        <v>46153</v>
      </c>
      <c r="H1040" s="120" t="s">
        <v>75</v>
      </c>
      <c r="I1040" s="120" t="s">
        <v>112</v>
      </c>
      <c r="J1040" s="106">
        <v>229</v>
      </c>
      <c r="K1040" s="106">
        <v>142</v>
      </c>
      <c r="L1040" s="106">
        <v>76</v>
      </c>
      <c r="M1040" s="106">
        <v>0</v>
      </c>
      <c r="N1040" s="106">
        <v>0</v>
      </c>
      <c r="O1040" s="106">
        <v>12</v>
      </c>
      <c r="P1040" s="106">
        <v>0</v>
      </c>
      <c r="Q1040" s="108">
        <f t="shared" si="1059"/>
        <v>0.95196506550218341</v>
      </c>
      <c r="R1040" s="109">
        <f t="shared" si="1039"/>
        <v>0</v>
      </c>
      <c r="S1040" s="109">
        <f t="shared" si="1040"/>
        <v>0</v>
      </c>
      <c r="T1040" s="109">
        <f t="shared" si="1041"/>
        <v>5.2401746724890827E-2</v>
      </c>
      <c r="U1040" s="110">
        <f t="shared" si="1042"/>
        <v>1.0043668122270741</v>
      </c>
      <c r="V1040" s="136"/>
    </row>
    <row r="1041" spans="2:25" ht="15.75" hidden="1" x14ac:dyDescent="0.2">
      <c r="B1041" s="711">
        <v>46152</v>
      </c>
      <c r="C1041" s="105" t="s">
        <v>18</v>
      </c>
      <c r="D1041" s="105" t="s">
        <v>20</v>
      </c>
      <c r="E1041" s="711">
        <v>46152</v>
      </c>
      <c r="G1041" s="839"/>
      <c r="H1041" s="120" t="s">
        <v>14</v>
      </c>
      <c r="I1041" s="120" t="s">
        <v>106</v>
      </c>
      <c r="J1041" s="106">
        <v>211</v>
      </c>
      <c r="K1041" s="106">
        <v>138</v>
      </c>
      <c r="L1041" s="106">
        <v>38</v>
      </c>
      <c r="M1041" s="106">
        <f>25-11</f>
        <v>14</v>
      </c>
      <c r="N1041" s="106">
        <v>0</v>
      </c>
      <c r="O1041" s="106">
        <v>11</v>
      </c>
      <c r="P1041" s="106">
        <v>22</v>
      </c>
      <c r="Q1041" s="108">
        <f t="shared" si="1059"/>
        <v>0.83412322274881512</v>
      </c>
      <c r="R1041" s="109">
        <f t="shared" si="1039"/>
        <v>0</v>
      </c>
      <c r="S1041" s="109">
        <f t="shared" si="1040"/>
        <v>0.10426540284360189</v>
      </c>
      <c r="T1041" s="109">
        <f t="shared" si="1041"/>
        <v>5.2132701421800945E-2</v>
      </c>
      <c r="U1041" s="110">
        <f t="shared" si="1042"/>
        <v>0.99052132701421791</v>
      </c>
      <c r="V1041" s="136"/>
    </row>
    <row r="1042" spans="2:25" ht="15.75" hidden="1" x14ac:dyDescent="0.2">
      <c r="B1042" s="711">
        <v>46152</v>
      </c>
      <c r="C1042" s="105" t="s">
        <v>18</v>
      </c>
      <c r="D1042" s="105" t="s">
        <v>20</v>
      </c>
      <c r="E1042" s="711">
        <v>46152</v>
      </c>
      <c r="G1042" s="839"/>
      <c r="H1042" s="120" t="s">
        <v>120</v>
      </c>
      <c r="I1042" s="120" t="s">
        <v>106</v>
      </c>
      <c r="J1042" s="106">
        <v>10</v>
      </c>
      <c r="K1042" s="106">
        <v>0</v>
      </c>
      <c r="L1042" s="106">
        <v>0</v>
      </c>
      <c r="M1042" s="106">
        <v>9</v>
      </c>
      <c r="N1042" s="106">
        <v>0</v>
      </c>
      <c r="O1042" s="106">
        <v>0</v>
      </c>
      <c r="P1042" s="106">
        <v>1</v>
      </c>
      <c r="Q1042" s="108">
        <f t="shared" si="1059"/>
        <v>0</v>
      </c>
      <c r="R1042" s="109">
        <f t="shared" si="1039"/>
        <v>0</v>
      </c>
      <c r="S1042" s="109">
        <f t="shared" si="1040"/>
        <v>0.1</v>
      </c>
      <c r="T1042" s="109">
        <f t="shared" si="1041"/>
        <v>0</v>
      </c>
      <c r="U1042" s="110">
        <f t="shared" si="1042"/>
        <v>0.1</v>
      </c>
      <c r="V1042" s="136"/>
    </row>
    <row r="1043" spans="2:25" ht="15.75" hidden="1" x14ac:dyDescent="0.2">
      <c r="B1043" s="711">
        <v>46152</v>
      </c>
      <c r="C1043" s="105" t="s">
        <v>18</v>
      </c>
      <c r="D1043" s="105" t="s">
        <v>20</v>
      </c>
      <c r="E1043" s="711">
        <v>46152</v>
      </c>
      <c r="G1043" s="839"/>
      <c r="H1043" s="120" t="s">
        <v>84</v>
      </c>
      <c r="I1043" s="120" t="s">
        <v>106</v>
      </c>
      <c r="J1043" s="106">
        <v>263</v>
      </c>
      <c r="K1043" s="106">
        <v>0</v>
      </c>
      <c r="L1043" s="106">
        <v>0</v>
      </c>
      <c r="M1043" s="106">
        <v>171</v>
      </c>
      <c r="N1043" s="106">
        <f>81-33</f>
        <v>48</v>
      </c>
      <c r="O1043" s="106">
        <v>0</v>
      </c>
      <c r="P1043" s="106">
        <v>11</v>
      </c>
      <c r="Q1043" s="108">
        <f t="shared" ref="Q1043" si="1060">(K1043+L1043)/J1043</f>
        <v>0</v>
      </c>
      <c r="R1043" s="109">
        <f t="shared" ref="R1043" si="1061">N1043/J1043</f>
        <v>0.18250950570342206</v>
      </c>
      <c r="S1043" s="109">
        <f t="shared" ref="S1043" si="1062">P1043/J1043</f>
        <v>4.1825095057034217E-2</v>
      </c>
      <c r="T1043" s="109">
        <f t="shared" ref="T1043" si="1063">O1043/J1043</f>
        <v>0</v>
      </c>
      <c r="U1043" s="110">
        <f t="shared" ref="U1043" si="1064">S1043+R1043+Q1043+T1043</f>
        <v>0.22433460076045628</v>
      </c>
      <c r="V1043" s="136"/>
    </row>
    <row r="1044" spans="2:25" ht="15.75" hidden="1" x14ac:dyDescent="0.2">
      <c r="B1044" s="711">
        <v>46152</v>
      </c>
      <c r="C1044" s="105" t="s">
        <v>18</v>
      </c>
      <c r="D1044" s="105" t="s">
        <v>20</v>
      </c>
      <c r="E1044" s="711">
        <v>46152</v>
      </c>
      <c r="G1044" s="848"/>
      <c r="H1044" s="120" t="s">
        <v>25</v>
      </c>
      <c r="I1044" s="120" t="s">
        <v>105</v>
      </c>
      <c r="J1044" s="106">
        <v>238</v>
      </c>
      <c r="K1044" s="106">
        <v>4</v>
      </c>
      <c r="L1044" s="106">
        <v>5</v>
      </c>
      <c r="M1044" s="106">
        <v>220</v>
      </c>
      <c r="N1044" s="106">
        <v>0</v>
      </c>
      <c r="O1044" s="106">
        <v>0</v>
      </c>
      <c r="P1044" s="106">
        <v>9</v>
      </c>
      <c r="Q1044" s="108">
        <f t="shared" si="1059"/>
        <v>3.7815126050420166E-2</v>
      </c>
      <c r="R1044" s="109">
        <f t="shared" si="1039"/>
        <v>0</v>
      </c>
      <c r="S1044" s="109">
        <f t="shared" si="1040"/>
        <v>3.7815126050420166E-2</v>
      </c>
      <c r="T1044" s="109">
        <f t="shared" si="1041"/>
        <v>0</v>
      </c>
      <c r="U1044" s="110">
        <f t="shared" si="1042"/>
        <v>7.5630252100840331E-2</v>
      </c>
      <c r="V1044" s="136"/>
    </row>
    <row r="1045" spans="2:25" s="97" customFormat="1" ht="16.5" hidden="1" customHeight="1" x14ac:dyDescent="0.2">
      <c r="B1045" s="711">
        <v>46152</v>
      </c>
      <c r="C1045" s="105" t="s">
        <v>18</v>
      </c>
      <c r="D1045" s="105" t="s">
        <v>20</v>
      </c>
      <c r="E1045" s="711">
        <v>46152</v>
      </c>
      <c r="F1045" s="89"/>
      <c r="G1045" s="190"/>
      <c r="H1045" s="113" t="s">
        <v>19</v>
      </c>
      <c r="I1045" s="113"/>
      <c r="J1045" s="113">
        <f t="shared" ref="J1045:P1045" si="1065">SUM(J1038:J1044)</f>
        <v>1016</v>
      </c>
      <c r="K1045" s="113">
        <f t="shared" si="1065"/>
        <v>308</v>
      </c>
      <c r="L1045" s="113">
        <f t="shared" si="1065"/>
        <v>157</v>
      </c>
      <c r="M1045" s="113">
        <f t="shared" si="1065"/>
        <v>414</v>
      </c>
      <c r="N1045" s="113">
        <f t="shared" si="1065"/>
        <v>48</v>
      </c>
      <c r="O1045" s="113">
        <f t="shared" si="1065"/>
        <v>23</v>
      </c>
      <c r="P1045" s="113">
        <f t="shared" si="1065"/>
        <v>46</v>
      </c>
      <c r="Q1045" s="115">
        <f>(K1045+L1045)/J1045</f>
        <v>0.45767716535433073</v>
      </c>
      <c r="R1045" s="116">
        <f t="shared" si="1039"/>
        <v>4.7244094488188976E-2</v>
      </c>
      <c r="S1045" s="116">
        <f t="shared" si="1040"/>
        <v>4.5275590551181105E-2</v>
      </c>
      <c r="T1045" s="116">
        <f t="shared" si="1041"/>
        <v>2.2637795275590553E-2</v>
      </c>
      <c r="U1045" s="117">
        <f t="shared" si="1042"/>
        <v>0.57283464566929132</v>
      </c>
      <c r="V1045" s="127"/>
      <c r="W1045" s="88"/>
      <c r="X1045" s="88"/>
      <c r="Y1045" s="118"/>
    </row>
    <row r="1046" spans="2:25" ht="15.75" hidden="1" x14ac:dyDescent="0.2">
      <c r="B1046" s="711">
        <v>46153</v>
      </c>
      <c r="C1046" s="105" t="s">
        <v>106</v>
      </c>
      <c r="D1046" s="105" t="s">
        <v>13</v>
      </c>
      <c r="E1046" s="711">
        <v>46153</v>
      </c>
      <c r="G1046" s="833">
        <v>46153</v>
      </c>
      <c r="H1046" s="120" t="s">
        <v>75</v>
      </c>
      <c r="I1046" s="120" t="s">
        <v>112</v>
      </c>
      <c r="J1046" s="106">
        <v>45</v>
      </c>
      <c r="K1046" s="106">
        <f>J1046-L1046-M1046-N1046-O1046-P1046</f>
        <v>19</v>
      </c>
      <c r="L1046" s="106">
        <v>8</v>
      </c>
      <c r="M1046" s="106">
        <v>0</v>
      </c>
      <c r="N1046" s="106">
        <v>0</v>
      </c>
      <c r="O1046" s="106">
        <v>18</v>
      </c>
      <c r="P1046" s="106">
        <v>0</v>
      </c>
      <c r="Q1046" s="108">
        <f t="shared" ref="Q1046:Q1050" si="1066">(K1046+L1046)/J1046</f>
        <v>0.6</v>
      </c>
      <c r="R1046" s="109">
        <f t="shared" ref="R1046:R1061" si="1067">N1046/J1046</f>
        <v>0</v>
      </c>
      <c r="S1046" s="109">
        <f t="shared" ref="S1046:S1061" si="1068">P1046/J1046</f>
        <v>0</v>
      </c>
      <c r="T1046" s="109">
        <f t="shared" ref="T1046:T1061" si="1069">O1046/J1046</f>
        <v>0.4</v>
      </c>
      <c r="U1046" s="110">
        <f t="shared" ref="U1046:U1061" si="1070">S1046+R1046+Q1046+T1046</f>
        <v>1</v>
      </c>
      <c r="V1046" s="136"/>
    </row>
    <row r="1047" spans="2:25" ht="15.75" hidden="1" x14ac:dyDescent="0.2">
      <c r="B1047" s="711">
        <v>46153</v>
      </c>
      <c r="C1047" s="105" t="s">
        <v>106</v>
      </c>
      <c r="D1047" s="105" t="s">
        <v>13</v>
      </c>
      <c r="E1047" s="711">
        <v>46153</v>
      </c>
      <c r="G1047" s="834"/>
      <c r="H1047" s="120" t="s">
        <v>14</v>
      </c>
      <c r="I1047" s="120" t="s">
        <v>106</v>
      </c>
      <c r="J1047" s="106">
        <v>46</v>
      </c>
      <c r="K1047" s="106">
        <f t="shared" ref="K1047:K1050" si="1071">J1047-L1047-M1047-N1047-O1047-P1047</f>
        <v>12</v>
      </c>
      <c r="L1047" s="106">
        <v>3</v>
      </c>
      <c r="M1047" s="106">
        <v>0</v>
      </c>
      <c r="N1047" s="106">
        <v>0</v>
      </c>
      <c r="O1047" s="106">
        <v>10</v>
      </c>
      <c r="P1047" s="106">
        <v>21</v>
      </c>
      <c r="Q1047" s="108">
        <f t="shared" si="1066"/>
        <v>0.32608695652173914</v>
      </c>
      <c r="R1047" s="109">
        <f t="shared" si="1067"/>
        <v>0</v>
      </c>
      <c r="S1047" s="109">
        <f t="shared" si="1068"/>
        <v>0.45652173913043476</v>
      </c>
      <c r="T1047" s="109">
        <f t="shared" si="1069"/>
        <v>0.21739130434782608</v>
      </c>
      <c r="U1047" s="110">
        <f t="shared" si="1070"/>
        <v>0.99999999999999989</v>
      </c>
      <c r="V1047" s="136"/>
    </row>
    <row r="1048" spans="2:25" ht="15.75" hidden="1" x14ac:dyDescent="0.2">
      <c r="B1048" s="711">
        <v>46153</v>
      </c>
      <c r="C1048" s="105" t="s">
        <v>106</v>
      </c>
      <c r="D1048" s="105" t="s">
        <v>13</v>
      </c>
      <c r="E1048" s="711">
        <v>46153</v>
      </c>
      <c r="G1048" s="834"/>
      <c r="H1048" s="120" t="s">
        <v>120</v>
      </c>
      <c r="I1048" s="120" t="s">
        <v>106</v>
      </c>
      <c r="J1048" s="106">
        <v>11</v>
      </c>
      <c r="K1048" s="106">
        <f t="shared" si="1071"/>
        <v>11</v>
      </c>
      <c r="L1048" s="106">
        <v>0</v>
      </c>
      <c r="M1048" s="106">
        <v>0</v>
      </c>
      <c r="N1048" s="106">
        <v>0</v>
      </c>
      <c r="O1048" s="106">
        <v>0</v>
      </c>
      <c r="P1048" s="106">
        <v>0</v>
      </c>
      <c r="Q1048" s="108">
        <f t="shared" si="1066"/>
        <v>1</v>
      </c>
      <c r="R1048" s="109">
        <f t="shared" si="1067"/>
        <v>0</v>
      </c>
      <c r="S1048" s="109">
        <f t="shared" si="1068"/>
        <v>0</v>
      </c>
      <c r="T1048" s="109">
        <f t="shared" si="1069"/>
        <v>0</v>
      </c>
      <c r="U1048" s="110">
        <f t="shared" si="1070"/>
        <v>1</v>
      </c>
      <c r="V1048" s="136"/>
    </row>
    <row r="1049" spans="2:25" ht="15.75" hidden="1" x14ac:dyDescent="0.2">
      <c r="B1049" s="711">
        <v>46153</v>
      </c>
      <c r="C1049" s="105" t="s">
        <v>106</v>
      </c>
      <c r="D1049" s="105" t="s">
        <v>13</v>
      </c>
      <c r="E1049" s="711">
        <v>46153</v>
      </c>
      <c r="G1049" s="834"/>
      <c r="H1049" s="120" t="s">
        <v>84</v>
      </c>
      <c r="I1049" s="120" t="s">
        <v>106</v>
      </c>
      <c r="J1049" s="106">
        <v>263</v>
      </c>
      <c r="K1049" s="106">
        <f t="shared" si="1071"/>
        <v>125</v>
      </c>
      <c r="L1049" s="106">
        <v>45</v>
      </c>
      <c r="M1049" s="106">
        <v>72</v>
      </c>
      <c r="N1049" s="106">
        <v>0</v>
      </c>
      <c r="O1049" s="106">
        <v>0</v>
      </c>
      <c r="P1049" s="106">
        <v>21</v>
      </c>
      <c r="Q1049" s="108">
        <f t="shared" si="1066"/>
        <v>0.64638783269961975</v>
      </c>
      <c r="R1049" s="109">
        <f t="shared" si="1067"/>
        <v>0</v>
      </c>
      <c r="S1049" s="109">
        <f t="shared" si="1068"/>
        <v>7.9847908745247151E-2</v>
      </c>
      <c r="T1049" s="109">
        <f t="shared" si="1069"/>
        <v>0</v>
      </c>
      <c r="U1049" s="110">
        <f t="shared" si="1070"/>
        <v>0.72623574144486691</v>
      </c>
      <c r="V1049" s="136"/>
    </row>
    <row r="1050" spans="2:25" ht="15.75" hidden="1" x14ac:dyDescent="0.2">
      <c r="B1050" s="711">
        <v>46153</v>
      </c>
      <c r="C1050" s="105" t="s">
        <v>106</v>
      </c>
      <c r="D1050" s="105" t="s">
        <v>13</v>
      </c>
      <c r="E1050" s="711">
        <v>46153</v>
      </c>
      <c r="G1050" s="835"/>
      <c r="H1050" s="120" t="s">
        <v>25</v>
      </c>
      <c r="I1050" s="120" t="s">
        <v>105</v>
      </c>
      <c r="J1050" s="106">
        <v>238</v>
      </c>
      <c r="K1050" s="106">
        <f t="shared" si="1071"/>
        <v>131</v>
      </c>
      <c r="L1050" s="106">
        <v>0</v>
      </c>
      <c r="M1050" s="106">
        <v>94</v>
      </c>
      <c r="N1050" s="106">
        <v>0</v>
      </c>
      <c r="O1050" s="106">
        <v>0</v>
      </c>
      <c r="P1050" s="106">
        <v>13</v>
      </c>
      <c r="Q1050" s="108">
        <f t="shared" si="1066"/>
        <v>0.55042016806722693</v>
      </c>
      <c r="R1050" s="109">
        <f t="shared" si="1067"/>
        <v>0</v>
      </c>
      <c r="S1050" s="109">
        <f t="shared" si="1068"/>
        <v>5.4621848739495799E-2</v>
      </c>
      <c r="T1050" s="109">
        <f t="shared" si="1069"/>
        <v>0</v>
      </c>
      <c r="U1050" s="110">
        <f t="shared" si="1070"/>
        <v>0.60504201680672276</v>
      </c>
      <c r="V1050" s="136"/>
    </row>
    <row r="1051" spans="2:25" ht="15.75" hidden="1" x14ac:dyDescent="0.2">
      <c r="B1051" s="711">
        <v>46153</v>
      </c>
      <c r="C1051" s="105" t="s">
        <v>106</v>
      </c>
      <c r="D1051" s="105" t="s">
        <v>13</v>
      </c>
      <c r="E1051" s="711">
        <v>46153</v>
      </c>
      <c r="G1051" s="190"/>
      <c r="H1051" s="113" t="s">
        <v>19</v>
      </c>
      <c r="I1051" s="113"/>
      <c r="J1051" s="113">
        <f>SUM(J1046:J1050)</f>
        <v>603</v>
      </c>
      <c r="K1051" s="113">
        <f t="shared" ref="K1051:P1051" si="1072">SUM(K1046:K1050)</f>
        <v>298</v>
      </c>
      <c r="L1051" s="113">
        <f t="shared" si="1072"/>
        <v>56</v>
      </c>
      <c r="M1051" s="113">
        <f t="shared" si="1072"/>
        <v>166</v>
      </c>
      <c r="N1051" s="113">
        <f t="shared" si="1072"/>
        <v>0</v>
      </c>
      <c r="O1051" s="113">
        <f t="shared" si="1072"/>
        <v>28</v>
      </c>
      <c r="P1051" s="113">
        <f t="shared" si="1072"/>
        <v>55</v>
      </c>
      <c r="Q1051" s="115">
        <f>(K1051+L1051)/J1051</f>
        <v>0.58706467661691542</v>
      </c>
      <c r="R1051" s="116">
        <f t="shared" si="1067"/>
        <v>0</v>
      </c>
      <c r="S1051" s="116">
        <f t="shared" si="1068"/>
        <v>9.1210613598673301E-2</v>
      </c>
      <c r="T1051" s="116">
        <f t="shared" si="1069"/>
        <v>4.6434494195688222E-2</v>
      </c>
      <c r="U1051" s="117">
        <f t="shared" si="1070"/>
        <v>0.72470978441127698</v>
      </c>
      <c r="V1051" s="127"/>
    </row>
    <row r="1052" spans="2:25" ht="15.75" hidden="1" x14ac:dyDescent="0.2">
      <c r="B1052" s="711">
        <v>46153</v>
      </c>
      <c r="C1052" s="105" t="s">
        <v>105</v>
      </c>
      <c r="D1052" s="105" t="s">
        <v>129</v>
      </c>
      <c r="E1052" s="711">
        <v>46153</v>
      </c>
      <c r="G1052" s="833">
        <v>46153</v>
      </c>
      <c r="H1052" s="120" t="s">
        <v>75</v>
      </c>
      <c r="I1052" s="120" t="s">
        <v>112</v>
      </c>
      <c r="J1052" s="106">
        <f>SUM(K1052:P1052)</f>
        <v>19</v>
      </c>
      <c r="K1052" s="106">
        <f>169-154</f>
        <v>15</v>
      </c>
      <c r="L1052" s="106">
        <v>4</v>
      </c>
      <c r="M1052" s="106">
        <v>0</v>
      </c>
      <c r="N1052" s="106">
        <v>0</v>
      </c>
      <c r="O1052" s="106">
        <v>0</v>
      </c>
      <c r="P1052" s="106">
        <v>0</v>
      </c>
      <c r="Q1052" s="108">
        <f t="shared" ref="Q1052:Q1060" si="1073">(K1052+L1052)/J1052</f>
        <v>1</v>
      </c>
      <c r="R1052" s="109">
        <f t="shared" si="1067"/>
        <v>0</v>
      </c>
      <c r="S1052" s="109">
        <f t="shared" si="1068"/>
        <v>0</v>
      </c>
      <c r="T1052" s="109">
        <f t="shared" si="1069"/>
        <v>0</v>
      </c>
      <c r="U1052" s="110">
        <f t="shared" si="1070"/>
        <v>1</v>
      </c>
      <c r="V1052" s="136"/>
    </row>
    <row r="1053" spans="2:25" ht="15.75" hidden="1" x14ac:dyDescent="0.2">
      <c r="B1053" s="711">
        <v>46153</v>
      </c>
      <c r="C1053" s="105" t="s">
        <v>105</v>
      </c>
      <c r="D1053" s="105" t="s">
        <v>129</v>
      </c>
      <c r="E1053" s="711">
        <v>46153</v>
      </c>
      <c r="G1053" s="835"/>
      <c r="H1053" s="120" t="s">
        <v>25</v>
      </c>
      <c r="I1053" s="120" t="s">
        <v>105</v>
      </c>
      <c r="J1053" s="106">
        <f>SUM(K1053:P1053)</f>
        <v>112</v>
      </c>
      <c r="K1053" s="106">
        <v>84</v>
      </c>
      <c r="L1053" s="106">
        <v>20</v>
      </c>
      <c r="M1053" s="106">
        <v>0</v>
      </c>
      <c r="N1053" s="106">
        <v>0</v>
      </c>
      <c r="O1053" s="106">
        <v>0</v>
      </c>
      <c r="P1053" s="106">
        <v>8</v>
      </c>
      <c r="Q1053" s="108">
        <f t="shared" si="1073"/>
        <v>0.9285714285714286</v>
      </c>
      <c r="R1053" s="109">
        <f t="shared" si="1067"/>
        <v>0</v>
      </c>
      <c r="S1053" s="109">
        <f t="shared" si="1068"/>
        <v>7.1428571428571425E-2</v>
      </c>
      <c r="T1053" s="109">
        <f t="shared" si="1069"/>
        <v>0</v>
      </c>
      <c r="U1053" s="110">
        <f t="shared" si="1070"/>
        <v>1</v>
      </c>
      <c r="V1053" s="136"/>
    </row>
    <row r="1054" spans="2:25" ht="15.75" hidden="1" x14ac:dyDescent="0.2">
      <c r="B1054" s="711">
        <v>46153</v>
      </c>
      <c r="C1054" s="105" t="s">
        <v>105</v>
      </c>
      <c r="D1054" s="105" t="s">
        <v>129</v>
      </c>
      <c r="E1054" s="711">
        <v>46154</v>
      </c>
      <c r="G1054" s="838">
        <v>46154</v>
      </c>
      <c r="H1054" s="120" t="s">
        <v>75</v>
      </c>
      <c r="I1054" s="120" t="s">
        <v>112</v>
      </c>
      <c r="J1054" s="106">
        <v>232</v>
      </c>
      <c r="K1054" s="106">
        <v>161</v>
      </c>
      <c r="L1054" s="106">
        <v>50</v>
      </c>
      <c r="M1054" s="106">
        <v>1</v>
      </c>
      <c r="N1054" s="106">
        <v>0</v>
      </c>
      <c r="O1054" s="106">
        <v>20</v>
      </c>
      <c r="P1054" s="106">
        <v>1</v>
      </c>
      <c r="Q1054" s="108">
        <f t="shared" si="1073"/>
        <v>0.90948275862068961</v>
      </c>
      <c r="R1054" s="109">
        <f t="shared" si="1067"/>
        <v>0</v>
      </c>
      <c r="S1054" s="109">
        <f t="shared" si="1068"/>
        <v>4.3103448275862068E-3</v>
      </c>
      <c r="T1054" s="109">
        <f t="shared" si="1069"/>
        <v>8.6206896551724144E-2</v>
      </c>
      <c r="U1054" s="110">
        <f t="shared" si="1070"/>
        <v>1</v>
      </c>
      <c r="V1054" s="136"/>
    </row>
    <row r="1055" spans="2:25" ht="15.75" hidden="1" x14ac:dyDescent="0.2">
      <c r="B1055" s="711">
        <v>46153</v>
      </c>
      <c r="C1055" s="105" t="s">
        <v>105</v>
      </c>
      <c r="D1055" s="105" t="s">
        <v>129</v>
      </c>
      <c r="E1055" s="711">
        <v>46154</v>
      </c>
      <c r="G1055" s="839"/>
      <c r="H1055" s="120" t="s">
        <v>14</v>
      </c>
      <c r="I1055" s="120" t="s">
        <v>106</v>
      </c>
      <c r="J1055" s="106">
        <v>214</v>
      </c>
      <c r="K1055" s="106">
        <v>130</v>
      </c>
      <c r="L1055" s="106">
        <v>38</v>
      </c>
      <c r="M1055" s="106">
        <v>30</v>
      </c>
      <c r="N1055" s="106">
        <v>0</v>
      </c>
      <c r="O1055" s="106">
        <v>11</v>
      </c>
      <c r="P1055" s="106">
        <v>17</v>
      </c>
      <c r="Q1055" s="108">
        <f t="shared" si="1073"/>
        <v>0.78504672897196259</v>
      </c>
      <c r="R1055" s="109">
        <f t="shared" si="1067"/>
        <v>0</v>
      </c>
      <c r="S1055" s="109">
        <f t="shared" si="1068"/>
        <v>7.9439252336448593E-2</v>
      </c>
      <c r="T1055" s="109">
        <f t="shared" si="1069"/>
        <v>5.1401869158878503E-2</v>
      </c>
      <c r="U1055" s="110">
        <f t="shared" si="1070"/>
        <v>0.9158878504672896</v>
      </c>
      <c r="V1055" s="136"/>
    </row>
    <row r="1056" spans="2:25" ht="15.75" hidden="1" x14ac:dyDescent="0.2">
      <c r="B1056" s="711">
        <v>46153</v>
      </c>
      <c r="C1056" s="105" t="s">
        <v>105</v>
      </c>
      <c r="D1056" s="105" t="s">
        <v>129</v>
      </c>
      <c r="E1056" s="711">
        <v>46154</v>
      </c>
      <c r="G1056" s="839"/>
      <c r="H1056" s="120" t="s">
        <v>120</v>
      </c>
      <c r="I1056" s="120" t="s">
        <v>106</v>
      </c>
      <c r="J1056" s="106">
        <v>29</v>
      </c>
      <c r="K1056" s="106">
        <v>13</v>
      </c>
      <c r="L1056" s="106">
        <v>2</v>
      </c>
      <c r="M1056" s="106">
        <v>6</v>
      </c>
      <c r="N1056" s="106">
        <v>0</v>
      </c>
      <c r="O1056" s="106">
        <v>0</v>
      </c>
      <c r="P1056" s="106">
        <v>8</v>
      </c>
      <c r="Q1056" s="108">
        <f t="shared" si="1073"/>
        <v>0.51724137931034486</v>
      </c>
      <c r="R1056" s="109">
        <f t="shared" si="1067"/>
        <v>0</v>
      </c>
      <c r="S1056" s="109">
        <f t="shared" si="1068"/>
        <v>0.27586206896551724</v>
      </c>
      <c r="T1056" s="109">
        <f t="shared" si="1069"/>
        <v>0</v>
      </c>
      <c r="U1056" s="110">
        <f t="shared" si="1070"/>
        <v>0.7931034482758621</v>
      </c>
      <c r="V1056" s="136"/>
    </row>
    <row r="1057" spans="2:25" ht="15.75" hidden="1" x14ac:dyDescent="0.2">
      <c r="B1057" s="711">
        <v>46153</v>
      </c>
      <c r="C1057" s="105" t="s">
        <v>105</v>
      </c>
      <c r="D1057" s="105" t="s">
        <v>129</v>
      </c>
      <c r="E1057" s="711">
        <v>46154</v>
      </c>
      <c r="G1057" s="839"/>
      <c r="H1057" s="120" t="s">
        <v>118</v>
      </c>
      <c r="I1057" s="120" t="s">
        <v>106</v>
      </c>
      <c r="J1057" s="106">
        <v>41</v>
      </c>
      <c r="K1057" s="106">
        <v>40</v>
      </c>
      <c r="L1057" s="106">
        <v>1</v>
      </c>
      <c r="M1057" s="106">
        <v>0</v>
      </c>
      <c r="N1057" s="106">
        <v>0</v>
      </c>
      <c r="O1057" s="106">
        <v>0</v>
      </c>
      <c r="P1057" s="106">
        <v>0</v>
      </c>
      <c r="Q1057" s="108">
        <f t="shared" ref="Q1057:Q1058" si="1074">(K1057+L1057)/J1057</f>
        <v>1</v>
      </c>
      <c r="R1057" s="109">
        <f t="shared" ref="R1057:R1058" si="1075">N1057/J1057</f>
        <v>0</v>
      </c>
      <c r="S1057" s="109">
        <f t="shared" ref="S1057:S1058" si="1076">P1057/J1057</f>
        <v>0</v>
      </c>
      <c r="T1057" s="109">
        <f t="shared" ref="T1057:T1058" si="1077">O1057/J1057</f>
        <v>0</v>
      </c>
      <c r="U1057" s="110">
        <f t="shared" ref="U1057:U1058" si="1078">S1057+R1057+Q1057+T1057</f>
        <v>1</v>
      </c>
      <c r="V1057" s="136"/>
    </row>
    <row r="1058" spans="2:25" ht="15.75" hidden="1" x14ac:dyDescent="0.2">
      <c r="B1058" s="711">
        <v>46153</v>
      </c>
      <c r="C1058" s="105" t="s">
        <v>105</v>
      </c>
      <c r="D1058" s="105" t="s">
        <v>129</v>
      </c>
      <c r="E1058" s="711">
        <v>46154</v>
      </c>
      <c r="G1058" s="839"/>
      <c r="H1058" s="120" t="s">
        <v>130</v>
      </c>
      <c r="I1058" s="120" t="s">
        <v>106</v>
      </c>
      <c r="J1058" s="106">
        <v>56</v>
      </c>
      <c r="K1058" s="106">
        <v>0</v>
      </c>
      <c r="L1058" s="106">
        <v>0</v>
      </c>
      <c r="M1058" s="106">
        <v>40</v>
      </c>
      <c r="N1058" s="106">
        <v>15</v>
      </c>
      <c r="O1058" s="106">
        <v>0</v>
      </c>
      <c r="P1058" s="106">
        <v>1</v>
      </c>
      <c r="Q1058" s="108">
        <f t="shared" si="1074"/>
        <v>0</v>
      </c>
      <c r="R1058" s="109">
        <f t="shared" si="1075"/>
        <v>0.26785714285714285</v>
      </c>
      <c r="S1058" s="109">
        <f t="shared" si="1076"/>
        <v>1.7857142857142856E-2</v>
      </c>
      <c r="T1058" s="109">
        <f t="shared" si="1077"/>
        <v>0</v>
      </c>
      <c r="U1058" s="110">
        <f t="shared" si="1078"/>
        <v>0.2857142857142857</v>
      </c>
      <c r="V1058" s="136"/>
    </row>
    <row r="1059" spans="2:25" ht="15.75" hidden="1" x14ac:dyDescent="0.2">
      <c r="B1059" s="711">
        <v>46153</v>
      </c>
      <c r="C1059" s="105" t="s">
        <v>105</v>
      </c>
      <c r="D1059" s="105" t="s">
        <v>129</v>
      </c>
      <c r="E1059" s="711">
        <v>46154</v>
      </c>
      <c r="G1059" s="839"/>
      <c r="H1059" s="120" t="s">
        <v>84</v>
      </c>
      <c r="I1059" s="120" t="s">
        <v>106</v>
      </c>
      <c r="J1059" s="106">
        <v>44</v>
      </c>
      <c r="K1059" s="106">
        <v>0</v>
      </c>
      <c r="L1059" s="106">
        <v>0</v>
      </c>
      <c r="M1059" s="106">
        <v>44</v>
      </c>
      <c r="N1059" s="106">
        <v>0</v>
      </c>
      <c r="O1059" s="106">
        <v>3</v>
      </c>
      <c r="P1059" s="106">
        <v>1</v>
      </c>
      <c r="Q1059" s="108">
        <f t="shared" si="1073"/>
        <v>0</v>
      </c>
      <c r="R1059" s="109">
        <f t="shared" si="1067"/>
        <v>0</v>
      </c>
      <c r="S1059" s="109">
        <f t="shared" si="1068"/>
        <v>2.2727272727272728E-2</v>
      </c>
      <c r="T1059" s="109">
        <f t="shared" si="1069"/>
        <v>6.8181818181818177E-2</v>
      </c>
      <c r="U1059" s="110">
        <f t="shared" si="1070"/>
        <v>9.0909090909090912E-2</v>
      </c>
      <c r="V1059" s="136"/>
    </row>
    <row r="1060" spans="2:25" ht="15.75" hidden="1" x14ac:dyDescent="0.2">
      <c r="B1060" s="711">
        <v>46153</v>
      </c>
      <c r="C1060" s="105" t="s">
        <v>105</v>
      </c>
      <c r="D1060" s="105" t="s">
        <v>129</v>
      </c>
      <c r="E1060" s="711">
        <v>46154</v>
      </c>
      <c r="G1060" s="848"/>
      <c r="H1060" s="120" t="s">
        <v>17</v>
      </c>
      <c r="I1060" s="120" t="s">
        <v>105</v>
      </c>
      <c r="J1060" s="106">
        <v>188</v>
      </c>
      <c r="K1060" s="106">
        <v>1</v>
      </c>
      <c r="L1060" s="106">
        <v>3</v>
      </c>
      <c r="M1060" s="106">
        <v>151</v>
      </c>
      <c r="N1060" s="106">
        <v>3</v>
      </c>
      <c r="O1060" s="106">
        <v>30</v>
      </c>
      <c r="P1060" s="106">
        <v>9</v>
      </c>
      <c r="Q1060" s="108">
        <f t="shared" si="1073"/>
        <v>2.1276595744680851E-2</v>
      </c>
      <c r="R1060" s="109">
        <f t="shared" si="1067"/>
        <v>1.5957446808510637E-2</v>
      </c>
      <c r="S1060" s="109">
        <f t="shared" si="1068"/>
        <v>4.7872340425531915E-2</v>
      </c>
      <c r="T1060" s="109">
        <f t="shared" si="1069"/>
        <v>0.15957446808510639</v>
      </c>
      <c r="U1060" s="110">
        <f t="shared" si="1070"/>
        <v>0.24468085106382981</v>
      </c>
      <c r="V1060" s="136"/>
    </row>
    <row r="1061" spans="2:25" s="97" customFormat="1" ht="16.5" hidden="1" customHeight="1" x14ac:dyDescent="0.2">
      <c r="B1061" s="711">
        <v>46153</v>
      </c>
      <c r="C1061" s="105" t="s">
        <v>105</v>
      </c>
      <c r="D1061" s="105" t="s">
        <v>129</v>
      </c>
      <c r="E1061" s="711">
        <v>46154</v>
      </c>
      <c r="F1061" s="89"/>
      <c r="G1061" s="190"/>
      <c r="H1061" s="113" t="s">
        <v>19</v>
      </c>
      <c r="I1061" s="113"/>
      <c r="J1061" s="113">
        <f t="shared" ref="J1061:P1061" si="1079">SUM(J1052:J1060)</f>
        <v>935</v>
      </c>
      <c r="K1061" s="113">
        <f t="shared" si="1079"/>
        <v>444</v>
      </c>
      <c r="L1061" s="113">
        <f t="shared" si="1079"/>
        <v>118</v>
      </c>
      <c r="M1061" s="113">
        <f t="shared" si="1079"/>
        <v>272</v>
      </c>
      <c r="N1061" s="113">
        <f t="shared" si="1079"/>
        <v>18</v>
      </c>
      <c r="O1061" s="113">
        <f t="shared" si="1079"/>
        <v>64</v>
      </c>
      <c r="P1061" s="113">
        <f t="shared" si="1079"/>
        <v>45</v>
      </c>
      <c r="Q1061" s="115">
        <f>(K1061+L1061)/J1061</f>
        <v>0.60106951871657754</v>
      </c>
      <c r="R1061" s="116">
        <f t="shared" si="1067"/>
        <v>1.9251336898395723E-2</v>
      </c>
      <c r="S1061" s="116">
        <f t="shared" si="1068"/>
        <v>4.8128342245989303E-2</v>
      </c>
      <c r="T1061" s="116">
        <f t="shared" si="1069"/>
        <v>6.8449197860962568E-2</v>
      </c>
      <c r="U1061" s="117">
        <f t="shared" si="1070"/>
        <v>0.73689839572192517</v>
      </c>
      <c r="V1061" s="127"/>
      <c r="W1061" s="88"/>
      <c r="X1061" s="88"/>
      <c r="Y1061" s="118"/>
    </row>
    <row r="1062" spans="2:25" ht="15.75" hidden="1" x14ac:dyDescent="0.2">
      <c r="B1062" s="711">
        <v>46154</v>
      </c>
      <c r="C1062" s="105" t="s">
        <v>106</v>
      </c>
      <c r="D1062" s="105" t="s">
        <v>131</v>
      </c>
      <c r="E1062" s="711">
        <v>46154</v>
      </c>
      <c r="G1062" s="838">
        <v>46154</v>
      </c>
      <c r="H1062" s="120" t="s">
        <v>75</v>
      </c>
      <c r="I1062" s="120" t="s">
        <v>112</v>
      </c>
      <c r="J1062" s="106">
        <v>232</v>
      </c>
      <c r="K1062" s="106">
        <f>232-88</f>
        <v>144</v>
      </c>
      <c r="L1062" s="106">
        <v>68</v>
      </c>
      <c r="M1062" s="106">
        <v>2</v>
      </c>
      <c r="N1062" s="106">
        <v>0</v>
      </c>
      <c r="O1062" s="106">
        <v>18</v>
      </c>
      <c r="P1062" s="106">
        <v>0</v>
      </c>
      <c r="Q1062" s="108">
        <f t="shared" ref="Q1062:Q1067" si="1080">(K1062+L1062)/J1062</f>
        <v>0.91379310344827591</v>
      </c>
      <c r="R1062" s="109">
        <f t="shared" ref="R1062:R1076" si="1081">N1062/J1062</f>
        <v>0</v>
      </c>
      <c r="S1062" s="109">
        <f t="shared" ref="S1062:S1076" si="1082">P1062/J1062</f>
        <v>0</v>
      </c>
      <c r="T1062" s="109">
        <f t="shared" ref="T1062:T1076" si="1083">O1062/J1062</f>
        <v>7.7586206896551727E-2</v>
      </c>
      <c r="U1062" s="110">
        <f t="shared" ref="U1062:U1076" si="1084">S1062+R1062+Q1062+T1062</f>
        <v>0.99137931034482762</v>
      </c>
      <c r="V1062" s="136"/>
    </row>
    <row r="1063" spans="2:25" ht="15.75" hidden="1" x14ac:dyDescent="0.2">
      <c r="B1063" s="711">
        <v>46154</v>
      </c>
      <c r="C1063" s="105" t="s">
        <v>106</v>
      </c>
      <c r="D1063" s="105" t="s">
        <v>131</v>
      </c>
      <c r="E1063" s="711">
        <v>46154</v>
      </c>
      <c r="G1063" s="839"/>
      <c r="H1063" s="120" t="s">
        <v>14</v>
      </c>
      <c r="I1063" s="120" t="s">
        <v>106</v>
      </c>
      <c r="J1063" s="106">
        <v>214</v>
      </c>
      <c r="K1063" s="106">
        <f>214-70</f>
        <v>144</v>
      </c>
      <c r="L1063" s="106">
        <v>40</v>
      </c>
      <c r="M1063" s="106">
        <v>6</v>
      </c>
      <c r="N1063" s="106">
        <v>0</v>
      </c>
      <c r="O1063" s="106">
        <v>15</v>
      </c>
      <c r="P1063" s="106">
        <v>9</v>
      </c>
      <c r="Q1063" s="108">
        <f t="shared" si="1080"/>
        <v>0.85981308411214952</v>
      </c>
      <c r="R1063" s="109">
        <f t="shared" si="1081"/>
        <v>0</v>
      </c>
      <c r="S1063" s="109">
        <f t="shared" si="1082"/>
        <v>4.2056074766355138E-2</v>
      </c>
      <c r="T1063" s="109">
        <f t="shared" si="1083"/>
        <v>7.0093457943925228E-2</v>
      </c>
      <c r="U1063" s="110">
        <f t="shared" si="1084"/>
        <v>0.97196261682242979</v>
      </c>
      <c r="V1063" s="136"/>
    </row>
    <row r="1064" spans="2:25" ht="15.75" hidden="1" x14ac:dyDescent="0.2">
      <c r="B1064" s="711">
        <v>46154</v>
      </c>
      <c r="C1064" s="105" t="s">
        <v>106</v>
      </c>
      <c r="D1064" s="105" t="s">
        <v>131</v>
      </c>
      <c r="E1064" s="711">
        <v>46154</v>
      </c>
      <c r="G1064" s="839"/>
      <c r="H1064" s="120" t="s">
        <v>120</v>
      </c>
      <c r="I1064" s="120" t="s">
        <v>106</v>
      </c>
      <c r="J1064" s="106">
        <v>29</v>
      </c>
      <c r="K1064" s="106">
        <v>14</v>
      </c>
      <c r="L1064" s="106">
        <v>2</v>
      </c>
      <c r="M1064" s="106">
        <v>5</v>
      </c>
      <c r="N1064" s="106">
        <v>0</v>
      </c>
      <c r="O1064" s="106">
        <v>0</v>
      </c>
      <c r="P1064" s="106">
        <v>8</v>
      </c>
      <c r="Q1064" s="108">
        <f t="shared" si="1080"/>
        <v>0.55172413793103448</v>
      </c>
      <c r="R1064" s="109">
        <f t="shared" si="1081"/>
        <v>0</v>
      </c>
      <c r="S1064" s="109">
        <f t="shared" si="1082"/>
        <v>0.27586206896551724</v>
      </c>
      <c r="T1064" s="109">
        <f t="shared" si="1083"/>
        <v>0</v>
      </c>
      <c r="U1064" s="110">
        <f t="shared" si="1084"/>
        <v>0.82758620689655171</v>
      </c>
      <c r="V1064" s="136"/>
    </row>
    <row r="1065" spans="2:25" ht="15.75" hidden="1" x14ac:dyDescent="0.2">
      <c r="B1065" s="711">
        <v>46154</v>
      </c>
      <c r="C1065" s="105" t="s">
        <v>106</v>
      </c>
      <c r="D1065" s="105" t="s">
        <v>131</v>
      </c>
      <c r="E1065" s="711">
        <v>46154</v>
      </c>
      <c r="G1065" s="839"/>
      <c r="H1065" s="120" t="s">
        <v>130</v>
      </c>
      <c r="I1065" s="120" t="s">
        <v>106</v>
      </c>
      <c r="J1065" s="106">
        <v>56</v>
      </c>
      <c r="K1065" s="106">
        <v>56</v>
      </c>
      <c r="L1065" s="106">
        <v>0</v>
      </c>
      <c r="M1065" s="106">
        <v>0</v>
      </c>
      <c r="N1065" s="106">
        <v>0</v>
      </c>
      <c r="O1065" s="106">
        <v>0</v>
      </c>
      <c r="P1065" s="106">
        <v>0</v>
      </c>
      <c r="Q1065" s="108">
        <f t="shared" si="1080"/>
        <v>1</v>
      </c>
      <c r="R1065" s="109">
        <f t="shared" si="1081"/>
        <v>0</v>
      </c>
      <c r="S1065" s="109">
        <f t="shared" si="1082"/>
        <v>0</v>
      </c>
      <c r="T1065" s="109">
        <f t="shared" si="1083"/>
        <v>0</v>
      </c>
      <c r="U1065" s="110">
        <f t="shared" si="1084"/>
        <v>1</v>
      </c>
      <c r="V1065" s="136"/>
    </row>
    <row r="1066" spans="2:25" ht="15.75" hidden="1" x14ac:dyDescent="0.2">
      <c r="B1066" s="711">
        <v>46154</v>
      </c>
      <c r="C1066" s="105" t="s">
        <v>106</v>
      </c>
      <c r="D1066" s="105" t="s">
        <v>131</v>
      </c>
      <c r="E1066" s="711">
        <v>46154</v>
      </c>
      <c r="G1066" s="839"/>
      <c r="H1066" s="120" t="s">
        <v>84</v>
      </c>
      <c r="I1066" s="120" t="s">
        <v>106</v>
      </c>
      <c r="J1066" s="106">
        <v>44</v>
      </c>
      <c r="K1066" s="106">
        <v>31</v>
      </c>
      <c r="L1066" s="106">
        <v>9</v>
      </c>
      <c r="M1066" s="106">
        <v>3</v>
      </c>
      <c r="N1066" s="106">
        <v>0</v>
      </c>
      <c r="O1066" s="106">
        <v>0</v>
      </c>
      <c r="P1066" s="106">
        <v>1</v>
      </c>
      <c r="Q1066" s="108">
        <f t="shared" si="1080"/>
        <v>0.90909090909090906</v>
      </c>
      <c r="R1066" s="109">
        <f t="shared" si="1081"/>
        <v>0</v>
      </c>
      <c r="S1066" s="109">
        <f t="shared" si="1082"/>
        <v>2.2727272727272728E-2</v>
      </c>
      <c r="T1066" s="109">
        <f t="shared" si="1083"/>
        <v>0</v>
      </c>
      <c r="U1066" s="110">
        <f t="shared" si="1084"/>
        <v>0.93181818181818177</v>
      </c>
      <c r="V1066" s="136"/>
    </row>
    <row r="1067" spans="2:25" ht="15.75" hidden="1" x14ac:dyDescent="0.2">
      <c r="B1067" s="711">
        <v>46154</v>
      </c>
      <c r="C1067" s="105" t="s">
        <v>106</v>
      </c>
      <c r="D1067" s="105" t="s">
        <v>131</v>
      </c>
      <c r="E1067" s="711">
        <v>46154</v>
      </c>
      <c r="G1067" s="848"/>
      <c r="H1067" s="120" t="s">
        <v>17</v>
      </c>
      <c r="I1067" s="120" t="s">
        <v>105</v>
      </c>
      <c r="J1067" s="106">
        <v>188</v>
      </c>
      <c r="K1067" s="106">
        <f>188-99</f>
        <v>89</v>
      </c>
      <c r="L1067" s="106">
        <v>56</v>
      </c>
      <c r="M1067" s="106">
        <v>4</v>
      </c>
      <c r="N1067" s="106">
        <v>0</v>
      </c>
      <c r="O1067" s="106">
        <v>30</v>
      </c>
      <c r="P1067" s="106">
        <v>9</v>
      </c>
      <c r="Q1067" s="108">
        <f t="shared" si="1080"/>
        <v>0.77127659574468088</v>
      </c>
      <c r="R1067" s="109">
        <f t="shared" si="1081"/>
        <v>0</v>
      </c>
      <c r="S1067" s="109">
        <f t="shared" si="1082"/>
        <v>4.7872340425531915E-2</v>
      </c>
      <c r="T1067" s="109">
        <f t="shared" si="1083"/>
        <v>0.15957446808510639</v>
      </c>
      <c r="U1067" s="110">
        <f t="shared" si="1084"/>
        <v>0.97872340425531923</v>
      </c>
      <c r="V1067" s="136"/>
    </row>
    <row r="1068" spans="2:25" ht="15.75" hidden="1" x14ac:dyDescent="0.2">
      <c r="B1068" s="711">
        <v>46154</v>
      </c>
      <c r="C1068" s="105" t="s">
        <v>106</v>
      </c>
      <c r="D1068" s="105" t="s">
        <v>131</v>
      </c>
      <c r="E1068" s="711">
        <v>46154</v>
      </c>
      <c r="G1068" s="710">
        <v>46155</v>
      </c>
      <c r="H1068" s="120" t="s">
        <v>16</v>
      </c>
      <c r="I1068" s="120" t="s">
        <v>106</v>
      </c>
      <c r="J1068" s="106">
        <v>232</v>
      </c>
      <c r="K1068" s="106">
        <f>232-219</f>
        <v>13</v>
      </c>
      <c r="L1068" s="106">
        <v>12</v>
      </c>
      <c r="M1068" s="106">
        <v>185</v>
      </c>
      <c r="N1068" s="106">
        <v>0</v>
      </c>
      <c r="O1068" s="106">
        <v>19</v>
      </c>
      <c r="P1068" s="106">
        <v>3</v>
      </c>
      <c r="Q1068" s="108">
        <f t="shared" ref="Q1068" si="1085">(K1068+L1068)/J1068</f>
        <v>0.10775862068965517</v>
      </c>
      <c r="R1068" s="109">
        <f t="shared" ref="R1068" si="1086">N1068/J1068</f>
        <v>0</v>
      </c>
      <c r="S1068" s="109">
        <f t="shared" ref="S1068" si="1087">P1068/J1068</f>
        <v>1.2931034482758621E-2</v>
      </c>
      <c r="T1068" s="109">
        <f t="shared" ref="T1068" si="1088">O1068/J1068</f>
        <v>8.1896551724137928E-2</v>
      </c>
      <c r="U1068" s="110">
        <f t="shared" ref="U1068" si="1089">S1068+R1068+Q1068+T1068</f>
        <v>0.20258620689655171</v>
      </c>
      <c r="V1068" s="136"/>
    </row>
    <row r="1069" spans="2:25" ht="15.75" hidden="1" x14ac:dyDescent="0.2">
      <c r="B1069" s="711">
        <v>46154</v>
      </c>
      <c r="C1069" s="105" t="s">
        <v>106</v>
      </c>
      <c r="D1069" s="105" t="s">
        <v>131</v>
      </c>
      <c r="E1069" s="711">
        <v>46154</v>
      </c>
      <c r="G1069" s="190"/>
      <c r="H1069" s="113" t="s">
        <v>19</v>
      </c>
      <c r="I1069" s="113"/>
      <c r="J1069" s="113">
        <f>SUM(J1062:J1068)</f>
        <v>995</v>
      </c>
      <c r="K1069" s="113">
        <f t="shared" ref="K1069:P1069" si="1090">SUM(K1060:K1067)</f>
        <v>923</v>
      </c>
      <c r="L1069" s="113">
        <f t="shared" si="1090"/>
        <v>296</v>
      </c>
      <c r="M1069" s="113">
        <f t="shared" si="1090"/>
        <v>443</v>
      </c>
      <c r="N1069" s="113">
        <f t="shared" si="1090"/>
        <v>21</v>
      </c>
      <c r="O1069" s="113">
        <f t="shared" si="1090"/>
        <v>157</v>
      </c>
      <c r="P1069" s="113">
        <f t="shared" si="1090"/>
        <v>81</v>
      </c>
      <c r="Q1069" s="115">
        <f>(K1069+L1069)/J1069</f>
        <v>1.2251256281407035</v>
      </c>
      <c r="R1069" s="116">
        <f t="shared" si="1081"/>
        <v>2.1105527638190954E-2</v>
      </c>
      <c r="S1069" s="116">
        <f t="shared" si="1082"/>
        <v>8.1407035175879397E-2</v>
      </c>
      <c r="T1069" s="116">
        <f t="shared" si="1083"/>
        <v>0.1577889447236181</v>
      </c>
      <c r="U1069" s="117">
        <f t="shared" si="1084"/>
        <v>1.4854271356783919</v>
      </c>
      <c r="V1069" s="127"/>
    </row>
    <row r="1070" spans="2:25" ht="15.75" hidden="1" x14ac:dyDescent="0.2">
      <c r="B1070" s="711">
        <v>46154</v>
      </c>
      <c r="C1070" s="105" t="s">
        <v>105</v>
      </c>
      <c r="D1070" s="105" t="s">
        <v>129</v>
      </c>
      <c r="E1070" s="711">
        <v>46153</v>
      </c>
      <c r="G1070" s="833">
        <v>46154</v>
      </c>
      <c r="H1070" s="120" t="s">
        <v>75</v>
      </c>
      <c r="I1070" s="120" t="s">
        <v>112</v>
      </c>
      <c r="J1070" s="106">
        <f>SUM(K1070:P1070)</f>
        <v>42</v>
      </c>
      <c r="K1070" s="106">
        <f>145-120</f>
        <v>25</v>
      </c>
      <c r="L1070" s="106">
        <v>17</v>
      </c>
      <c r="M1070" s="106">
        <v>0</v>
      </c>
      <c r="N1070" s="106">
        <v>0</v>
      </c>
      <c r="O1070" s="106">
        <v>0</v>
      </c>
      <c r="P1070" s="106">
        <v>0</v>
      </c>
      <c r="Q1070" s="108">
        <f t="shared" ref="Q1070:Q1075" si="1091">(K1070+L1070)/J1070</f>
        <v>1</v>
      </c>
      <c r="R1070" s="109">
        <f t="shared" si="1081"/>
        <v>0</v>
      </c>
      <c r="S1070" s="109">
        <f t="shared" si="1082"/>
        <v>0</v>
      </c>
      <c r="T1070" s="109">
        <f t="shared" si="1083"/>
        <v>0</v>
      </c>
      <c r="U1070" s="110">
        <f t="shared" si="1084"/>
        <v>1</v>
      </c>
      <c r="V1070" s="136"/>
    </row>
    <row r="1071" spans="2:25" ht="15.75" hidden="1" x14ac:dyDescent="0.2">
      <c r="B1071" s="711">
        <v>46154</v>
      </c>
      <c r="C1071" s="105" t="s">
        <v>105</v>
      </c>
      <c r="D1071" s="105" t="s">
        <v>129</v>
      </c>
      <c r="E1071" s="711">
        <v>46153</v>
      </c>
      <c r="G1071" s="835"/>
      <c r="H1071" s="120" t="s">
        <v>17</v>
      </c>
      <c r="I1071" s="120" t="s">
        <v>105</v>
      </c>
      <c r="J1071" s="106">
        <f>SUM(K1071:P1071)</f>
        <v>60</v>
      </c>
      <c r="K1071" s="106">
        <v>40</v>
      </c>
      <c r="L1071" s="106">
        <v>13</v>
      </c>
      <c r="M1071" s="106">
        <v>0</v>
      </c>
      <c r="N1071" s="106">
        <v>0</v>
      </c>
      <c r="O1071" s="106">
        <v>0</v>
      </c>
      <c r="P1071" s="106">
        <v>7</v>
      </c>
      <c r="Q1071" s="108">
        <f t="shared" si="1091"/>
        <v>0.8833333333333333</v>
      </c>
      <c r="R1071" s="109">
        <f t="shared" si="1081"/>
        <v>0</v>
      </c>
      <c r="S1071" s="109">
        <f t="shared" si="1082"/>
        <v>0.11666666666666667</v>
      </c>
      <c r="T1071" s="109">
        <f t="shared" si="1083"/>
        <v>0</v>
      </c>
      <c r="U1071" s="110">
        <f t="shared" si="1084"/>
        <v>1</v>
      </c>
      <c r="V1071" s="136"/>
    </row>
    <row r="1072" spans="2:25" ht="15.75" hidden="1" x14ac:dyDescent="0.2">
      <c r="B1072" s="711">
        <v>46154</v>
      </c>
      <c r="C1072" s="105" t="s">
        <v>105</v>
      </c>
      <c r="D1072" s="105" t="s">
        <v>129</v>
      </c>
      <c r="E1072" s="711">
        <v>46154</v>
      </c>
      <c r="G1072" s="838">
        <v>46155</v>
      </c>
      <c r="H1072" s="120" t="s">
        <v>75</v>
      </c>
      <c r="I1072" s="120" t="s">
        <v>112</v>
      </c>
      <c r="J1072" s="106">
        <v>207</v>
      </c>
      <c r="K1072" s="106">
        <v>120</v>
      </c>
      <c r="L1072" s="106">
        <v>64</v>
      </c>
      <c r="M1072" s="106">
        <v>4</v>
      </c>
      <c r="N1072" s="106">
        <v>0</v>
      </c>
      <c r="O1072" s="106">
        <v>18</v>
      </c>
      <c r="P1072" s="106">
        <v>1</v>
      </c>
      <c r="Q1072" s="108">
        <f t="shared" si="1091"/>
        <v>0.88888888888888884</v>
      </c>
      <c r="R1072" s="109">
        <f t="shared" si="1081"/>
        <v>0</v>
      </c>
      <c r="S1072" s="109">
        <f t="shared" si="1082"/>
        <v>4.830917874396135E-3</v>
      </c>
      <c r="T1072" s="109">
        <f t="shared" si="1083"/>
        <v>8.6956521739130432E-2</v>
      </c>
      <c r="U1072" s="110">
        <f t="shared" si="1084"/>
        <v>0.98067632850241537</v>
      </c>
      <c r="V1072" s="136"/>
    </row>
    <row r="1073" spans="2:25" ht="15.75" hidden="1" x14ac:dyDescent="0.2">
      <c r="B1073" s="711">
        <v>46154</v>
      </c>
      <c r="C1073" s="105" t="s">
        <v>105</v>
      </c>
      <c r="D1073" s="105" t="s">
        <v>129</v>
      </c>
      <c r="E1073" s="711">
        <v>46154</v>
      </c>
      <c r="G1073" s="839"/>
      <c r="H1073" s="120" t="s">
        <v>14</v>
      </c>
      <c r="I1073" s="120" t="s">
        <v>106</v>
      </c>
      <c r="J1073" s="106">
        <v>234</v>
      </c>
      <c r="K1073" s="106">
        <v>149</v>
      </c>
      <c r="L1073" s="106">
        <v>34</v>
      </c>
      <c r="M1073" s="106">
        <f>31-12</f>
        <v>19</v>
      </c>
      <c r="N1073" s="106">
        <v>9</v>
      </c>
      <c r="O1073" s="106">
        <v>12</v>
      </c>
      <c r="P1073" s="106">
        <v>17</v>
      </c>
      <c r="Q1073" s="108">
        <f t="shared" si="1091"/>
        <v>0.78205128205128205</v>
      </c>
      <c r="R1073" s="109">
        <f t="shared" si="1081"/>
        <v>3.8461538461538464E-2</v>
      </c>
      <c r="S1073" s="109">
        <f t="shared" si="1082"/>
        <v>7.2649572649572655E-2</v>
      </c>
      <c r="T1073" s="109">
        <f t="shared" si="1083"/>
        <v>5.128205128205128E-2</v>
      </c>
      <c r="U1073" s="110">
        <f t="shared" si="1084"/>
        <v>0.94444444444444453</v>
      </c>
      <c r="V1073" s="136"/>
    </row>
    <row r="1074" spans="2:25" ht="15.75" hidden="1" x14ac:dyDescent="0.2">
      <c r="B1074" s="711">
        <v>46154</v>
      </c>
      <c r="C1074" s="105" t="s">
        <v>105</v>
      </c>
      <c r="D1074" s="105" t="s">
        <v>129</v>
      </c>
      <c r="E1074" s="711">
        <v>46154</v>
      </c>
      <c r="G1074" s="839"/>
      <c r="H1074" s="120" t="s">
        <v>120</v>
      </c>
      <c r="I1074" s="120" t="s">
        <v>106</v>
      </c>
      <c r="J1074" s="106">
        <v>21</v>
      </c>
      <c r="K1074" s="106">
        <v>11</v>
      </c>
      <c r="L1074" s="106">
        <v>1</v>
      </c>
      <c r="M1074" s="106">
        <v>1</v>
      </c>
      <c r="N1074" s="106">
        <v>0</v>
      </c>
      <c r="O1074" s="106">
        <v>0</v>
      </c>
      <c r="P1074" s="106">
        <v>8</v>
      </c>
      <c r="Q1074" s="108">
        <f t="shared" si="1091"/>
        <v>0.5714285714285714</v>
      </c>
      <c r="R1074" s="109">
        <f t="shared" si="1081"/>
        <v>0</v>
      </c>
      <c r="S1074" s="109">
        <f t="shared" si="1082"/>
        <v>0.38095238095238093</v>
      </c>
      <c r="T1074" s="109">
        <f t="shared" si="1083"/>
        <v>0</v>
      </c>
      <c r="U1074" s="110">
        <f t="shared" si="1084"/>
        <v>0.95238095238095233</v>
      </c>
      <c r="V1074" s="136"/>
    </row>
    <row r="1075" spans="2:25" ht="15.75" hidden="1" x14ac:dyDescent="0.2">
      <c r="B1075" s="711">
        <v>46154</v>
      </c>
      <c r="C1075" s="105" t="s">
        <v>105</v>
      </c>
      <c r="D1075" s="105" t="s">
        <v>129</v>
      </c>
      <c r="E1075" s="711">
        <v>46154</v>
      </c>
      <c r="G1075" s="848"/>
      <c r="H1075" s="120" t="s">
        <v>17</v>
      </c>
      <c r="I1075" s="120" t="s">
        <v>105</v>
      </c>
      <c r="J1075" s="106">
        <v>182</v>
      </c>
      <c r="K1075" s="106">
        <v>0</v>
      </c>
      <c r="L1075" s="106">
        <v>0</v>
      </c>
      <c r="M1075" s="106">
        <v>129</v>
      </c>
      <c r="N1075" s="106">
        <v>35</v>
      </c>
      <c r="O1075" s="106">
        <v>0</v>
      </c>
      <c r="P1075" s="106">
        <v>11</v>
      </c>
      <c r="Q1075" s="108">
        <f t="shared" si="1091"/>
        <v>0</v>
      </c>
      <c r="R1075" s="109">
        <f t="shared" si="1081"/>
        <v>0.19230769230769232</v>
      </c>
      <c r="S1075" s="109">
        <f t="shared" si="1082"/>
        <v>6.043956043956044E-2</v>
      </c>
      <c r="T1075" s="109">
        <f t="shared" si="1083"/>
        <v>0</v>
      </c>
      <c r="U1075" s="110">
        <f t="shared" si="1084"/>
        <v>0.25274725274725274</v>
      </c>
      <c r="V1075" s="136"/>
    </row>
    <row r="1076" spans="2:25" s="97" customFormat="1" ht="16.5" hidden="1" customHeight="1" x14ac:dyDescent="0.2">
      <c r="B1076" s="711">
        <v>46154</v>
      </c>
      <c r="C1076" s="105" t="s">
        <v>105</v>
      </c>
      <c r="D1076" s="105" t="s">
        <v>129</v>
      </c>
      <c r="E1076" s="711">
        <v>46154</v>
      </c>
      <c r="F1076" s="89"/>
      <c r="G1076" s="190"/>
      <c r="H1076" s="113" t="s">
        <v>19</v>
      </c>
      <c r="I1076" s="113"/>
      <c r="J1076" s="113">
        <f t="shared" ref="J1076:P1076" si="1092">SUM(J1070:J1075)</f>
        <v>746</v>
      </c>
      <c r="K1076" s="113">
        <f t="shared" si="1092"/>
        <v>345</v>
      </c>
      <c r="L1076" s="113">
        <f t="shared" si="1092"/>
        <v>129</v>
      </c>
      <c r="M1076" s="113">
        <f t="shared" si="1092"/>
        <v>153</v>
      </c>
      <c r="N1076" s="113">
        <f t="shared" si="1092"/>
        <v>44</v>
      </c>
      <c r="O1076" s="113">
        <f t="shared" si="1092"/>
        <v>30</v>
      </c>
      <c r="P1076" s="113">
        <f t="shared" si="1092"/>
        <v>44</v>
      </c>
      <c r="Q1076" s="115">
        <f>(K1076+L1076)/J1076</f>
        <v>0.63538873994638068</v>
      </c>
      <c r="R1076" s="116">
        <f t="shared" si="1081"/>
        <v>5.8981233243967826E-2</v>
      </c>
      <c r="S1076" s="116">
        <f t="shared" si="1082"/>
        <v>5.8981233243967826E-2</v>
      </c>
      <c r="T1076" s="116">
        <f t="shared" si="1083"/>
        <v>4.0214477211796246E-2</v>
      </c>
      <c r="U1076" s="117">
        <f t="shared" si="1084"/>
        <v>0.79356568364611257</v>
      </c>
      <c r="V1076" s="127"/>
      <c r="W1076" s="88"/>
      <c r="X1076" s="88"/>
      <c r="Y1076" s="118"/>
    </row>
    <row r="1077" spans="2:25" ht="15.75" hidden="1" x14ac:dyDescent="0.2">
      <c r="B1077" s="711">
        <v>46155</v>
      </c>
      <c r="C1077" s="105" t="s">
        <v>106</v>
      </c>
      <c r="D1077" s="105" t="s">
        <v>131</v>
      </c>
      <c r="E1077" s="711">
        <v>46155</v>
      </c>
      <c r="G1077" s="833">
        <v>46155</v>
      </c>
      <c r="H1077" s="120" t="s">
        <v>75</v>
      </c>
      <c r="I1077" s="120" t="s">
        <v>112</v>
      </c>
      <c r="J1077" s="106">
        <v>33</v>
      </c>
      <c r="K1077" s="106">
        <f>J1077-L1077-M1077-N1077-O1077-P1077</f>
        <v>12</v>
      </c>
      <c r="L1077" s="106">
        <v>5</v>
      </c>
      <c r="M1077" s="106">
        <v>0</v>
      </c>
      <c r="N1077" s="106">
        <v>0</v>
      </c>
      <c r="O1077" s="106">
        <v>15</v>
      </c>
      <c r="P1077" s="106">
        <v>1</v>
      </c>
      <c r="Q1077" s="108">
        <f t="shared" ref="Q1077:Q1080" si="1093">(K1077+L1077)/J1077</f>
        <v>0.51515151515151514</v>
      </c>
      <c r="R1077" s="109">
        <f t="shared" ref="R1077:R1081" si="1094">N1077/J1077</f>
        <v>0</v>
      </c>
      <c r="S1077" s="109">
        <f t="shared" ref="S1077:S1081" si="1095">P1077/J1077</f>
        <v>3.0303030303030304E-2</v>
      </c>
      <c r="T1077" s="109">
        <f t="shared" ref="T1077:T1081" si="1096">O1077/J1077</f>
        <v>0.45454545454545453</v>
      </c>
      <c r="U1077" s="110">
        <f t="shared" ref="U1077:U1081" si="1097">S1077+R1077+Q1077+T1077</f>
        <v>1</v>
      </c>
      <c r="V1077" s="136"/>
    </row>
    <row r="1078" spans="2:25" ht="15.75" hidden="1" x14ac:dyDescent="0.2">
      <c r="B1078" s="711">
        <v>46155</v>
      </c>
      <c r="C1078" s="105" t="s">
        <v>106</v>
      </c>
      <c r="D1078" s="105" t="s">
        <v>131</v>
      </c>
      <c r="E1078" s="711">
        <v>46155</v>
      </c>
      <c r="G1078" s="834"/>
      <c r="H1078" s="120" t="s">
        <v>14</v>
      </c>
      <c r="I1078" s="120" t="s">
        <v>106</v>
      </c>
      <c r="J1078" s="106">
        <v>55</v>
      </c>
      <c r="K1078" s="106">
        <f t="shared" ref="K1078:K1084" si="1098">J1078-L1078-M1078-N1078-O1078-P1078</f>
        <v>16</v>
      </c>
      <c r="L1078" s="106">
        <v>11</v>
      </c>
      <c r="M1078" s="106">
        <v>0</v>
      </c>
      <c r="N1078" s="106">
        <v>0</v>
      </c>
      <c r="O1078" s="106">
        <v>10</v>
      </c>
      <c r="P1078" s="106">
        <v>18</v>
      </c>
      <c r="Q1078" s="108">
        <f t="shared" si="1093"/>
        <v>0.49090909090909091</v>
      </c>
      <c r="R1078" s="109">
        <f t="shared" si="1094"/>
        <v>0</v>
      </c>
      <c r="S1078" s="109">
        <f t="shared" si="1095"/>
        <v>0.32727272727272727</v>
      </c>
      <c r="T1078" s="109">
        <f t="shared" si="1096"/>
        <v>0.18181818181818182</v>
      </c>
      <c r="U1078" s="110">
        <f t="shared" si="1097"/>
        <v>1</v>
      </c>
      <c r="V1078" s="136"/>
    </row>
    <row r="1079" spans="2:25" ht="15.75" hidden="1" x14ac:dyDescent="0.2">
      <c r="B1079" s="711">
        <v>46155</v>
      </c>
      <c r="C1079" s="105" t="s">
        <v>106</v>
      </c>
      <c r="D1079" s="105" t="s">
        <v>131</v>
      </c>
      <c r="E1079" s="711">
        <v>46155</v>
      </c>
      <c r="G1079" s="834"/>
      <c r="H1079" s="120" t="s">
        <v>84</v>
      </c>
      <c r="I1079" s="120" t="s">
        <v>106</v>
      </c>
      <c r="J1079" s="106">
        <v>47</v>
      </c>
      <c r="K1079" s="106">
        <f t="shared" si="1098"/>
        <v>36</v>
      </c>
      <c r="L1079" s="106">
        <v>11</v>
      </c>
      <c r="M1079" s="106">
        <v>0</v>
      </c>
      <c r="N1079" s="106">
        <v>0</v>
      </c>
      <c r="O1079" s="106">
        <v>0</v>
      </c>
      <c r="P1079" s="106">
        <v>0</v>
      </c>
      <c r="Q1079" s="108">
        <f t="shared" ref="Q1079" si="1099">(K1079+L1079)/J1079</f>
        <v>1</v>
      </c>
      <c r="R1079" s="109">
        <f t="shared" ref="R1079" si="1100">N1079/J1079</f>
        <v>0</v>
      </c>
      <c r="S1079" s="109">
        <f t="shared" ref="S1079" si="1101">P1079/J1079</f>
        <v>0</v>
      </c>
      <c r="T1079" s="109">
        <f t="shared" ref="T1079" si="1102">O1079/J1079</f>
        <v>0</v>
      </c>
      <c r="U1079" s="110">
        <f t="shared" ref="U1079" si="1103">S1079+R1079+Q1079+T1079</f>
        <v>1</v>
      </c>
      <c r="V1079" s="136"/>
    </row>
    <row r="1080" spans="2:25" ht="15.75" hidden="1" x14ac:dyDescent="0.2">
      <c r="B1080" s="711">
        <v>46155</v>
      </c>
      <c r="C1080" s="105" t="s">
        <v>106</v>
      </c>
      <c r="D1080" s="105" t="s">
        <v>131</v>
      </c>
      <c r="E1080" s="711">
        <v>46155</v>
      </c>
      <c r="G1080" s="835"/>
      <c r="H1080" s="120" t="s">
        <v>17</v>
      </c>
      <c r="I1080" s="120" t="s">
        <v>105</v>
      </c>
      <c r="J1080" s="106">
        <v>182</v>
      </c>
      <c r="K1080" s="106">
        <f t="shared" si="1098"/>
        <v>103</v>
      </c>
      <c r="L1080" s="106">
        <v>31</v>
      </c>
      <c r="M1080" s="106">
        <v>36</v>
      </c>
      <c r="N1080" s="106">
        <v>0</v>
      </c>
      <c r="O1080" s="106">
        <v>0</v>
      </c>
      <c r="P1080" s="106">
        <v>12</v>
      </c>
      <c r="Q1080" s="108">
        <f t="shared" si="1093"/>
        <v>0.73626373626373631</v>
      </c>
      <c r="R1080" s="109">
        <f t="shared" si="1094"/>
        <v>0</v>
      </c>
      <c r="S1080" s="109">
        <f t="shared" si="1095"/>
        <v>6.5934065934065936E-2</v>
      </c>
      <c r="T1080" s="109">
        <f t="shared" si="1096"/>
        <v>0</v>
      </c>
      <c r="U1080" s="110">
        <f t="shared" si="1097"/>
        <v>0.80219780219780223</v>
      </c>
      <c r="V1080" s="136" t="s">
        <v>132</v>
      </c>
    </row>
    <row r="1081" spans="2:25" ht="15.75" hidden="1" x14ac:dyDescent="0.2">
      <c r="B1081" s="711">
        <v>46155</v>
      </c>
      <c r="C1081" s="105" t="s">
        <v>106</v>
      </c>
      <c r="D1081" s="105" t="s">
        <v>131</v>
      </c>
      <c r="E1081" s="711">
        <v>46155</v>
      </c>
      <c r="G1081" s="190"/>
      <c r="H1081" s="113" t="s">
        <v>19</v>
      </c>
      <c r="I1081" s="113"/>
      <c r="J1081" s="113">
        <f>SUM(J1077:J1080)</f>
        <v>317</v>
      </c>
      <c r="K1081" s="113">
        <f t="shared" ref="K1081:P1081" si="1104">SUM(K1077:K1080)</f>
        <v>167</v>
      </c>
      <c r="L1081" s="113">
        <f t="shared" si="1104"/>
        <v>58</v>
      </c>
      <c r="M1081" s="113">
        <f t="shared" si="1104"/>
        <v>36</v>
      </c>
      <c r="N1081" s="113">
        <f t="shared" si="1104"/>
        <v>0</v>
      </c>
      <c r="O1081" s="113">
        <f t="shared" si="1104"/>
        <v>25</v>
      </c>
      <c r="P1081" s="113">
        <f t="shared" si="1104"/>
        <v>31</v>
      </c>
      <c r="Q1081" s="115">
        <f>(K1081+L1081)/J1081</f>
        <v>0.70977917981072558</v>
      </c>
      <c r="R1081" s="116">
        <f t="shared" si="1094"/>
        <v>0</v>
      </c>
      <c r="S1081" s="116">
        <f t="shared" si="1095"/>
        <v>9.7791798107255523E-2</v>
      </c>
      <c r="T1081" s="116">
        <f t="shared" si="1096"/>
        <v>7.8864353312302835E-2</v>
      </c>
      <c r="U1081" s="117">
        <f t="shared" si="1097"/>
        <v>0.88643533123028395</v>
      </c>
      <c r="V1081" s="127"/>
    </row>
    <row r="1082" spans="2:25" ht="15.75" hidden="1" x14ac:dyDescent="0.2">
      <c r="B1082" s="711">
        <v>46155</v>
      </c>
      <c r="C1082" s="105" t="s">
        <v>106</v>
      </c>
      <c r="D1082" s="105" t="s">
        <v>131</v>
      </c>
      <c r="E1082" s="711">
        <v>46156</v>
      </c>
      <c r="G1082" s="833">
        <v>46156</v>
      </c>
      <c r="H1082" s="120" t="s">
        <v>75</v>
      </c>
      <c r="I1082" s="120" t="s">
        <v>112</v>
      </c>
      <c r="J1082" s="106">
        <v>219</v>
      </c>
      <c r="K1082" s="106">
        <f t="shared" si="1098"/>
        <v>80</v>
      </c>
      <c r="L1082" s="106">
        <v>46</v>
      </c>
      <c r="M1082" s="106">
        <v>92</v>
      </c>
      <c r="N1082" s="106">
        <v>0</v>
      </c>
      <c r="O1082" s="106">
        <v>0</v>
      </c>
      <c r="P1082" s="106">
        <v>1</v>
      </c>
      <c r="Q1082" s="108">
        <f t="shared" ref="Q1082:Q1084" si="1105">(K1082+L1082)/J1082</f>
        <v>0.57534246575342463</v>
      </c>
      <c r="R1082" s="109">
        <f t="shared" ref="R1082:R1092" si="1106">N1082/J1082</f>
        <v>0</v>
      </c>
      <c r="S1082" s="109">
        <f t="shared" ref="S1082:S1092" si="1107">P1082/J1082</f>
        <v>4.5662100456621002E-3</v>
      </c>
      <c r="T1082" s="109">
        <f t="shared" ref="T1082:T1092" si="1108">O1082/J1082</f>
        <v>0</v>
      </c>
      <c r="U1082" s="110">
        <f t="shared" ref="U1082:U1092" si="1109">S1082+R1082+Q1082+T1082</f>
        <v>0.57990867579908678</v>
      </c>
      <c r="V1082" s="136"/>
    </row>
    <row r="1083" spans="2:25" ht="15.75" hidden="1" x14ac:dyDescent="0.2">
      <c r="B1083" s="711">
        <v>46155</v>
      </c>
      <c r="C1083" s="105" t="s">
        <v>106</v>
      </c>
      <c r="D1083" s="105" t="s">
        <v>131</v>
      </c>
      <c r="E1083" s="711">
        <v>46156</v>
      </c>
      <c r="G1083" s="834"/>
      <c r="H1083" s="120" t="s">
        <v>84</v>
      </c>
      <c r="I1083" s="120" t="s">
        <v>106</v>
      </c>
      <c r="J1083" s="106">
        <v>14</v>
      </c>
      <c r="K1083" s="106">
        <f t="shared" si="1098"/>
        <v>0</v>
      </c>
      <c r="L1083" s="106">
        <v>0</v>
      </c>
      <c r="M1083" s="106">
        <v>14</v>
      </c>
      <c r="N1083" s="106">
        <v>0</v>
      </c>
      <c r="O1083" s="106">
        <v>0</v>
      </c>
      <c r="P1083" s="106">
        <v>0</v>
      </c>
      <c r="Q1083" s="108">
        <f t="shared" ref="Q1083" si="1110">(K1083+L1083)/J1083</f>
        <v>0</v>
      </c>
      <c r="R1083" s="109">
        <f t="shared" ref="R1083" si="1111">N1083/J1083</f>
        <v>0</v>
      </c>
      <c r="S1083" s="109">
        <f t="shared" ref="S1083" si="1112">P1083/J1083</f>
        <v>0</v>
      </c>
      <c r="T1083" s="109">
        <f t="shared" ref="T1083" si="1113">O1083/J1083</f>
        <v>0</v>
      </c>
      <c r="U1083" s="110">
        <f t="shared" ref="U1083" si="1114">S1083+R1083+Q1083+T1083</f>
        <v>0</v>
      </c>
      <c r="V1083" s="136"/>
    </row>
    <row r="1084" spans="2:25" ht="15.75" hidden="1" x14ac:dyDescent="0.2">
      <c r="B1084" s="711">
        <v>46155</v>
      </c>
      <c r="C1084" s="105" t="s">
        <v>106</v>
      </c>
      <c r="D1084" s="105" t="s">
        <v>131</v>
      </c>
      <c r="E1084" s="711">
        <v>46156</v>
      </c>
      <c r="G1084" s="834"/>
      <c r="H1084" s="120" t="s">
        <v>14</v>
      </c>
      <c r="I1084" s="120" t="s">
        <v>105</v>
      </c>
      <c r="J1084" s="106">
        <v>218</v>
      </c>
      <c r="K1084" s="106">
        <f t="shared" si="1098"/>
        <v>0</v>
      </c>
      <c r="L1084" s="106">
        <v>0</v>
      </c>
      <c r="M1084" s="106">
        <v>218</v>
      </c>
      <c r="N1084" s="106">
        <v>0</v>
      </c>
      <c r="O1084" s="106">
        <v>0</v>
      </c>
      <c r="P1084" s="106">
        <v>0</v>
      </c>
      <c r="Q1084" s="108">
        <f t="shared" si="1105"/>
        <v>0</v>
      </c>
      <c r="R1084" s="109">
        <f t="shared" si="1106"/>
        <v>0</v>
      </c>
      <c r="S1084" s="109">
        <f t="shared" si="1107"/>
        <v>0</v>
      </c>
      <c r="T1084" s="109">
        <f t="shared" si="1108"/>
        <v>0</v>
      </c>
      <c r="U1084" s="110">
        <f t="shared" si="1109"/>
        <v>0</v>
      </c>
      <c r="V1084" s="136"/>
    </row>
    <row r="1085" spans="2:25" ht="15.75" hidden="1" x14ac:dyDescent="0.2">
      <c r="B1085" s="711">
        <v>46155</v>
      </c>
      <c r="C1085" s="105" t="s">
        <v>106</v>
      </c>
      <c r="D1085" s="105" t="s">
        <v>131</v>
      </c>
      <c r="E1085" s="711">
        <v>46156</v>
      </c>
      <c r="G1085" s="190"/>
      <c r="H1085" s="113" t="s">
        <v>19</v>
      </c>
      <c r="I1085" s="113"/>
      <c r="J1085" s="113">
        <f>SUM(J1082:J1084)</f>
        <v>451</v>
      </c>
      <c r="K1085" s="113">
        <f t="shared" ref="K1085:P1085" si="1115">SUM(K1082:K1084)</f>
        <v>80</v>
      </c>
      <c r="L1085" s="113">
        <f t="shared" si="1115"/>
        <v>46</v>
      </c>
      <c r="M1085" s="113">
        <f t="shared" si="1115"/>
        <v>324</v>
      </c>
      <c r="N1085" s="113">
        <f t="shared" si="1115"/>
        <v>0</v>
      </c>
      <c r="O1085" s="113">
        <f t="shared" si="1115"/>
        <v>0</v>
      </c>
      <c r="P1085" s="113">
        <f t="shared" si="1115"/>
        <v>1</v>
      </c>
      <c r="Q1085" s="115">
        <f>(K1085+L1085)/J1085</f>
        <v>0.2793791574279379</v>
      </c>
      <c r="R1085" s="116">
        <f t="shared" si="1106"/>
        <v>0</v>
      </c>
      <c r="S1085" s="116">
        <f t="shared" si="1107"/>
        <v>2.2172949002217295E-3</v>
      </c>
      <c r="T1085" s="116">
        <f t="shared" si="1108"/>
        <v>0</v>
      </c>
      <c r="U1085" s="117">
        <f t="shared" si="1109"/>
        <v>0.28159645232815961</v>
      </c>
      <c r="V1085" s="127"/>
    </row>
    <row r="1086" spans="2:25" ht="15.75" hidden="1" x14ac:dyDescent="0.2">
      <c r="B1086" s="711">
        <v>46156</v>
      </c>
      <c r="C1086" s="105" t="s">
        <v>106</v>
      </c>
      <c r="D1086" s="105" t="s">
        <v>129</v>
      </c>
      <c r="E1086" s="711">
        <v>46156</v>
      </c>
      <c r="G1086" s="833">
        <v>46156</v>
      </c>
      <c r="H1086" s="120" t="s">
        <v>75</v>
      </c>
      <c r="I1086" s="120" t="s">
        <v>112</v>
      </c>
      <c r="J1086" s="106">
        <f>SUM(K1086:P1086)</f>
        <v>103</v>
      </c>
      <c r="K1086" s="106">
        <f>52-5</f>
        <v>47</v>
      </c>
      <c r="L1086" s="106">
        <v>36</v>
      </c>
      <c r="M1086" s="106">
        <v>0</v>
      </c>
      <c r="N1086" s="106">
        <v>0</v>
      </c>
      <c r="O1086" s="106">
        <v>20</v>
      </c>
      <c r="P1086" s="106">
        <v>0</v>
      </c>
      <c r="Q1086" s="108">
        <f t="shared" ref="Q1086:Q1091" si="1116">(K1086+L1086)/J1086</f>
        <v>0.80582524271844658</v>
      </c>
      <c r="R1086" s="109">
        <f t="shared" si="1106"/>
        <v>0</v>
      </c>
      <c r="S1086" s="109">
        <f t="shared" si="1107"/>
        <v>0</v>
      </c>
      <c r="T1086" s="109">
        <f t="shared" si="1108"/>
        <v>0.1941747572815534</v>
      </c>
      <c r="U1086" s="110">
        <f t="shared" si="1109"/>
        <v>1</v>
      </c>
      <c r="V1086" s="136"/>
    </row>
    <row r="1087" spans="2:25" ht="15.75" hidden="1" x14ac:dyDescent="0.2">
      <c r="B1087" s="711">
        <v>46156</v>
      </c>
      <c r="C1087" s="105" t="s">
        <v>106</v>
      </c>
      <c r="D1087" s="105" t="s">
        <v>129</v>
      </c>
      <c r="E1087" s="711">
        <v>46156</v>
      </c>
      <c r="G1087" s="834"/>
      <c r="H1087" s="120" t="s">
        <v>17</v>
      </c>
      <c r="I1087" s="120" t="s">
        <v>106</v>
      </c>
      <c r="J1087" s="106">
        <f>SUM(K1087:P1087)</f>
        <v>51</v>
      </c>
      <c r="K1087" s="106">
        <v>28</v>
      </c>
      <c r="L1087" s="106">
        <v>20</v>
      </c>
      <c r="M1087" s="106">
        <v>0</v>
      </c>
      <c r="N1087" s="106">
        <v>0</v>
      </c>
      <c r="O1087" s="106">
        <v>0</v>
      </c>
      <c r="P1087" s="106">
        <v>3</v>
      </c>
      <c r="Q1087" s="108">
        <f t="shared" si="1116"/>
        <v>0.94117647058823528</v>
      </c>
      <c r="R1087" s="109">
        <f t="shared" si="1106"/>
        <v>0</v>
      </c>
      <c r="S1087" s="109">
        <f t="shared" si="1107"/>
        <v>5.8823529411764705E-2</v>
      </c>
      <c r="T1087" s="109">
        <f t="shared" si="1108"/>
        <v>0</v>
      </c>
      <c r="U1087" s="110">
        <f t="shared" si="1109"/>
        <v>1</v>
      </c>
      <c r="V1087" s="136"/>
    </row>
    <row r="1088" spans="2:25" ht="15.75" hidden="1" x14ac:dyDescent="0.2">
      <c r="B1088" s="711">
        <v>46156</v>
      </c>
      <c r="C1088" s="105" t="s">
        <v>106</v>
      </c>
      <c r="D1088" s="105" t="s">
        <v>129</v>
      </c>
      <c r="E1088" s="711">
        <v>46156</v>
      </c>
      <c r="G1088" s="834"/>
      <c r="H1088" s="120" t="s">
        <v>84</v>
      </c>
      <c r="I1088" s="120" t="s">
        <v>106</v>
      </c>
      <c r="J1088" s="106">
        <v>66</v>
      </c>
      <c r="K1088" s="106">
        <v>55</v>
      </c>
      <c r="L1088" s="106">
        <v>10</v>
      </c>
      <c r="M1088" s="106">
        <v>1</v>
      </c>
      <c r="N1088" s="106">
        <v>0</v>
      </c>
      <c r="O1088" s="106">
        <v>0</v>
      </c>
      <c r="P1088" s="106">
        <v>0</v>
      </c>
      <c r="Q1088" s="108">
        <f t="shared" ref="Q1088" si="1117">(K1088+L1088)/J1088</f>
        <v>0.98484848484848486</v>
      </c>
      <c r="R1088" s="109">
        <f t="shared" ref="R1088" si="1118">N1088/J1088</f>
        <v>0</v>
      </c>
      <c r="S1088" s="109">
        <f t="shared" ref="S1088" si="1119">P1088/J1088</f>
        <v>0</v>
      </c>
      <c r="T1088" s="109">
        <f t="shared" ref="T1088" si="1120">O1088/J1088</f>
        <v>0</v>
      </c>
      <c r="U1088" s="110">
        <f t="shared" ref="U1088" si="1121">S1088+R1088+Q1088+T1088</f>
        <v>0.98484848484848486</v>
      </c>
      <c r="V1088" s="136"/>
    </row>
    <row r="1089" spans="2:25" ht="15.75" hidden="1" x14ac:dyDescent="0.2">
      <c r="B1089" s="711">
        <v>46156</v>
      </c>
      <c r="C1089" s="105" t="s">
        <v>106</v>
      </c>
      <c r="D1089" s="105" t="s">
        <v>129</v>
      </c>
      <c r="E1089" s="711">
        <v>46156</v>
      </c>
      <c r="G1089" s="835"/>
      <c r="H1089" s="120" t="s">
        <v>14</v>
      </c>
      <c r="I1089" s="120" t="s">
        <v>105</v>
      </c>
      <c r="J1089" s="106">
        <v>221</v>
      </c>
      <c r="K1089" s="106">
        <v>132</v>
      </c>
      <c r="L1089" s="106">
        <v>35</v>
      </c>
      <c r="M1089" s="106">
        <v>14</v>
      </c>
      <c r="N1089" s="106">
        <v>0</v>
      </c>
      <c r="O1089" s="106">
        <v>14</v>
      </c>
      <c r="P1089" s="106">
        <v>26</v>
      </c>
      <c r="Q1089" s="108">
        <f t="shared" ref="Q1089" si="1122">(K1089+L1089)/J1089</f>
        <v>0.75565610859728505</v>
      </c>
      <c r="R1089" s="109">
        <f t="shared" ref="R1089" si="1123">N1089/J1089</f>
        <v>0</v>
      </c>
      <c r="S1089" s="109">
        <f t="shared" ref="S1089" si="1124">P1089/J1089</f>
        <v>0.11764705882352941</v>
      </c>
      <c r="T1089" s="109">
        <f t="shared" ref="T1089" si="1125">O1089/J1089</f>
        <v>6.3348416289592757E-2</v>
      </c>
      <c r="U1089" s="110">
        <f t="shared" ref="U1089" si="1126">S1089+R1089+Q1089+T1089</f>
        <v>0.93665158371040724</v>
      </c>
      <c r="V1089" s="136"/>
    </row>
    <row r="1090" spans="2:25" ht="15.75" hidden="1" x14ac:dyDescent="0.2">
      <c r="B1090" s="711">
        <v>46156</v>
      </c>
      <c r="C1090" s="105" t="s">
        <v>106</v>
      </c>
      <c r="D1090" s="105" t="s">
        <v>129</v>
      </c>
      <c r="E1090" s="711">
        <v>46157</v>
      </c>
      <c r="G1090" s="830">
        <v>46157</v>
      </c>
      <c r="H1090" s="120" t="s">
        <v>75</v>
      </c>
      <c r="I1090" s="120" t="s">
        <v>112</v>
      </c>
      <c r="J1090" s="106">
        <v>207</v>
      </c>
      <c r="K1090" s="106">
        <v>5</v>
      </c>
      <c r="L1090" s="106">
        <v>1</v>
      </c>
      <c r="M1090" s="106">
        <v>223</v>
      </c>
      <c r="N1090" s="106">
        <v>0</v>
      </c>
      <c r="O1090" s="106">
        <v>0</v>
      </c>
      <c r="P1090" s="106">
        <v>0</v>
      </c>
      <c r="Q1090" s="108">
        <f t="shared" si="1116"/>
        <v>2.8985507246376812E-2</v>
      </c>
      <c r="R1090" s="109">
        <f t="shared" si="1106"/>
        <v>0</v>
      </c>
      <c r="S1090" s="109">
        <f t="shared" si="1107"/>
        <v>0</v>
      </c>
      <c r="T1090" s="109">
        <f t="shared" si="1108"/>
        <v>0</v>
      </c>
      <c r="U1090" s="110">
        <f t="shared" si="1109"/>
        <v>2.8985507246376812E-2</v>
      </c>
      <c r="V1090" s="136"/>
    </row>
    <row r="1091" spans="2:25" ht="15.75" hidden="1" x14ac:dyDescent="0.2">
      <c r="B1091" s="711">
        <v>46156</v>
      </c>
      <c r="C1091" s="105" t="s">
        <v>106</v>
      </c>
      <c r="D1091" s="105" t="s">
        <v>129</v>
      </c>
      <c r="E1091" s="711">
        <v>46157</v>
      </c>
      <c r="G1091" s="832"/>
      <c r="H1091" s="120" t="s">
        <v>17</v>
      </c>
      <c r="I1091" s="120" t="s">
        <v>105</v>
      </c>
      <c r="J1091" s="106">
        <v>182</v>
      </c>
      <c r="K1091" s="106">
        <v>1</v>
      </c>
      <c r="L1091" s="106">
        <v>0</v>
      </c>
      <c r="M1091" s="106">
        <v>137</v>
      </c>
      <c r="N1091" s="106">
        <v>87</v>
      </c>
      <c r="O1091" s="106">
        <v>0</v>
      </c>
      <c r="P1091" s="106">
        <v>11</v>
      </c>
      <c r="Q1091" s="108">
        <f t="shared" si="1116"/>
        <v>5.4945054945054949E-3</v>
      </c>
      <c r="R1091" s="109">
        <f t="shared" si="1106"/>
        <v>0.47802197802197804</v>
      </c>
      <c r="S1091" s="109">
        <f t="shared" si="1107"/>
        <v>6.043956043956044E-2</v>
      </c>
      <c r="T1091" s="109">
        <f t="shared" si="1108"/>
        <v>0</v>
      </c>
      <c r="U1091" s="110">
        <f t="shared" si="1109"/>
        <v>0.54395604395604391</v>
      </c>
      <c r="V1091" s="136"/>
    </row>
    <row r="1092" spans="2:25" s="97" customFormat="1" ht="16.5" hidden="1" customHeight="1" x14ac:dyDescent="0.2">
      <c r="B1092" s="711">
        <v>46156</v>
      </c>
      <c r="C1092" s="105" t="s">
        <v>106</v>
      </c>
      <c r="D1092" s="105" t="s">
        <v>129</v>
      </c>
      <c r="E1092" s="711">
        <v>46157</v>
      </c>
      <c r="F1092" s="89"/>
      <c r="G1092" s="174"/>
      <c r="H1092" s="113" t="s">
        <v>19</v>
      </c>
      <c r="I1092" s="113"/>
      <c r="J1092" s="113">
        <f t="shared" ref="J1092:P1092" si="1127">SUM(J1086:J1091)</f>
        <v>830</v>
      </c>
      <c r="K1092" s="113">
        <f t="shared" si="1127"/>
        <v>268</v>
      </c>
      <c r="L1092" s="113">
        <f t="shared" si="1127"/>
        <v>102</v>
      </c>
      <c r="M1092" s="113">
        <f t="shared" si="1127"/>
        <v>375</v>
      </c>
      <c r="N1092" s="113">
        <f t="shared" si="1127"/>
        <v>87</v>
      </c>
      <c r="O1092" s="113">
        <f t="shared" si="1127"/>
        <v>34</v>
      </c>
      <c r="P1092" s="113">
        <f t="shared" si="1127"/>
        <v>40</v>
      </c>
      <c r="Q1092" s="115">
        <f>(K1092+L1092)/J1092</f>
        <v>0.44578313253012047</v>
      </c>
      <c r="R1092" s="116">
        <f t="shared" si="1106"/>
        <v>0.10481927710843374</v>
      </c>
      <c r="S1092" s="116">
        <f t="shared" si="1107"/>
        <v>4.8192771084337352E-2</v>
      </c>
      <c r="T1092" s="116">
        <f t="shared" si="1108"/>
        <v>4.0963855421686748E-2</v>
      </c>
      <c r="U1092" s="117">
        <f t="shared" si="1109"/>
        <v>0.6397590361445783</v>
      </c>
      <c r="V1092" s="127"/>
      <c r="W1092" s="88"/>
      <c r="X1092" s="88"/>
      <c r="Y1092" s="118"/>
    </row>
    <row r="1093" spans="2:25" ht="15.75" hidden="1" x14ac:dyDescent="0.2">
      <c r="B1093" s="711">
        <v>46156</v>
      </c>
      <c r="C1093" s="105" t="s">
        <v>105</v>
      </c>
      <c r="D1093" s="105" t="s">
        <v>133</v>
      </c>
      <c r="E1093" s="711">
        <v>46157</v>
      </c>
      <c r="G1093" s="830">
        <v>46157</v>
      </c>
      <c r="H1093" s="120" t="s">
        <v>75</v>
      </c>
      <c r="I1093" s="120" t="s">
        <v>112</v>
      </c>
      <c r="J1093" s="106">
        <v>223</v>
      </c>
      <c r="K1093" s="106">
        <f>223-126</f>
        <v>97</v>
      </c>
      <c r="L1093" s="106">
        <v>25</v>
      </c>
      <c r="M1093" s="106">
        <v>85</v>
      </c>
      <c r="N1093" s="106">
        <v>0</v>
      </c>
      <c r="O1093" s="106">
        <v>16</v>
      </c>
      <c r="P1093" s="106">
        <v>0</v>
      </c>
      <c r="Q1093" s="108">
        <f t="shared" ref="Q1093:Q1095" si="1128">(K1093+L1093)/J1093</f>
        <v>0.547085201793722</v>
      </c>
      <c r="R1093" s="109">
        <f t="shared" ref="R1093:R1106" si="1129">N1093/J1093</f>
        <v>0</v>
      </c>
      <c r="S1093" s="109">
        <f t="shared" ref="S1093:S1106" si="1130">P1093/J1093</f>
        <v>0</v>
      </c>
      <c r="T1093" s="109">
        <f t="shared" ref="T1093:T1106" si="1131">O1093/J1093</f>
        <v>7.1748878923766815E-2</v>
      </c>
      <c r="U1093" s="110">
        <f t="shared" ref="U1093:U1106" si="1132">S1093+R1093+Q1093+T1093</f>
        <v>0.6188340807174888</v>
      </c>
      <c r="V1093" s="136"/>
    </row>
    <row r="1094" spans="2:25" ht="15.75" hidden="1" x14ac:dyDescent="0.2">
      <c r="B1094" s="711">
        <v>46156</v>
      </c>
      <c r="C1094" s="105" t="s">
        <v>105</v>
      </c>
      <c r="D1094" s="105" t="s">
        <v>133</v>
      </c>
      <c r="E1094" s="711">
        <v>46157</v>
      </c>
      <c r="G1094" s="831"/>
      <c r="H1094" s="120" t="s">
        <v>17</v>
      </c>
      <c r="I1094" s="120" t="s">
        <v>106</v>
      </c>
      <c r="J1094" s="106">
        <v>235</v>
      </c>
      <c r="K1094" s="106">
        <f>235-67</f>
        <v>168</v>
      </c>
      <c r="L1094" s="106">
        <v>35</v>
      </c>
      <c r="M1094" s="106">
        <v>5</v>
      </c>
      <c r="N1094" s="106">
        <v>0</v>
      </c>
      <c r="O1094" s="106">
        <v>16</v>
      </c>
      <c r="P1094" s="106">
        <v>11</v>
      </c>
      <c r="Q1094" s="108">
        <f t="shared" si="1128"/>
        <v>0.86382978723404258</v>
      </c>
      <c r="R1094" s="109">
        <f t="shared" si="1129"/>
        <v>0</v>
      </c>
      <c r="S1094" s="109">
        <f t="shared" si="1130"/>
        <v>4.6808510638297871E-2</v>
      </c>
      <c r="T1094" s="109">
        <f t="shared" si="1131"/>
        <v>6.8085106382978725E-2</v>
      </c>
      <c r="U1094" s="110">
        <f t="shared" si="1132"/>
        <v>0.97872340425531912</v>
      </c>
      <c r="V1094" s="136"/>
    </row>
    <row r="1095" spans="2:25" ht="15.75" hidden="1" x14ac:dyDescent="0.2">
      <c r="B1095" s="711">
        <v>46156</v>
      </c>
      <c r="C1095" s="105" t="s">
        <v>105</v>
      </c>
      <c r="D1095" s="105" t="s">
        <v>133</v>
      </c>
      <c r="E1095" s="711">
        <v>46157</v>
      </c>
      <c r="G1095" s="832"/>
      <c r="H1095" s="120" t="s">
        <v>14</v>
      </c>
      <c r="I1095" s="120" t="s">
        <v>105</v>
      </c>
      <c r="J1095" s="106">
        <v>175</v>
      </c>
      <c r="K1095" s="106">
        <v>0</v>
      </c>
      <c r="L1095" s="106">
        <v>1</v>
      </c>
      <c r="M1095" s="106">
        <v>149</v>
      </c>
      <c r="N1095" s="106">
        <v>0</v>
      </c>
      <c r="O1095" s="106">
        <v>17</v>
      </c>
      <c r="P1095" s="106">
        <v>8</v>
      </c>
      <c r="Q1095" s="108">
        <f t="shared" si="1128"/>
        <v>5.7142857142857143E-3</v>
      </c>
      <c r="R1095" s="109">
        <f t="shared" si="1129"/>
        <v>0</v>
      </c>
      <c r="S1095" s="109">
        <f t="shared" si="1130"/>
        <v>4.5714285714285714E-2</v>
      </c>
      <c r="T1095" s="109">
        <f t="shared" si="1131"/>
        <v>9.7142857142857142E-2</v>
      </c>
      <c r="U1095" s="110">
        <f t="shared" si="1132"/>
        <v>0.14857142857142858</v>
      </c>
      <c r="V1095" s="136"/>
    </row>
    <row r="1096" spans="2:25" s="97" customFormat="1" ht="16.5" hidden="1" customHeight="1" x14ac:dyDescent="0.2">
      <c r="B1096" s="711">
        <v>46156</v>
      </c>
      <c r="C1096" s="105" t="s">
        <v>105</v>
      </c>
      <c r="D1096" s="105" t="s">
        <v>133</v>
      </c>
      <c r="E1096" s="711">
        <v>46157</v>
      </c>
      <c r="F1096" s="89"/>
      <c r="G1096" s="174"/>
      <c r="H1096" s="113" t="s">
        <v>19</v>
      </c>
      <c r="I1096" s="113"/>
      <c r="J1096" s="113">
        <f>SUM(J1093:J1095)</f>
        <v>633</v>
      </c>
      <c r="K1096" s="113">
        <f t="shared" ref="K1096:P1096" si="1133">SUM(K1093:K1095)</f>
        <v>265</v>
      </c>
      <c r="L1096" s="113">
        <f t="shared" si="1133"/>
        <v>61</v>
      </c>
      <c r="M1096" s="113">
        <f t="shared" si="1133"/>
        <v>239</v>
      </c>
      <c r="N1096" s="113">
        <f t="shared" si="1133"/>
        <v>0</v>
      </c>
      <c r="O1096" s="113">
        <f t="shared" si="1133"/>
        <v>49</v>
      </c>
      <c r="P1096" s="113">
        <f t="shared" si="1133"/>
        <v>19</v>
      </c>
      <c r="Q1096" s="115">
        <f>(K1096+L1096)/J1096</f>
        <v>0.51500789889415477</v>
      </c>
      <c r="R1096" s="116">
        <f t="shared" si="1129"/>
        <v>0</v>
      </c>
      <c r="S1096" s="116">
        <f t="shared" si="1130"/>
        <v>3.0015797788309637E-2</v>
      </c>
      <c r="T1096" s="116">
        <f t="shared" si="1131"/>
        <v>7.7409162717219593E-2</v>
      </c>
      <c r="U1096" s="117">
        <f t="shared" si="1132"/>
        <v>0.62243285939968396</v>
      </c>
      <c r="V1096" s="127"/>
      <c r="W1096" s="88"/>
      <c r="X1096" s="88"/>
      <c r="Y1096" s="118"/>
    </row>
    <row r="1097" spans="2:25" ht="15.75" hidden="1" x14ac:dyDescent="0.2">
      <c r="B1097" s="711">
        <v>46157</v>
      </c>
      <c r="C1097" s="105" t="s">
        <v>106</v>
      </c>
      <c r="D1097" s="105" t="s">
        <v>129</v>
      </c>
      <c r="E1097" s="711">
        <v>46157</v>
      </c>
      <c r="G1097" s="833">
        <v>46157</v>
      </c>
      <c r="H1097" s="120" t="s">
        <v>75</v>
      </c>
      <c r="I1097" s="120" t="s">
        <v>112</v>
      </c>
      <c r="J1097" s="106">
        <f>SUM(K1097:P1097)</f>
        <v>94</v>
      </c>
      <c r="K1097" s="106">
        <v>46</v>
      </c>
      <c r="L1097" s="106">
        <v>40</v>
      </c>
      <c r="M1097" s="106">
        <v>0</v>
      </c>
      <c r="N1097" s="106">
        <v>0</v>
      </c>
      <c r="O1097" s="106">
        <v>8</v>
      </c>
      <c r="P1097" s="106">
        <v>0</v>
      </c>
      <c r="Q1097" s="108">
        <f t="shared" ref="Q1097:Q1101" si="1134">(K1097+L1097)/J1097</f>
        <v>0.91489361702127658</v>
      </c>
      <c r="R1097" s="109">
        <f t="shared" si="1129"/>
        <v>0</v>
      </c>
      <c r="S1097" s="109">
        <f t="shared" si="1130"/>
        <v>0</v>
      </c>
      <c r="T1097" s="109">
        <f t="shared" si="1131"/>
        <v>8.5106382978723402E-2</v>
      </c>
      <c r="U1097" s="110">
        <f t="shared" si="1132"/>
        <v>1</v>
      </c>
      <c r="V1097" s="136"/>
    </row>
    <row r="1098" spans="2:25" ht="15.75" hidden="1" x14ac:dyDescent="0.2">
      <c r="B1098" s="711">
        <v>46157</v>
      </c>
      <c r="C1098" s="105" t="s">
        <v>106</v>
      </c>
      <c r="D1098" s="105" t="s">
        <v>129</v>
      </c>
      <c r="E1098" s="711">
        <v>46157</v>
      </c>
      <c r="G1098" s="834"/>
      <c r="H1098" s="120" t="s">
        <v>17</v>
      </c>
      <c r="I1098" s="120" t="s">
        <v>106</v>
      </c>
      <c r="J1098" s="106">
        <f>SUM(K1098:P1098)</f>
        <v>51</v>
      </c>
      <c r="K1098" s="106">
        <v>28</v>
      </c>
      <c r="L1098" s="106">
        <v>14</v>
      </c>
      <c r="M1098" s="106">
        <v>0</v>
      </c>
      <c r="N1098" s="106">
        <v>0</v>
      </c>
      <c r="O1098" s="106">
        <v>0</v>
      </c>
      <c r="P1098" s="106">
        <v>9</v>
      </c>
      <c r="Q1098" s="108">
        <f t="shared" si="1134"/>
        <v>0.82352941176470584</v>
      </c>
      <c r="R1098" s="109">
        <f t="shared" si="1129"/>
        <v>0</v>
      </c>
      <c r="S1098" s="109">
        <f t="shared" si="1130"/>
        <v>0.17647058823529413</v>
      </c>
      <c r="T1098" s="109">
        <f t="shared" si="1131"/>
        <v>0</v>
      </c>
      <c r="U1098" s="110">
        <f t="shared" si="1132"/>
        <v>1</v>
      </c>
      <c r="V1098" s="136"/>
    </row>
    <row r="1099" spans="2:25" ht="15.75" hidden="1" x14ac:dyDescent="0.2">
      <c r="B1099" s="711">
        <v>46157</v>
      </c>
      <c r="C1099" s="105" t="s">
        <v>106</v>
      </c>
      <c r="D1099" s="105" t="s">
        <v>129</v>
      </c>
      <c r="E1099" s="711">
        <v>46157</v>
      </c>
      <c r="G1099" s="834"/>
      <c r="H1099" s="120" t="s">
        <v>84</v>
      </c>
      <c r="I1099" s="120" t="s">
        <v>106</v>
      </c>
      <c r="J1099" s="106">
        <f t="shared" ref="J1099:J1100" si="1135">SUM(K1099:P1099)</f>
        <v>51</v>
      </c>
      <c r="K1099" s="106">
        <v>23</v>
      </c>
      <c r="L1099" s="106">
        <v>16</v>
      </c>
      <c r="M1099" s="106">
        <v>0</v>
      </c>
      <c r="N1099" s="106">
        <v>11</v>
      </c>
      <c r="O1099" s="106">
        <v>0</v>
      </c>
      <c r="P1099" s="106">
        <v>1</v>
      </c>
      <c r="Q1099" s="108">
        <f t="shared" si="1134"/>
        <v>0.76470588235294112</v>
      </c>
      <c r="R1099" s="109">
        <f t="shared" si="1129"/>
        <v>0.21568627450980393</v>
      </c>
      <c r="S1099" s="109">
        <f t="shared" si="1130"/>
        <v>1.9607843137254902E-2</v>
      </c>
      <c r="T1099" s="109">
        <f t="shared" si="1131"/>
        <v>0</v>
      </c>
      <c r="U1099" s="110">
        <f t="shared" si="1132"/>
        <v>1</v>
      </c>
      <c r="V1099" s="136"/>
    </row>
    <row r="1100" spans="2:25" ht="15.75" hidden="1" x14ac:dyDescent="0.2">
      <c r="B1100" s="711">
        <v>46157</v>
      </c>
      <c r="C1100" s="105" t="s">
        <v>106</v>
      </c>
      <c r="D1100" s="105" t="s">
        <v>129</v>
      </c>
      <c r="E1100" s="711">
        <v>46157</v>
      </c>
      <c r="G1100" s="835"/>
      <c r="H1100" s="120" t="s">
        <v>14</v>
      </c>
      <c r="I1100" s="120" t="s">
        <v>105</v>
      </c>
      <c r="J1100" s="106">
        <f t="shared" si="1135"/>
        <v>176</v>
      </c>
      <c r="K1100" s="106">
        <v>126</v>
      </c>
      <c r="L1100" s="106">
        <v>20</v>
      </c>
      <c r="M1100" s="106">
        <v>7</v>
      </c>
      <c r="N1100" s="106">
        <v>2</v>
      </c>
      <c r="O1100" s="106">
        <v>13</v>
      </c>
      <c r="P1100" s="106">
        <v>8</v>
      </c>
      <c r="Q1100" s="108">
        <f t="shared" si="1134"/>
        <v>0.82954545454545459</v>
      </c>
      <c r="R1100" s="109">
        <f t="shared" si="1129"/>
        <v>1.1363636363636364E-2</v>
      </c>
      <c r="S1100" s="109">
        <f t="shared" si="1130"/>
        <v>4.5454545454545456E-2</v>
      </c>
      <c r="T1100" s="109">
        <f t="shared" si="1131"/>
        <v>7.3863636363636367E-2</v>
      </c>
      <c r="U1100" s="110">
        <f t="shared" si="1132"/>
        <v>0.96022727272727282</v>
      </c>
      <c r="V1100" s="136"/>
    </row>
    <row r="1101" spans="2:25" ht="15.75" hidden="1" x14ac:dyDescent="0.2">
      <c r="B1101" s="711">
        <v>46157</v>
      </c>
      <c r="C1101" s="105" t="s">
        <v>106</v>
      </c>
      <c r="D1101" s="105" t="s">
        <v>129</v>
      </c>
      <c r="E1101" s="711">
        <v>46158</v>
      </c>
      <c r="G1101" s="830">
        <v>46158</v>
      </c>
      <c r="H1101" s="120" t="s">
        <v>75</v>
      </c>
      <c r="I1101" s="120" t="s">
        <v>112</v>
      </c>
      <c r="J1101" s="106">
        <v>244</v>
      </c>
      <c r="K1101" s="106">
        <v>0</v>
      </c>
      <c r="L1101" s="106">
        <v>0</v>
      </c>
      <c r="M1101" s="106">
        <v>243</v>
      </c>
      <c r="N1101" s="106">
        <v>0</v>
      </c>
      <c r="O1101" s="106">
        <v>0</v>
      </c>
      <c r="P1101" s="106">
        <v>1</v>
      </c>
      <c r="Q1101" s="108">
        <f t="shared" si="1134"/>
        <v>0</v>
      </c>
      <c r="R1101" s="109">
        <f t="shared" si="1129"/>
        <v>0</v>
      </c>
      <c r="S1101" s="109">
        <f t="shared" si="1130"/>
        <v>4.0983606557377051E-3</v>
      </c>
      <c r="T1101" s="109">
        <f t="shared" si="1131"/>
        <v>0</v>
      </c>
      <c r="U1101" s="110">
        <f t="shared" si="1132"/>
        <v>4.0983606557377051E-3</v>
      </c>
      <c r="V1101" s="136"/>
    </row>
    <row r="1102" spans="2:25" ht="15.75" hidden="1" x14ac:dyDescent="0.2">
      <c r="B1102" s="711">
        <v>46157</v>
      </c>
      <c r="C1102" s="105" t="s">
        <v>106</v>
      </c>
      <c r="D1102" s="105" t="s">
        <v>129</v>
      </c>
      <c r="E1102" s="711">
        <v>46158</v>
      </c>
      <c r="G1102" s="831"/>
      <c r="H1102" s="120" t="s">
        <v>118</v>
      </c>
      <c r="I1102" s="120" t="s">
        <v>106</v>
      </c>
      <c r="J1102" s="106">
        <v>41</v>
      </c>
      <c r="K1102" s="106">
        <v>39</v>
      </c>
      <c r="L1102" s="106">
        <v>0</v>
      </c>
      <c r="M1102" s="106">
        <v>2</v>
      </c>
      <c r="N1102" s="106">
        <v>0</v>
      </c>
      <c r="O1102" s="106">
        <v>0</v>
      </c>
      <c r="P1102" s="106">
        <v>0</v>
      </c>
      <c r="Q1102" s="108">
        <f t="shared" ref="Q1102:Q1105" si="1136">(K1102+L1102)/J1102</f>
        <v>0.95121951219512191</v>
      </c>
      <c r="R1102" s="109">
        <f t="shared" ref="R1102:R1105" si="1137">N1102/J1102</f>
        <v>0</v>
      </c>
      <c r="S1102" s="109">
        <f t="shared" ref="S1102:S1105" si="1138">P1102/J1102</f>
        <v>0</v>
      </c>
      <c r="T1102" s="109">
        <f t="shared" ref="T1102:T1105" si="1139">O1102/J1102</f>
        <v>0</v>
      </c>
      <c r="U1102" s="110">
        <f t="shared" ref="U1102:U1105" si="1140">S1102+R1102+Q1102+T1102</f>
        <v>0.95121951219512191</v>
      </c>
      <c r="V1102" s="136"/>
    </row>
    <row r="1103" spans="2:25" ht="15.75" hidden="1" x14ac:dyDescent="0.2">
      <c r="B1103" s="711">
        <v>46157</v>
      </c>
      <c r="C1103" s="105" t="s">
        <v>106</v>
      </c>
      <c r="D1103" s="105" t="s">
        <v>129</v>
      </c>
      <c r="E1103" s="711">
        <v>46158</v>
      </c>
      <c r="G1103" s="831"/>
      <c r="H1103" s="120" t="s">
        <v>32</v>
      </c>
      <c r="I1103" s="120" t="s">
        <v>106</v>
      </c>
      <c r="J1103" s="106">
        <v>85</v>
      </c>
      <c r="K1103" s="106">
        <v>21</v>
      </c>
      <c r="L1103" s="106">
        <v>6</v>
      </c>
      <c r="M1103" s="106">
        <v>23</v>
      </c>
      <c r="N1103" s="106">
        <v>35</v>
      </c>
      <c r="O1103" s="106">
        <v>0</v>
      </c>
      <c r="P1103" s="106">
        <v>0</v>
      </c>
      <c r="Q1103" s="108">
        <f t="shared" si="1136"/>
        <v>0.31764705882352939</v>
      </c>
      <c r="R1103" s="109">
        <f t="shared" si="1137"/>
        <v>0.41176470588235292</v>
      </c>
      <c r="S1103" s="109">
        <f t="shared" si="1138"/>
        <v>0</v>
      </c>
      <c r="T1103" s="109">
        <f t="shared" si="1139"/>
        <v>0</v>
      </c>
      <c r="U1103" s="110">
        <f t="shared" si="1140"/>
        <v>0.72941176470588232</v>
      </c>
      <c r="V1103" s="136"/>
    </row>
    <row r="1104" spans="2:25" ht="15.75" hidden="1" x14ac:dyDescent="0.2">
      <c r="B1104" s="711">
        <v>46157</v>
      </c>
      <c r="C1104" s="105" t="s">
        <v>106</v>
      </c>
      <c r="D1104" s="105" t="s">
        <v>129</v>
      </c>
      <c r="E1104" s="711">
        <v>46158</v>
      </c>
      <c r="G1104" s="831"/>
      <c r="H1104" s="120" t="s">
        <v>25</v>
      </c>
      <c r="I1104" s="120" t="s">
        <v>106</v>
      </c>
      <c r="J1104" s="106">
        <v>249</v>
      </c>
      <c r="K1104" s="106">
        <v>7</v>
      </c>
      <c r="L1104" s="106">
        <v>1</v>
      </c>
      <c r="M1104" s="106">
        <v>210</v>
      </c>
      <c r="N1104" s="106">
        <v>30</v>
      </c>
      <c r="O1104" s="106">
        <v>0</v>
      </c>
      <c r="P1104" s="106">
        <v>9</v>
      </c>
      <c r="Q1104" s="108">
        <f t="shared" si="1136"/>
        <v>3.2128514056224897E-2</v>
      </c>
      <c r="R1104" s="109">
        <f t="shared" si="1137"/>
        <v>0.12048192771084337</v>
      </c>
      <c r="S1104" s="109">
        <f t="shared" si="1138"/>
        <v>3.614457831325301E-2</v>
      </c>
      <c r="T1104" s="109">
        <f t="shared" si="1139"/>
        <v>0</v>
      </c>
      <c r="U1104" s="110">
        <f t="shared" si="1140"/>
        <v>0.1887550200803213</v>
      </c>
      <c r="V1104" s="136"/>
    </row>
    <row r="1105" spans="2:25" ht="15.75" hidden="1" x14ac:dyDescent="0.2">
      <c r="B1105" s="711">
        <v>46157</v>
      </c>
      <c r="C1105" s="105" t="s">
        <v>106</v>
      </c>
      <c r="D1105" s="105" t="s">
        <v>129</v>
      </c>
      <c r="E1105" s="711">
        <v>46158</v>
      </c>
      <c r="G1105" s="832"/>
      <c r="H1105" s="120" t="s">
        <v>14</v>
      </c>
      <c r="I1105" s="120" t="s">
        <v>105</v>
      </c>
      <c r="J1105" s="106">
        <v>194</v>
      </c>
      <c r="K1105" s="106">
        <v>0</v>
      </c>
      <c r="L1105" s="106">
        <v>0</v>
      </c>
      <c r="M1105" s="106">
        <v>0</v>
      </c>
      <c r="N1105" s="106">
        <v>0</v>
      </c>
      <c r="O1105" s="106">
        <v>0</v>
      </c>
      <c r="P1105" s="106">
        <v>1</v>
      </c>
      <c r="Q1105" s="108">
        <f t="shared" si="1136"/>
        <v>0</v>
      </c>
      <c r="R1105" s="109">
        <f t="shared" si="1137"/>
        <v>0</v>
      </c>
      <c r="S1105" s="109">
        <f t="shared" si="1138"/>
        <v>5.1546391752577319E-3</v>
      </c>
      <c r="T1105" s="109">
        <f t="shared" si="1139"/>
        <v>0</v>
      </c>
      <c r="U1105" s="110">
        <f t="shared" si="1140"/>
        <v>5.1546391752577319E-3</v>
      </c>
      <c r="V1105" s="136"/>
    </row>
    <row r="1106" spans="2:25" s="97" customFormat="1" ht="16.5" hidden="1" customHeight="1" x14ac:dyDescent="0.2">
      <c r="B1106" s="711">
        <v>46157</v>
      </c>
      <c r="C1106" s="105" t="s">
        <v>106</v>
      </c>
      <c r="D1106" s="105" t="s">
        <v>129</v>
      </c>
      <c r="E1106" s="711">
        <v>46157</v>
      </c>
      <c r="F1106" s="89"/>
      <c r="G1106" s="174"/>
      <c r="H1106" s="113" t="s">
        <v>19</v>
      </c>
      <c r="I1106" s="113"/>
      <c r="J1106" s="113">
        <f t="shared" ref="J1106:P1106" si="1141">SUM(J1097:J1105)</f>
        <v>1185</v>
      </c>
      <c r="K1106" s="113">
        <f t="shared" si="1141"/>
        <v>290</v>
      </c>
      <c r="L1106" s="113">
        <f t="shared" si="1141"/>
        <v>97</v>
      </c>
      <c r="M1106" s="113">
        <f t="shared" si="1141"/>
        <v>485</v>
      </c>
      <c r="N1106" s="113">
        <f t="shared" si="1141"/>
        <v>78</v>
      </c>
      <c r="O1106" s="113">
        <f t="shared" si="1141"/>
        <v>21</v>
      </c>
      <c r="P1106" s="113">
        <f t="shared" si="1141"/>
        <v>29</v>
      </c>
      <c r="Q1106" s="115">
        <f>(K1106+L1106)/J1106</f>
        <v>0.32658227848101268</v>
      </c>
      <c r="R1106" s="116">
        <f t="shared" si="1129"/>
        <v>6.5822784810126586E-2</v>
      </c>
      <c r="S1106" s="116">
        <f t="shared" si="1130"/>
        <v>2.4472573839662448E-2</v>
      </c>
      <c r="T1106" s="116">
        <f t="shared" si="1131"/>
        <v>1.7721518987341773E-2</v>
      </c>
      <c r="U1106" s="117">
        <f t="shared" si="1132"/>
        <v>0.43459915611814348</v>
      </c>
      <c r="V1106" s="127"/>
      <c r="W1106" s="88"/>
      <c r="X1106" s="88"/>
      <c r="Y1106" s="118"/>
    </row>
    <row r="1107" spans="2:25" ht="15.75" hidden="1" x14ac:dyDescent="0.2">
      <c r="B1107" s="711">
        <v>46157</v>
      </c>
      <c r="C1107" s="105" t="s">
        <v>105</v>
      </c>
      <c r="D1107" s="105" t="s">
        <v>133</v>
      </c>
      <c r="E1107" s="711">
        <v>46158</v>
      </c>
      <c r="G1107" s="830">
        <v>46158</v>
      </c>
      <c r="H1107" s="120" t="s">
        <v>75</v>
      </c>
      <c r="I1107" s="120" t="s">
        <v>112</v>
      </c>
      <c r="J1107" s="106">
        <v>244</v>
      </c>
      <c r="K1107" s="106">
        <f>244-157</f>
        <v>87</v>
      </c>
      <c r="L1107" s="106">
        <v>27</v>
      </c>
      <c r="M1107" s="106">
        <v>109</v>
      </c>
      <c r="N1107" s="106">
        <v>0</v>
      </c>
      <c r="O1107" s="106">
        <v>18</v>
      </c>
      <c r="P1107" s="106">
        <v>3</v>
      </c>
      <c r="Q1107" s="108">
        <f t="shared" ref="Q1107:Q1111" si="1142">(K1107+L1107)/J1107</f>
        <v>0.46721311475409838</v>
      </c>
      <c r="R1107" s="109">
        <f t="shared" ref="R1107:R1119" si="1143">N1107/J1107</f>
        <v>0</v>
      </c>
      <c r="S1107" s="109">
        <f t="shared" ref="S1107:S1119" si="1144">P1107/J1107</f>
        <v>1.2295081967213115E-2</v>
      </c>
      <c r="T1107" s="109">
        <f t="shared" ref="T1107:T1119" si="1145">O1107/J1107</f>
        <v>7.3770491803278687E-2</v>
      </c>
      <c r="U1107" s="110">
        <f t="shared" ref="U1107:U1119" si="1146">S1107+R1107+Q1107+T1107</f>
        <v>0.55327868852459017</v>
      </c>
      <c r="V1107" s="136"/>
    </row>
    <row r="1108" spans="2:25" ht="15.75" hidden="1" x14ac:dyDescent="0.2">
      <c r="B1108" s="711">
        <v>46157</v>
      </c>
      <c r="C1108" s="105" t="s">
        <v>105</v>
      </c>
      <c r="D1108" s="105" t="s">
        <v>133</v>
      </c>
      <c r="E1108" s="711">
        <v>46158</v>
      </c>
      <c r="G1108" s="831"/>
      <c r="H1108" s="120" t="s">
        <v>118</v>
      </c>
      <c r="I1108" s="120" t="s">
        <v>106</v>
      </c>
      <c r="J1108" s="106">
        <v>41</v>
      </c>
      <c r="K1108" s="106">
        <v>39</v>
      </c>
      <c r="L1108" s="106">
        <v>0</v>
      </c>
      <c r="M1108" s="106">
        <v>2</v>
      </c>
      <c r="N1108" s="106">
        <v>0</v>
      </c>
      <c r="O1108" s="106">
        <v>0</v>
      </c>
      <c r="P1108" s="106">
        <v>0</v>
      </c>
      <c r="Q1108" s="108">
        <f t="shared" si="1142"/>
        <v>0.95121951219512191</v>
      </c>
      <c r="R1108" s="109">
        <f t="shared" si="1143"/>
        <v>0</v>
      </c>
      <c r="S1108" s="109">
        <f t="shared" si="1144"/>
        <v>0</v>
      </c>
      <c r="T1108" s="109">
        <f t="shared" si="1145"/>
        <v>0</v>
      </c>
      <c r="U1108" s="110">
        <f t="shared" si="1146"/>
        <v>0.95121951219512191</v>
      </c>
      <c r="V1108" s="136"/>
    </row>
    <row r="1109" spans="2:25" ht="15.75" hidden="1" x14ac:dyDescent="0.2">
      <c r="B1109" s="711">
        <v>46157</v>
      </c>
      <c r="C1109" s="105" t="s">
        <v>105</v>
      </c>
      <c r="D1109" s="105" t="s">
        <v>133</v>
      </c>
      <c r="E1109" s="711">
        <v>46158</v>
      </c>
      <c r="G1109" s="831"/>
      <c r="H1109" s="120" t="s">
        <v>32</v>
      </c>
      <c r="I1109" s="120" t="s">
        <v>106</v>
      </c>
      <c r="J1109" s="106">
        <v>85</v>
      </c>
      <c r="K1109" s="106">
        <f>85-36</f>
        <v>49</v>
      </c>
      <c r="L1109" s="106">
        <v>15</v>
      </c>
      <c r="M1109" s="106">
        <v>21</v>
      </c>
      <c r="N1109" s="106">
        <v>0</v>
      </c>
      <c r="O1109" s="106">
        <v>0</v>
      </c>
      <c r="P1109" s="106">
        <v>0</v>
      </c>
      <c r="Q1109" s="108">
        <f t="shared" si="1142"/>
        <v>0.75294117647058822</v>
      </c>
      <c r="R1109" s="109">
        <f t="shared" si="1143"/>
        <v>0</v>
      </c>
      <c r="S1109" s="109">
        <f t="shared" si="1144"/>
        <v>0</v>
      </c>
      <c r="T1109" s="109">
        <f t="shared" si="1145"/>
        <v>0</v>
      </c>
      <c r="U1109" s="110">
        <f t="shared" si="1146"/>
        <v>0.75294117647058822</v>
      </c>
      <c r="V1109" s="136"/>
    </row>
    <row r="1110" spans="2:25" ht="15.75" hidden="1" x14ac:dyDescent="0.2">
      <c r="B1110" s="711">
        <v>46157</v>
      </c>
      <c r="C1110" s="105" t="s">
        <v>105</v>
      </c>
      <c r="D1110" s="105" t="s">
        <v>133</v>
      </c>
      <c r="E1110" s="711">
        <v>46158</v>
      </c>
      <c r="G1110" s="831"/>
      <c r="H1110" s="120" t="s">
        <v>25</v>
      </c>
      <c r="I1110" s="120" t="s">
        <v>106</v>
      </c>
      <c r="J1110" s="106">
        <v>249</v>
      </c>
      <c r="K1110" s="106">
        <f>249-125</f>
        <v>124</v>
      </c>
      <c r="L1110" s="106">
        <v>42</v>
      </c>
      <c r="M1110" s="106">
        <v>40</v>
      </c>
      <c r="N1110" s="106">
        <v>7</v>
      </c>
      <c r="O1110" s="106">
        <v>27</v>
      </c>
      <c r="P1110" s="106">
        <v>9</v>
      </c>
      <c r="Q1110" s="108">
        <f t="shared" si="1142"/>
        <v>0.66666666666666663</v>
      </c>
      <c r="R1110" s="109">
        <f t="shared" si="1143"/>
        <v>2.8112449799196786E-2</v>
      </c>
      <c r="S1110" s="109">
        <f t="shared" si="1144"/>
        <v>3.614457831325301E-2</v>
      </c>
      <c r="T1110" s="109">
        <f t="shared" si="1145"/>
        <v>0.10843373493975904</v>
      </c>
      <c r="U1110" s="110">
        <f t="shared" si="1146"/>
        <v>0.8393574297188755</v>
      </c>
      <c r="V1110" s="136"/>
    </row>
    <row r="1111" spans="2:25" ht="15.75" hidden="1" x14ac:dyDescent="0.2">
      <c r="B1111" s="711">
        <v>46157</v>
      </c>
      <c r="C1111" s="105" t="s">
        <v>105</v>
      </c>
      <c r="D1111" s="105" t="s">
        <v>133</v>
      </c>
      <c r="E1111" s="711">
        <v>46158</v>
      </c>
      <c r="G1111" s="832"/>
      <c r="H1111" s="120" t="s">
        <v>14</v>
      </c>
      <c r="I1111" s="120" t="s">
        <v>105</v>
      </c>
      <c r="J1111" s="106">
        <v>194</v>
      </c>
      <c r="K1111" s="106">
        <v>0</v>
      </c>
      <c r="L1111" s="106">
        <v>0</v>
      </c>
      <c r="M1111" s="106">
        <v>163</v>
      </c>
      <c r="N1111" s="106">
        <v>0</v>
      </c>
      <c r="O1111" s="106">
        <v>12</v>
      </c>
      <c r="P1111" s="106">
        <v>18</v>
      </c>
      <c r="Q1111" s="108">
        <f t="shared" si="1142"/>
        <v>0</v>
      </c>
      <c r="R1111" s="109">
        <f t="shared" si="1143"/>
        <v>0</v>
      </c>
      <c r="S1111" s="109">
        <f t="shared" si="1144"/>
        <v>9.2783505154639179E-2</v>
      </c>
      <c r="T1111" s="109">
        <f t="shared" si="1145"/>
        <v>6.1855670103092786E-2</v>
      </c>
      <c r="U1111" s="110">
        <f t="shared" si="1146"/>
        <v>0.15463917525773196</v>
      </c>
      <c r="V1111" s="136"/>
    </row>
    <row r="1112" spans="2:25" s="97" customFormat="1" ht="16.5" hidden="1" customHeight="1" x14ac:dyDescent="0.2">
      <c r="B1112" s="711">
        <v>46157</v>
      </c>
      <c r="C1112" s="105" t="s">
        <v>105</v>
      </c>
      <c r="D1112" s="105" t="s">
        <v>133</v>
      </c>
      <c r="E1112" s="711">
        <v>46157</v>
      </c>
      <c r="F1112" s="89"/>
      <c r="G1112" s="174"/>
      <c r="H1112" s="113" t="s">
        <v>19</v>
      </c>
      <c r="I1112" s="113"/>
      <c r="J1112" s="113">
        <f t="shared" ref="J1112:P1112" si="1147">SUM(J1107:J1111)</f>
        <v>813</v>
      </c>
      <c r="K1112" s="113">
        <f t="shared" si="1147"/>
        <v>299</v>
      </c>
      <c r="L1112" s="113">
        <f t="shared" si="1147"/>
        <v>84</v>
      </c>
      <c r="M1112" s="113">
        <f t="shared" si="1147"/>
        <v>335</v>
      </c>
      <c r="N1112" s="113">
        <f t="shared" si="1147"/>
        <v>7</v>
      </c>
      <c r="O1112" s="113">
        <f t="shared" si="1147"/>
        <v>57</v>
      </c>
      <c r="P1112" s="113">
        <f t="shared" si="1147"/>
        <v>30</v>
      </c>
      <c r="Q1112" s="115">
        <f>(K1112+L1112)/J1112</f>
        <v>0.47109471094710947</v>
      </c>
      <c r="R1112" s="116">
        <f t="shared" si="1143"/>
        <v>8.6100861008610082E-3</v>
      </c>
      <c r="S1112" s="116">
        <f t="shared" si="1144"/>
        <v>3.6900369003690037E-2</v>
      </c>
      <c r="T1112" s="116">
        <f t="shared" si="1145"/>
        <v>7.0110701107011064E-2</v>
      </c>
      <c r="U1112" s="117">
        <f t="shared" si="1146"/>
        <v>0.58671586715867163</v>
      </c>
      <c r="V1112" s="127"/>
      <c r="W1112" s="88"/>
      <c r="X1112" s="88"/>
      <c r="Y1112" s="118"/>
    </row>
    <row r="1113" spans="2:25" ht="15.75" hidden="1" x14ac:dyDescent="0.2">
      <c r="B1113" s="711">
        <v>46158</v>
      </c>
      <c r="C1113" s="105" t="s">
        <v>106</v>
      </c>
      <c r="D1113" s="105" t="s">
        <v>129</v>
      </c>
      <c r="E1113" s="711">
        <v>46158</v>
      </c>
      <c r="G1113" s="833">
        <v>46158</v>
      </c>
      <c r="H1113" s="120" t="s">
        <v>75</v>
      </c>
      <c r="I1113" s="120" t="s">
        <v>112</v>
      </c>
      <c r="J1113" s="106">
        <f>SUM(K1113:P1113)</f>
        <v>127</v>
      </c>
      <c r="K1113" s="106">
        <v>55</v>
      </c>
      <c r="L1113" s="106">
        <v>50</v>
      </c>
      <c r="M1113" s="106">
        <v>0</v>
      </c>
      <c r="N1113" s="106">
        <v>0</v>
      </c>
      <c r="O1113" s="106">
        <v>19</v>
      </c>
      <c r="P1113" s="106">
        <v>3</v>
      </c>
      <c r="Q1113" s="108">
        <f t="shared" ref="Q1113:Q1118" si="1148">(K1113+L1113)/J1113</f>
        <v>0.82677165354330706</v>
      </c>
      <c r="R1113" s="109">
        <f t="shared" si="1143"/>
        <v>0</v>
      </c>
      <c r="S1113" s="109">
        <f t="shared" si="1144"/>
        <v>2.3622047244094488E-2</v>
      </c>
      <c r="T1113" s="109">
        <f t="shared" si="1145"/>
        <v>0.14960629921259844</v>
      </c>
      <c r="U1113" s="110">
        <f t="shared" si="1146"/>
        <v>1</v>
      </c>
      <c r="V1113" s="136"/>
    </row>
    <row r="1114" spans="2:25" ht="15.75" hidden="1" x14ac:dyDescent="0.2">
      <c r="B1114" s="711">
        <v>46158</v>
      </c>
      <c r="C1114" s="105" t="s">
        <v>106</v>
      </c>
      <c r="D1114" s="105" t="s">
        <v>129</v>
      </c>
      <c r="E1114" s="711">
        <v>46158</v>
      </c>
      <c r="G1114" s="834"/>
      <c r="H1114" s="120" t="s">
        <v>25</v>
      </c>
      <c r="I1114" s="120" t="s">
        <v>106</v>
      </c>
      <c r="J1114" s="106">
        <f>SUM(K1114:P1114)</f>
        <v>75</v>
      </c>
      <c r="K1114" s="106">
        <v>52</v>
      </c>
      <c r="L1114" s="106">
        <v>17</v>
      </c>
      <c r="M1114" s="106">
        <v>0</v>
      </c>
      <c r="N1114" s="106">
        <v>0</v>
      </c>
      <c r="O1114" s="106">
        <v>0</v>
      </c>
      <c r="P1114" s="106">
        <v>6</v>
      </c>
      <c r="Q1114" s="108">
        <f t="shared" si="1148"/>
        <v>0.92</v>
      </c>
      <c r="R1114" s="109">
        <f t="shared" si="1143"/>
        <v>0</v>
      </c>
      <c r="S1114" s="109">
        <f t="shared" si="1144"/>
        <v>0.08</v>
      </c>
      <c r="T1114" s="109">
        <f t="shared" si="1145"/>
        <v>0</v>
      </c>
      <c r="U1114" s="110">
        <f t="shared" si="1146"/>
        <v>1</v>
      </c>
      <c r="V1114" s="136"/>
    </row>
    <row r="1115" spans="2:25" ht="15.75" hidden="1" x14ac:dyDescent="0.2">
      <c r="B1115" s="711">
        <v>46158</v>
      </c>
      <c r="C1115" s="105" t="s">
        <v>106</v>
      </c>
      <c r="D1115" s="105" t="s">
        <v>129</v>
      </c>
      <c r="E1115" s="711">
        <v>46158</v>
      </c>
      <c r="G1115" s="834"/>
      <c r="H1115" s="120" t="s">
        <v>84</v>
      </c>
      <c r="I1115" s="120" t="s">
        <v>106</v>
      </c>
      <c r="J1115" s="106">
        <f t="shared" ref="J1115" si="1149">SUM(K1115:P1115)</f>
        <v>8</v>
      </c>
      <c r="K1115" s="106">
        <v>7</v>
      </c>
      <c r="L1115" s="106">
        <v>1</v>
      </c>
      <c r="M1115" s="106">
        <v>0</v>
      </c>
      <c r="N1115" s="106">
        <v>0</v>
      </c>
      <c r="O1115" s="106">
        <v>0</v>
      </c>
      <c r="P1115" s="106">
        <v>0</v>
      </c>
      <c r="Q1115" s="108">
        <f t="shared" si="1148"/>
        <v>1</v>
      </c>
      <c r="R1115" s="109">
        <f t="shared" si="1143"/>
        <v>0</v>
      </c>
      <c r="S1115" s="109">
        <f t="shared" si="1144"/>
        <v>0</v>
      </c>
      <c r="T1115" s="109">
        <f t="shared" si="1145"/>
        <v>0</v>
      </c>
      <c r="U1115" s="110">
        <f t="shared" si="1146"/>
        <v>1</v>
      </c>
      <c r="V1115" s="136"/>
    </row>
    <row r="1116" spans="2:25" ht="15.75" hidden="1" x14ac:dyDescent="0.2">
      <c r="B1116" s="711">
        <v>46158</v>
      </c>
      <c r="C1116" s="105" t="s">
        <v>106</v>
      </c>
      <c r="D1116" s="105" t="s">
        <v>129</v>
      </c>
      <c r="E1116" s="711">
        <v>46158</v>
      </c>
      <c r="G1116" s="834"/>
      <c r="H1116" s="120" t="s">
        <v>32</v>
      </c>
      <c r="I1116" s="120" t="s">
        <v>106</v>
      </c>
      <c r="J1116" s="106">
        <f t="shared" ref="J1116" si="1150">SUM(K1116:P1116)</f>
        <v>28</v>
      </c>
      <c r="K1116" s="106">
        <v>16</v>
      </c>
      <c r="L1116" s="106">
        <v>7</v>
      </c>
      <c r="M1116" s="106">
        <v>5</v>
      </c>
      <c r="N1116" s="106">
        <v>0</v>
      </c>
      <c r="O1116" s="106">
        <v>0</v>
      </c>
      <c r="P1116" s="106">
        <v>0</v>
      </c>
      <c r="Q1116" s="108">
        <f t="shared" ref="Q1116" si="1151">(K1116+L1116)/J1116</f>
        <v>0.8214285714285714</v>
      </c>
      <c r="R1116" s="109">
        <f t="shared" ref="R1116" si="1152">N1116/J1116</f>
        <v>0</v>
      </c>
      <c r="S1116" s="109">
        <f t="shared" ref="S1116" si="1153">P1116/J1116</f>
        <v>0</v>
      </c>
      <c r="T1116" s="109">
        <f t="shared" ref="T1116" si="1154">O1116/J1116</f>
        <v>0</v>
      </c>
      <c r="U1116" s="110">
        <f t="shared" ref="U1116" si="1155">S1116+R1116+Q1116+T1116</f>
        <v>0.8214285714285714</v>
      </c>
      <c r="V1116" s="136"/>
    </row>
    <row r="1117" spans="2:25" ht="15.75" hidden="1" x14ac:dyDescent="0.2">
      <c r="B1117" s="711">
        <v>46158</v>
      </c>
      <c r="C1117" s="105" t="s">
        <v>106</v>
      </c>
      <c r="D1117" s="105" t="s">
        <v>129</v>
      </c>
      <c r="E1117" s="711">
        <v>46158</v>
      </c>
      <c r="G1117" s="835"/>
      <c r="H1117" s="120" t="s">
        <v>14</v>
      </c>
      <c r="I1117" s="120" t="s">
        <v>105</v>
      </c>
      <c r="J1117" s="106">
        <v>194</v>
      </c>
      <c r="K1117" s="106">
        <v>97</v>
      </c>
      <c r="L1117" s="106">
        <v>44</v>
      </c>
      <c r="M1117" s="106">
        <v>8</v>
      </c>
      <c r="N1117" s="106">
        <v>22</v>
      </c>
      <c r="O1117" s="106">
        <v>12</v>
      </c>
      <c r="P1117" s="106">
        <v>18</v>
      </c>
      <c r="Q1117" s="108">
        <f t="shared" si="1148"/>
        <v>0.72680412371134018</v>
      </c>
      <c r="R1117" s="109">
        <f t="shared" si="1143"/>
        <v>0.1134020618556701</v>
      </c>
      <c r="S1117" s="109">
        <f t="shared" si="1144"/>
        <v>9.2783505154639179E-2</v>
      </c>
      <c r="T1117" s="109">
        <f t="shared" si="1145"/>
        <v>6.1855670103092786E-2</v>
      </c>
      <c r="U1117" s="110">
        <f t="shared" si="1146"/>
        <v>0.99484536082474229</v>
      </c>
      <c r="V1117" s="136"/>
    </row>
    <row r="1118" spans="2:25" ht="15.75" hidden="1" x14ac:dyDescent="0.2">
      <c r="B1118" s="711">
        <v>46158</v>
      </c>
      <c r="C1118" s="105" t="s">
        <v>106</v>
      </c>
      <c r="D1118" s="105" t="s">
        <v>129</v>
      </c>
      <c r="E1118" s="711">
        <v>46159</v>
      </c>
      <c r="G1118" s="705">
        <v>46160</v>
      </c>
      <c r="H1118" s="120" t="s">
        <v>32</v>
      </c>
      <c r="I1118" s="120" t="s">
        <v>106</v>
      </c>
      <c r="J1118" s="106">
        <v>214</v>
      </c>
      <c r="K1118" s="106">
        <v>25</v>
      </c>
      <c r="L1118" s="106">
        <v>12</v>
      </c>
      <c r="M1118" s="106">
        <v>198</v>
      </c>
      <c r="N1118" s="106">
        <v>0</v>
      </c>
      <c r="O1118" s="106">
        <v>0</v>
      </c>
      <c r="P1118" s="106">
        <v>4</v>
      </c>
      <c r="Q1118" s="108">
        <f t="shared" si="1148"/>
        <v>0.17289719626168223</v>
      </c>
      <c r="R1118" s="109">
        <f t="shared" si="1143"/>
        <v>0</v>
      </c>
      <c r="S1118" s="109">
        <f t="shared" si="1144"/>
        <v>1.8691588785046728E-2</v>
      </c>
      <c r="T1118" s="109">
        <f t="shared" si="1145"/>
        <v>0</v>
      </c>
      <c r="U1118" s="110">
        <f t="shared" si="1146"/>
        <v>0.19158878504672897</v>
      </c>
      <c r="V1118" s="136"/>
    </row>
    <row r="1119" spans="2:25" s="97" customFormat="1" ht="16.5" hidden="1" customHeight="1" x14ac:dyDescent="0.2">
      <c r="B1119" s="711">
        <v>46158</v>
      </c>
      <c r="C1119" s="105" t="s">
        <v>106</v>
      </c>
      <c r="D1119" s="105" t="s">
        <v>129</v>
      </c>
      <c r="E1119" s="711">
        <v>46158</v>
      </c>
      <c r="F1119" s="89"/>
      <c r="G1119" s="174"/>
      <c r="H1119" s="113" t="s">
        <v>19</v>
      </c>
      <c r="I1119" s="113"/>
      <c r="J1119" s="113">
        <f t="shared" ref="J1119:P1119" si="1156">SUM(J1113:J1118)</f>
        <v>646</v>
      </c>
      <c r="K1119" s="113">
        <f t="shared" si="1156"/>
        <v>252</v>
      </c>
      <c r="L1119" s="113">
        <f t="shared" si="1156"/>
        <v>131</v>
      </c>
      <c r="M1119" s="113">
        <f t="shared" si="1156"/>
        <v>211</v>
      </c>
      <c r="N1119" s="113">
        <f t="shared" si="1156"/>
        <v>22</v>
      </c>
      <c r="O1119" s="113">
        <f t="shared" si="1156"/>
        <v>31</v>
      </c>
      <c r="P1119" s="113">
        <f t="shared" si="1156"/>
        <v>31</v>
      </c>
      <c r="Q1119" s="115">
        <f>(K1119+L1119)/J1119</f>
        <v>0.59287925696594423</v>
      </c>
      <c r="R1119" s="116">
        <f t="shared" si="1143"/>
        <v>3.4055727554179564E-2</v>
      </c>
      <c r="S1119" s="116">
        <f t="shared" si="1144"/>
        <v>4.7987616099071206E-2</v>
      </c>
      <c r="T1119" s="116">
        <f t="shared" si="1145"/>
        <v>4.7987616099071206E-2</v>
      </c>
      <c r="U1119" s="117">
        <f t="shared" si="1146"/>
        <v>0.72291021671826627</v>
      </c>
      <c r="V1119" s="127"/>
      <c r="W1119" s="88"/>
      <c r="X1119" s="88"/>
      <c r="Y1119" s="118"/>
    </row>
    <row r="1120" spans="2:25" ht="15.75" hidden="1" x14ac:dyDescent="0.2">
      <c r="B1120" s="711">
        <v>46158</v>
      </c>
      <c r="C1120" s="105" t="s">
        <v>105</v>
      </c>
      <c r="D1120" s="105" t="s">
        <v>133</v>
      </c>
      <c r="E1120" s="711">
        <v>46160</v>
      </c>
      <c r="G1120" s="830">
        <v>46160</v>
      </c>
      <c r="H1120" s="120" t="s">
        <v>75</v>
      </c>
      <c r="I1120" s="120" t="s">
        <v>127</v>
      </c>
      <c r="J1120" s="106">
        <v>217</v>
      </c>
      <c r="K1120" s="106">
        <v>117</v>
      </c>
      <c r="L1120" s="106">
        <v>40</v>
      </c>
      <c r="M1120" s="106">
        <v>43</v>
      </c>
      <c r="N1120" s="106">
        <v>0</v>
      </c>
      <c r="O1120" s="106">
        <v>17</v>
      </c>
      <c r="P1120" s="106">
        <v>3</v>
      </c>
      <c r="Q1120" s="108">
        <f t="shared" ref="Q1120:Q1124" si="1157">(K1120+L1120)/J1120</f>
        <v>0.72350230414746541</v>
      </c>
      <c r="R1120" s="109">
        <f t="shared" ref="R1120:R1131" si="1158">N1120/J1120</f>
        <v>0</v>
      </c>
      <c r="S1120" s="109">
        <f t="shared" ref="S1120:S1131" si="1159">P1120/J1120</f>
        <v>1.3824884792626729E-2</v>
      </c>
      <c r="T1120" s="109">
        <f t="shared" ref="T1120:T1131" si="1160">O1120/J1120</f>
        <v>7.8341013824884786E-2</v>
      </c>
      <c r="U1120" s="110">
        <f t="shared" ref="U1120:U1131" si="1161">S1120+R1120+Q1120+T1120</f>
        <v>0.81566820276497698</v>
      </c>
      <c r="V1120" s="136"/>
    </row>
    <row r="1121" spans="2:25" ht="15.75" hidden="1" x14ac:dyDescent="0.2">
      <c r="B1121" s="711">
        <v>46158</v>
      </c>
      <c r="C1121" s="105" t="s">
        <v>105</v>
      </c>
      <c r="D1121" s="105" t="s">
        <v>133</v>
      </c>
      <c r="E1121" s="711">
        <v>46160</v>
      </c>
      <c r="G1121" s="831"/>
      <c r="H1121" s="120" t="s">
        <v>32</v>
      </c>
      <c r="I1121" s="120" t="s">
        <v>106</v>
      </c>
      <c r="J1121" s="106">
        <v>214</v>
      </c>
      <c r="K1121" s="106">
        <f>214-181</f>
        <v>33</v>
      </c>
      <c r="L1121" s="106">
        <v>12</v>
      </c>
      <c r="M1121" s="106">
        <v>162</v>
      </c>
      <c r="N1121" s="106">
        <v>0</v>
      </c>
      <c r="O1121" s="106">
        <v>3</v>
      </c>
      <c r="P1121" s="106">
        <v>4</v>
      </c>
      <c r="Q1121" s="108">
        <f t="shared" si="1157"/>
        <v>0.2102803738317757</v>
      </c>
      <c r="R1121" s="109">
        <f t="shared" si="1158"/>
        <v>0</v>
      </c>
      <c r="S1121" s="109">
        <f t="shared" si="1159"/>
        <v>1.8691588785046728E-2</v>
      </c>
      <c r="T1121" s="109">
        <f t="shared" si="1160"/>
        <v>1.4018691588785047E-2</v>
      </c>
      <c r="U1121" s="110">
        <f t="shared" si="1161"/>
        <v>0.24299065420560748</v>
      </c>
      <c r="V1121" s="136"/>
    </row>
    <row r="1122" spans="2:25" ht="15.75" hidden="1" x14ac:dyDescent="0.2">
      <c r="B1122" s="711">
        <v>46158</v>
      </c>
      <c r="C1122" s="105" t="s">
        <v>105</v>
      </c>
      <c r="D1122" s="105" t="s">
        <v>133</v>
      </c>
      <c r="E1122" s="711">
        <v>46160</v>
      </c>
      <c r="G1122" s="831"/>
      <c r="H1122" s="120" t="s">
        <v>14</v>
      </c>
      <c r="I1122" s="120" t="s">
        <v>105</v>
      </c>
      <c r="J1122" s="106">
        <v>185</v>
      </c>
      <c r="K1122" s="106">
        <v>0</v>
      </c>
      <c r="L1122" s="106">
        <v>0</v>
      </c>
      <c r="M1122" s="106">
        <v>150</v>
      </c>
      <c r="N1122" s="106">
        <v>0</v>
      </c>
      <c r="O1122" s="106">
        <v>24</v>
      </c>
      <c r="P1122" s="106">
        <v>11</v>
      </c>
      <c r="Q1122" s="108">
        <f t="shared" si="1157"/>
        <v>0</v>
      </c>
      <c r="R1122" s="109">
        <f t="shared" si="1158"/>
        <v>0</v>
      </c>
      <c r="S1122" s="109">
        <f t="shared" si="1159"/>
        <v>5.9459459459459463E-2</v>
      </c>
      <c r="T1122" s="109">
        <f t="shared" si="1160"/>
        <v>0.12972972972972974</v>
      </c>
      <c r="U1122" s="110">
        <f t="shared" si="1161"/>
        <v>0.1891891891891892</v>
      </c>
      <c r="V1122" s="136"/>
    </row>
    <row r="1123" spans="2:25" ht="15.75" hidden="1" x14ac:dyDescent="0.2">
      <c r="B1123" s="711">
        <v>46158</v>
      </c>
      <c r="C1123" s="105" t="s">
        <v>105</v>
      </c>
      <c r="D1123" s="105" t="s">
        <v>133</v>
      </c>
      <c r="E1123" s="711">
        <v>46160</v>
      </c>
      <c r="G1123" s="831"/>
      <c r="H1123" s="120" t="s">
        <v>17</v>
      </c>
      <c r="I1123" s="120" t="s">
        <v>106</v>
      </c>
      <c r="J1123" s="106">
        <v>244</v>
      </c>
      <c r="K1123" s="106">
        <f>244-99</f>
        <v>145</v>
      </c>
      <c r="L1123" s="106">
        <v>44</v>
      </c>
      <c r="M1123" s="106">
        <v>18</v>
      </c>
      <c r="N1123" s="106">
        <v>0</v>
      </c>
      <c r="O1123" s="106">
        <v>29</v>
      </c>
      <c r="P1123" s="106">
        <v>8</v>
      </c>
      <c r="Q1123" s="108">
        <f t="shared" si="1157"/>
        <v>0.77459016393442626</v>
      </c>
      <c r="R1123" s="109">
        <f t="shared" si="1158"/>
        <v>0</v>
      </c>
      <c r="S1123" s="109">
        <f t="shared" si="1159"/>
        <v>3.2786885245901641E-2</v>
      </c>
      <c r="T1123" s="109">
        <f t="shared" si="1160"/>
        <v>0.11885245901639344</v>
      </c>
      <c r="U1123" s="110">
        <f t="shared" si="1161"/>
        <v>0.92622950819672134</v>
      </c>
      <c r="V1123" s="136"/>
    </row>
    <row r="1124" spans="2:25" ht="15.75" hidden="1" x14ac:dyDescent="0.2">
      <c r="B1124" s="711">
        <v>46158</v>
      </c>
      <c r="C1124" s="105" t="s">
        <v>105</v>
      </c>
      <c r="D1124" s="105" t="s">
        <v>133</v>
      </c>
      <c r="E1124" s="711">
        <v>46160</v>
      </c>
      <c r="G1124" s="852"/>
      <c r="H1124" s="120" t="s">
        <v>118</v>
      </c>
      <c r="I1124" s="120" t="s">
        <v>112</v>
      </c>
      <c r="J1124" s="106">
        <v>41</v>
      </c>
      <c r="K1124" s="106">
        <v>0</v>
      </c>
      <c r="L1124" s="106">
        <v>0</v>
      </c>
      <c r="M1124" s="106">
        <v>41</v>
      </c>
      <c r="N1124" s="106">
        <v>0</v>
      </c>
      <c r="O1124" s="106">
        <v>0</v>
      </c>
      <c r="P1124" s="106">
        <v>0</v>
      </c>
      <c r="Q1124" s="108">
        <f t="shared" si="1157"/>
        <v>0</v>
      </c>
      <c r="R1124" s="109">
        <f t="shared" si="1158"/>
        <v>0</v>
      </c>
      <c r="S1124" s="109">
        <f t="shared" si="1159"/>
        <v>0</v>
      </c>
      <c r="T1124" s="109">
        <f t="shared" si="1160"/>
        <v>0</v>
      </c>
      <c r="U1124" s="110">
        <f t="shared" si="1161"/>
        <v>0</v>
      </c>
      <c r="V1124" s="136"/>
    </row>
    <row r="1125" spans="2:25" s="97" customFormat="1" ht="16.5" hidden="1" customHeight="1" x14ac:dyDescent="0.2">
      <c r="B1125" s="711">
        <v>46158</v>
      </c>
      <c r="C1125" s="105" t="s">
        <v>105</v>
      </c>
      <c r="D1125" s="105" t="s">
        <v>133</v>
      </c>
      <c r="E1125" s="711">
        <v>46160</v>
      </c>
      <c r="F1125" s="89"/>
      <c r="G1125" s="113"/>
      <c r="H1125" s="113" t="s">
        <v>19</v>
      </c>
      <c r="I1125" s="113"/>
      <c r="J1125" s="113">
        <f t="shared" ref="J1125:P1125" si="1162">SUM(J1120:J1124)</f>
        <v>901</v>
      </c>
      <c r="K1125" s="113">
        <f t="shared" si="1162"/>
        <v>295</v>
      </c>
      <c r="L1125" s="113">
        <f t="shared" si="1162"/>
        <v>96</v>
      </c>
      <c r="M1125" s="113">
        <f t="shared" si="1162"/>
        <v>414</v>
      </c>
      <c r="N1125" s="113">
        <f t="shared" si="1162"/>
        <v>0</v>
      </c>
      <c r="O1125" s="113">
        <f t="shared" si="1162"/>
        <v>73</v>
      </c>
      <c r="P1125" s="113">
        <f t="shared" si="1162"/>
        <v>26</v>
      </c>
      <c r="Q1125" s="115">
        <f>(K1125+L1125)/J1125</f>
        <v>0.43396226415094341</v>
      </c>
      <c r="R1125" s="116">
        <f t="shared" si="1158"/>
        <v>0</v>
      </c>
      <c r="S1125" s="116">
        <f t="shared" si="1159"/>
        <v>2.8856825749167592E-2</v>
      </c>
      <c r="T1125" s="116">
        <f t="shared" si="1160"/>
        <v>8.1021087680355167E-2</v>
      </c>
      <c r="U1125" s="117">
        <f t="shared" si="1161"/>
        <v>0.54384017758046621</v>
      </c>
      <c r="V1125" s="127"/>
      <c r="W1125" s="88"/>
      <c r="X1125" s="88"/>
      <c r="Y1125" s="118"/>
    </row>
    <row r="1126" spans="2:25" ht="15.75" hidden="1" x14ac:dyDescent="0.2">
      <c r="B1126" s="711">
        <v>46159</v>
      </c>
      <c r="C1126" s="105" t="s">
        <v>43</v>
      </c>
      <c r="D1126" s="105" t="s">
        <v>20</v>
      </c>
      <c r="E1126" s="711">
        <v>46160</v>
      </c>
      <c r="G1126" s="833">
        <v>46160</v>
      </c>
      <c r="H1126" s="120" t="s">
        <v>75</v>
      </c>
      <c r="I1126" s="120" t="s">
        <v>112</v>
      </c>
      <c r="J1126" s="106">
        <f>SUM(K1126:P1126)</f>
        <v>65</v>
      </c>
      <c r="K1126" s="106">
        <v>0</v>
      </c>
      <c r="L1126" s="106">
        <v>0</v>
      </c>
      <c r="M1126" s="106">
        <v>6</v>
      </c>
      <c r="N1126" s="106">
        <v>38</v>
      </c>
      <c r="O1126" s="106">
        <v>18</v>
      </c>
      <c r="P1126" s="106">
        <v>3</v>
      </c>
      <c r="Q1126" s="108">
        <f t="shared" ref="Q1126:Q1130" si="1163">(K1126+L1126)/J1126</f>
        <v>0</v>
      </c>
      <c r="R1126" s="109">
        <f t="shared" si="1158"/>
        <v>0.58461538461538465</v>
      </c>
      <c r="S1126" s="109">
        <f t="shared" si="1159"/>
        <v>4.6153846153846156E-2</v>
      </c>
      <c r="T1126" s="109">
        <f t="shared" si="1160"/>
        <v>0.27692307692307694</v>
      </c>
      <c r="U1126" s="110">
        <f t="shared" si="1161"/>
        <v>0.90769230769230769</v>
      </c>
      <c r="V1126" s="136"/>
    </row>
    <row r="1127" spans="2:25" ht="15.75" hidden="1" x14ac:dyDescent="0.2">
      <c r="B1127" s="711">
        <v>46159</v>
      </c>
      <c r="C1127" s="105" t="s">
        <v>43</v>
      </c>
      <c r="D1127" s="105" t="s">
        <v>20</v>
      </c>
      <c r="E1127" s="711">
        <v>46160</v>
      </c>
      <c r="G1127" s="834"/>
      <c r="H1127" s="120" t="s">
        <v>17</v>
      </c>
      <c r="I1127" s="120" t="s">
        <v>106</v>
      </c>
      <c r="J1127" s="106">
        <f t="shared" ref="J1127:J1128" si="1164">SUM(K1127:P1127)</f>
        <v>67</v>
      </c>
      <c r="K1127" s="106">
        <v>0</v>
      </c>
      <c r="L1127" s="106">
        <v>0</v>
      </c>
      <c r="M1127" s="106">
        <v>21</v>
      </c>
      <c r="N1127" s="106">
        <v>5</v>
      </c>
      <c r="O1127" s="106">
        <v>30</v>
      </c>
      <c r="P1127" s="106">
        <v>11</v>
      </c>
      <c r="Q1127" s="108">
        <f t="shared" si="1163"/>
        <v>0</v>
      </c>
      <c r="R1127" s="109">
        <f t="shared" si="1158"/>
        <v>7.4626865671641784E-2</v>
      </c>
      <c r="S1127" s="109">
        <f t="shared" si="1159"/>
        <v>0.16417910447761194</v>
      </c>
      <c r="T1127" s="109">
        <f t="shared" si="1160"/>
        <v>0.44776119402985076</v>
      </c>
      <c r="U1127" s="110">
        <f t="shared" si="1161"/>
        <v>0.68656716417910446</v>
      </c>
      <c r="V1127" s="136"/>
    </row>
    <row r="1128" spans="2:25" ht="15.75" hidden="1" x14ac:dyDescent="0.2">
      <c r="B1128" s="711">
        <v>46159</v>
      </c>
      <c r="C1128" s="105" t="s">
        <v>43</v>
      </c>
      <c r="D1128" s="105" t="s">
        <v>20</v>
      </c>
      <c r="E1128" s="711">
        <v>46160</v>
      </c>
      <c r="G1128" s="834"/>
      <c r="H1128" s="120" t="s">
        <v>32</v>
      </c>
      <c r="I1128" s="120" t="s">
        <v>106</v>
      </c>
      <c r="J1128" s="106">
        <f t="shared" si="1164"/>
        <v>169</v>
      </c>
      <c r="K1128" s="106">
        <v>0</v>
      </c>
      <c r="L1128" s="106">
        <v>0</v>
      </c>
      <c r="M1128" s="106">
        <v>40</v>
      </c>
      <c r="N1128" s="106">
        <v>120</v>
      </c>
      <c r="O1128" s="106">
        <v>5</v>
      </c>
      <c r="P1128" s="106">
        <v>4</v>
      </c>
      <c r="Q1128" s="108">
        <f t="shared" ref="Q1128" si="1165">(K1128+L1128)/J1128</f>
        <v>0</v>
      </c>
      <c r="R1128" s="109">
        <f t="shared" ref="R1128" si="1166">N1128/J1128</f>
        <v>0.7100591715976331</v>
      </c>
      <c r="S1128" s="109">
        <f t="shared" ref="S1128" si="1167">P1128/J1128</f>
        <v>2.3668639053254437E-2</v>
      </c>
      <c r="T1128" s="109">
        <f t="shared" ref="T1128" si="1168">O1128/J1128</f>
        <v>2.9585798816568046E-2</v>
      </c>
      <c r="U1128" s="110">
        <f t="shared" ref="U1128" si="1169">S1128+R1128+Q1128+T1128</f>
        <v>0.76331360946745563</v>
      </c>
      <c r="V1128" s="136"/>
    </row>
    <row r="1129" spans="2:25" ht="15.75" hidden="1" x14ac:dyDescent="0.2">
      <c r="B1129" s="711">
        <v>46159</v>
      </c>
      <c r="C1129" s="105" t="s">
        <v>43</v>
      </c>
      <c r="D1129" s="105" t="s">
        <v>20</v>
      </c>
      <c r="E1129" s="711">
        <v>46160</v>
      </c>
      <c r="G1129" s="834"/>
      <c r="H1129" s="120" t="s">
        <v>118</v>
      </c>
      <c r="I1129" s="120" t="s">
        <v>105</v>
      </c>
      <c r="J1129" s="106">
        <v>41</v>
      </c>
      <c r="K1129" s="106">
        <v>0</v>
      </c>
      <c r="L1129" s="106">
        <v>0</v>
      </c>
      <c r="M1129" s="106">
        <v>0</v>
      </c>
      <c r="N1129" s="106">
        <v>41</v>
      </c>
      <c r="O1129" s="106">
        <v>0</v>
      </c>
      <c r="P1129" s="106">
        <v>0</v>
      </c>
      <c r="Q1129" s="108">
        <f t="shared" ref="Q1129" si="1170">(K1129+L1129)/J1129</f>
        <v>0</v>
      </c>
      <c r="R1129" s="109">
        <f t="shared" ref="R1129" si="1171">N1129/J1129</f>
        <v>1</v>
      </c>
      <c r="S1129" s="109">
        <f t="shared" ref="S1129" si="1172">P1129/J1129</f>
        <v>0</v>
      </c>
      <c r="T1129" s="109">
        <f t="shared" ref="T1129" si="1173">O1129/J1129</f>
        <v>0</v>
      </c>
      <c r="U1129" s="110">
        <f t="shared" ref="U1129" si="1174">S1129+R1129+Q1129+T1129</f>
        <v>1</v>
      </c>
      <c r="V1129" s="136"/>
    </row>
    <row r="1130" spans="2:25" ht="15.75" hidden="1" x14ac:dyDescent="0.2">
      <c r="B1130" s="711">
        <v>46159</v>
      </c>
      <c r="C1130" s="105" t="s">
        <v>43</v>
      </c>
      <c r="D1130" s="105" t="s">
        <v>20</v>
      </c>
      <c r="E1130" s="711">
        <v>46160</v>
      </c>
      <c r="G1130" s="835"/>
      <c r="H1130" s="120" t="s">
        <v>14</v>
      </c>
      <c r="I1130" s="120" t="s">
        <v>105</v>
      </c>
      <c r="J1130" s="106">
        <v>196</v>
      </c>
      <c r="K1130" s="106">
        <v>0</v>
      </c>
      <c r="L1130" s="106">
        <v>0</v>
      </c>
      <c r="M1130" s="106">
        <f>172-24</f>
        <v>148</v>
      </c>
      <c r="N1130" s="106">
        <v>0</v>
      </c>
      <c r="O1130" s="106">
        <v>24</v>
      </c>
      <c r="P1130" s="106">
        <v>12</v>
      </c>
      <c r="Q1130" s="108">
        <f t="shared" si="1163"/>
        <v>0</v>
      </c>
      <c r="R1130" s="109">
        <f t="shared" si="1158"/>
        <v>0</v>
      </c>
      <c r="S1130" s="109">
        <f t="shared" si="1159"/>
        <v>6.1224489795918366E-2</v>
      </c>
      <c r="T1130" s="109">
        <f t="shared" si="1160"/>
        <v>0.12244897959183673</v>
      </c>
      <c r="U1130" s="110">
        <f t="shared" si="1161"/>
        <v>0.18367346938775508</v>
      </c>
      <c r="V1130" s="136"/>
    </row>
    <row r="1131" spans="2:25" s="97" customFormat="1" ht="16.5" hidden="1" customHeight="1" x14ac:dyDescent="0.2">
      <c r="B1131" s="711">
        <v>46159</v>
      </c>
      <c r="C1131" s="105" t="s">
        <v>43</v>
      </c>
      <c r="D1131" s="105" t="s">
        <v>20</v>
      </c>
      <c r="E1131" s="711">
        <v>46158</v>
      </c>
      <c r="F1131" s="89"/>
      <c r="G1131" s="113"/>
      <c r="H1131" s="113" t="s">
        <v>19</v>
      </c>
      <c r="I1131" s="113"/>
      <c r="J1131" s="113">
        <f t="shared" ref="J1131:P1131" si="1175">SUM(J1126:J1130)</f>
        <v>538</v>
      </c>
      <c r="K1131" s="113">
        <f t="shared" si="1175"/>
        <v>0</v>
      </c>
      <c r="L1131" s="113">
        <f t="shared" si="1175"/>
        <v>0</v>
      </c>
      <c r="M1131" s="113">
        <f t="shared" si="1175"/>
        <v>215</v>
      </c>
      <c r="N1131" s="113">
        <f t="shared" si="1175"/>
        <v>204</v>
      </c>
      <c r="O1131" s="113">
        <f t="shared" si="1175"/>
        <v>77</v>
      </c>
      <c r="P1131" s="113">
        <f t="shared" si="1175"/>
        <v>30</v>
      </c>
      <c r="Q1131" s="115">
        <f>(K1131+L1131)/J1131</f>
        <v>0</v>
      </c>
      <c r="R1131" s="116">
        <f t="shared" si="1158"/>
        <v>0.379182156133829</v>
      </c>
      <c r="S1131" s="116">
        <f t="shared" si="1159"/>
        <v>5.5762081784386616E-2</v>
      </c>
      <c r="T1131" s="116">
        <f t="shared" si="1160"/>
        <v>0.14312267657992564</v>
      </c>
      <c r="U1131" s="117">
        <f t="shared" si="1161"/>
        <v>0.57806691449814129</v>
      </c>
      <c r="V1131" s="127"/>
      <c r="W1131" s="88"/>
      <c r="X1131" s="88"/>
      <c r="Y1131" s="118"/>
    </row>
    <row r="1132" spans="2:25" ht="15.75" hidden="1" x14ac:dyDescent="0.2">
      <c r="B1132" s="711">
        <v>46160</v>
      </c>
      <c r="C1132" s="105" t="s">
        <v>106</v>
      </c>
      <c r="D1132" s="105" t="s">
        <v>129</v>
      </c>
      <c r="E1132" s="711">
        <v>46160</v>
      </c>
      <c r="G1132" s="833">
        <v>46160</v>
      </c>
      <c r="H1132" s="120" t="s">
        <v>75</v>
      </c>
      <c r="I1132" s="120" t="s">
        <v>127</v>
      </c>
      <c r="J1132" s="106">
        <f>SUM(K1132:P1132)</f>
        <v>75</v>
      </c>
      <c r="K1132" s="106">
        <v>33</v>
      </c>
      <c r="L1132" s="106">
        <v>32</v>
      </c>
      <c r="M1132" s="106">
        <v>0</v>
      </c>
      <c r="N1132" s="106">
        <v>0</v>
      </c>
      <c r="O1132" s="106">
        <v>7</v>
      </c>
      <c r="P1132" s="106">
        <v>3</v>
      </c>
      <c r="Q1132" s="108">
        <f t="shared" ref="Q1132:Q1137" si="1176">(K1132+L1132)/J1132</f>
        <v>0.8666666666666667</v>
      </c>
      <c r="R1132" s="109">
        <f t="shared" ref="R1132:R1138" si="1177">N1132/J1132</f>
        <v>0</v>
      </c>
      <c r="S1132" s="109">
        <f t="shared" ref="S1132:S1138" si="1178">P1132/J1132</f>
        <v>0.04</v>
      </c>
      <c r="T1132" s="109">
        <f t="shared" ref="T1132:T1138" si="1179">O1132/J1132</f>
        <v>9.3333333333333338E-2</v>
      </c>
      <c r="U1132" s="110">
        <f t="shared" ref="U1132:U1138" si="1180">S1132+R1132+Q1132+T1132</f>
        <v>1</v>
      </c>
      <c r="V1132" s="136"/>
    </row>
    <row r="1133" spans="2:25" ht="15.75" hidden="1" x14ac:dyDescent="0.2">
      <c r="B1133" s="711">
        <v>46160</v>
      </c>
      <c r="C1133" s="105" t="s">
        <v>106</v>
      </c>
      <c r="D1133" s="105" t="s">
        <v>129</v>
      </c>
      <c r="E1133" s="711">
        <v>46160</v>
      </c>
      <c r="G1133" s="834"/>
      <c r="H1133" s="120" t="s">
        <v>17</v>
      </c>
      <c r="I1133" s="120" t="s">
        <v>106</v>
      </c>
      <c r="J1133" s="106">
        <f t="shared" ref="J1133:J1134" si="1181">SUM(K1133:P1133)</f>
        <v>75</v>
      </c>
      <c r="K1133" s="106">
        <v>40</v>
      </c>
      <c r="L1133" s="106">
        <v>26</v>
      </c>
      <c r="M1133" s="106">
        <v>0</v>
      </c>
      <c r="N1133" s="106">
        <v>0</v>
      </c>
      <c r="O1133" s="106">
        <v>0</v>
      </c>
      <c r="P1133" s="106">
        <v>9</v>
      </c>
      <c r="Q1133" s="108">
        <f t="shared" si="1176"/>
        <v>0.88</v>
      </c>
      <c r="R1133" s="109">
        <f t="shared" si="1177"/>
        <v>0</v>
      </c>
      <c r="S1133" s="109">
        <f t="shared" si="1178"/>
        <v>0.12</v>
      </c>
      <c r="T1133" s="109">
        <f t="shared" si="1179"/>
        <v>0</v>
      </c>
      <c r="U1133" s="110">
        <f t="shared" si="1180"/>
        <v>1</v>
      </c>
      <c r="V1133" s="136"/>
    </row>
    <row r="1134" spans="2:25" ht="15.75" hidden="1" x14ac:dyDescent="0.2">
      <c r="B1134" s="711">
        <v>46160</v>
      </c>
      <c r="C1134" s="105" t="s">
        <v>106</v>
      </c>
      <c r="D1134" s="105" t="s">
        <v>129</v>
      </c>
      <c r="E1134" s="711">
        <v>46160</v>
      </c>
      <c r="G1134" s="834"/>
      <c r="H1134" s="120" t="s">
        <v>32</v>
      </c>
      <c r="I1134" s="120" t="s">
        <v>106</v>
      </c>
      <c r="J1134" s="106">
        <f t="shared" si="1181"/>
        <v>188</v>
      </c>
      <c r="K1134" s="106">
        <v>132</v>
      </c>
      <c r="L1134" s="106">
        <v>40</v>
      </c>
      <c r="M1134" s="106">
        <v>5</v>
      </c>
      <c r="N1134" s="106">
        <v>8</v>
      </c>
      <c r="O1134" s="106">
        <v>0</v>
      </c>
      <c r="P1134" s="106">
        <v>3</v>
      </c>
      <c r="Q1134" s="108">
        <f t="shared" si="1176"/>
        <v>0.91489361702127658</v>
      </c>
      <c r="R1134" s="109">
        <f t="shared" si="1177"/>
        <v>4.2553191489361701E-2</v>
      </c>
      <c r="S1134" s="109">
        <f t="shared" si="1178"/>
        <v>1.5957446808510637E-2</v>
      </c>
      <c r="T1134" s="109">
        <f t="shared" si="1179"/>
        <v>0</v>
      </c>
      <c r="U1134" s="110">
        <f t="shared" si="1180"/>
        <v>0.97340425531914887</v>
      </c>
      <c r="V1134" s="136"/>
    </row>
    <row r="1135" spans="2:25" ht="15.75" hidden="1" x14ac:dyDescent="0.2">
      <c r="B1135" s="711">
        <v>46160</v>
      </c>
      <c r="C1135" s="105" t="s">
        <v>106</v>
      </c>
      <c r="D1135" s="105" t="s">
        <v>129</v>
      </c>
      <c r="E1135" s="711">
        <v>46160</v>
      </c>
      <c r="G1135" s="834"/>
      <c r="H1135" s="120" t="s">
        <v>118</v>
      </c>
      <c r="I1135" s="120" t="s">
        <v>105</v>
      </c>
      <c r="J1135" s="106">
        <v>41</v>
      </c>
      <c r="K1135" s="106">
        <v>40</v>
      </c>
      <c r="L1135" s="106">
        <v>1</v>
      </c>
      <c r="M1135" s="106">
        <v>0</v>
      </c>
      <c r="N1135" s="106">
        <v>0</v>
      </c>
      <c r="O1135" s="106">
        <v>0</v>
      </c>
      <c r="P1135" s="106">
        <v>0</v>
      </c>
      <c r="Q1135" s="108">
        <f t="shared" si="1176"/>
        <v>1</v>
      </c>
      <c r="R1135" s="109">
        <f t="shared" si="1177"/>
        <v>0</v>
      </c>
      <c r="S1135" s="109">
        <f t="shared" si="1178"/>
        <v>0</v>
      </c>
      <c r="T1135" s="109">
        <f t="shared" si="1179"/>
        <v>0</v>
      </c>
      <c r="U1135" s="110">
        <f t="shared" si="1180"/>
        <v>1</v>
      </c>
      <c r="V1135" s="136"/>
    </row>
    <row r="1136" spans="2:25" ht="15.75" hidden="1" x14ac:dyDescent="0.2">
      <c r="B1136" s="711">
        <v>46160</v>
      </c>
      <c r="C1136" s="105" t="s">
        <v>106</v>
      </c>
      <c r="D1136" s="105" t="s">
        <v>129</v>
      </c>
      <c r="E1136" s="711">
        <v>46160</v>
      </c>
      <c r="G1136" s="835"/>
      <c r="H1136" s="120" t="s">
        <v>14</v>
      </c>
      <c r="I1136" s="120" t="s">
        <v>105</v>
      </c>
      <c r="J1136" s="106">
        <v>196</v>
      </c>
      <c r="K1136" s="106">
        <v>114</v>
      </c>
      <c r="L1136" s="106">
        <v>42</v>
      </c>
      <c r="M1136" s="106">
        <f>36-14</f>
        <v>22</v>
      </c>
      <c r="N1136" s="106">
        <v>0</v>
      </c>
      <c r="O1136" s="106">
        <v>14</v>
      </c>
      <c r="P1136" s="106">
        <v>12</v>
      </c>
      <c r="Q1136" s="108">
        <f t="shared" ref="Q1136" si="1182">(K1136+L1136)/J1136</f>
        <v>0.79591836734693877</v>
      </c>
      <c r="R1136" s="109">
        <f t="shared" ref="R1136" si="1183">N1136/J1136</f>
        <v>0</v>
      </c>
      <c r="S1136" s="109">
        <f t="shared" ref="S1136" si="1184">P1136/J1136</f>
        <v>6.1224489795918366E-2</v>
      </c>
      <c r="T1136" s="109">
        <f t="shared" ref="T1136" si="1185">O1136/J1136</f>
        <v>7.1428571428571425E-2</v>
      </c>
      <c r="U1136" s="110">
        <f t="shared" ref="U1136" si="1186">S1136+R1136+Q1136+T1136</f>
        <v>0.92857142857142849</v>
      </c>
      <c r="V1136" s="136"/>
    </row>
    <row r="1137" spans="2:25" ht="15.75" hidden="1" x14ac:dyDescent="0.2">
      <c r="B1137" s="711">
        <v>46160</v>
      </c>
      <c r="C1137" s="105" t="s">
        <v>106</v>
      </c>
      <c r="D1137" s="105" t="s">
        <v>129</v>
      </c>
      <c r="E1137" s="711">
        <v>46161</v>
      </c>
      <c r="G1137" s="713">
        <v>46161</v>
      </c>
      <c r="H1137" s="120" t="s">
        <v>17</v>
      </c>
      <c r="I1137" s="120" t="s">
        <v>106</v>
      </c>
      <c r="J1137" s="106">
        <v>206</v>
      </c>
      <c r="K1137" s="106">
        <v>0</v>
      </c>
      <c r="L1137" s="106">
        <v>0</v>
      </c>
      <c r="M1137" s="106">
        <v>186</v>
      </c>
      <c r="N1137" s="106">
        <v>20</v>
      </c>
      <c r="O1137" s="106">
        <v>0</v>
      </c>
      <c r="P1137" s="106">
        <v>0</v>
      </c>
      <c r="Q1137" s="108">
        <f t="shared" si="1176"/>
        <v>0</v>
      </c>
      <c r="R1137" s="109">
        <f t="shared" si="1177"/>
        <v>9.7087378640776698E-2</v>
      </c>
      <c r="S1137" s="109">
        <f t="shared" si="1178"/>
        <v>0</v>
      </c>
      <c r="T1137" s="109">
        <f t="shared" si="1179"/>
        <v>0</v>
      </c>
      <c r="U1137" s="110">
        <f t="shared" si="1180"/>
        <v>9.7087378640776698E-2</v>
      </c>
      <c r="V1137" s="136"/>
    </row>
    <row r="1138" spans="2:25" s="97" customFormat="1" ht="16.5" hidden="1" customHeight="1" x14ac:dyDescent="0.2">
      <c r="B1138" s="711">
        <v>46160</v>
      </c>
      <c r="C1138" s="105" t="s">
        <v>106</v>
      </c>
      <c r="D1138" s="105" t="s">
        <v>129</v>
      </c>
      <c r="E1138" s="711">
        <v>46160</v>
      </c>
      <c r="F1138" s="89"/>
      <c r="G1138" s="267"/>
      <c r="H1138" s="113" t="s">
        <v>19</v>
      </c>
      <c r="I1138" s="113"/>
      <c r="J1138" s="113">
        <f t="shared" ref="J1138" si="1187">SUM(J1132:J1137)</f>
        <v>781</v>
      </c>
      <c r="K1138" s="113">
        <f t="shared" ref="K1138" si="1188">SUM(K1132:K1137)</f>
        <v>359</v>
      </c>
      <c r="L1138" s="113">
        <f t="shared" ref="L1138" si="1189">SUM(L1132:L1137)</f>
        <v>141</v>
      </c>
      <c r="M1138" s="113">
        <f t="shared" ref="M1138" si="1190">SUM(M1132:M1137)</f>
        <v>213</v>
      </c>
      <c r="N1138" s="113">
        <f t="shared" ref="N1138" si="1191">SUM(N1132:N1137)</f>
        <v>28</v>
      </c>
      <c r="O1138" s="113">
        <f t="shared" ref="O1138" si="1192">SUM(O1132:O1137)</f>
        <v>21</v>
      </c>
      <c r="P1138" s="113">
        <f t="shared" ref="P1138" si="1193">SUM(P1132:P1137)</f>
        <v>27</v>
      </c>
      <c r="Q1138" s="115">
        <f>(K1138+L1138)/J1138</f>
        <v>0.6402048655569782</v>
      </c>
      <c r="R1138" s="116">
        <f t="shared" si="1177"/>
        <v>3.5851472471190783E-2</v>
      </c>
      <c r="S1138" s="116">
        <f t="shared" si="1178"/>
        <v>3.4571062740076826E-2</v>
      </c>
      <c r="T1138" s="116">
        <f t="shared" si="1179"/>
        <v>2.6888604353393086E-2</v>
      </c>
      <c r="U1138" s="117">
        <f t="shared" si="1180"/>
        <v>0.73751600512163895</v>
      </c>
      <c r="V1138" s="127"/>
      <c r="W1138" s="88"/>
      <c r="X1138" s="88"/>
      <c r="Y1138" s="118"/>
    </row>
    <row r="1139" spans="2:25" ht="15.75" hidden="1" x14ac:dyDescent="0.2">
      <c r="B1139" s="711">
        <v>46160</v>
      </c>
      <c r="C1139" s="105" t="s">
        <v>105</v>
      </c>
      <c r="D1139" s="105" t="s">
        <v>134</v>
      </c>
      <c r="E1139" s="711">
        <v>46160</v>
      </c>
      <c r="G1139" s="833">
        <v>46160</v>
      </c>
      <c r="H1139" s="120" t="s">
        <v>75</v>
      </c>
      <c r="I1139" s="120" t="s">
        <v>127</v>
      </c>
      <c r="J1139" s="106">
        <v>39</v>
      </c>
      <c r="K1139" s="106">
        <f>J1139-L1139-M1139-N1139-O1139-P1139</f>
        <v>17</v>
      </c>
      <c r="L1139" s="106">
        <v>4</v>
      </c>
      <c r="M1139" s="106">
        <v>0</v>
      </c>
      <c r="N1139" s="106">
        <v>0</v>
      </c>
      <c r="O1139" s="106">
        <v>10</v>
      </c>
      <c r="P1139" s="106">
        <v>8</v>
      </c>
      <c r="Q1139" s="108">
        <f t="shared" ref="Q1139:Q1140" si="1194">(K1139+L1139)/J1139</f>
        <v>0.53846153846153844</v>
      </c>
      <c r="R1139" s="109">
        <f t="shared" ref="R1139:R1141" si="1195">N1139/J1139</f>
        <v>0</v>
      </c>
      <c r="S1139" s="109">
        <f t="shared" ref="S1139:S1141" si="1196">P1139/J1139</f>
        <v>0.20512820512820512</v>
      </c>
      <c r="T1139" s="109">
        <f t="shared" ref="T1139:T1141" si="1197">O1139/J1139</f>
        <v>0.25641025641025639</v>
      </c>
      <c r="U1139" s="110">
        <f t="shared" ref="U1139:U1141" si="1198">S1139+R1139+Q1139+T1139</f>
        <v>1</v>
      </c>
      <c r="V1139" s="136"/>
    </row>
    <row r="1140" spans="2:25" ht="15.75" hidden="1" x14ac:dyDescent="0.2">
      <c r="B1140" s="711">
        <v>46160</v>
      </c>
      <c r="C1140" s="105" t="s">
        <v>105</v>
      </c>
      <c r="D1140" s="105" t="s">
        <v>134</v>
      </c>
      <c r="E1140" s="711">
        <v>46160</v>
      </c>
      <c r="G1140" s="835"/>
      <c r="H1140" s="120" t="s">
        <v>14</v>
      </c>
      <c r="I1140" s="120" t="s">
        <v>105</v>
      </c>
      <c r="J1140" s="106">
        <v>39</v>
      </c>
      <c r="K1140" s="106">
        <f t="shared" ref="K1140" si="1199">J1140-L1140-M1140-N1140-O1140-P1140</f>
        <v>14</v>
      </c>
      <c r="L1140" s="106">
        <v>10</v>
      </c>
      <c r="M1140" s="106">
        <v>0</v>
      </c>
      <c r="N1140" s="106">
        <v>0</v>
      </c>
      <c r="O1140" s="106">
        <v>15</v>
      </c>
      <c r="P1140" s="106">
        <v>0</v>
      </c>
      <c r="Q1140" s="108">
        <f t="shared" si="1194"/>
        <v>0.61538461538461542</v>
      </c>
      <c r="R1140" s="109">
        <f t="shared" si="1195"/>
        <v>0</v>
      </c>
      <c r="S1140" s="109">
        <f t="shared" si="1196"/>
        <v>0</v>
      </c>
      <c r="T1140" s="109">
        <f t="shared" si="1197"/>
        <v>0.38461538461538464</v>
      </c>
      <c r="U1140" s="110">
        <f t="shared" si="1198"/>
        <v>1</v>
      </c>
      <c r="V1140" s="136"/>
    </row>
    <row r="1141" spans="2:25" ht="15.75" hidden="1" x14ac:dyDescent="0.2">
      <c r="B1141" s="711">
        <v>46160</v>
      </c>
      <c r="C1141" s="105" t="s">
        <v>105</v>
      </c>
      <c r="D1141" s="105" t="s">
        <v>134</v>
      </c>
      <c r="E1141" s="711">
        <v>46161</v>
      </c>
      <c r="G1141" s="267"/>
      <c r="H1141" s="113" t="s">
        <v>19</v>
      </c>
      <c r="I1141" s="113"/>
      <c r="J1141" s="113">
        <f t="shared" ref="J1141:P1141" si="1200">SUM(J1139:J1140)</f>
        <v>78</v>
      </c>
      <c r="K1141" s="113">
        <f t="shared" si="1200"/>
        <v>31</v>
      </c>
      <c r="L1141" s="113">
        <f t="shared" si="1200"/>
        <v>14</v>
      </c>
      <c r="M1141" s="113">
        <f t="shared" si="1200"/>
        <v>0</v>
      </c>
      <c r="N1141" s="113">
        <f t="shared" si="1200"/>
        <v>0</v>
      </c>
      <c r="O1141" s="113">
        <f t="shared" si="1200"/>
        <v>25</v>
      </c>
      <c r="P1141" s="113">
        <f t="shared" si="1200"/>
        <v>8</v>
      </c>
      <c r="Q1141" s="115">
        <f>(K1141+L1141)/J1141</f>
        <v>0.57692307692307687</v>
      </c>
      <c r="R1141" s="116">
        <f t="shared" si="1195"/>
        <v>0</v>
      </c>
      <c r="S1141" s="116">
        <f t="shared" si="1196"/>
        <v>0.10256410256410256</v>
      </c>
      <c r="T1141" s="116">
        <f t="shared" si="1197"/>
        <v>0.32051282051282054</v>
      </c>
      <c r="U1141" s="117">
        <f t="shared" si="1198"/>
        <v>1</v>
      </c>
      <c r="V1141" s="127"/>
    </row>
    <row r="1142" spans="2:25" ht="15.75" hidden="1" x14ac:dyDescent="0.2">
      <c r="B1142" s="711">
        <v>46160</v>
      </c>
      <c r="C1142" s="105" t="s">
        <v>105</v>
      </c>
      <c r="D1142" s="105" t="s">
        <v>134</v>
      </c>
      <c r="E1142" s="711">
        <v>46161</v>
      </c>
      <c r="G1142" s="833">
        <v>46161</v>
      </c>
      <c r="H1142" s="120" t="s">
        <v>75</v>
      </c>
      <c r="I1142" s="120" t="s">
        <v>127</v>
      </c>
      <c r="J1142" s="106">
        <v>241</v>
      </c>
      <c r="K1142" s="106">
        <f>J1142-L1142-M1142-N1142-O1142-P1142</f>
        <v>113</v>
      </c>
      <c r="L1142" s="106">
        <v>51</v>
      </c>
      <c r="M1142" s="106">
        <v>77</v>
      </c>
      <c r="N1142" s="106">
        <v>0</v>
      </c>
      <c r="O1142" s="106">
        <v>0</v>
      </c>
      <c r="P1142" s="106">
        <v>0</v>
      </c>
      <c r="Q1142" s="108">
        <f t="shared" ref="Q1142:Q1145" si="1201">(K1142+L1142)/J1142</f>
        <v>0.68049792531120334</v>
      </c>
      <c r="R1142" s="109">
        <f t="shared" ref="R1142:R1153" si="1202">N1142/J1142</f>
        <v>0</v>
      </c>
      <c r="S1142" s="109">
        <f t="shared" ref="S1142:S1153" si="1203">P1142/J1142</f>
        <v>0</v>
      </c>
      <c r="T1142" s="109">
        <f t="shared" ref="T1142:T1153" si="1204">O1142/J1142</f>
        <v>0</v>
      </c>
      <c r="U1142" s="110">
        <f t="shared" ref="U1142:U1153" si="1205">S1142+R1142+Q1142+T1142</f>
        <v>0.68049792531120334</v>
      </c>
      <c r="V1142" s="136"/>
    </row>
    <row r="1143" spans="2:25" ht="15.75" hidden="1" x14ac:dyDescent="0.2">
      <c r="B1143" s="711">
        <v>46160</v>
      </c>
      <c r="C1143" s="105" t="s">
        <v>105</v>
      </c>
      <c r="D1143" s="105" t="s">
        <v>134</v>
      </c>
      <c r="E1143" s="711">
        <v>46161</v>
      </c>
      <c r="G1143" s="834"/>
      <c r="H1143" s="120" t="s">
        <v>17</v>
      </c>
      <c r="I1143" s="120" t="s">
        <v>106</v>
      </c>
      <c r="J1143" s="106">
        <v>206</v>
      </c>
      <c r="K1143" s="106">
        <f t="shared" ref="K1143:K1145" si="1206">J1143-L1143-M1143-N1143-O1143-P1143</f>
        <v>132</v>
      </c>
      <c r="L1143" s="106">
        <v>31</v>
      </c>
      <c r="M1143" s="106">
        <v>24</v>
      </c>
      <c r="N1143" s="106">
        <v>0</v>
      </c>
      <c r="O1143" s="106">
        <v>15</v>
      </c>
      <c r="P1143" s="106">
        <v>4</v>
      </c>
      <c r="Q1143" s="108">
        <f t="shared" si="1201"/>
        <v>0.79126213592233008</v>
      </c>
      <c r="R1143" s="109">
        <f t="shared" si="1202"/>
        <v>0</v>
      </c>
      <c r="S1143" s="109">
        <f t="shared" si="1203"/>
        <v>1.9417475728155338E-2</v>
      </c>
      <c r="T1143" s="109">
        <f t="shared" si="1204"/>
        <v>7.281553398058252E-2</v>
      </c>
      <c r="U1143" s="110">
        <f t="shared" si="1205"/>
        <v>0.8834951456310679</v>
      </c>
      <c r="V1143" s="136" t="s">
        <v>21</v>
      </c>
    </row>
    <row r="1144" spans="2:25" ht="15.75" hidden="1" x14ac:dyDescent="0.2">
      <c r="B1144" s="711">
        <v>46160</v>
      </c>
      <c r="C1144" s="105" t="s">
        <v>105</v>
      </c>
      <c r="D1144" s="105" t="s">
        <v>134</v>
      </c>
      <c r="E1144" s="711">
        <v>46161</v>
      </c>
      <c r="G1144" s="834"/>
      <c r="H1144" s="120" t="s">
        <v>32</v>
      </c>
      <c r="I1144" s="120" t="s">
        <v>106</v>
      </c>
      <c r="J1144" s="106">
        <v>36</v>
      </c>
      <c r="K1144" s="106">
        <f t="shared" si="1206"/>
        <v>0</v>
      </c>
      <c r="L1144" s="106">
        <v>0</v>
      </c>
      <c r="M1144" s="106">
        <v>36</v>
      </c>
      <c r="N1144" s="106">
        <v>0</v>
      </c>
      <c r="O1144" s="106">
        <v>0</v>
      </c>
      <c r="P1144" s="106">
        <v>0</v>
      </c>
      <c r="Q1144" s="108">
        <f t="shared" si="1201"/>
        <v>0</v>
      </c>
      <c r="R1144" s="109">
        <f t="shared" si="1202"/>
        <v>0</v>
      </c>
      <c r="S1144" s="109">
        <f t="shared" si="1203"/>
        <v>0</v>
      </c>
      <c r="T1144" s="109">
        <f t="shared" si="1204"/>
        <v>0</v>
      </c>
      <c r="U1144" s="110">
        <f t="shared" si="1205"/>
        <v>0</v>
      </c>
      <c r="V1144" s="136"/>
    </row>
    <row r="1145" spans="2:25" ht="15.75" hidden="1" x14ac:dyDescent="0.2">
      <c r="B1145" s="711">
        <v>46160</v>
      </c>
      <c r="C1145" s="105" t="s">
        <v>105</v>
      </c>
      <c r="D1145" s="105" t="s">
        <v>134</v>
      </c>
      <c r="E1145" s="711">
        <v>46161</v>
      </c>
      <c r="G1145" s="835"/>
      <c r="H1145" s="120" t="s">
        <v>14</v>
      </c>
      <c r="I1145" s="120" t="s">
        <v>105</v>
      </c>
      <c r="J1145" s="106">
        <v>172</v>
      </c>
      <c r="K1145" s="106">
        <f t="shared" si="1206"/>
        <v>0</v>
      </c>
      <c r="L1145" s="106">
        <v>0</v>
      </c>
      <c r="M1145" s="106">
        <v>172</v>
      </c>
      <c r="N1145" s="106">
        <v>0</v>
      </c>
      <c r="O1145" s="106">
        <v>0</v>
      </c>
      <c r="P1145" s="106">
        <v>0</v>
      </c>
      <c r="Q1145" s="108">
        <f t="shared" si="1201"/>
        <v>0</v>
      </c>
      <c r="R1145" s="109">
        <f t="shared" si="1202"/>
        <v>0</v>
      </c>
      <c r="S1145" s="109">
        <f t="shared" si="1203"/>
        <v>0</v>
      </c>
      <c r="T1145" s="109">
        <f t="shared" si="1204"/>
        <v>0</v>
      </c>
      <c r="U1145" s="110">
        <f t="shared" si="1205"/>
        <v>0</v>
      </c>
      <c r="V1145" s="136"/>
    </row>
    <row r="1146" spans="2:25" ht="15.75" hidden="1" x14ac:dyDescent="0.2">
      <c r="B1146" s="711">
        <v>46160</v>
      </c>
      <c r="C1146" s="105" t="s">
        <v>105</v>
      </c>
      <c r="D1146" s="105" t="s">
        <v>134</v>
      </c>
      <c r="E1146" s="711">
        <v>46161</v>
      </c>
      <c r="G1146" s="267"/>
      <c r="H1146" s="113" t="s">
        <v>19</v>
      </c>
      <c r="I1146" s="113"/>
      <c r="J1146" s="113">
        <f t="shared" ref="J1146:P1146" si="1207">SUM(J1142:J1145)</f>
        <v>655</v>
      </c>
      <c r="K1146" s="113">
        <f t="shared" si="1207"/>
        <v>245</v>
      </c>
      <c r="L1146" s="113">
        <f t="shared" si="1207"/>
        <v>82</v>
      </c>
      <c r="M1146" s="113">
        <f t="shared" si="1207"/>
        <v>309</v>
      </c>
      <c r="N1146" s="113">
        <f t="shared" si="1207"/>
        <v>0</v>
      </c>
      <c r="O1146" s="113">
        <f t="shared" si="1207"/>
        <v>15</v>
      </c>
      <c r="P1146" s="113">
        <f t="shared" si="1207"/>
        <v>4</v>
      </c>
      <c r="Q1146" s="115">
        <f>(K1146+L1146)/J1146</f>
        <v>0.49923664122137407</v>
      </c>
      <c r="R1146" s="116">
        <f t="shared" si="1202"/>
        <v>0</v>
      </c>
      <c r="S1146" s="116">
        <f t="shared" si="1203"/>
        <v>6.1068702290076335E-3</v>
      </c>
      <c r="T1146" s="116">
        <f t="shared" si="1204"/>
        <v>2.2900763358778626E-2</v>
      </c>
      <c r="U1146" s="117">
        <f t="shared" si="1205"/>
        <v>0.52824427480916036</v>
      </c>
      <c r="V1146" s="127"/>
    </row>
    <row r="1147" spans="2:25" ht="15.75" hidden="1" x14ac:dyDescent="0.2">
      <c r="B1147" s="711">
        <v>46161</v>
      </c>
      <c r="C1147" s="105" t="s">
        <v>106</v>
      </c>
      <c r="D1147" s="105" t="s">
        <v>129</v>
      </c>
      <c r="E1147" s="711">
        <v>46161</v>
      </c>
      <c r="G1147" s="833">
        <v>46161</v>
      </c>
      <c r="H1147" s="120" t="s">
        <v>75</v>
      </c>
      <c r="I1147" s="120" t="s">
        <v>127</v>
      </c>
      <c r="J1147" s="106">
        <f>SUM(K1147:P1147)</f>
        <v>84</v>
      </c>
      <c r="K1147" s="106">
        <v>37</v>
      </c>
      <c r="L1147" s="106">
        <v>27</v>
      </c>
      <c r="M1147" s="106">
        <v>0</v>
      </c>
      <c r="N1147" s="106">
        <v>0</v>
      </c>
      <c r="O1147" s="106">
        <v>20</v>
      </c>
      <c r="P1147" s="106">
        <v>0</v>
      </c>
      <c r="Q1147" s="108">
        <f t="shared" ref="Q1147:Q1152" si="1208">(K1147+L1147)/J1147</f>
        <v>0.76190476190476186</v>
      </c>
      <c r="R1147" s="109">
        <f t="shared" si="1202"/>
        <v>0</v>
      </c>
      <c r="S1147" s="109">
        <f t="shared" si="1203"/>
        <v>0</v>
      </c>
      <c r="T1147" s="109">
        <f t="shared" si="1204"/>
        <v>0.23809523809523808</v>
      </c>
      <c r="U1147" s="110">
        <f t="shared" si="1205"/>
        <v>1</v>
      </c>
      <c r="V1147" s="136"/>
    </row>
    <row r="1148" spans="2:25" ht="15.75" hidden="1" x14ac:dyDescent="0.2">
      <c r="B1148" s="711">
        <v>46161</v>
      </c>
      <c r="C1148" s="105" t="s">
        <v>106</v>
      </c>
      <c r="D1148" s="105" t="s">
        <v>129</v>
      </c>
      <c r="E1148" s="711">
        <v>46161</v>
      </c>
      <c r="G1148" s="834"/>
      <c r="H1148" s="120" t="s">
        <v>17</v>
      </c>
      <c r="I1148" s="120" t="s">
        <v>106</v>
      </c>
      <c r="J1148" s="106">
        <f t="shared" ref="J1148:J1149" si="1209">SUM(K1148:P1148)</f>
        <v>41</v>
      </c>
      <c r="K1148" s="106">
        <v>23</v>
      </c>
      <c r="L1148" s="106">
        <v>14</v>
      </c>
      <c r="M1148" s="106">
        <v>0</v>
      </c>
      <c r="N1148" s="106">
        <v>0</v>
      </c>
      <c r="O1148" s="106">
        <v>4</v>
      </c>
      <c r="P1148" s="106">
        <v>0</v>
      </c>
      <c r="Q1148" s="108">
        <f t="shared" si="1208"/>
        <v>0.90243902439024393</v>
      </c>
      <c r="R1148" s="109">
        <f t="shared" si="1202"/>
        <v>0</v>
      </c>
      <c r="S1148" s="109">
        <f t="shared" si="1203"/>
        <v>0</v>
      </c>
      <c r="T1148" s="109">
        <f t="shared" si="1204"/>
        <v>9.7560975609756101E-2</v>
      </c>
      <c r="U1148" s="110">
        <f t="shared" si="1205"/>
        <v>1</v>
      </c>
      <c r="V1148" s="136"/>
    </row>
    <row r="1149" spans="2:25" ht="15.75" hidden="1" x14ac:dyDescent="0.2">
      <c r="B1149" s="711">
        <v>46161</v>
      </c>
      <c r="C1149" s="105" t="s">
        <v>106</v>
      </c>
      <c r="D1149" s="105" t="s">
        <v>129</v>
      </c>
      <c r="E1149" s="711">
        <v>46161</v>
      </c>
      <c r="G1149" s="834"/>
      <c r="H1149" s="120" t="s">
        <v>32</v>
      </c>
      <c r="I1149" s="120" t="s">
        <v>106</v>
      </c>
      <c r="J1149" s="106">
        <f t="shared" si="1209"/>
        <v>84</v>
      </c>
      <c r="K1149" s="106">
        <v>64</v>
      </c>
      <c r="L1149" s="106">
        <v>19</v>
      </c>
      <c r="M1149" s="106">
        <v>1</v>
      </c>
      <c r="N1149" s="106">
        <v>0</v>
      </c>
      <c r="O1149" s="106">
        <v>0</v>
      </c>
      <c r="P1149" s="106">
        <v>0</v>
      </c>
      <c r="Q1149" s="108">
        <f t="shared" si="1208"/>
        <v>0.98809523809523814</v>
      </c>
      <c r="R1149" s="109">
        <f t="shared" si="1202"/>
        <v>0</v>
      </c>
      <c r="S1149" s="109">
        <f t="shared" si="1203"/>
        <v>0</v>
      </c>
      <c r="T1149" s="109">
        <f t="shared" si="1204"/>
        <v>0</v>
      </c>
      <c r="U1149" s="110">
        <f t="shared" si="1205"/>
        <v>0.98809523809523814</v>
      </c>
      <c r="V1149" s="136"/>
    </row>
    <row r="1150" spans="2:25" ht="15.75" hidden="1" x14ac:dyDescent="0.2">
      <c r="B1150" s="711">
        <v>46161</v>
      </c>
      <c r="C1150" s="105" t="s">
        <v>106</v>
      </c>
      <c r="D1150" s="105" t="s">
        <v>129</v>
      </c>
      <c r="E1150" s="711">
        <v>46161</v>
      </c>
      <c r="G1150" s="834"/>
      <c r="H1150" s="120" t="s">
        <v>25</v>
      </c>
      <c r="I1150" s="120" t="s">
        <v>106</v>
      </c>
      <c r="J1150" s="106">
        <f t="shared" ref="J1150" si="1210">SUM(K1150:P1150)</f>
        <v>4</v>
      </c>
      <c r="K1150" s="106">
        <v>2</v>
      </c>
      <c r="L1150" s="106">
        <v>2</v>
      </c>
      <c r="M1150" s="106">
        <v>0</v>
      </c>
      <c r="N1150" s="106">
        <v>0</v>
      </c>
      <c r="O1150" s="106">
        <v>0</v>
      </c>
      <c r="P1150" s="106">
        <v>0</v>
      </c>
      <c r="Q1150" s="108">
        <f t="shared" ref="Q1150" si="1211">(K1150+L1150)/J1150</f>
        <v>1</v>
      </c>
      <c r="R1150" s="109">
        <f t="shared" ref="R1150" si="1212">N1150/J1150</f>
        <v>0</v>
      </c>
      <c r="S1150" s="109">
        <f t="shared" ref="S1150" si="1213">P1150/J1150</f>
        <v>0</v>
      </c>
      <c r="T1150" s="109">
        <f t="shared" ref="T1150" si="1214">O1150/J1150</f>
        <v>0</v>
      </c>
      <c r="U1150" s="110">
        <f t="shared" ref="U1150" si="1215">S1150+R1150+Q1150+T1150</f>
        <v>1</v>
      </c>
      <c r="V1150" s="136"/>
    </row>
    <row r="1151" spans="2:25" ht="15.75" hidden="1" x14ac:dyDescent="0.2">
      <c r="B1151" s="711">
        <v>46161</v>
      </c>
      <c r="C1151" s="105" t="s">
        <v>106</v>
      </c>
      <c r="D1151" s="105" t="s">
        <v>129</v>
      </c>
      <c r="E1151" s="711">
        <v>46161</v>
      </c>
      <c r="G1151" s="835"/>
      <c r="H1151" s="120" t="s">
        <v>14</v>
      </c>
      <c r="I1151" s="120" t="s">
        <v>18</v>
      </c>
      <c r="J1151" s="106">
        <f t="shared" ref="J1151" si="1216">SUM(K1151:P1151)</f>
        <v>187</v>
      </c>
      <c r="K1151" s="106">
        <v>101</v>
      </c>
      <c r="L1151" s="106">
        <v>30</v>
      </c>
      <c r="M1151" s="106">
        <f>41-9</f>
        <v>32</v>
      </c>
      <c r="N1151" s="106">
        <v>9</v>
      </c>
      <c r="O1151" s="106">
        <v>11</v>
      </c>
      <c r="P1151" s="106">
        <v>4</v>
      </c>
      <c r="Q1151" s="108">
        <f t="shared" ref="Q1151" si="1217">(K1151+L1151)/J1151</f>
        <v>0.70053475935828879</v>
      </c>
      <c r="R1151" s="109">
        <f t="shared" ref="R1151" si="1218">N1151/J1151</f>
        <v>4.8128342245989303E-2</v>
      </c>
      <c r="S1151" s="109">
        <f t="shared" ref="S1151" si="1219">P1151/J1151</f>
        <v>2.1390374331550801E-2</v>
      </c>
      <c r="T1151" s="109">
        <f t="shared" ref="T1151" si="1220">O1151/J1151</f>
        <v>5.8823529411764705E-2</v>
      </c>
      <c r="U1151" s="110">
        <f t="shared" ref="U1151" si="1221">S1151+R1151+Q1151+T1151</f>
        <v>0.82887700534759357</v>
      </c>
      <c r="V1151" s="136"/>
    </row>
    <row r="1152" spans="2:25" ht="15.75" hidden="1" x14ac:dyDescent="0.2">
      <c r="B1152" s="711">
        <v>46161</v>
      </c>
      <c r="C1152" s="105" t="s">
        <v>106</v>
      </c>
      <c r="D1152" s="105" t="s">
        <v>129</v>
      </c>
      <c r="E1152" s="711">
        <v>46162</v>
      </c>
      <c r="G1152" s="713">
        <v>46162</v>
      </c>
      <c r="H1152" s="120" t="s">
        <v>17</v>
      </c>
      <c r="I1152" s="120" t="s">
        <v>18</v>
      </c>
      <c r="J1152" s="106">
        <v>224</v>
      </c>
      <c r="K1152" s="106">
        <v>0</v>
      </c>
      <c r="L1152" s="106">
        <v>0</v>
      </c>
      <c r="M1152" s="106">
        <v>176</v>
      </c>
      <c r="N1152" s="106">
        <v>64</v>
      </c>
      <c r="O1152" s="106">
        <v>0</v>
      </c>
      <c r="P1152" s="106">
        <v>0</v>
      </c>
      <c r="Q1152" s="108">
        <f t="shared" si="1208"/>
        <v>0</v>
      </c>
      <c r="R1152" s="109">
        <f t="shared" si="1202"/>
        <v>0.2857142857142857</v>
      </c>
      <c r="S1152" s="109">
        <f t="shared" si="1203"/>
        <v>0</v>
      </c>
      <c r="T1152" s="109">
        <f t="shared" si="1204"/>
        <v>0</v>
      </c>
      <c r="U1152" s="110">
        <f t="shared" si="1205"/>
        <v>0.2857142857142857</v>
      </c>
      <c r="V1152" s="136"/>
    </row>
    <row r="1153" spans="2:25" s="97" customFormat="1" ht="16.5" hidden="1" customHeight="1" x14ac:dyDescent="0.2">
      <c r="B1153" s="711">
        <v>46161</v>
      </c>
      <c r="C1153" s="105" t="s">
        <v>106</v>
      </c>
      <c r="D1153" s="105" t="s">
        <v>129</v>
      </c>
      <c r="E1153" s="711">
        <v>46161</v>
      </c>
      <c r="F1153" s="89"/>
      <c r="G1153" s="267"/>
      <c r="H1153" s="113" t="s">
        <v>19</v>
      </c>
      <c r="I1153" s="113"/>
      <c r="J1153" s="113">
        <f t="shared" ref="J1153:P1153" si="1222">SUM(J1147:J1152)</f>
        <v>624</v>
      </c>
      <c r="K1153" s="113">
        <f t="shared" si="1222"/>
        <v>227</v>
      </c>
      <c r="L1153" s="113">
        <f t="shared" si="1222"/>
        <v>92</v>
      </c>
      <c r="M1153" s="113">
        <f t="shared" si="1222"/>
        <v>209</v>
      </c>
      <c r="N1153" s="113">
        <f t="shared" si="1222"/>
        <v>73</v>
      </c>
      <c r="O1153" s="113">
        <f t="shared" si="1222"/>
        <v>35</v>
      </c>
      <c r="P1153" s="113">
        <f t="shared" si="1222"/>
        <v>4</v>
      </c>
      <c r="Q1153" s="115">
        <f>(K1153+L1153)/J1153</f>
        <v>0.51121794871794868</v>
      </c>
      <c r="R1153" s="116">
        <f t="shared" si="1202"/>
        <v>0.11698717948717949</v>
      </c>
      <c r="S1153" s="116">
        <f t="shared" si="1203"/>
        <v>6.41025641025641E-3</v>
      </c>
      <c r="T1153" s="116">
        <f t="shared" si="1204"/>
        <v>5.6089743589743592E-2</v>
      </c>
      <c r="U1153" s="117">
        <f t="shared" si="1205"/>
        <v>0.69070512820512819</v>
      </c>
      <c r="V1153" s="127"/>
      <c r="W1153" s="88"/>
      <c r="X1153" s="88"/>
      <c r="Y1153" s="118"/>
    </row>
    <row r="1154" spans="2:25" ht="15.75" hidden="1" x14ac:dyDescent="0.2">
      <c r="B1154" s="711">
        <v>46161</v>
      </c>
      <c r="C1154" s="105" t="s">
        <v>105</v>
      </c>
      <c r="D1154" s="105" t="s">
        <v>131</v>
      </c>
      <c r="E1154" s="711">
        <v>46161</v>
      </c>
      <c r="G1154" s="833">
        <v>46161</v>
      </c>
      <c r="H1154" s="120" t="s">
        <v>75</v>
      </c>
      <c r="I1154" s="120" t="s">
        <v>127</v>
      </c>
      <c r="J1154" s="106">
        <v>51</v>
      </c>
      <c r="K1154" s="106">
        <f>J1154-L1154-M1154-N1154-O1154-P1154</f>
        <v>26</v>
      </c>
      <c r="L1154" s="106">
        <v>10</v>
      </c>
      <c r="M1154" s="106">
        <v>0</v>
      </c>
      <c r="N1154" s="106">
        <v>0</v>
      </c>
      <c r="O1154" s="106">
        <v>15</v>
      </c>
      <c r="P1154" s="106">
        <v>0</v>
      </c>
      <c r="Q1154" s="108">
        <f t="shared" ref="Q1154:Q1155" si="1223">(K1154+L1154)/J1154</f>
        <v>0.70588235294117652</v>
      </c>
      <c r="R1154" s="109">
        <f t="shared" ref="R1154:R1156" si="1224">N1154/J1154</f>
        <v>0</v>
      </c>
      <c r="S1154" s="109">
        <f t="shared" ref="S1154:S1156" si="1225">P1154/J1154</f>
        <v>0</v>
      </c>
      <c r="T1154" s="109">
        <f t="shared" ref="T1154:T1156" si="1226">O1154/J1154</f>
        <v>0.29411764705882354</v>
      </c>
      <c r="U1154" s="110">
        <f t="shared" ref="U1154:U1156" si="1227">S1154+R1154+Q1154+T1154</f>
        <v>1</v>
      </c>
      <c r="V1154" s="136"/>
    </row>
    <row r="1155" spans="2:25" ht="15.75" hidden="1" x14ac:dyDescent="0.2">
      <c r="B1155" s="711">
        <v>46161</v>
      </c>
      <c r="C1155" s="105" t="s">
        <v>105</v>
      </c>
      <c r="D1155" s="105" t="s">
        <v>131</v>
      </c>
      <c r="E1155" s="711">
        <v>46161</v>
      </c>
      <c r="G1155" s="835"/>
      <c r="H1155" s="120" t="s">
        <v>14</v>
      </c>
      <c r="I1155" s="120" t="s">
        <v>18</v>
      </c>
      <c r="J1155" s="106">
        <v>38</v>
      </c>
      <c r="K1155" s="106">
        <f>J1155-L1155-M1155-N1155-O1155-P1155</f>
        <v>16</v>
      </c>
      <c r="L1155" s="106">
        <v>12</v>
      </c>
      <c r="M1155" s="106">
        <v>0</v>
      </c>
      <c r="N1155" s="106">
        <v>0</v>
      </c>
      <c r="O1155" s="106">
        <v>10</v>
      </c>
      <c r="P1155" s="106">
        <v>0</v>
      </c>
      <c r="Q1155" s="108">
        <f t="shared" si="1223"/>
        <v>0.73684210526315785</v>
      </c>
      <c r="R1155" s="109">
        <f t="shared" si="1224"/>
        <v>0</v>
      </c>
      <c r="S1155" s="109">
        <f t="shared" si="1225"/>
        <v>0</v>
      </c>
      <c r="T1155" s="109">
        <f t="shared" si="1226"/>
        <v>0.26315789473684209</v>
      </c>
      <c r="U1155" s="110">
        <f t="shared" si="1227"/>
        <v>1</v>
      </c>
      <c r="V1155" s="136"/>
    </row>
    <row r="1156" spans="2:25" ht="15.75" hidden="1" x14ac:dyDescent="0.2">
      <c r="B1156" s="711">
        <v>46161</v>
      </c>
      <c r="C1156" s="105" t="s">
        <v>105</v>
      </c>
      <c r="D1156" s="105" t="s">
        <v>131</v>
      </c>
      <c r="E1156" s="711">
        <v>46161</v>
      </c>
      <c r="G1156" s="267"/>
      <c r="H1156" s="113" t="s">
        <v>19</v>
      </c>
      <c r="I1156" s="113"/>
      <c r="J1156" s="113">
        <f t="shared" ref="J1156:P1156" si="1228">SUM(J1154:J1155)</f>
        <v>89</v>
      </c>
      <c r="K1156" s="113">
        <f t="shared" si="1228"/>
        <v>42</v>
      </c>
      <c r="L1156" s="113">
        <f t="shared" si="1228"/>
        <v>22</v>
      </c>
      <c r="M1156" s="113">
        <f t="shared" si="1228"/>
        <v>0</v>
      </c>
      <c r="N1156" s="113">
        <f t="shared" si="1228"/>
        <v>0</v>
      </c>
      <c r="O1156" s="113">
        <f t="shared" si="1228"/>
        <v>25</v>
      </c>
      <c r="P1156" s="113">
        <f t="shared" si="1228"/>
        <v>0</v>
      </c>
      <c r="Q1156" s="115">
        <f>(K1156+L1156)/J1156</f>
        <v>0.7191011235955056</v>
      </c>
      <c r="R1156" s="116">
        <f t="shared" si="1224"/>
        <v>0</v>
      </c>
      <c r="S1156" s="116">
        <f t="shared" si="1225"/>
        <v>0</v>
      </c>
      <c r="T1156" s="116">
        <f t="shared" si="1226"/>
        <v>0.2808988764044944</v>
      </c>
      <c r="U1156" s="117">
        <f t="shared" si="1227"/>
        <v>1</v>
      </c>
      <c r="V1156" s="127"/>
    </row>
    <row r="1157" spans="2:25" ht="15.75" hidden="1" x14ac:dyDescent="0.2">
      <c r="B1157" s="711">
        <v>46161</v>
      </c>
      <c r="C1157" s="105" t="s">
        <v>105</v>
      </c>
      <c r="D1157" s="105" t="s">
        <v>131</v>
      </c>
      <c r="E1157" s="711">
        <v>46162</v>
      </c>
      <c r="G1157" s="833">
        <v>46162</v>
      </c>
      <c r="H1157" s="120" t="s">
        <v>75</v>
      </c>
      <c r="I1157" s="120" t="s">
        <v>127</v>
      </c>
      <c r="J1157" s="106">
        <v>244</v>
      </c>
      <c r="K1157" s="106">
        <f>J1157-L1157-M1157-N1157-O1157-P1157</f>
        <v>102</v>
      </c>
      <c r="L1157" s="106">
        <v>45</v>
      </c>
      <c r="M1157" s="106">
        <v>97</v>
      </c>
      <c r="N1157" s="106">
        <v>0</v>
      </c>
      <c r="O1157" s="106">
        <v>0</v>
      </c>
      <c r="P1157" s="106">
        <v>0</v>
      </c>
      <c r="Q1157" s="108">
        <f t="shared" ref="Q1157:Q1160" si="1229">(K1157+L1157)/J1157</f>
        <v>0.60245901639344257</v>
      </c>
      <c r="R1157" s="109">
        <f t="shared" ref="R1157:R1167" si="1230">N1157/J1157</f>
        <v>0</v>
      </c>
      <c r="S1157" s="109">
        <f t="shared" ref="S1157:S1167" si="1231">P1157/J1157</f>
        <v>0</v>
      </c>
      <c r="T1157" s="109">
        <f t="shared" ref="T1157:T1167" si="1232">O1157/J1157</f>
        <v>0</v>
      </c>
      <c r="U1157" s="110">
        <f t="shared" ref="U1157:U1167" si="1233">S1157+R1157+Q1157+T1157</f>
        <v>0.60245901639344257</v>
      </c>
      <c r="V1157" s="136"/>
    </row>
    <row r="1158" spans="2:25" ht="15.75" hidden="1" x14ac:dyDescent="0.2">
      <c r="B1158" s="711">
        <v>46161</v>
      </c>
      <c r="C1158" s="105" t="s">
        <v>105</v>
      </c>
      <c r="D1158" s="105" t="s">
        <v>131</v>
      </c>
      <c r="E1158" s="711">
        <v>46162</v>
      </c>
      <c r="G1158" s="834"/>
      <c r="H1158" s="120" t="s">
        <v>17</v>
      </c>
      <c r="I1158" s="120" t="s">
        <v>106</v>
      </c>
      <c r="J1158" s="106">
        <v>226</v>
      </c>
      <c r="K1158" s="106">
        <f t="shared" ref="K1158:K1160" si="1234">J1158-L1158-M1158-N1158-O1158-P1158</f>
        <v>132</v>
      </c>
      <c r="L1158" s="106">
        <v>48</v>
      </c>
      <c r="M1158" s="106">
        <v>42</v>
      </c>
      <c r="N1158" s="106">
        <v>0</v>
      </c>
      <c r="O1158" s="106">
        <v>0</v>
      </c>
      <c r="P1158" s="106">
        <v>4</v>
      </c>
      <c r="Q1158" s="108">
        <f t="shared" si="1229"/>
        <v>0.79646017699115046</v>
      </c>
      <c r="R1158" s="109">
        <f t="shared" si="1230"/>
        <v>0</v>
      </c>
      <c r="S1158" s="109">
        <f t="shared" si="1231"/>
        <v>1.7699115044247787E-2</v>
      </c>
      <c r="T1158" s="109">
        <f t="shared" si="1232"/>
        <v>0</v>
      </c>
      <c r="U1158" s="110">
        <f t="shared" si="1233"/>
        <v>0.81415929203539827</v>
      </c>
      <c r="V1158" s="136" t="s">
        <v>135</v>
      </c>
    </row>
    <row r="1159" spans="2:25" ht="15.75" hidden="1" x14ac:dyDescent="0.2">
      <c r="B1159" s="711">
        <v>46161</v>
      </c>
      <c r="C1159" s="105" t="s">
        <v>105</v>
      </c>
      <c r="D1159" s="105" t="s">
        <v>131</v>
      </c>
      <c r="E1159" s="711">
        <v>46162</v>
      </c>
      <c r="G1159" s="834"/>
      <c r="H1159" s="120" t="s">
        <v>32</v>
      </c>
      <c r="I1159" s="120" t="s">
        <v>106</v>
      </c>
      <c r="J1159" s="106">
        <v>40</v>
      </c>
      <c r="K1159" s="106">
        <f t="shared" si="1234"/>
        <v>10</v>
      </c>
      <c r="L1159" s="106">
        <v>6</v>
      </c>
      <c r="M1159" s="106">
        <v>24</v>
      </c>
      <c r="N1159" s="106">
        <v>0</v>
      </c>
      <c r="O1159" s="106">
        <v>0</v>
      </c>
      <c r="P1159" s="106">
        <v>0</v>
      </c>
      <c r="Q1159" s="108">
        <f t="shared" si="1229"/>
        <v>0.4</v>
      </c>
      <c r="R1159" s="109">
        <f t="shared" si="1230"/>
        <v>0</v>
      </c>
      <c r="S1159" s="109">
        <f t="shared" si="1231"/>
        <v>0</v>
      </c>
      <c r="T1159" s="109">
        <f t="shared" si="1232"/>
        <v>0</v>
      </c>
      <c r="U1159" s="110">
        <f t="shared" si="1233"/>
        <v>0.4</v>
      </c>
      <c r="V1159" s="136"/>
    </row>
    <row r="1160" spans="2:25" ht="15.75" hidden="1" x14ac:dyDescent="0.2">
      <c r="B1160" s="711">
        <v>46161</v>
      </c>
      <c r="C1160" s="105" t="s">
        <v>105</v>
      </c>
      <c r="D1160" s="105" t="s">
        <v>131</v>
      </c>
      <c r="E1160" s="711">
        <v>46162</v>
      </c>
      <c r="G1160" s="835"/>
      <c r="H1160" s="120" t="s">
        <v>14</v>
      </c>
      <c r="I1160" s="120" t="s">
        <v>18</v>
      </c>
      <c r="J1160" s="106">
        <v>118</v>
      </c>
      <c r="K1160" s="106">
        <f t="shared" si="1234"/>
        <v>8</v>
      </c>
      <c r="L1160" s="106">
        <v>0</v>
      </c>
      <c r="M1160" s="106">
        <v>105</v>
      </c>
      <c r="N1160" s="106">
        <v>0</v>
      </c>
      <c r="O1160" s="106">
        <v>0</v>
      </c>
      <c r="P1160" s="106">
        <v>5</v>
      </c>
      <c r="Q1160" s="108">
        <f t="shared" si="1229"/>
        <v>6.7796610169491525E-2</v>
      </c>
      <c r="R1160" s="109">
        <f t="shared" si="1230"/>
        <v>0</v>
      </c>
      <c r="S1160" s="109">
        <f t="shared" si="1231"/>
        <v>4.2372881355932202E-2</v>
      </c>
      <c r="T1160" s="109">
        <f t="shared" si="1232"/>
        <v>0</v>
      </c>
      <c r="U1160" s="110">
        <f t="shared" si="1233"/>
        <v>0.11016949152542373</v>
      </c>
      <c r="V1160" s="136"/>
    </row>
    <row r="1161" spans="2:25" ht="15.75" hidden="1" x14ac:dyDescent="0.2">
      <c r="B1161" s="711">
        <v>46161</v>
      </c>
      <c r="C1161" s="105" t="s">
        <v>105</v>
      </c>
      <c r="D1161" s="105" t="s">
        <v>131</v>
      </c>
      <c r="E1161" s="711">
        <v>46162</v>
      </c>
      <c r="G1161" s="267"/>
      <c r="H1161" s="113" t="s">
        <v>19</v>
      </c>
      <c r="I1161" s="113"/>
      <c r="J1161" s="113">
        <f t="shared" ref="J1161:P1161" si="1235">SUM(J1157:J1160)</f>
        <v>628</v>
      </c>
      <c r="K1161" s="113">
        <f t="shared" si="1235"/>
        <v>252</v>
      </c>
      <c r="L1161" s="113">
        <f t="shared" si="1235"/>
        <v>99</v>
      </c>
      <c r="M1161" s="113">
        <f t="shared" si="1235"/>
        <v>268</v>
      </c>
      <c r="N1161" s="113">
        <f t="shared" si="1235"/>
        <v>0</v>
      </c>
      <c r="O1161" s="113">
        <f t="shared" si="1235"/>
        <v>0</v>
      </c>
      <c r="P1161" s="113">
        <f t="shared" si="1235"/>
        <v>9</v>
      </c>
      <c r="Q1161" s="115">
        <f t="shared" ref="Q1161:Q1167" si="1236">(K1161+L1161)/J1161</f>
        <v>0.55891719745222934</v>
      </c>
      <c r="R1161" s="116">
        <f t="shared" si="1230"/>
        <v>0</v>
      </c>
      <c r="S1161" s="116">
        <f t="shared" si="1231"/>
        <v>1.4331210191082803E-2</v>
      </c>
      <c r="T1161" s="116">
        <f t="shared" si="1232"/>
        <v>0</v>
      </c>
      <c r="U1161" s="117">
        <f t="shared" si="1233"/>
        <v>0.5732484076433122</v>
      </c>
      <c r="V1161" s="127"/>
    </row>
    <row r="1162" spans="2:25" ht="15.75" hidden="1" x14ac:dyDescent="0.2">
      <c r="B1162" s="711">
        <v>46162</v>
      </c>
      <c r="C1162" s="105" t="s">
        <v>106</v>
      </c>
      <c r="D1162" s="105" t="s">
        <v>129</v>
      </c>
      <c r="E1162" s="711">
        <v>46162</v>
      </c>
      <c r="G1162" s="833">
        <v>46162</v>
      </c>
      <c r="H1162" s="120" t="s">
        <v>75</v>
      </c>
      <c r="I1162" s="120" t="s">
        <v>127</v>
      </c>
      <c r="J1162" s="106">
        <f>SUM(K1162:P1162)</f>
        <v>108</v>
      </c>
      <c r="K1162" s="106">
        <v>62</v>
      </c>
      <c r="L1162" s="106">
        <v>33</v>
      </c>
      <c r="M1162" s="106">
        <v>0</v>
      </c>
      <c r="N1162" s="106">
        <v>0</v>
      </c>
      <c r="O1162" s="106">
        <v>13</v>
      </c>
      <c r="P1162" s="106">
        <v>0</v>
      </c>
      <c r="Q1162" s="108">
        <f t="shared" si="1236"/>
        <v>0.87962962962962965</v>
      </c>
      <c r="R1162" s="109">
        <f t="shared" si="1230"/>
        <v>0</v>
      </c>
      <c r="S1162" s="109">
        <f t="shared" si="1231"/>
        <v>0</v>
      </c>
      <c r="T1162" s="109">
        <f t="shared" si="1232"/>
        <v>0.12037037037037036</v>
      </c>
      <c r="U1162" s="110">
        <f t="shared" si="1233"/>
        <v>1</v>
      </c>
      <c r="V1162" s="136"/>
    </row>
    <row r="1163" spans="2:25" ht="15.75" hidden="1" x14ac:dyDescent="0.2">
      <c r="B1163" s="711">
        <v>46162</v>
      </c>
      <c r="C1163" s="105" t="s">
        <v>106</v>
      </c>
      <c r="D1163" s="105" t="s">
        <v>129</v>
      </c>
      <c r="E1163" s="711">
        <v>46162</v>
      </c>
      <c r="G1163" s="834"/>
      <c r="H1163" s="120" t="s">
        <v>17</v>
      </c>
      <c r="I1163" s="120" t="s">
        <v>106</v>
      </c>
      <c r="J1163" s="106">
        <f t="shared" ref="J1163:J1164" si="1237">SUM(K1163:P1163)</f>
        <v>57</v>
      </c>
      <c r="K1163" s="106">
        <v>16</v>
      </c>
      <c r="L1163" s="106">
        <v>14</v>
      </c>
      <c r="M1163" s="106">
        <v>0</v>
      </c>
      <c r="N1163" s="106">
        <v>0</v>
      </c>
      <c r="O1163" s="106">
        <v>24</v>
      </c>
      <c r="P1163" s="106">
        <v>3</v>
      </c>
      <c r="Q1163" s="108">
        <f t="shared" si="1236"/>
        <v>0.52631578947368418</v>
      </c>
      <c r="R1163" s="109">
        <f t="shared" si="1230"/>
        <v>0</v>
      </c>
      <c r="S1163" s="109">
        <f t="shared" si="1231"/>
        <v>5.2631578947368418E-2</v>
      </c>
      <c r="T1163" s="109">
        <f t="shared" si="1232"/>
        <v>0.42105263157894735</v>
      </c>
      <c r="U1163" s="110">
        <f t="shared" si="1233"/>
        <v>1</v>
      </c>
      <c r="V1163" s="136"/>
    </row>
    <row r="1164" spans="2:25" ht="15.75" hidden="1" x14ac:dyDescent="0.2">
      <c r="B1164" s="711">
        <v>46162</v>
      </c>
      <c r="C1164" s="105" t="s">
        <v>106</v>
      </c>
      <c r="D1164" s="105" t="s">
        <v>129</v>
      </c>
      <c r="E1164" s="711">
        <v>46162</v>
      </c>
      <c r="G1164" s="834"/>
      <c r="H1164" s="120" t="s">
        <v>32</v>
      </c>
      <c r="I1164" s="120" t="s">
        <v>106</v>
      </c>
      <c r="J1164" s="106">
        <f t="shared" si="1237"/>
        <v>35</v>
      </c>
      <c r="K1164" s="106">
        <v>22</v>
      </c>
      <c r="L1164" s="106">
        <v>10</v>
      </c>
      <c r="M1164" s="106">
        <v>3</v>
      </c>
      <c r="N1164" s="106">
        <v>0</v>
      </c>
      <c r="O1164" s="106">
        <v>0</v>
      </c>
      <c r="P1164" s="106">
        <v>0</v>
      </c>
      <c r="Q1164" s="108">
        <f t="shared" si="1236"/>
        <v>0.91428571428571426</v>
      </c>
      <c r="R1164" s="109">
        <f t="shared" si="1230"/>
        <v>0</v>
      </c>
      <c r="S1164" s="109">
        <f t="shared" si="1231"/>
        <v>0</v>
      </c>
      <c r="T1164" s="109">
        <f t="shared" si="1232"/>
        <v>0</v>
      </c>
      <c r="U1164" s="110">
        <f t="shared" si="1233"/>
        <v>0.91428571428571426</v>
      </c>
      <c r="V1164" s="136"/>
    </row>
    <row r="1165" spans="2:25" ht="15.75" hidden="1" x14ac:dyDescent="0.2">
      <c r="B1165" s="711">
        <v>46162</v>
      </c>
      <c r="C1165" s="105" t="s">
        <v>106</v>
      </c>
      <c r="D1165" s="105" t="s">
        <v>129</v>
      </c>
      <c r="E1165" s="711">
        <v>46162</v>
      </c>
      <c r="G1165" s="834"/>
      <c r="H1165" s="120" t="s">
        <v>25</v>
      </c>
      <c r="I1165" s="120" t="s">
        <v>106</v>
      </c>
      <c r="J1165" s="106">
        <f t="shared" ref="J1165" si="1238">SUM(K1165:P1165)</f>
        <v>13</v>
      </c>
      <c r="K1165" s="106">
        <v>4</v>
      </c>
      <c r="L1165" s="106">
        <v>9</v>
      </c>
      <c r="M1165" s="106">
        <v>0</v>
      </c>
      <c r="N1165" s="106">
        <v>0</v>
      </c>
      <c r="O1165" s="106">
        <v>0</v>
      </c>
      <c r="P1165" s="106">
        <v>0</v>
      </c>
      <c r="Q1165" s="108">
        <f t="shared" si="1236"/>
        <v>1</v>
      </c>
      <c r="R1165" s="109">
        <f t="shared" si="1230"/>
        <v>0</v>
      </c>
      <c r="S1165" s="109">
        <f t="shared" si="1231"/>
        <v>0</v>
      </c>
      <c r="T1165" s="109">
        <f t="shared" si="1232"/>
        <v>0</v>
      </c>
      <c r="U1165" s="110">
        <f t="shared" si="1233"/>
        <v>1</v>
      </c>
      <c r="V1165" s="136"/>
    </row>
    <row r="1166" spans="2:25" ht="15.75" hidden="1" x14ac:dyDescent="0.2">
      <c r="B1166" s="711">
        <v>46162</v>
      </c>
      <c r="C1166" s="105" t="s">
        <v>106</v>
      </c>
      <c r="D1166" s="105" t="s">
        <v>129</v>
      </c>
      <c r="E1166" s="711">
        <v>46162</v>
      </c>
      <c r="G1166" s="835"/>
      <c r="H1166" s="120" t="s">
        <v>14</v>
      </c>
      <c r="I1166" s="120" t="s">
        <v>18</v>
      </c>
      <c r="J1166" s="106">
        <v>118</v>
      </c>
      <c r="K1166" s="106">
        <v>84</v>
      </c>
      <c r="L1166" s="106">
        <v>15</v>
      </c>
      <c r="M1166" s="106">
        <v>0</v>
      </c>
      <c r="N1166" s="106">
        <v>0</v>
      </c>
      <c r="O1166" s="106">
        <v>15</v>
      </c>
      <c r="P1166" s="106">
        <v>6</v>
      </c>
      <c r="Q1166" s="108">
        <f t="shared" si="1236"/>
        <v>0.83898305084745761</v>
      </c>
      <c r="R1166" s="109">
        <f t="shared" si="1230"/>
        <v>0</v>
      </c>
      <c r="S1166" s="109">
        <f t="shared" si="1231"/>
        <v>5.0847457627118647E-2</v>
      </c>
      <c r="T1166" s="109">
        <f t="shared" si="1232"/>
        <v>0.1271186440677966</v>
      </c>
      <c r="U1166" s="110">
        <f t="shared" si="1233"/>
        <v>1.0169491525423728</v>
      </c>
      <c r="V1166" s="136"/>
    </row>
    <row r="1167" spans="2:25" ht="15.75" hidden="1" x14ac:dyDescent="0.2">
      <c r="B1167" s="711">
        <v>46162</v>
      </c>
      <c r="C1167" s="105" t="s">
        <v>106</v>
      </c>
      <c r="D1167" s="105" t="s">
        <v>129</v>
      </c>
      <c r="E1167" s="711">
        <v>46163</v>
      </c>
      <c r="G1167" s="830">
        <v>46163</v>
      </c>
      <c r="H1167" s="120" t="s">
        <v>118</v>
      </c>
      <c r="I1167" s="120" t="s">
        <v>105</v>
      </c>
      <c r="J1167" s="106">
        <v>41</v>
      </c>
      <c r="K1167" s="106">
        <v>0</v>
      </c>
      <c r="L1167" s="106">
        <v>0</v>
      </c>
      <c r="M1167" s="106">
        <v>0</v>
      </c>
      <c r="N1167" s="106">
        <v>41</v>
      </c>
      <c r="O1167" s="106">
        <v>0</v>
      </c>
      <c r="P1167" s="106">
        <v>0</v>
      </c>
      <c r="Q1167" s="108">
        <f t="shared" si="1236"/>
        <v>0</v>
      </c>
      <c r="R1167" s="109">
        <f t="shared" si="1230"/>
        <v>1</v>
      </c>
      <c r="S1167" s="109">
        <f t="shared" si="1231"/>
        <v>0</v>
      </c>
      <c r="T1167" s="109">
        <f t="shared" si="1232"/>
        <v>0</v>
      </c>
      <c r="U1167" s="110">
        <f t="shared" si="1233"/>
        <v>1</v>
      </c>
      <c r="V1167" s="136"/>
    </row>
    <row r="1168" spans="2:25" ht="15.75" hidden="1" x14ac:dyDescent="0.2">
      <c r="B1168" s="711">
        <v>46162</v>
      </c>
      <c r="C1168" s="105" t="s">
        <v>106</v>
      </c>
      <c r="D1168" s="105" t="s">
        <v>129</v>
      </c>
      <c r="E1168" s="711">
        <v>46163</v>
      </c>
      <c r="G1168" s="831"/>
      <c r="H1168" s="120" t="s">
        <v>32</v>
      </c>
      <c r="I1168" s="120" t="s">
        <v>106</v>
      </c>
      <c r="J1168" s="106">
        <v>33</v>
      </c>
      <c r="K1168" s="106">
        <v>14</v>
      </c>
      <c r="L1168" s="106">
        <v>4</v>
      </c>
      <c r="M1168" s="106">
        <v>10</v>
      </c>
      <c r="N1168" s="106">
        <v>5</v>
      </c>
      <c r="O1168" s="106">
        <v>0</v>
      </c>
      <c r="P1168" s="106">
        <v>0</v>
      </c>
      <c r="Q1168" s="108">
        <f t="shared" ref="Q1168" si="1239">(K1168+L1168)/J1168</f>
        <v>0.54545454545454541</v>
      </c>
      <c r="R1168" s="109">
        <f t="shared" ref="R1168" si="1240">N1168/J1168</f>
        <v>0.15151515151515152</v>
      </c>
      <c r="S1168" s="109">
        <f t="shared" ref="S1168" si="1241">P1168/J1168</f>
        <v>0</v>
      </c>
      <c r="T1168" s="109">
        <f t="shared" ref="T1168" si="1242">O1168/J1168</f>
        <v>0</v>
      </c>
      <c r="U1168" s="110">
        <f t="shared" ref="U1168" si="1243">S1168+R1168+Q1168+T1168</f>
        <v>0.69696969696969691</v>
      </c>
      <c r="V1168"/>
    </row>
    <row r="1169" spans="2:25" ht="15.75" hidden="1" x14ac:dyDescent="0.2">
      <c r="B1169" s="711">
        <v>46162</v>
      </c>
      <c r="C1169" s="105" t="s">
        <v>106</v>
      </c>
      <c r="D1169" s="105" t="s">
        <v>129</v>
      </c>
      <c r="E1169" s="711">
        <v>46163</v>
      </c>
      <c r="G1169" s="832"/>
      <c r="H1169" s="120" t="s">
        <v>25</v>
      </c>
      <c r="I1169" s="120" t="s">
        <v>106</v>
      </c>
      <c r="J1169" s="106">
        <v>212</v>
      </c>
      <c r="K1169" s="106">
        <v>0</v>
      </c>
      <c r="L1169" s="106">
        <v>0</v>
      </c>
      <c r="M1169" s="106">
        <v>109</v>
      </c>
      <c r="N1169" s="106">
        <v>100</v>
      </c>
      <c r="O1169" s="106">
        <v>0</v>
      </c>
      <c r="P1169" s="106">
        <v>0</v>
      </c>
      <c r="Q1169" s="108">
        <f>(K1169+L1169)/J1169</f>
        <v>0</v>
      </c>
      <c r="R1169" s="109">
        <f>N1169/J1169</f>
        <v>0.47169811320754718</v>
      </c>
      <c r="S1169" s="109">
        <f>P1169/J1169</f>
        <v>0</v>
      </c>
      <c r="T1169" s="109">
        <f>O1169/J1169</f>
        <v>0</v>
      </c>
      <c r="U1169" s="110">
        <f>S1169+R1169+Q1169+T1169</f>
        <v>0.47169811320754718</v>
      </c>
      <c r="V1169" s="136"/>
    </row>
    <row r="1170" spans="2:25" s="97" customFormat="1" ht="16.5" hidden="1" customHeight="1" x14ac:dyDescent="0.2">
      <c r="B1170" s="711">
        <v>46162</v>
      </c>
      <c r="C1170" s="105" t="s">
        <v>106</v>
      </c>
      <c r="D1170" s="105" t="s">
        <v>129</v>
      </c>
      <c r="E1170" s="711">
        <v>46162</v>
      </c>
      <c r="F1170" s="89"/>
      <c r="G1170" s="267"/>
      <c r="H1170" s="113" t="s">
        <v>19</v>
      </c>
      <c r="I1170" s="113"/>
      <c r="J1170" s="113">
        <f t="shared" ref="J1170:P1170" si="1244">SUM(J1162:J1169)</f>
        <v>617</v>
      </c>
      <c r="K1170" s="113">
        <f t="shared" si="1244"/>
        <v>202</v>
      </c>
      <c r="L1170" s="113">
        <f t="shared" si="1244"/>
        <v>85</v>
      </c>
      <c r="M1170" s="113">
        <f t="shared" si="1244"/>
        <v>122</v>
      </c>
      <c r="N1170" s="113">
        <f t="shared" si="1244"/>
        <v>146</v>
      </c>
      <c r="O1170" s="113">
        <f t="shared" si="1244"/>
        <v>52</v>
      </c>
      <c r="P1170" s="113">
        <f t="shared" si="1244"/>
        <v>9</v>
      </c>
      <c r="Q1170" s="115">
        <f>(K1170+L1170)/J1170</f>
        <v>0.46515397082658022</v>
      </c>
      <c r="R1170" s="116">
        <f>N1170/J1170</f>
        <v>0.23662884927066449</v>
      </c>
      <c r="S1170" s="116">
        <f>P1170/J1170</f>
        <v>1.4586709886547812E-2</v>
      </c>
      <c r="T1170" s="116">
        <f>O1170/J1170</f>
        <v>8.4278768233387355E-2</v>
      </c>
      <c r="U1170" s="117">
        <f>S1170+R1170+Q1170+T1170</f>
        <v>0.80064829821717987</v>
      </c>
      <c r="V1170" s="127"/>
      <c r="W1170" s="88"/>
      <c r="X1170" s="88"/>
      <c r="Y1170" s="118"/>
    </row>
    <row r="1171" spans="2:25" ht="15.75" hidden="1" x14ac:dyDescent="0.2">
      <c r="B1171" s="711">
        <v>46162</v>
      </c>
      <c r="C1171" s="105" t="s">
        <v>105</v>
      </c>
      <c r="D1171" s="105" t="s">
        <v>131</v>
      </c>
      <c r="E1171" s="711">
        <v>46162</v>
      </c>
      <c r="G1171" s="833">
        <v>46162</v>
      </c>
      <c r="H1171" s="120" t="s">
        <v>75</v>
      </c>
      <c r="I1171" s="120" t="s">
        <v>127</v>
      </c>
      <c r="J1171" s="106">
        <v>25</v>
      </c>
      <c r="K1171" s="106">
        <f t="shared" ref="K1171:K1179" si="1245">J1171-L1171-M1171-N1171-O1171-P1171</f>
        <v>10</v>
      </c>
      <c r="L1171" s="106">
        <v>0</v>
      </c>
      <c r="M1171" s="106">
        <v>0</v>
      </c>
      <c r="N1171" s="106">
        <v>0</v>
      </c>
      <c r="O1171" s="106">
        <v>15</v>
      </c>
      <c r="P1171" s="106">
        <v>0</v>
      </c>
      <c r="Q1171" s="108">
        <f t="shared" ref="Q1171:Q1173" si="1246">(K1171+L1171)/J1171</f>
        <v>0.4</v>
      </c>
      <c r="R1171" s="109">
        <f t="shared" ref="R1171:R1180" si="1247">N1171/J1171</f>
        <v>0</v>
      </c>
      <c r="S1171" s="109">
        <f t="shared" ref="S1171:S1180" si="1248">P1171/J1171</f>
        <v>0</v>
      </c>
      <c r="T1171" s="109">
        <f t="shared" ref="T1171:T1180" si="1249">O1171/J1171</f>
        <v>0.6</v>
      </c>
      <c r="U1171" s="110">
        <f t="shared" ref="U1171:U1180" si="1250">S1171+R1171+Q1171+T1171</f>
        <v>1</v>
      </c>
      <c r="V1171" s="136"/>
    </row>
    <row r="1172" spans="2:25" ht="15.75" hidden="1" x14ac:dyDescent="0.2">
      <c r="B1172" s="711">
        <v>46162</v>
      </c>
      <c r="C1172" s="105" t="s">
        <v>105</v>
      </c>
      <c r="D1172" s="105" t="s">
        <v>131</v>
      </c>
      <c r="E1172" s="711">
        <v>46162</v>
      </c>
      <c r="G1172" s="834"/>
      <c r="H1172" s="120" t="s">
        <v>17</v>
      </c>
      <c r="I1172" s="120" t="s">
        <v>106</v>
      </c>
      <c r="J1172" s="106">
        <v>22</v>
      </c>
      <c r="K1172" s="106">
        <f t="shared" si="1245"/>
        <v>12</v>
      </c>
      <c r="L1172" s="106">
        <v>10</v>
      </c>
      <c r="M1172" s="106">
        <v>0</v>
      </c>
      <c r="N1172" s="106">
        <v>0</v>
      </c>
      <c r="O1172" s="106">
        <v>0</v>
      </c>
      <c r="P1172" s="106">
        <v>0</v>
      </c>
      <c r="Q1172" s="108">
        <f t="shared" si="1246"/>
        <v>1</v>
      </c>
      <c r="R1172" s="109">
        <f t="shared" si="1247"/>
        <v>0</v>
      </c>
      <c r="S1172" s="109">
        <f t="shared" si="1248"/>
        <v>0</v>
      </c>
      <c r="T1172" s="109">
        <f t="shared" si="1249"/>
        <v>0</v>
      </c>
      <c r="U1172" s="110">
        <f t="shared" si="1250"/>
        <v>1</v>
      </c>
      <c r="V1172" s="136"/>
    </row>
    <row r="1173" spans="2:25" ht="15.75" hidden="1" x14ac:dyDescent="0.2">
      <c r="B1173" s="711">
        <v>46162</v>
      </c>
      <c r="C1173" s="105" t="s">
        <v>105</v>
      </c>
      <c r="D1173" s="105" t="s">
        <v>131</v>
      </c>
      <c r="E1173" s="711">
        <v>46162</v>
      </c>
      <c r="G1173" s="835"/>
      <c r="H1173" s="120" t="s">
        <v>14</v>
      </c>
      <c r="I1173" s="120" t="s">
        <v>18</v>
      </c>
      <c r="J1173" s="106">
        <f>17+8</f>
        <v>25</v>
      </c>
      <c r="K1173" s="106">
        <f t="shared" si="1245"/>
        <v>12</v>
      </c>
      <c r="L1173" s="106">
        <v>5</v>
      </c>
      <c r="M1173" s="106">
        <v>0</v>
      </c>
      <c r="N1173" s="106">
        <v>0</v>
      </c>
      <c r="O1173" s="106">
        <v>8</v>
      </c>
      <c r="P1173" s="106">
        <v>0</v>
      </c>
      <c r="Q1173" s="108">
        <f t="shared" si="1246"/>
        <v>0.68</v>
      </c>
      <c r="R1173" s="109">
        <f t="shared" si="1247"/>
        <v>0</v>
      </c>
      <c r="S1173" s="109">
        <f t="shared" si="1248"/>
        <v>0</v>
      </c>
      <c r="T1173" s="109">
        <f t="shared" si="1249"/>
        <v>0.32</v>
      </c>
      <c r="U1173" s="110">
        <f t="shared" si="1250"/>
        <v>1</v>
      </c>
      <c r="V1173" s="136"/>
    </row>
    <row r="1174" spans="2:25" ht="15.75" hidden="1" x14ac:dyDescent="0.2">
      <c r="B1174" s="711">
        <v>46162</v>
      </c>
      <c r="C1174" s="105" t="s">
        <v>105</v>
      </c>
      <c r="D1174" s="105" t="s">
        <v>131</v>
      </c>
      <c r="E1174" s="711">
        <v>46162</v>
      </c>
      <c r="G1174" s="267"/>
      <c r="H1174" s="113" t="s">
        <v>19</v>
      </c>
      <c r="I1174" s="113"/>
      <c r="J1174" s="113">
        <f t="shared" ref="J1174:P1174" si="1251">SUM(J1171:J1173)</f>
        <v>72</v>
      </c>
      <c r="K1174" s="113">
        <f t="shared" si="1251"/>
        <v>34</v>
      </c>
      <c r="L1174" s="113">
        <f t="shared" si="1251"/>
        <v>15</v>
      </c>
      <c r="M1174" s="113">
        <f t="shared" si="1251"/>
        <v>0</v>
      </c>
      <c r="N1174" s="113">
        <f t="shared" si="1251"/>
        <v>0</v>
      </c>
      <c r="O1174" s="113">
        <f t="shared" si="1251"/>
        <v>23</v>
      </c>
      <c r="P1174" s="113">
        <f t="shared" si="1251"/>
        <v>0</v>
      </c>
      <c r="Q1174" s="115">
        <f>(K1174+L1174)/J1174</f>
        <v>0.68055555555555558</v>
      </c>
      <c r="R1174" s="116">
        <f t="shared" si="1247"/>
        <v>0</v>
      </c>
      <c r="S1174" s="116">
        <f t="shared" si="1248"/>
        <v>0</v>
      </c>
      <c r="T1174" s="116">
        <f t="shared" si="1249"/>
        <v>0.31944444444444442</v>
      </c>
      <c r="U1174" s="117">
        <f t="shared" si="1250"/>
        <v>1</v>
      </c>
      <c r="V1174" s="127"/>
    </row>
    <row r="1175" spans="2:25" ht="15.75" hidden="1" x14ac:dyDescent="0.2">
      <c r="B1175" s="711">
        <v>46162</v>
      </c>
      <c r="C1175" s="105" t="s">
        <v>105</v>
      </c>
      <c r="D1175" s="105" t="s">
        <v>131</v>
      </c>
      <c r="E1175" s="711">
        <v>46163</v>
      </c>
      <c r="G1175" s="849">
        <v>46163</v>
      </c>
      <c r="H1175" s="270" t="s">
        <v>118</v>
      </c>
      <c r="I1175" s="270" t="s">
        <v>105</v>
      </c>
      <c r="J1175" s="270">
        <v>41</v>
      </c>
      <c r="K1175" s="270">
        <f t="shared" si="1245"/>
        <v>22</v>
      </c>
      <c r="L1175" s="270">
        <v>19</v>
      </c>
      <c r="M1175" s="270">
        <v>0</v>
      </c>
      <c r="N1175" s="270">
        <v>0</v>
      </c>
      <c r="O1175" s="270">
        <v>0</v>
      </c>
      <c r="P1175" s="270">
        <v>0</v>
      </c>
      <c r="Q1175" s="271">
        <f t="shared" ref="Q1175:Q1179" si="1252">(K1175+L1175)/J1175</f>
        <v>1</v>
      </c>
      <c r="R1175" s="272">
        <f t="shared" si="1247"/>
        <v>0</v>
      </c>
      <c r="S1175" s="272">
        <f t="shared" si="1248"/>
        <v>0</v>
      </c>
      <c r="T1175" s="272">
        <f t="shared" si="1249"/>
        <v>0</v>
      </c>
      <c r="U1175" s="273">
        <f t="shared" si="1250"/>
        <v>1</v>
      </c>
      <c r="V1175" s="274"/>
    </row>
    <row r="1176" spans="2:25" ht="15.75" hidden="1" x14ac:dyDescent="0.2">
      <c r="B1176" s="711">
        <v>46162</v>
      </c>
      <c r="C1176" s="105" t="s">
        <v>105</v>
      </c>
      <c r="D1176" s="105" t="s">
        <v>131</v>
      </c>
      <c r="E1176" s="711">
        <v>46163</v>
      </c>
      <c r="G1176" s="851"/>
      <c r="H1176" s="275" t="s">
        <v>32</v>
      </c>
      <c r="I1176" s="275" t="s">
        <v>106</v>
      </c>
      <c r="J1176" s="275">
        <v>26</v>
      </c>
      <c r="K1176" s="275">
        <f t="shared" si="1245"/>
        <v>11</v>
      </c>
      <c r="L1176" s="275">
        <v>0</v>
      </c>
      <c r="M1176" s="275">
        <v>10</v>
      </c>
      <c r="N1176" s="275">
        <v>5</v>
      </c>
      <c r="O1176" s="275">
        <v>0</v>
      </c>
      <c r="P1176" s="275">
        <v>0</v>
      </c>
      <c r="Q1176" s="276">
        <f t="shared" si="1252"/>
        <v>0.42307692307692307</v>
      </c>
      <c r="R1176" s="277">
        <f t="shared" si="1247"/>
        <v>0.19230769230769232</v>
      </c>
      <c r="S1176" s="277">
        <f t="shared" si="1248"/>
        <v>0</v>
      </c>
      <c r="T1176" s="277">
        <f t="shared" si="1249"/>
        <v>0</v>
      </c>
      <c r="U1176" s="278">
        <f t="shared" si="1250"/>
        <v>0.61538461538461542</v>
      </c>
      <c r="V1176" s="279"/>
    </row>
    <row r="1177" spans="2:25" ht="15.75" hidden="1" x14ac:dyDescent="0.2">
      <c r="B1177" s="711">
        <v>46162</v>
      </c>
      <c r="C1177" s="105" t="s">
        <v>105</v>
      </c>
      <c r="D1177" s="105" t="s">
        <v>131</v>
      </c>
      <c r="E1177" s="711">
        <v>46163</v>
      </c>
      <c r="G1177" s="851"/>
      <c r="H1177" s="275" t="s">
        <v>16</v>
      </c>
      <c r="I1177" s="275" t="s">
        <v>127</v>
      </c>
      <c r="J1177" s="275">
        <v>238</v>
      </c>
      <c r="K1177" s="275">
        <f t="shared" si="1245"/>
        <v>146</v>
      </c>
      <c r="L1177" s="275">
        <v>45</v>
      </c>
      <c r="M1177" s="275">
        <v>46</v>
      </c>
      <c r="N1177" s="275">
        <v>0</v>
      </c>
      <c r="O1177" s="275">
        <v>0</v>
      </c>
      <c r="P1177" s="275">
        <v>1</v>
      </c>
      <c r="Q1177" s="276">
        <f t="shared" ref="Q1177:Q1178" si="1253">(K1177+L1177)/J1177</f>
        <v>0.80252100840336138</v>
      </c>
      <c r="R1177" s="277">
        <f t="shared" ref="R1177:R1178" si="1254">N1177/J1177</f>
        <v>0</v>
      </c>
      <c r="S1177" s="277">
        <f t="shared" ref="S1177:S1178" si="1255">P1177/J1177</f>
        <v>4.2016806722689074E-3</v>
      </c>
      <c r="T1177" s="277">
        <f t="shared" ref="T1177:T1178" si="1256">O1177/J1177</f>
        <v>0</v>
      </c>
      <c r="U1177" s="278">
        <f t="shared" ref="U1177:U1178" si="1257">S1177+R1177+Q1177+T1177</f>
        <v>0.80672268907563027</v>
      </c>
      <c r="V1177" s="279"/>
    </row>
    <row r="1178" spans="2:25" ht="15.75" hidden="1" x14ac:dyDescent="0.2">
      <c r="B1178" s="711">
        <v>46162</v>
      </c>
      <c r="C1178" s="105" t="s">
        <v>105</v>
      </c>
      <c r="D1178" s="105" t="s">
        <v>131</v>
      </c>
      <c r="E1178" s="711">
        <v>46163</v>
      </c>
      <c r="G1178" s="851"/>
      <c r="H1178" s="275" t="s">
        <v>14</v>
      </c>
      <c r="I1178" s="275" t="s">
        <v>127</v>
      </c>
      <c r="J1178" s="275">
        <v>152</v>
      </c>
      <c r="K1178" s="275">
        <f t="shared" si="1245"/>
        <v>0</v>
      </c>
      <c r="L1178" s="275">
        <v>0</v>
      </c>
      <c r="M1178" s="275">
        <v>148</v>
      </c>
      <c r="N1178" s="275">
        <v>0</v>
      </c>
      <c r="O1178" s="275">
        <v>0</v>
      </c>
      <c r="P1178" s="275">
        <v>4</v>
      </c>
      <c r="Q1178" s="276">
        <f t="shared" si="1253"/>
        <v>0</v>
      </c>
      <c r="R1178" s="277">
        <f t="shared" si="1254"/>
        <v>0</v>
      </c>
      <c r="S1178" s="277">
        <f t="shared" si="1255"/>
        <v>2.6315789473684209E-2</v>
      </c>
      <c r="T1178" s="277">
        <f t="shared" si="1256"/>
        <v>0</v>
      </c>
      <c r="U1178" s="278">
        <f t="shared" si="1257"/>
        <v>2.6315789473684209E-2</v>
      </c>
      <c r="V1178" s="279"/>
    </row>
    <row r="1179" spans="2:25" ht="15.75" hidden="1" x14ac:dyDescent="0.2">
      <c r="B1179" s="711">
        <v>46162</v>
      </c>
      <c r="C1179" s="105" t="s">
        <v>105</v>
      </c>
      <c r="D1179" s="105" t="s">
        <v>131</v>
      </c>
      <c r="E1179" s="711">
        <v>46163</v>
      </c>
      <c r="G1179" s="850"/>
      <c r="H1179" s="275" t="s">
        <v>25</v>
      </c>
      <c r="I1179" s="275" t="s">
        <v>106</v>
      </c>
      <c r="J1179" s="275">
        <f>217+25</f>
        <v>242</v>
      </c>
      <c r="K1179" s="275">
        <f t="shared" si="1245"/>
        <v>161</v>
      </c>
      <c r="L1179" s="275">
        <v>40</v>
      </c>
      <c r="M1179" s="275">
        <v>31</v>
      </c>
      <c r="N1179" s="275">
        <v>0</v>
      </c>
      <c r="O1179" s="275">
        <v>0</v>
      </c>
      <c r="P1179" s="275">
        <v>10</v>
      </c>
      <c r="Q1179" s="276">
        <f t="shared" si="1252"/>
        <v>0.83057851239669422</v>
      </c>
      <c r="R1179" s="277">
        <f t="shared" si="1247"/>
        <v>0</v>
      </c>
      <c r="S1179" s="277">
        <f t="shared" si="1248"/>
        <v>4.1322314049586778E-2</v>
      </c>
      <c r="T1179" s="277">
        <f t="shared" si="1249"/>
        <v>0</v>
      </c>
      <c r="U1179" s="278">
        <f t="shared" si="1250"/>
        <v>0.87190082644628097</v>
      </c>
      <c r="V1179" s="279" t="s">
        <v>21</v>
      </c>
    </row>
    <row r="1180" spans="2:25" ht="15.75" hidden="1" x14ac:dyDescent="0.2">
      <c r="B1180" s="711">
        <v>46162</v>
      </c>
      <c r="C1180" s="105" t="s">
        <v>105</v>
      </c>
      <c r="D1180" s="105" t="s">
        <v>131</v>
      </c>
      <c r="E1180" s="711">
        <v>46163</v>
      </c>
      <c r="G1180" s="280"/>
      <c r="H1180" s="281"/>
      <c r="I1180" s="282"/>
      <c r="J1180" s="282">
        <f>SUM(J1175:J1179)</f>
        <v>699</v>
      </c>
      <c r="K1180" s="282">
        <f t="shared" ref="K1180:P1180" si="1258">SUM(K1175:K1179)</f>
        <v>340</v>
      </c>
      <c r="L1180" s="282">
        <f t="shared" si="1258"/>
        <v>104</v>
      </c>
      <c r="M1180" s="282">
        <f t="shared" si="1258"/>
        <v>235</v>
      </c>
      <c r="N1180" s="282">
        <f t="shared" si="1258"/>
        <v>5</v>
      </c>
      <c r="O1180" s="282">
        <f t="shared" si="1258"/>
        <v>0</v>
      </c>
      <c r="P1180" s="282">
        <f t="shared" si="1258"/>
        <v>15</v>
      </c>
      <c r="Q1180" s="283">
        <f>(K1180+L1180)/J1180</f>
        <v>0.63519313304721026</v>
      </c>
      <c r="R1180" s="284">
        <f t="shared" si="1247"/>
        <v>7.1530758226037196E-3</v>
      </c>
      <c r="S1180" s="284">
        <f t="shared" si="1248"/>
        <v>2.1459227467811159E-2</v>
      </c>
      <c r="T1180" s="284">
        <f t="shared" si="1249"/>
        <v>0</v>
      </c>
      <c r="U1180" s="285">
        <f t="shared" si="1250"/>
        <v>0.66380543633762512</v>
      </c>
      <c r="V1180" s="286"/>
    </row>
    <row r="1181" spans="2:25" ht="15.75" hidden="1" x14ac:dyDescent="0.2">
      <c r="B1181" s="711">
        <v>46162</v>
      </c>
      <c r="C1181" s="105" t="s">
        <v>105</v>
      </c>
      <c r="D1181" s="105" t="s">
        <v>131</v>
      </c>
      <c r="E1181" s="711">
        <v>46164</v>
      </c>
      <c r="G1181" s="714">
        <v>46164</v>
      </c>
      <c r="H1181" s="270" t="s">
        <v>118</v>
      </c>
      <c r="I1181" s="270" t="s">
        <v>105</v>
      </c>
      <c r="J1181" s="270">
        <v>156</v>
      </c>
      <c r="K1181" s="270">
        <f t="shared" ref="K1181" si="1259">J1181-L1181-M1181-N1181-O1181-P1181</f>
        <v>11</v>
      </c>
      <c r="L1181" s="270">
        <v>23</v>
      </c>
      <c r="M1181" s="270">
        <v>95</v>
      </c>
      <c r="N1181" s="270">
        <v>0</v>
      </c>
      <c r="O1181" s="270">
        <v>0</v>
      </c>
      <c r="P1181" s="270">
        <v>27</v>
      </c>
      <c r="Q1181" s="271">
        <f t="shared" ref="Q1181" si="1260">(K1181+L1181)/J1181</f>
        <v>0.21794871794871795</v>
      </c>
      <c r="R1181" s="272">
        <f t="shared" ref="R1181:R1194" si="1261">N1181/J1181</f>
        <v>0</v>
      </c>
      <c r="S1181" s="272">
        <f t="shared" ref="S1181:S1194" si="1262">P1181/J1181</f>
        <v>0.17307692307692307</v>
      </c>
      <c r="T1181" s="272">
        <f t="shared" ref="T1181:T1194" si="1263">O1181/J1181</f>
        <v>0</v>
      </c>
      <c r="U1181" s="273">
        <f t="shared" ref="U1181:U1194" si="1264">S1181+R1181+Q1181+T1181</f>
        <v>0.39102564102564102</v>
      </c>
      <c r="V1181" s="274"/>
    </row>
    <row r="1182" spans="2:25" ht="15.75" hidden="1" x14ac:dyDescent="0.2">
      <c r="B1182" s="711">
        <v>46162</v>
      </c>
      <c r="C1182" s="105" t="s">
        <v>105</v>
      </c>
      <c r="D1182" s="105" t="s">
        <v>131</v>
      </c>
      <c r="E1182" s="711">
        <v>46164</v>
      </c>
      <c r="G1182" s="280"/>
      <c r="H1182" s="281"/>
      <c r="I1182" s="282"/>
      <c r="J1182" s="282">
        <f>SUM(J1181)</f>
        <v>156</v>
      </c>
      <c r="K1182" s="282">
        <f t="shared" ref="K1182:P1182" si="1265">SUM(K1181)</f>
        <v>11</v>
      </c>
      <c r="L1182" s="282">
        <f t="shared" si="1265"/>
        <v>23</v>
      </c>
      <c r="M1182" s="282">
        <f t="shared" si="1265"/>
        <v>95</v>
      </c>
      <c r="N1182" s="282">
        <f t="shared" si="1265"/>
        <v>0</v>
      </c>
      <c r="O1182" s="282">
        <f t="shared" si="1265"/>
        <v>0</v>
      </c>
      <c r="P1182" s="282">
        <f t="shared" si="1265"/>
        <v>27</v>
      </c>
      <c r="Q1182" s="283">
        <f>(K1182+L1182)/J1182</f>
        <v>0.21794871794871795</v>
      </c>
      <c r="R1182" s="284">
        <f t="shared" si="1261"/>
        <v>0</v>
      </c>
      <c r="S1182" s="284">
        <f t="shared" si="1262"/>
        <v>0.17307692307692307</v>
      </c>
      <c r="T1182" s="284">
        <f t="shared" si="1263"/>
        <v>0</v>
      </c>
      <c r="U1182" s="285">
        <f t="shared" si="1264"/>
        <v>0.39102564102564102</v>
      </c>
      <c r="V1182" s="286"/>
    </row>
    <row r="1183" spans="2:25" ht="15.75" hidden="1" x14ac:dyDescent="0.2">
      <c r="B1183" s="711">
        <v>46163</v>
      </c>
      <c r="C1183" s="105" t="s">
        <v>106</v>
      </c>
      <c r="D1183" s="105" t="s">
        <v>129</v>
      </c>
      <c r="E1183" s="711">
        <v>46163</v>
      </c>
      <c r="G1183" s="833">
        <v>46163</v>
      </c>
      <c r="H1183" s="120" t="s">
        <v>75</v>
      </c>
      <c r="I1183" s="120" t="s">
        <v>127</v>
      </c>
      <c r="J1183" s="106">
        <f>SUM(K1183:P1183)</f>
        <v>60</v>
      </c>
      <c r="K1183" s="106">
        <v>35</v>
      </c>
      <c r="L1183" s="106">
        <v>19</v>
      </c>
      <c r="M1183" s="106">
        <v>0</v>
      </c>
      <c r="N1183" s="106">
        <v>0</v>
      </c>
      <c r="O1183" s="106">
        <v>6</v>
      </c>
      <c r="P1183" s="106">
        <v>0</v>
      </c>
      <c r="Q1183" s="108">
        <f t="shared" ref="Q1183:Q1190" si="1266">(K1183+L1183)/J1183</f>
        <v>0.9</v>
      </c>
      <c r="R1183" s="109">
        <f t="shared" si="1261"/>
        <v>0</v>
      </c>
      <c r="S1183" s="109">
        <f t="shared" si="1262"/>
        <v>0</v>
      </c>
      <c r="T1183" s="109">
        <f t="shared" si="1263"/>
        <v>0.1</v>
      </c>
      <c r="U1183" s="110">
        <f t="shared" si="1264"/>
        <v>1</v>
      </c>
      <c r="V1183" s="136"/>
    </row>
    <row r="1184" spans="2:25" ht="15.75" hidden="1" x14ac:dyDescent="0.2">
      <c r="B1184" s="711">
        <v>46163</v>
      </c>
      <c r="C1184" s="105" t="s">
        <v>106</v>
      </c>
      <c r="D1184" s="105" t="s">
        <v>129</v>
      </c>
      <c r="E1184" s="711">
        <v>46163</v>
      </c>
      <c r="G1184" s="834"/>
      <c r="H1184" s="120" t="s">
        <v>17</v>
      </c>
      <c r="I1184" s="120" t="s">
        <v>106</v>
      </c>
      <c r="J1184" s="106">
        <f t="shared" ref="J1184:J1185" si="1267">SUM(K1184:P1184)</f>
        <v>54</v>
      </c>
      <c r="K1184" s="106">
        <v>39</v>
      </c>
      <c r="L1184" s="106">
        <v>13</v>
      </c>
      <c r="M1184" s="106">
        <v>0</v>
      </c>
      <c r="N1184" s="106">
        <v>0</v>
      </c>
      <c r="O1184" s="106">
        <v>2</v>
      </c>
      <c r="P1184" s="106">
        <v>0</v>
      </c>
      <c r="Q1184" s="108">
        <f t="shared" si="1266"/>
        <v>0.96296296296296291</v>
      </c>
      <c r="R1184" s="109">
        <f t="shared" si="1261"/>
        <v>0</v>
      </c>
      <c r="S1184" s="109">
        <f t="shared" si="1262"/>
        <v>0</v>
      </c>
      <c r="T1184" s="109">
        <f t="shared" si="1263"/>
        <v>3.7037037037037035E-2</v>
      </c>
      <c r="U1184" s="110">
        <f t="shared" si="1264"/>
        <v>1</v>
      </c>
      <c r="V1184" s="136"/>
    </row>
    <row r="1185" spans="2:25" ht="15.75" hidden="1" x14ac:dyDescent="0.2">
      <c r="B1185" s="711">
        <v>46163</v>
      </c>
      <c r="C1185" s="105" t="s">
        <v>106</v>
      </c>
      <c r="D1185" s="105" t="s">
        <v>129</v>
      </c>
      <c r="E1185" s="711">
        <v>46163</v>
      </c>
      <c r="G1185" s="834"/>
      <c r="H1185" s="120" t="s">
        <v>32</v>
      </c>
      <c r="I1185" s="120" t="s">
        <v>106</v>
      </c>
      <c r="J1185" s="106">
        <f t="shared" si="1267"/>
        <v>45</v>
      </c>
      <c r="K1185" s="106">
        <v>29</v>
      </c>
      <c r="L1185" s="106">
        <v>12</v>
      </c>
      <c r="M1185" s="106">
        <v>4</v>
      </c>
      <c r="N1185" s="106">
        <v>0</v>
      </c>
      <c r="O1185" s="106">
        <v>0</v>
      </c>
      <c r="P1185" s="106">
        <v>0</v>
      </c>
      <c r="Q1185" s="108">
        <f t="shared" si="1266"/>
        <v>0.91111111111111109</v>
      </c>
      <c r="R1185" s="109">
        <f t="shared" si="1261"/>
        <v>0</v>
      </c>
      <c r="S1185" s="109">
        <f t="shared" si="1262"/>
        <v>0</v>
      </c>
      <c r="T1185" s="109">
        <f t="shared" si="1263"/>
        <v>0</v>
      </c>
      <c r="U1185" s="110">
        <f t="shared" si="1264"/>
        <v>0.91111111111111109</v>
      </c>
      <c r="V1185" s="136"/>
    </row>
    <row r="1186" spans="2:25" ht="15.75" hidden="1" x14ac:dyDescent="0.2">
      <c r="B1186" s="711">
        <v>46163</v>
      </c>
      <c r="C1186" s="105" t="s">
        <v>106</v>
      </c>
      <c r="D1186" s="105" t="s">
        <v>129</v>
      </c>
      <c r="E1186" s="711">
        <v>46163</v>
      </c>
      <c r="G1186" s="834"/>
      <c r="H1186" s="120" t="s">
        <v>25</v>
      </c>
      <c r="I1186" s="120" t="s">
        <v>106</v>
      </c>
      <c r="J1186" s="106">
        <f t="shared" ref="J1186" si="1268">SUM(K1186:P1186)</f>
        <v>56</v>
      </c>
      <c r="K1186" s="106">
        <v>27</v>
      </c>
      <c r="L1186" s="106">
        <v>18</v>
      </c>
      <c r="M1186" s="106">
        <v>0</v>
      </c>
      <c r="N1186" s="106">
        <v>0</v>
      </c>
      <c r="O1186" s="106">
        <v>11</v>
      </c>
      <c r="P1186" s="106">
        <v>0</v>
      </c>
      <c r="Q1186" s="108">
        <f t="shared" si="1266"/>
        <v>0.8035714285714286</v>
      </c>
      <c r="R1186" s="109">
        <f t="shared" si="1261"/>
        <v>0</v>
      </c>
      <c r="S1186" s="109">
        <f t="shared" si="1262"/>
        <v>0</v>
      </c>
      <c r="T1186" s="109">
        <f t="shared" si="1263"/>
        <v>0.19642857142857142</v>
      </c>
      <c r="U1186" s="110">
        <f t="shared" si="1264"/>
        <v>1</v>
      </c>
      <c r="V1186" s="136"/>
    </row>
    <row r="1187" spans="2:25" ht="15.75" hidden="1" x14ac:dyDescent="0.2">
      <c r="B1187" s="711">
        <v>46163</v>
      </c>
      <c r="C1187" s="105" t="s">
        <v>106</v>
      </c>
      <c r="D1187" s="105" t="s">
        <v>129</v>
      </c>
      <c r="E1187" s="711">
        <v>46163</v>
      </c>
      <c r="G1187" s="835"/>
      <c r="H1187" s="120" t="s">
        <v>14</v>
      </c>
      <c r="I1187" s="120" t="s">
        <v>18</v>
      </c>
      <c r="J1187" s="106">
        <v>152</v>
      </c>
      <c r="K1187" s="106">
        <v>106</v>
      </c>
      <c r="L1187" s="106">
        <v>9</v>
      </c>
      <c r="M1187" s="106">
        <v>6</v>
      </c>
      <c r="N1187" s="106">
        <v>15</v>
      </c>
      <c r="O1187" s="106">
        <v>12</v>
      </c>
      <c r="P1187" s="106">
        <v>3</v>
      </c>
      <c r="Q1187" s="108">
        <f t="shared" si="1266"/>
        <v>0.75657894736842102</v>
      </c>
      <c r="R1187" s="109">
        <f t="shared" si="1261"/>
        <v>9.8684210526315791E-2</v>
      </c>
      <c r="S1187" s="109">
        <f t="shared" si="1262"/>
        <v>1.9736842105263157E-2</v>
      </c>
      <c r="T1187" s="109">
        <f t="shared" si="1263"/>
        <v>7.8947368421052627E-2</v>
      </c>
      <c r="U1187" s="110">
        <f t="shared" si="1264"/>
        <v>0.95394736842105265</v>
      </c>
      <c r="V1187" s="136"/>
    </row>
    <row r="1188" spans="2:25" ht="15.75" hidden="1" x14ac:dyDescent="0.2">
      <c r="B1188" s="711">
        <v>46163</v>
      </c>
      <c r="C1188" s="105" t="s">
        <v>106</v>
      </c>
      <c r="D1188" s="105" t="s">
        <v>129</v>
      </c>
      <c r="E1188" s="711">
        <v>46164</v>
      </c>
      <c r="G1188" s="830">
        <v>46164</v>
      </c>
      <c r="H1188" s="120" t="s">
        <v>118</v>
      </c>
      <c r="I1188" s="120" t="s">
        <v>105</v>
      </c>
      <c r="J1188" s="106">
        <v>122</v>
      </c>
      <c r="K1188" s="106">
        <v>0</v>
      </c>
      <c r="L1188" s="106">
        <v>0</v>
      </c>
      <c r="M1188" s="106">
        <v>37</v>
      </c>
      <c r="N1188" s="106">
        <v>58</v>
      </c>
      <c r="O1188" s="106">
        <v>0</v>
      </c>
      <c r="P1188" s="106">
        <v>27</v>
      </c>
      <c r="Q1188" s="108">
        <f t="shared" si="1266"/>
        <v>0</v>
      </c>
      <c r="R1188" s="109">
        <f t="shared" si="1261"/>
        <v>0.47540983606557374</v>
      </c>
      <c r="S1188" s="109">
        <f t="shared" si="1262"/>
        <v>0.22131147540983606</v>
      </c>
      <c r="T1188" s="109">
        <f t="shared" si="1263"/>
        <v>0</v>
      </c>
      <c r="U1188" s="110">
        <f t="shared" si="1264"/>
        <v>0.69672131147540983</v>
      </c>
      <c r="V1188" s="136"/>
    </row>
    <row r="1189" spans="2:25" ht="15.75" hidden="1" x14ac:dyDescent="0.2">
      <c r="B1189" s="711">
        <v>46163</v>
      </c>
      <c r="C1189" s="105" t="s">
        <v>106</v>
      </c>
      <c r="D1189" s="105" t="s">
        <v>129</v>
      </c>
      <c r="E1189" s="711">
        <v>46164</v>
      </c>
      <c r="G1189" s="831"/>
      <c r="H1189" s="120" t="s">
        <v>32</v>
      </c>
      <c r="I1189" s="120" t="s">
        <v>106</v>
      </c>
      <c r="J1189" s="106">
        <v>9</v>
      </c>
      <c r="K1189" s="106">
        <v>6</v>
      </c>
      <c r="L1189" s="106">
        <v>3</v>
      </c>
      <c r="M1189" s="106">
        <v>0</v>
      </c>
      <c r="N1189" s="106">
        <v>0</v>
      </c>
      <c r="O1189" s="106">
        <v>0</v>
      </c>
      <c r="P1189" s="106">
        <v>0</v>
      </c>
      <c r="Q1189" s="108">
        <f t="shared" si="1266"/>
        <v>1</v>
      </c>
      <c r="R1189" s="109">
        <f t="shared" si="1261"/>
        <v>0</v>
      </c>
      <c r="S1189" s="109">
        <f t="shared" si="1262"/>
        <v>0</v>
      </c>
      <c r="T1189" s="109">
        <f t="shared" si="1263"/>
        <v>0</v>
      </c>
      <c r="U1189" s="110">
        <f t="shared" si="1264"/>
        <v>1</v>
      </c>
      <c r="V1189"/>
    </row>
    <row r="1190" spans="2:25" ht="15.75" hidden="1" x14ac:dyDescent="0.2">
      <c r="B1190" s="711">
        <v>46163</v>
      </c>
      <c r="C1190" s="105" t="s">
        <v>106</v>
      </c>
      <c r="D1190" s="105" t="s">
        <v>129</v>
      </c>
      <c r="E1190" s="711">
        <v>46164</v>
      </c>
      <c r="G1190" s="832"/>
      <c r="H1190" s="120" t="s">
        <v>17</v>
      </c>
      <c r="I1190" s="120" t="s">
        <v>106</v>
      </c>
      <c r="J1190" s="106">
        <v>205</v>
      </c>
      <c r="K1190" s="106">
        <v>0</v>
      </c>
      <c r="L1190" s="106">
        <v>0</v>
      </c>
      <c r="M1190" s="106">
        <v>144</v>
      </c>
      <c r="N1190" s="106">
        <v>56</v>
      </c>
      <c r="O1190" s="106">
        <v>0</v>
      </c>
      <c r="P1190" s="106">
        <v>0</v>
      </c>
      <c r="Q1190" s="108">
        <f t="shared" si="1266"/>
        <v>0</v>
      </c>
      <c r="R1190" s="109">
        <f t="shared" si="1261"/>
        <v>0.27317073170731709</v>
      </c>
      <c r="S1190" s="109">
        <f t="shared" si="1262"/>
        <v>0</v>
      </c>
      <c r="T1190" s="109">
        <f t="shared" si="1263"/>
        <v>0</v>
      </c>
      <c r="U1190" s="110">
        <f t="shared" si="1264"/>
        <v>0.27317073170731709</v>
      </c>
      <c r="V1190" s="136"/>
    </row>
    <row r="1191" spans="2:25" s="97" customFormat="1" ht="16.5" hidden="1" customHeight="1" x14ac:dyDescent="0.2">
      <c r="B1191" s="711">
        <v>46163</v>
      </c>
      <c r="C1191" s="105" t="s">
        <v>106</v>
      </c>
      <c r="D1191" s="105" t="s">
        <v>129</v>
      </c>
      <c r="E1191" s="711">
        <v>46162</v>
      </c>
      <c r="F1191" s="89"/>
      <c r="G1191" s="267"/>
      <c r="H1191" s="113" t="s">
        <v>19</v>
      </c>
      <c r="I1191" s="113"/>
      <c r="J1191" s="113">
        <f t="shared" ref="J1191:P1191" si="1269">SUM(J1183:J1190)</f>
        <v>703</v>
      </c>
      <c r="K1191" s="113">
        <f t="shared" si="1269"/>
        <v>242</v>
      </c>
      <c r="L1191" s="113">
        <f t="shared" si="1269"/>
        <v>74</v>
      </c>
      <c r="M1191" s="113">
        <f t="shared" si="1269"/>
        <v>191</v>
      </c>
      <c r="N1191" s="113">
        <f t="shared" si="1269"/>
        <v>129</v>
      </c>
      <c r="O1191" s="113">
        <f t="shared" si="1269"/>
        <v>31</v>
      </c>
      <c r="P1191" s="113">
        <f t="shared" si="1269"/>
        <v>30</v>
      </c>
      <c r="Q1191" s="115">
        <f>(K1191+L1191)/J1191</f>
        <v>0.44950213371266001</v>
      </c>
      <c r="R1191" s="116">
        <f t="shared" si="1261"/>
        <v>0.18349928876244664</v>
      </c>
      <c r="S1191" s="116">
        <f t="shared" si="1262"/>
        <v>4.2674253200568987E-2</v>
      </c>
      <c r="T1191" s="116">
        <f t="shared" si="1263"/>
        <v>4.4096728307254626E-2</v>
      </c>
      <c r="U1191" s="117">
        <f t="shared" si="1264"/>
        <v>0.7197724039829303</v>
      </c>
      <c r="V1191" s="127"/>
      <c r="W1191" s="88"/>
      <c r="X1191" s="88"/>
      <c r="Y1191" s="118"/>
    </row>
    <row r="1192" spans="2:25" ht="15.75" hidden="1" x14ac:dyDescent="0.2">
      <c r="B1192" s="711">
        <v>46163</v>
      </c>
      <c r="C1192" s="105" t="s">
        <v>105</v>
      </c>
      <c r="D1192" s="105" t="s">
        <v>131</v>
      </c>
      <c r="E1192" s="711">
        <v>46163</v>
      </c>
      <c r="G1192" s="849">
        <v>46163</v>
      </c>
      <c r="H1192" s="275" t="s">
        <v>16</v>
      </c>
      <c r="I1192" s="275" t="s">
        <v>127</v>
      </c>
      <c r="J1192" s="275">
        <v>17</v>
      </c>
      <c r="K1192" s="275">
        <f t="shared" ref="K1192:K1199" si="1270">J1192-L1192-M1192-N1192-O1192-P1192</f>
        <v>7</v>
      </c>
      <c r="L1192" s="275">
        <v>0</v>
      </c>
      <c r="M1192" s="275">
        <v>0</v>
      </c>
      <c r="N1192" s="275">
        <v>0</v>
      </c>
      <c r="O1192" s="275">
        <v>10</v>
      </c>
      <c r="P1192" s="275">
        <v>0</v>
      </c>
      <c r="Q1192" s="276">
        <f t="shared" ref="Q1192:Q1193" si="1271">(K1192+L1192)/J1192</f>
        <v>0.41176470588235292</v>
      </c>
      <c r="R1192" s="277">
        <f t="shared" si="1261"/>
        <v>0</v>
      </c>
      <c r="S1192" s="277">
        <f t="shared" si="1262"/>
        <v>0</v>
      </c>
      <c r="T1192" s="277">
        <f t="shared" si="1263"/>
        <v>0.58823529411764708</v>
      </c>
      <c r="U1192" s="278">
        <f t="shared" si="1264"/>
        <v>1</v>
      </c>
      <c r="V1192" s="279"/>
    </row>
    <row r="1193" spans="2:25" ht="15.75" hidden="1" x14ac:dyDescent="0.2">
      <c r="B1193" s="711">
        <v>46163</v>
      </c>
      <c r="C1193" s="105" t="s">
        <v>105</v>
      </c>
      <c r="D1193" s="105" t="s">
        <v>131</v>
      </c>
      <c r="E1193" s="711">
        <v>46163</v>
      </c>
      <c r="G1193" s="850"/>
      <c r="H1193" s="275" t="s">
        <v>14</v>
      </c>
      <c r="I1193" s="275" t="s">
        <v>127</v>
      </c>
      <c r="J1193" s="275">
        <v>34</v>
      </c>
      <c r="K1193" s="275">
        <f t="shared" si="1270"/>
        <v>19</v>
      </c>
      <c r="L1193" s="275">
        <v>7</v>
      </c>
      <c r="M1193" s="275">
        <v>0</v>
      </c>
      <c r="N1193" s="275">
        <v>0</v>
      </c>
      <c r="O1193" s="275">
        <v>8</v>
      </c>
      <c r="P1193" s="275">
        <v>0</v>
      </c>
      <c r="Q1193" s="276">
        <f t="shared" si="1271"/>
        <v>0.76470588235294112</v>
      </c>
      <c r="R1193" s="277">
        <f t="shared" si="1261"/>
        <v>0</v>
      </c>
      <c r="S1193" s="277">
        <f t="shared" si="1262"/>
        <v>0</v>
      </c>
      <c r="T1193" s="277">
        <f t="shared" si="1263"/>
        <v>0.23529411764705882</v>
      </c>
      <c r="U1193" s="278">
        <f t="shared" si="1264"/>
        <v>1</v>
      </c>
      <c r="V1193" s="279"/>
    </row>
    <row r="1194" spans="2:25" ht="15.75" hidden="1" x14ac:dyDescent="0.2">
      <c r="B1194" s="711">
        <v>46163</v>
      </c>
      <c r="C1194" s="105" t="s">
        <v>105</v>
      </c>
      <c r="D1194" s="105" t="s">
        <v>131</v>
      </c>
      <c r="E1194" s="711">
        <v>46163</v>
      </c>
      <c r="G1194" s="280"/>
      <c r="H1194" s="281"/>
      <c r="I1194" s="282"/>
      <c r="J1194" s="282">
        <f t="shared" ref="J1194:P1194" si="1272">SUM(J1192:J1193)</f>
        <v>51</v>
      </c>
      <c r="K1194" s="282">
        <f t="shared" si="1272"/>
        <v>26</v>
      </c>
      <c r="L1194" s="282">
        <f t="shared" si="1272"/>
        <v>7</v>
      </c>
      <c r="M1194" s="282">
        <f t="shared" si="1272"/>
        <v>0</v>
      </c>
      <c r="N1194" s="282">
        <f t="shared" si="1272"/>
        <v>0</v>
      </c>
      <c r="O1194" s="282">
        <f t="shared" si="1272"/>
        <v>18</v>
      </c>
      <c r="P1194" s="282">
        <f t="shared" si="1272"/>
        <v>0</v>
      </c>
      <c r="Q1194" s="283">
        <f>(K1194+L1194)/J1194</f>
        <v>0.6470588235294118</v>
      </c>
      <c r="R1194" s="284">
        <f t="shared" si="1261"/>
        <v>0</v>
      </c>
      <c r="S1194" s="284">
        <f t="shared" si="1262"/>
        <v>0</v>
      </c>
      <c r="T1194" s="284">
        <f t="shared" si="1263"/>
        <v>0.35294117647058826</v>
      </c>
      <c r="U1194" s="285">
        <f t="shared" si="1264"/>
        <v>1</v>
      </c>
      <c r="V1194" s="286"/>
    </row>
    <row r="1195" spans="2:25" ht="15.75" hidden="1" x14ac:dyDescent="0.2">
      <c r="B1195" s="711">
        <v>46163</v>
      </c>
      <c r="C1195" s="105" t="s">
        <v>105</v>
      </c>
      <c r="D1195" s="105" t="s">
        <v>131</v>
      </c>
      <c r="E1195" s="711">
        <v>46164</v>
      </c>
      <c r="G1195" s="849">
        <v>46164</v>
      </c>
      <c r="H1195" s="270" t="s">
        <v>118</v>
      </c>
      <c r="I1195" s="270" t="s">
        <v>105</v>
      </c>
      <c r="J1195" s="270">
        <v>123</v>
      </c>
      <c r="K1195" s="270">
        <f t="shared" si="1270"/>
        <v>33</v>
      </c>
      <c r="L1195" s="270">
        <v>63</v>
      </c>
      <c r="M1195" s="270">
        <v>0</v>
      </c>
      <c r="N1195" s="270">
        <v>0</v>
      </c>
      <c r="O1195" s="270">
        <v>0</v>
      </c>
      <c r="P1195" s="270">
        <v>27</v>
      </c>
      <c r="Q1195" s="271">
        <f t="shared" ref="Q1195" si="1273">(K1195+L1195)/J1195</f>
        <v>0.78048780487804881</v>
      </c>
      <c r="R1195" s="272">
        <f t="shared" ref="R1195:R1210" si="1274">N1195/J1195</f>
        <v>0</v>
      </c>
      <c r="S1195" s="272">
        <f t="shared" ref="S1195:S1210" si="1275">P1195/J1195</f>
        <v>0.21951219512195122</v>
      </c>
      <c r="T1195" s="272">
        <f t="shared" ref="T1195:T1210" si="1276">O1195/J1195</f>
        <v>0</v>
      </c>
      <c r="U1195" s="273">
        <f t="shared" ref="U1195:U1210" si="1277">S1195+R1195+Q1195+T1195</f>
        <v>1</v>
      </c>
      <c r="V1195" s="274"/>
    </row>
    <row r="1196" spans="2:25" ht="15.75" hidden="1" x14ac:dyDescent="0.2">
      <c r="B1196" s="711">
        <v>46163</v>
      </c>
      <c r="C1196" s="105" t="s">
        <v>105</v>
      </c>
      <c r="D1196" s="105" t="s">
        <v>131</v>
      </c>
      <c r="E1196" s="711">
        <v>46164</v>
      </c>
      <c r="G1196" s="851"/>
      <c r="H1196" s="275" t="s">
        <v>16</v>
      </c>
      <c r="I1196" s="275" t="s">
        <v>112</v>
      </c>
      <c r="J1196" s="275">
        <v>229</v>
      </c>
      <c r="K1196" s="275">
        <f t="shared" si="1270"/>
        <v>103</v>
      </c>
      <c r="L1196" s="275">
        <v>67</v>
      </c>
      <c r="M1196" s="275">
        <v>53</v>
      </c>
      <c r="N1196" s="275">
        <v>0</v>
      </c>
      <c r="O1196" s="275">
        <v>0</v>
      </c>
      <c r="P1196" s="275">
        <v>6</v>
      </c>
      <c r="Q1196" s="276">
        <f t="shared" ref="Q1196:Q1199" si="1278">(K1196+L1196)/J1196</f>
        <v>0.74235807860262004</v>
      </c>
      <c r="R1196" s="277">
        <f t="shared" ref="R1196:R1199" si="1279">N1196/J1196</f>
        <v>0</v>
      </c>
      <c r="S1196" s="277">
        <f t="shared" ref="S1196:S1199" si="1280">P1196/J1196</f>
        <v>2.6200873362445413E-2</v>
      </c>
      <c r="T1196" s="277">
        <f t="shared" ref="T1196:T1199" si="1281">O1196/J1196</f>
        <v>0</v>
      </c>
      <c r="U1196" s="278">
        <f t="shared" ref="U1196:U1199" si="1282">S1196+R1196+Q1196+T1196</f>
        <v>0.76855895196506541</v>
      </c>
      <c r="V1196" s="279"/>
    </row>
    <row r="1197" spans="2:25" ht="15.75" hidden="1" x14ac:dyDescent="0.2">
      <c r="B1197" s="711">
        <v>46163</v>
      </c>
      <c r="C1197" s="105" t="s">
        <v>105</v>
      </c>
      <c r="D1197" s="105" t="s">
        <v>131</v>
      </c>
      <c r="E1197" s="711">
        <v>46164</v>
      </c>
      <c r="G1197" s="851"/>
      <c r="H1197" s="275" t="s">
        <v>14</v>
      </c>
      <c r="I1197" s="275" t="s">
        <v>106</v>
      </c>
      <c r="J1197" s="275">
        <v>168</v>
      </c>
      <c r="K1197" s="275">
        <f t="shared" si="1270"/>
        <v>0</v>
      </c>
      <c r="L1197" s="275">
        <v>0</v>
      </c>
      <c r="M1197" s="275">
        <v>168</v>
      </c>
      <c r="N1197" s="275">
        <v>0</v>
      </c>
      <c r="O1197" s="275">
        <v>0</v>
      </c>
      <c r="P1197" s="275">
        <v>0</v>
      </c>
      <c r="Q1197" s="276">
        <f t="shared" si="1278"/>
        <v>0</v>
      </c>
      <c r="R1197" s="277">
        <f t="shared" si="1279"/>
        <v>0</v>
      </c>
      <c r="S1197" s="277">
        <f t="shared" si="1280"/>
        <v>0</v>
      </c>
      <c r="T1197" s="277">
        <f t="shared" si="1281"/>
        <v>0</v>
      </c>
      <c r="U1197" s="278">
        <f t="shared" si="1282"/>
        <v>0</v>
      </c>
      <c r="V1197" s="279"/>
    </row>
    <row r="1198" spans="2:25" ht="15.75" hidden="1" x14ac:dyDescent="0.2">
      <c r="B1198" s="711">
        <v>46163</v>
      </c>
      <c r="C1198" s="105" t="s">
        <v>105</v>
      </c>
      <c r="D1198" s="105" t="s">
        <v>131</v>
      </c>
      <c r="E1198" s="711">
        <v>46164</v>
      </c>
      <c r="G1198" s="851"/>
      <c r="H1198" s="275" t="s">
        <v>120</v>
      </c>
      <c r="I1198" s="275" t="s">
        <v>105</v>
      </c>
      <c r="J1198" s="275">
        <v>15</v>
      </c>
      <c r="K1198" s="275">
        <f t="shared" ref="K1198" si="1283">J1198-L1198-M1198-N1198-O1198-P1198</f>
        <v>0</v>
      </c>
      <c r="L1198" s="275">
        <v>0</v>
      </c>
      <c r="M1198" s="275">
        <v>15</v>
      </c>
      <c r="N1198" s="275">
        <v>0</v>
      </c>
      <c r="O1198" s="275">
        <v>0</v>
      </c>
      <c r="P1198" s="275">
        <v>0</v>
      </c>
      <c r="Q1198" s="276">
        <f t="shared" ref="Q1198" si="1284">(K1198+L1198)/J1198</f>
        <v>0</v>
      </c>
      <c r="R1198" s="277">
        <f t="shared" ref="R1198" si="1285">N1198/J1198</f>
        <v>0</v>
      </c>
      <c r="S1198" s="277">
        <f t="shared" ref="S1198" si="1286">P1198/J1198</f>
        <v>0</v>
      </c>
      <c r="T1198" s="277">
        <f t="shared" ref="T1198" si="1287">O1198/J1198</f>
        <v>0</v>
      </c>
      <c r="U1198" s="278">
        <f t="shared" ref="U1198" si="1288">S1198+R1198+Q1198+T1198</f>
        <v>0</v>
      </c>
      <c r="V1198" s="279"/>
    </row>
    <row r="1199" spans="2:25" ht="15.75" hidden="1" x14ac:dyDescent="0.2">
      <c r="B1199" s="711">
        <v>46163</v>
      </c>
      <c r="C1199" s="105" t="s">
        <v>105</v>
      </c>
      <c r="D1199" s="105" t="s">
        <v>131</v>
      </c>
      <c r="E1199" s="711">
        <v>46164</v>
      </c>
      <c r="G1199" s="850"/>
      <c r="H1199" s="275" t="s">
        <v>17</v>
      </c>
      <c r="I1199" s="275" t="s">
        <v>18</v>
      </c>
      <c r="J1199" s="275">
        <v>205</v>
      </c>
      <c r="K1199" s="275">
        <f t="shared" si="1270"/>
        <v>119</v>
      </c>
      <c r="L1199" s="275">
        <v>39</v>
      </c>
      <c r="M1199" s="275">
        <v>32</v>
      </c>
      <c r="N1199" s="275">
        <v>0</v>
      </c>
      <c r="O1199" s="275">
        <v>8</v>
      </c>
      <c r="P1199" s="275">
        <v>7</v>
      </c>
      <c r="Q1199" s="276">
        <f t="shared" si="1278"/>
        <v>0.77073170731707319</v>
      </c>
      <c r="R1199" s="277">
        <f t="shared" si="1279"/>
        <v>0</v>
      </c>
      <c r="S1199" s="277">
        <f t="shared" si="1280"/>
        <v>3.4146341463414637E-2</v>
      </c>
      <c r="T1199" s="277">
        <f t="shared" si="1281"/>
        <v>3.9024390243902439E-2</v>
      </c>
      <c r="U1199" s="278">
        <f t="shared" si="1282"/>
        <v>0.84390243902439033</v>
      </c>
      <c r="V1199" s="279" t="s">
        <v>21</v>
      </c>
    </row>
    <row r="1200" spans="2:25" ht="15.75" hidden="1" x14ac:dyDescent="0.2">
      <c r="B1200" s="711">
        <v>46163</v>
      </c>
      <c r="C1200" s="105" t="s">
        <v>105</v>
      </c>
      <c r="D1200" s="105" t="s">
        <v>131</v>
      </c>
      <c r="E1200" s="711">
        <v>46164</v>
      </c>
      <c r="G1200" s="287"/>
      <c r="H1200" s="288"/>
      <c r="I1200" s="289"/>
      <c r="J1200" s="289">
        <f>SUM(J1195:J1199)</f>
        <v>740</v>
      </c>
      <c r="K1200" s="289">
        <f t="shared" ref="K1200:P1200" si="1289">SUM(K1195:K1199)</f>
        <v>255</v>
      </c>
      <c r="L1200" s="289">
        <f t="shared" si="1289"/>
        <v>169</v>
      </c>
      <c r="M1200" s="289">
        <f t="shared" si="1289"/>
        <v>268</v>
      </c>
      <c r="N1200" s="289">
        <f t="shared" si="1289"/>
        <v>0</v>
      </c>
      <c r="O1200" s="289">
        <f t="shared" si="1289"/>
        <v>8</v>
      </c>
      <c r="P1200" s="289">
        <f t="shared" si="1289"/>
        <v>40</v>
      </c>
      <c r="Q1200" s="290">
        <f>(K1200+L1200)/J1200</f>
        <v>0.572972972972973</v>
      </c>
      <c r="R1200" s="291">
        <f t="shared" si="1274"/>
        <v>0</v>
      </c>
      <c r="S1200" s="291">
        <f t="shared" si="1275"/>
        <v>5.4054054054054057E-2</v>
      </c>
      <c r="T1200" s="291">
        <f t="shared" si="1276"/>
        <v>1.0810810810810811E-2</v>
      </c>
      <c r="U1200" s="292">
        <f t="shared" si="1277"/>
        <v>0.63783783783783787</v>
      </c>
      <c r="V1200" s="293"/>
    </row>
    <row r="1201" spans="2:25" ht="15.75" hidden="1" x14ac:dyDescent="0.2">
      <c r="B1201" s="711">
        <v>46164</v>
      </c>
      <c r="C1201" s="105" t="s">
        <v>106</v>
      </c>
      <c r="D1201" s="105" t="s">
        <v>129</v>
      </c>
      <c r="E1201" s="711">
        <v>46164</v>
      </c>
      <c r="G1201" s="833">
        <v>46164</v>
      </c>
      <c r="H1201" s="120" t="s">
        <v>75</v>
      </c>
      <c r="I1201" s="120" t="s">
        <v>127</v>
      </c>
      <c r="J1201" s="106">
        <f>SUM(K1201:P1201)</f>
        <v>61</v>
      </c>
      <c r="K1201" s="106">
        <v>7</v>
      </c>
      <c r="L1201" s="106">
        <v>47</v>
      </c>
      <c r="M1201" s="106">
        <v>0</v>
      </c>
      <c r="N1201" s="106">
        <v>0</v>
      </c>
      <c r="O1201" s="106">
        <v>5</v>
      </c>
      <c r="P1201" s="106">
        <v>2</v>
      </c>
      <c r="Q1201" s="108">
        <f t="shared" ref="Q1201:Q1208" si="1290">(K1201+L1201)/J1201</f>
        <v>0.88524590163934425</v>
      </c>
      <c r="R1201" s="109">
        <f t="shared" si="1274"/>
        <v>0</v>
      </c>
      <c r="S1201" s="109">
        <f t="shared" si="1275"/>
        <v>3.2786885245901641E-2</v>
      </c>
      <c r="T1201" s="109">
        <f t="shared" si="1276"/>
        <v>8.1967213114754092E-2</v>
      </c>
      <c r="U1201" s="110">
        <f t="shared" si="1277"/>
        <v>1</v>
      </c>
      <c r="V1201" s="136"/>
    </row>
    <row r="1202" spans="2:25" ht="15.75" hidden="1" x14ac:dyDescent="0.2">
      <c r="B1202" s="711">
        <v>46164</v>
      </c>
      <c r="C1202" s="105" t="s">
        <v>106</v>
      </c>
      <c r="D1202" s="105" t="s">
        <v>129</v>
      </c>
      <c r="E1202" s="711">
        <v>46164</v>
      </c>
      <c r="G1202" s="834"/>
      <c r="H1202" s="120" t="s">
        <v>17</v>
      </c>
      <c r="I1202" s="120" t="s">
        <v>106</v>
      </c>
      <c r="J1202" s="106">
        <f t="shared" ref="J1202:J1203" si="1291">SUM(K1202:P1202)</f>
        <v>41</v>
      </c>
      <c r="K1202" s="106">
        <v>21</v>
      </c>
      <c r="L1202" s="106">
        <v>16</v>
      </c>
      <c r="M1202" s="106">
        <v>0</v>
      </c>
      <c r="N1202" s="106">
        <v>0</v>
      </c>
      <c r="O1202" s="106">
        <v>0</v>
      </c>
      <c r="P1202" s="106">
        <v>4</v>
      </c>
      <c r="Q1202" s="108">
        <f t="shared" si="1290"/>
        <v>0.90243902439024393</v>
      </c>
      <c r="R1202" s="109">
        <f t="shared" si="1274"/>
        <v>0</v>
      </c>
      <c r="S1202" s="109">
        <f t="shared" si="1275"/>
        <v>9.7560975609756101E-2</v>
      </c>
      <c r="T1202" s="109">
        <f t="shared" si="1276"/>
        <v>0</v>
      </c>
      <c r="U1202" s="110">
        <f t="shared" si="1277"/>
        <v>1</v>
      </c>
      <c r="V1202" s="136"/>
    </row>
    <row r="1203" spans="2:25" ht="15.75" hidden="1" x14ac:dyDescent="0.2">
      <c r="B1203" s="711">
        <v>46164</v>
      </c>
      <c r="C1203" s="105" t="s">
        <v>106</v>
      </c>
      <c r="D1203" s="105" t="s">
        <v>129</v>
      </c>
      <c r="E1203" s="711">
        <v>46164</v>
      </c>
      <c r="G1203" s="834"/>
      <c r="H1203" s="120" t="s">
        <v>32</v>
      </c>
      <c r="I1203" s="120" t="s">
        <v>106</v>
      </c>
      <c r="J1203" s="106">
        <f t="shared" si="1291"/>
        <v>17</v>
      </c>
      <c r="K1203" s="106">
        <v>15</v>
      </c>
      <c r="L1203" s="106">
        <v>2</v>
      </c>
      <c r="M1203" s="106">
        <v>0</v>
      </c>
      <c r="N1203" s="106">
        <v>0</v>
      </c>
      <c r="O1203" s="106">
        <v>0</v>
      </c>
      <c r="P1203" s="106">
        <v>0</v>
      </c>
      <c r="Q1203" s="108">
        <f t="shared" si="1290"/>
        <v>1</v>
      </c>
      <c r="R1203" s="109">
        <f t="shared" si="1274"/>
        <v>0</v>
      </c>
      <c r="S1203" s="109">
        <f t="shared" si="1275"/>
        <v>0</v>
      </c>
      <c r="T1203" s="109">
        <f t="shared" si="1276"/>
        <v>0</v>
      </c>
      <c r="U1203" s="110">
        <f t="shared" si="1277"/>
        <v>1</v>
      </c>
      <c r="V1203" s="136"/>
    </row>
    <row r="1204" spans="2:25" ht="15.75" hidden="1" x14ac:dyDescent="0.2">
      <c r="B1204" s="711">
        <v>46164</v>
      </c>
      <c r="C1204" s="105" t="s">
        <v>106</v>
      </c>
      <c r="D1204" s="105" t="s">
        <v>129</v>
      </c>
      <c r="E1204" s="711">
        <v>46164</v>
      </c>
      <c r="G1204" s="834"/>
      <c r="H1204" s="120" t="s">
        <v>25</v>
      </c>
      <c r="I1204" s="120" t="s">
        <v>106</v>
      </c>
      <c r="J1204" s="106">
        <f t="shared" ref="J1204:J1205" si="1292">SUM(K1204:P1204)</f>
        <v>13</v>
      </c>
      <c r="K1204" s="106">
        <v>11</v>
      </c>
      <c r="L1204" s="106">
        <v>0</v>
      </c>
      <c r="M1204" s="106">
        <v>0</v>
      </c>
      <c r="N1204" s="106">
        <v>0</v>
      </c>
      <c r="O1204" s="106">
        <v>0</v>
      </c>
      <c r="P1204" s="106">
        <v>2</v>
      </c>
      <c r="Q1204" s="108">
        <f t="shared" si="1290"/>
        <v>0.84615384615384615</v>
      </c>
      <c r="R1204" s="109">
        <f t="shared" si="1274"/>
        <v>0</v>
      </c>
      <c r="S1204" s="109">
        <f t="shared" si="1275"/>
        <v>0.15384615384615385</v>
      </c>
      <c r="T1204" s="109">
        <f t="shared" si="1276"/>
        <v>0</v>
      </c>
      <c r="U1204" s="110">
        <f t="shared" si="1277"/>
        <v>1</v>
      </c>
      <c r="V1204" s="136"/>
    </row>
    <row r="1205" spans="2:25" ht="15.75" hidden="1" x14ac:dyDescent="0.2">
      <c r="B1205" s="711">
        <v>46164</v>
      </c>
      <c r="C1205" s="105" t="s">
        <v>106</v>
      </c>
      <c r="D1205" s="105" t="s">
        <v>129</v>
      </c>
      <c r="E1205" s="711">
        <v>46164</v>
      </c>
      <c r="G1205" s="834"/>
      <c r="H1205" s="120" t="s">
        <v>120</v>
      </c>
      <c r="I1205" s="120" t="s">
        <v>105</v>
      </c>
      <c r="J1205" s="106">
        <f t="shared" si="1292"/>
        <v>15</v>
      </c>
      <c r="K1205" s="106">
        <v>9</v>
      </c>
      <c r="L1205" s="106">
        <v>0</v>
      </c>
      <c r="M1205" s="106">
        <v>6</v>
      </c>
      <c r="N1205" s="106">
        <v>0</v>
      </c>
      <c r="O1205" s="106">
        <v>0</v>
      </c>
      <c r="P1205" s="106">
        <v>0</v>
      </c>
      <c r="Q1205" s="108">
        <f t="shared" ref="Q1205" si="1293">(K1205+L1205)/J1205</f>
        <v>0.6</v>
      </c>
      <c r="R1205" s="109">
        <f t="shared" ref="R1205" si="1294">N1205/J1205</f>
        <v>0</v>
      </c>
      <c r="S1205" s="109">
        <f t="shared" ref="S1205" si="1295">P1205/J1205</f>
        <v>0</v>
      </c>
      <c r="T1205" s="109">
        <f t="shared" ref="T1205" si="1296">O1205/J1205</f>
        <v>0</v>
      </c>
      <c r="U1205" s="110">
        <f t="shared" ref="U1205" si="1297">S1205+R1205+Q1205+T1205</f>
        <v>0.6</v>
      </c>
      <c r="V1205" s="136"/>
    </row>
    <row r="1206" spans="2:25" ht="15.75" hidden="1" x14ac:dyDescent="0.2">
      <c r="B1206" s="711">
        <v>46164</v>
      </c>
      <c r="C1206" s="105" t="s">
        <v>106</v>
      </c>
      <c r="D1206" s="105" t="s">
        <v>129</v>
      </c>
      <c r="E1206" s="711">
        <v>46164</v>
      </c>
      <c r="G1206" s="835"/>
      <c r="H1206" s="120" t="s">
        <v>14</v>
      </c>
      <c r="I1206" s="120" t="s">
        <v>18</v>
      </c>
      <c r="J1206" s="106">
        <v>168</v>
      </c>
      <c r="K1206" s="106">
        <v>123</v>
      </c>
      <c r="L1206" s="106">
        <v>29</v>
      </c>
      <c r="M1206" s="106">
        <v>24</v>
      </c>
      <c r="N1206" s="106">
        <v>0</v>
      </c>
      <c r="O1206" s="106">
        <v>10</v>
      </c>
      <c r="P1206" s="106">
        <v>1</v>
      </c>
      <c r="Q1206" s="108">
        <f t="shared" si="1290"/>
        <v>0.90476190476190477</v>
      </c>
      <c r="R1206" s="109">
        <f t="shared" si="1274"/>
        <v>0</v>
      </c>
      <c r="S1206" s="109">
        <f t="shared" si="1275"/>
        <v>5.9523809523809521E-3</v>
      </c>
      <c r="T1206" s="109">
        <f t="shared" si="1276"/>
        <v>5.9523809523809521E-2</v>
      </c>
      <c r="U1206" s="110">
        <f t="shared" si="1277"/>
        <v>0.97023809523809523</v>
      </c>
      <c r="V1206" s="136"/>
    </row>
    <row r="1207" spans="2:25" ht="15.75" hidden="1" x14ac:dyDescent="0.2">
      <c r="B1207" s="711">
        <v>46164</v>
      </c>
      <c r="C1207" s="105" t="s">
        <v>106</v>
      </c>
      <c r="D1207" s="105" t="s">
        <v>129</v>
      </c>
      <c r="E1207" s="711">
        <v>46165</v>
      </c>
      <c r="G1207" s="830">
        <v>46165</v>
      </c>
      <c r="H1207" s="120" t="s">
        <v>118</v>
      </c>
      <c r="I1207" s="120" t="s">
        <v>105</v>
      </c>
      <c r="J1207" s="106">
        <v>270</v>
      </c>
      <c r="K1207" s="106">
        <v>26</v>
      </c>
      <c r="L1207" s="106">
        <v>15</v>
      </c>
      <c r="M1207" s="106">
        <v>113</v>
      </c>
      <c r="N1207" s="106">
        <v>0</v>
      </c>
      <c r="O1207" s="106">
        <v>0</v>
      </c>
      <c r="P1207" s="106">
        <v>116</v>
      </c>
      <c r="Q1207" s="108">
        <f t="shared" si="1290"/>
        <v>0.15185185185185185</v>
      </c>
      <c r="R1207" s="109">
        <f t="shared" si="1274"/>
        <v>0</v>
      </c>
      <c r="S1207" s="109">
        <f t="shared" si="1275"/>
        <v>0.42962962962962964</v>
      </c>
      <c r="T1207" s="109">
        <f t="shared" si="1276"/>
        <v>0</v>
      </c>
      <c r="U1207" s="110">
        <f t="shared" si="1277"/>
        <v>0.58148148148148149</v>
      </c>
      <c r="V1207" s="136"/>
    </row>
    <row r="1208" spans="2:25" ht="15.75" hidden="1" x14ac:dyDescent="0.2">
      <c r="B1208" s="711">
        <v>46164</v>
      </c>
      <c r="C1208" s="105" t="s">
        <v>106</v>
      </c>
      <c r="D1208" s="105" t="s">
        <v>129</v>
      </c>
      <c r="E1208" s="711">
        <v>46165</v>
      </c>
      <c r="G1208" s="831"/>
      <c r="H1208" s="120" t="s">
        <v>17</v>
      </c>
      <c r="I1208" s="120" t="s">
        <v>106</v>
      </c>
      <c r="J1208" s="106">
        <v>183</v>
      </c>
      <c r="K1208" s="106">
        <v>0</v>
      </c>
      <c r="L1208" s="106">
        <v>0</v>
      </c>
      <c r="M1208" s="106">
        <f>60-26</f>
        <v>34</v>
      </c>
      <c r="N1208" s="106">
        <v>110</v>
      </c>
      <c r="O1208" s="106">
        <v>26</v>
      </c>
      <c r="P1208" s="106">
        <v>10</v>
      </c>
      <c r="Q1208" s="108">
        <f t="shared" si="1290"/>
        <v>0</v>
      </c>
      <c r="R1208" s="109">
        <f t="shared" si="1274"/>
        <v>0.60109289617486339</v>
      </c>
      <c r="S1208" s="109">
        <f t="shared" si="1275"/>
        <v>5.4644808743169397E-2</v>
      </c>
      <c r="T1208" s="109">
        <f t="shared" si="1276"/>
        <v>0.14207650273224043</v>
      </c>
      <c r="U1208" s="110">
        <f t="shared" si="1277"/>
        <v>0.79781420765027322</v>
      </c>
      <c r="V1208"/>
    </row>
    <row r="1209" spans="2:25" ht="15.75" hidden="1" x14ac:dyDescent="0.2">
      <c r="B1209" s="711">
        <v>46164</v>
      </c>
      <c r="C1209" s="105" t="s">
        <v>106</v>
      </c>
      <c r="D1209" s="105" t="s">
        <v>129</v>
      </c>
      <c r="E1209" s="711">
        <v>46165</v>
      </c>
      <c r="G1209" s="705"/>
      <c r="H1209" s="120" t="s">
        <v>75</v>
      </c>
      <c r="I1209" s="120" t="s">
        <v>106</v>
      </c>
      <c r="J1209" s="106">
        <v>229</v>
      </c>
      <c r="K1209" s="106">
        <v>0</v>
      </c>
      <c r="L1209" s="106">
        <v>0</v>
      </c>
      <c r="M1209" s="106">
        <v>222</v>
      </c>
      <c r="N1209" s="106">
        <v>5</v>
      </c>
      <c r="O1209" s="106">
        <v>0</v>
      </c>
      <c r="P1209" s="106">
        <v>2</v>
      </c>
      <c r="Q1209" s="108">
        <f t="shared" ref="Q1209" si="1298">(K1209+L1209)/J1209</f>
        <v>0</v>
      </c>
      <c r="R1209" s="109">
        <f t="shared" ref="R1209" si="1299">N1209/J1209</f>
        <v>2.1834061135371178E-2</v>
      </c>
      <c r="S1209" s="109">
        <f t="shared" ref="S1209" si="1300">P1209/J1209</f>
        <v>8.7336244541484712E-3</v>
      </c>
      <c r="T1209" s="109">
        <f t="shared" ref="T1209" si="1301">O1209/J1209</f>
        <v>0</v>
      </c>
      <c r="U1209" s="110">
        <f t="shared" ref="U1209" si="1302">S1209+R1209+Q1209+T1209</f>
        <v>3.0567685589519649E-2</v>
      </c>
      <c r="V1209"/>
    </row>
    <row r="1210" spans="2:25" s="97" customFormat="1" ht="16.5" hidden="1" customHeight="1" x14ac:dyDescent="0.2">
      <c r="B1210" s="711">
        <v>46164</v>
      </c>
      <c r="C1210" s="105" t="s">
        <v>106</v>
      </c>
      <c r="D1210" s="105" t="s">
        <v>129</v>
      </c>
      <c r="E1210" s="711">
        <v>46165</v>
      </c>
      <c r="F1210" s="89"/>
      <c r="G1210" s="267"/>
      <c r="H1210" s="113" t="s">
        <v>19</v>
      </c>
      <c r="I1210" s="113"/>
      <c r="J1210" s="113">
        <f t="shared" ref="J1210:P1210" si="1303">SUM(J1201:J1209)</f>
        <v>997</v>
      </c>
      <c r="K1210" s="113">
        <f t="shared" si="1303"/>
        <v>212</v>
      </c>
      <c r="L1210" s="113">
        <f t="shared" si="1303"/>
        <v>109</v>
      </c>
      <c r="M1210" s="113">
        <f t="shared" si="1303"/>
        <v>399</v>
      </c>
      <c r="N1210" s="113">
        <f t="shared" si="1303"/>
        <v>115</v>
      </c>
      <c r="O1210" s="113">
        <f t="shared" si="1303"/>
        <v>41</v>
      </c>
      <c r="P1210" s="113">
        <f t="shared" si="1303"/>
        <v>137</v>
      </c>
      <c r="Q1210" s="115">
        <f>(K1210+L1210)/J1210</f>
        <v>0.32196589769307926</v>
      </c>
      <c r="R1210" s="116">
        <f t="shared" si="1274"/>
        <v>0.11534603811434303</v>
      </c>
      <c r="S1210" s="116">
        <f t="shared" si="1275"/>
        <v>0.13741223671013039</v>
      </c>
      <c r="T1210" s="116">
        <f t="shared" si="1276"/>
        <v>4.1123370110330994E-2</v>
      </c>
      <c r="U1210" s="117">
        <f t="shared" si="1277"/>
        <v>0.61584754262788366</v>
      </c>
      <c r="V1210" s="127"/>
      <c r="W1210" s="88"/>
      <c r="X1210" s="88"/>
      <c r="Y1210" s="118"/>
    </row>
    <row r="1211" spans="2:25" ht="15.75" hidden="1" x14ac:dyDescent="0.2">
      <c r="B1211" s="711">
        <v>46164</v>
      </c>
      <c r="C1211" s="105" t="s">
        <v>105</v>
      </c>
      <c r="D1211" s="105" t="s">
        <v>137</v>
      </c>
      <c r="E1211" s="711">
        <v>46164</v>
      </c>
      <c r="G1211" s="833">
        <v>46164</v>
      </c>
      <c r="H1211" s="120" t="s">
        <v>75</v>
      </c>
      <c r="I1211" s="120" t="s">
        <v>127</v>
      </c>
      <c r="J1211" s="106">
        <v>31</v>
      </c>
      <c r="K1211" s="106">
        <f>J1211-L1211-M1211-N1211-O1211-P1211</f>
        <v>11</v>
      </c>
      <c r="L1211" s="106">
        <v>8</v>
      </c>
      <c r="M1211" s="106">
        <v>0</v>
      </c>
      <c r="N1211" s="106">
        <v>0</v>
      </c>
      <c r="O1211" s="106">
        <v>10</v>
      </c>
      <c r="P1211" s="106">
        <v>2</v>
      </c>
      <c r="Q1211" s="108">
        <f t="shared" ref="Q1211:Q1218" si="1304">(K1211+L1211)/J1211</f>
        <v>0.61290322580645162</v>
      </c>
      <c r="R1211" s="109">
        <f t="shared" ref="R1211:R1219" si="1305">N1211/J1211</f>
        <v>0</v>
      </c>
      <c r="S1211" s="109">
        <f t="shared" ref="S1211:S1219" si="1306">P1211/J1211</f>
        <v>6.4516129032258063E-2</v>
      </c>
      <c r="T1211" s="109">
        <f t="shared" ref="T1211:T1219" si="1307">O1211/J1211</f>
        <v>0.32258064516129031</v>
      </c>
      <c r="U1211" s="110">
        <f t="shared" ref="U1211:U1219" si="1308">S1211+R1211+Q1211+T1211</f>
        <v>1</v>
      </c>
      <c r="V1211" s="136"/>
    </row>
    <row r="1212" spans="2:25" ht="15.75" hidden="1" x14ac:dyDescent="0.2">
      <c r="B1212" s="711">
        <v>46164</v>
      </c>
      <c r="C1212" s="105" t="s">
        <v>105</v>
      </c>
      <c r="D1212" s="105" t="s">
        <v>137</v>
      </c>
      <c r="E1212" s="711">
        <v>46164</v>
      </c>
      <c r="G1212" s="835"/>
      <c r="H1212" s="120" t="s">
        <v>14</v>
      </c>
      <c r="I1212" s="120" t="s">
        <v>18</v>
      </c>
      <c r="J1212" s="106">
        <v>23</v>
      </c>
      <c r="K1212" s="106">
        <f>J1212-L1212-M1212-N1212-O1212-P1212</f>
        <v>9</v>
      </c>
      <c r="L1212" s="106">
        <v>3</v>
      </c>
      <c r="M1212" s="106">
        <v>0</v>
      </c>
      <c r="N1212" s="106">
        <v>0</v>
      </c>
      <c r="O1212" s="106">
        <v>10</v>
      </c>
      <c r="P1212" s="106">
        <v>1</v>
      </c>
      <c r="Q1212" s="108">
        <f t="shared" si="1304"/>
        <v>0.52173913043478259</v>
      </c>
      <c r="R1212" s="109">
        <f t="shared" si="1305"/>
        <v>0</v>
      </c>
      <c r="S1212" s="109">
        <f t="shared" si="1306"/>
        <v>4.3478260869565216E-2</v>
      </c>
      <c r="T1212" s="109">
        <f t="shared" si="1307"/>
        <v>0.43478260869565216</v>
      </c>
      <c r="U1212" s="110">
        <f t="shared" si="1308"/>
        <v>1</v>
      </c>
      <c r="V1212" s="136"/>
    </row>
    <row r="1213" spans="2:25" ht="15.75" hidden="1" x14ac:dyDescent="0.2">
      <c r="B1213" s="711">
        <v>46164</v>
      </c>
      <c r="C1213" s="105" t="s">
        <v>105</v>
      </c>
      <c r="D1213" s="105" t="s">
        <v>137</v>
      </c>
      <c r="E1213" s="711">
        <v>46164</v>
      </c>
      <c r="G1213" s="267"/>
      <c r="H1213" s="113" t="s">
        <v>19</v>
      </c>
      <c r="I1213" s="113"/>
      <c r="J1213" s="113">
        <f>SUM(J1211:J1212)</f>
        <v>54</v>
      </c>
      <c r="K1213" s="113">
        <f t="shared" ref="K1213:P1213" si="1309">SUM(K1211:K1212)</f>
        <v>20</v>
      </c>
      <c r="L1213" s="113">
        <f t="shared" si="1309"/>
        <v>11</v>
      </c>
      <c r="M1213" s="113">
        <f t="shared" si="1309"/>
        <v>0</v>
      </c>
      <c r="N1213" s="113">
        <f t="shared" si="1309"/>
        <v>0</v>
      </c>
      <c r="O1213" s="113">
        <f t="shared" si="1309"/>
        <v>20</v>
      </c>
      <c r="P1213" s="113">
        <f t="shared" si="1309"/>
        <v>3</v>
      </c>
      <c r="Q1213" s="115">
        <f>(K1213+L1213)/J1213</f>
        <v>0.57407407407407407</v>
      </c>
      <c r="R1213" s="116">
        <f t="shared" si="1305"/>
        <v>0</v>
      </c>
      <c r="S1213" s="116">
        <f t="shared" si="1306"/>
        <v>5.5555555555555552E-2</v>
      </c>
      <c r="T1213" s="116">
        <f t="shared" si="1307"/>
        <v>0.37037037037037035</v>
      </c>
      <c r="U1213" s="117">
        <f t="shared" si="1308"/>
        <v>1</v>
      </c>
      <c r="V1213" s="127"/>
    </row>
    <row r="1214" spans="2:25" ht="15.75" hidden="1" x14ac:dyDescent="0.2">
      <c r="B1214" s="711">
        <v>46164</v>
      </c>
      <c r="C1214" s="105" t="s">
        <v>105</v>
      </c>
      <c r="D1214" s="105" t="s">
        <v>137</v>
      </c>
      <c r="E1214" s="711">
        <v>46165</v>
      </c>
      <c r="G1214" s="833">
        <v>46165</v>
      </c>
      <c r="H1214" s="120" t="s">
        <v>118</v>
      </c>
      <c r="I1214" s="120" t="s">
        <v>105</v>
      </c>
      <c r="J1214" s="106">
        <v>85</v>
      </c>
      <c r="K1214" s="106">
        <f>J1214-L1214-M1214-N1214-O1214-P1214</f>
        <v>0</v>
      </c>
      <c r="L1214" s="106">
        <v>0</v>
      </c>
      <c r="M1214" s="106">
        <v>80</v>
      </c>
      <c r="N1214" s="106">
        <v>0</v>
      </c>
      <c r="O1214" s="106">
        <v>5</v>
      </c>
      <c r="P1214" s="106">
        <v>0</v>
      </c>
      <c r="Q1214" s="108">
        <f t="shared" si="1304"/>
        <v>0</v>
      </c>
      <c r="R1214" s="109">
        <f t="shared" si="1305"/>
        <v>0</v>
      </c>
      <c r="S1214" s="109">
        <f t="shared" si="1306"/>
        <v>0</v>
      </c>
      <c r="T1214" s="109">
        <f t="shared" si="1307"/>
        <v>5.8823529411764705E-2</v>
      </c>
      <c r="U1214" s="110">
        <f t="shared" si="1308"/>
        <v>5.8823529411764705E-2</v>
      </c>
      <c r="V1214" s="136"/>
    </row>
    <row r="1215" spans="2:25" ht="15.75" hidden="1" x14ac:dyDescent="0.2">
      <c r="B1215" s="711">
        <v>46164</v>
      </c>
      <c r="C1215" s="105" t="s">
        <v>105</v>
      </c>
      <c r="D1215" s="105" t="s">
        <v>137</v>
      </c>
      <c r="E1215" s="711">
        <v>46165</v>
      </c>
      <c r="G1215" s="834"/>
      <c r="H1215" s="120" t="s">
        <v>14</v>
      </c>
      <c r="I1215" s="120" t="s">
        <v>105</v>
      </c>
      <c r="J1215" s="106">
        <v>177</v>
      </c>
      <c r="K1215" s="106">
        <f t="shared" ref="K1215:K1218" si="1310">J1215-L1215-M1215-N1215-O1215-P1215</f>
        <v>16</v>
      </c>
      <c r="L1215" s="106">
        <v>0</v>
      </c>
      <c r="M1215" s="106">
        <v>161</v>
      </c>
      <c r="N1215" s="106">
        <v>0</v>
      </c>
      <c r="O1215" s="106">
        <v>0</v>
      </c>
      <c r="P1215" s="106">
        <v>0</v>
      </c>
      <c r="Q1215" s="108">
        <f t="shared" ref="Q1215" si="1311">(K1215+L1215)/J1215</f>
        <v>9.03954802259887E-2</v>
      </c>
      <c r="R1215" s="109">
        <f t="shared" ref="R1215" si="1312">N1215/J1215</f>
        <v>0</v>
      </c>
      <c r="S1215" s="109">
        <f t="shared" ref="S1215" si="1313">P1215/J1215</f>
        <v>0</v>
      </c>
      <c r="T1215" s="109">
        <f t="shared" ref="T1215" si="1314">O1215/J1215</f>
        <v>0</v>
      </c>
      <c r="U1215" s="110">
        <f t="shared" ref="U1215" si="1315">S1215+R1215+Q1215+T1215</f>
        <v>9.03954802259887E-2</v>
      </c>
      <c r="V1215" s="296"/>
    </row>
    <row r="1216" spans="2:25" ht="15.75" hidden="1" x14ac:dyDescent="0.2">
      <c r="B1216" s="711">
        <v>46164</v>
      </c>
      <c r="C1216" s="105" t="s">
        <v>105</v>
      </c>
      <c r="D1216" s="105" t="s">
        <v>137</v>
      </c>
      <c r="E1216" s="711">
        <v>46165</v>
      </c>
      <c r="G1216" s="834"/>
      <c r="H1216" s="120" t="s">
        <v>84</v>
      </c>
      <c r="I1216" s="120" t="s">
        <v>106</v>
      </c>
      <c r="J1216" s="106">
        <v>33</v>
      </c>
      <c r="K1216" s="106">
        <f t="shared" si="1310"/>
        <v>0</v>
      </c>
      <c r="L1216" s="106">
        <v>0</v>
      </c>
      <c r="M1216" s="106">
        <v>33</v>
      </c>
      <c r="N1216" s="106">
        <v>0</v>
      </c>
      <c r="O1216" s="106">
        <v>0</v>
      </c>
      <c r="P1216" s="106">
        <v>0</v>
      </c>
      <c r="Q1216" s="108">
        <f t="shared" ref="Q1216" si="1316">(K1216+L1216)/J1216</f>
        <v>0</v>
      </c>
      <c r="R1216" s="109">
        <f t="shared" ref="R1216" si="1317">N1216/J1216</f>
        <v>0</v>
      </c>
      <c r="S1216" s="109">
        <f t="shared" ref="S1216" si="1318">P1216/J1216</f>
        <v>0</v>
      </c>
      <c r="T1216" s="109">
        <f t="shared" ref="T1216" si="1319">O1216/J1216</f>
        <v>0</v>
      </c>
      <c r="U1216" s="110">
        <f t="shared" ref="U1216" si="1320">S1216+R1216+Q1216+T1216</f>
        <v>0</v>
      </c>
      <c r="V1216" s="296"/>
    </row>
    <row r="1217" spans="2:22" ht="15.75" hidden="1" x14ac:dyDescent="0.2">
      <c r="B1217" s="711">
        <v>46164</v>
      </c>
      <c r="C1217" s="105" t="s">
        <v>105</v>
      </c>
      <c r="D1217" s="105" t="s">
        <v>137</v>
      </c>
      <c r="E1217" s="711">
        <v>46165</v>
      </c>
      <c r="G1217" s="834"/>
      <c r="H1217" s="120" t="s">
        <v>17</v>
      </c>
      <c r="I1217" s="120" t="s">
        <v>105</v>
      </c>
      <c r="J1217" s="106">
        <v>183</v>
      </c>
      <c r="K1217" s="106">
        <f t="shared" si="1310"/>
        <v>123</v>
      </c>
      <c r="L1217" s="106">
        <v>22</v>
      </c>
      <c r="M1217" s="106">
        <v>28</v>
      </c>
      <c r="N1217" s="106">
        <v>0</v>
      </c>
      <c r="O1217" s="106">
        <v>0</v>
      </c>
      <c r="P1217" s="106">
        <v>10</v>
      </c>
      <c r="Q1217" s="108">
        <f t="shared" si="1304"/>
        <v>0.79234972677595628</v>
      </c>
      <c r="R1217" s="109">
        <f t="shared" si="1305"/>
        <v>0</v>
      </c>
      <c r="S1217" s="109">
        <f t="shared" si="1306"/>
        <v>5.4644808743169397E-2</v>
      </c>
      <c r="T1217" s="109">
        <f t="shared" si="1307"/>
        <v>0</v>
      </c>
      <c r="U1217" s="110">
        <f t="shared" si="1308"/>
        <v>0.84699453551912562</v>
      </c>
      <c r="V1217" t="s">
        <v>21</v>
      </c>
    </row>
    <row r="1218" spans="2:22" ht="15.75" hidden="1" x14ac:dyDescent="0.2">
      <c r="B1218" s="711">
        <v>46164</v>
      </c>
      <c r="C1218" s="105" t="s">
        <v>105</v>
      </c>
      <c r="D1218" s="105" t="s">
        <v>137</v>
      </c>
      <c r="E1218" s="711">
        <v>46165</v>
      </c>
      <c r="G1218" s="835"/>
      <c r="H1218" s="120" t="s">
        <v>75</v>
      </c>
      <c r="I1218" s="120" t="s">
        <v>106</v>
      </c>
      <c r="J1218" s="106">
        <v>232</v>
      </c>
      <c r="K1218" s="106">
        <f t="shared" si="1310"/>
        <v>128</v>
      </c>
      <c r="L1218" s="106">
        <v>65</v>
      </c>
      <c r="M1218" s="106">
        <v>37</v>
      </c>
      <c r="N1218" s="106">
        <v>0</v>
      </c>
      <c r="O1218" s="106">
        <v>0</v>
      </c>
      <c r="P1218" s="106">
        <v>2</v>
      </c>
      <c r="Q1218" s="108">
        <f t="shared" si="1304"/>
        <v>0.8318965517241379</v>
      </c>
      <c r="R1218" s="109">
        <f t="shared" si="1305"/>
        <v>0</v>
      </c>
      <c r="S1218" s="109">
        <f t="shared" si="1306"/>
        <v>8.6206896551724137E-3</v>
      </c>
      <c r="T1218" s="109">
        <f t="shared" si="1307"/>
        <v>0</v>
      </c>
      <c r="U1218" s="110">
        <f t="shared" si="1308"/>
        <v>0.84051724137931028</v>
      </c>
      <c r="V1218" t="s">
        <v>138</v>
      </c>
    </row>
    <row r="1219" spans="2:22" ht="15.75" hidden="1" x14ac:dyDescent="0.2">
      <c r="B1219" s="711">
        <v>46164</v>
      </c>
      <c r="C1219" s="105" t="s">
        <v>105</v>
      </c>
      <c r="D1219" s="105" t="s">
        <v>137</v>
      </c>
      <c r="E1219" s="711">
        <v>46165</v>
      </c>
      <c r="G1219" s="267"/>
      <c r="H1219" s="113" t="s">
        <v>19</v>
      </c>
      <c r="I1219" s="113"/>
      <c r="J1219" s="113">
        <f>SUM(J1214:J1218)</f>
        <v>710</v>
      </c>
      <c r="K1219" s="113">
        <f t="shared" ref="K1219:P1219" si="1321">SUM(K1214:K1218)</f>
        <v>267</v>
      </c>
      <c r="L1219" s="113">
        <f t="shared" si="1321"/>
        <v>87</v>
      </c>
      <c r="M1219" s="113">
        <f t="shared" si="1321"/>
        <v>339</v>
      </c>
      <c r="N1219" s="113">
        <f t="shared" si="1321"/>
        <v>0</v>
      </c>
      <c r="O1219" s="113">
        <f t="shared" si="1321"/>
        <v>5</v>
      </c>
      <c r="P1219" s="113">
        <f t="shared" si="1321"/>
        <v>12</v>
      </c>
      <c r="Q1219" s="115">
        <f>(K1219+L1219)/J1219</f>
        <v>0.49859154929577465</v>
      </c>
      <c r="R1219" s="116">
        <f t="shared" si="1305"/>
        <v>0</v>
      </c>
      <c r="S1219" s="116">
        <f t="shared" si="1306"/>
        <v>1.6901408450704224E-2</v>
      </c>
      <c r="T1219" s="116">
        <f t="shared" si="1307"/>
        <v>7.0422535211267607E-3</v>
      </c>
      <c r="U1219" s="117">
        <f t="shared" si="1308"/>
        <v>0.5225352112676056</v>
      </c>
      <c r="V1219" s="127"/>
    </row>
    <row r="1220" spans="2:22" ht="15.75" hidden="1" x14ac:dyDescent="0.2">
      <c r="B1220" s="711">
        <v>46164</v>
      </c>
      <c r="C1220" s="105" t="s">
        <v>105</v>
      </c>
      <c r="D1220" s="105" t="s">
        <v>137</v>
      </c>
      <c r="E1220" s="711">
        <v>46167</v>
      </c>
      <c r="G1220" s="714">
        <v>46167</v>
      </c>
      <c r="H1220" s="120" t="s">
        <v>84</v>
      </c>
      <c r="I1220" s="120" t="s">
        <v>106</v>
      </c>
      <c r="J1220" s="106">
        <v>267</v>
      </c>
      <c r="K1220" s="106">
        <f t="shared" ref="K1220" si="1322">J1220-L1220-M1220-N1220-O1220-P1220</f>
        <v>16</v>
      </c>
      <c r="L1220" s="106">
        <v>7</v>
      </c>
      <c r="M1220" s="106">
        <v>176</v>
      </c>
      <c r="N1220" s="106">
        <v>64</v>
      </c>
      <c r="O1220" s="106">
        <v>0</v>
      </c>
      <c r="P1220" s="106">
        <v>4</v>
      </c>
      <c r="Q1220" s="108">
        <f t="shared" ref="Q1220" si="1323">(K1220+L1220)/J1220</f>
        <v>8.6142322097378279E-2</v>
      </c>
      <c r="R1220" s="109">
        <f t="shared" ref="R1220:R1225" si="1324">N1220/J1220</f>
        <v>0.23970037453183521</v>
      </c>
      <c r="S1220" s="109">
        <f t="shared" ref="S1220:S1225" si="1325">P1220/J1220</f>
        <v>1.4981273408239701E-2</v>
      </c>
      <c r="T1220" s="109">
        <f t="shared" ref="T1220:T1225" si="1326">O1220/J1220</f>
        <v>0</v>
      </c>
      <c r="U1220" s="110">
        <f t="shared" ref="U1220:U1225" si="1327">S1220+R1220+Q1220+T1220</f>
        <v>0.34082397003745318</v>
      </c>
      <c r="V1220"/>
    </row>
    <row r="1221" spans="2:22" ht="15.75" hidden="1" x14ac:dyDescent="0.2">
      <c r="B1221" s="711">
        <v>46164</v>
      </c>
      <c r="C1221" s="105" t="s">
        <v>105</v>
      </c>
      <c r="D1221" s="105" t="s">
        <v>137</v>
      </c>
      <c r="E1221" s="711">
        <v>46167</v>
      </c>
      <c r="G1221" s="267"/>
      <c r="H1221" s="113" t="s">
        <v>19</v>
      </c>
      <c r="I1221" s="113"/>
      <c r="J1221" s="113">
        <f>SUM(J1220)</f>
        <v>267</v>
      </c>
      <c r="K1221" s="113">
        <f t="shared" ref="K1221:O1221" si="1328">SUM(K1220)</f>
        <v>16</v>
      </c>
      <c r="L1221" s="113">
        <f t="shared" si="1328"/>
        <v>7</v>
      </c>
      <c r="M1221" s="113">
        <f t="shared" si="1328"/>
        <v>176</v>
      </c>
      <c r="N1221" s="113">
        <f t="shared" si="1328"/>
        <v>64</v>
      </c>
      <c r="O1221" s="113">
        <f t="shared" si="1328"/>
        <v>0</v>
      </c>
      <c r="P1221" s="113">
        <f>SUM(P1220)</f>
        <v>4</v>
      </c>
      <c r="Q1221" s="115">
        <f>(K1221+L1221)/J1221</f>
        <v>8.6142322097378279E-2</v>
      </c>
      <c r="R1221" s="116">
        <f t="shared" si="1324"/>
        <v>0.23970037453183521</v>
      </c>
      <c r="S1221" s="116">
        <f t="shared" si="1325"/>
        <v>1.4981273408239701E-2</v>
      </c>
      <c r="T1221" s="116">
        <f t="shared" si="1326"/>
        <v>0</v>
      </c>
      <c r="U1221" s="117">
        <f t="shared" si="1327"/>
        <v>0.34082397003745318</v>
      </c>
      <c r="V1221" s="127"/>
    </row>
    <row r="1222" spans="2:22" ht="15.75" hidden="1" x14ac:dyDescent="0.2">
      <c r="B1222" s="711">
        <v>46165</v>
      </c>
      <c r="C1222" s="105" t="s">
        <v>105</v>
      </c>
      <c r="D1222" s="105" t="s">
        <v>137</v>
      </c>
      <c r="E1222" s="711">
        <v>46165</v>
      </c>
      <c r="G1222" s="833">
        <v>46165</v>
      </c>
      <c r="H1222" s="120" t="s">
        <v>118</v>
      </c>
      <c r="I1222" s="120" t="s">
        <v>105</v>
      </c>
      <c r="J1222" s="106">
        <v>10</v>
      </c>
      <c r="K1222" s="106">
        <f>J1222-L1222-M1222-N1222-O1222-P1222</f>
        <v>9</v>
      </c>
      <c r="L1222" s="106">
        <v>1</v>
      </c>
      <c r="M1222" s="106">
        <v>0</v>
      </c>
      <c r="N1222" s="106">
        <v>0</v>
      </c>
      <c r="O1222" s="106">
        <v>0</v>
      </c>
      <c r="P1222" s="106">
        <v>0</v>
      </c>
      <c r="Q1222" s="108">
        <f t="shared" ref="Q1222:Q1224" si="1329">(K1222+L1222)/J1222</f>
        <v>1</v>
      </c>
      <c r="R1222" s="109">
        <f t="shared" si="1324"/>
        <v>0</v>
      </c>
      <c r="S1222" s="109">
        <f t="shared" si="1325"/>
        <v>0</v>
      </c>
      <c r="T1222" s="109">
        <f t="shared" si="1326"/>
        <v>0</v>
      </c>
      <c r="U1222" s="110">
        <f t="shared" si="1327"/>
        <v>1</v>
      </c>
      <c r="V1222" s="136"/>
    </row>
    <row r="1223" spans="2:22" ht="15.75" hidden="1" x14ac:dyDescent="0.2">
      <c r="B1223" s="711">
        <v>46165</v>
      </c>
      <c r="C1223" s="105" t="s">
        <v>105</v>
      </c>
      <c r="D1223" s="105" t="s">
        <v>137</v>
      </c>
      <c r="E1223" s="711">
        <v>46165</v>
      </c>
      <c r="G1223" s="834"/>
      <c r="H1223" s="120" t="s">
        <v>14</v>
      </c>
      <c r="I1223" s="120" t="s">
        <v>105</v>
      </c>
      <c r="J1223" s="106">
        <v>28</v>
      </c>
      <c r="K1223" s="106">
        <f t="shared" ref="K1223:K1224" si="1330">J1223-L1223-M1223-N1223-O1223-P1223</f>
        <v>10</v>
      </c>
      <c r="L1223" s="106">
        <v>6</v>
      </c>
      <c r="M1223" s="106">
        <v>0</v>
      </c>
      <c r="N1223" s="106">
        <v>0</v>
      </c>
      <c r="O1223" s="106">
        <v>10</v>
      </c>
      <c r="P1223" s="107">
        <v>2</v>
      </c>
      <c r="Q1223" s="108">
        <f t="shared" si="1329"/>
        <v>0.5714285714285714</v>
      </c>
      <c r="R1223" s="109">
        <f t="shared" si="1324"/>
        <v>0</v>
      </c>
      <c r="S1223" s="109">
        <f t="shared" si="1325"/>
        <v>7.1428571428571425E-2</v>
      </c>
      <c r="T1223" s="109">
        <f t="shared" si="1326"/>
        <v>0.35714285714285715</v>
      </c>
      <c r="U1223" s="110">
        <f t="shared" si="1327"/>
        <v>1</v>
      </c>
      <c r="V1223" s="296"/>
    </row>
    <row r="1224" spans="2:22" ht="15.75" hidden="1" x14ac:dyDescent="0.2">
      <c r="B1224" s="711">
        <v>46165</v>
      </c>
      <c r="C1224" s="105" t="s">
        <v>105</v>
      </c>
      <c r="D1224" s="105" t="s">
        <v>137</v>
      </c>
      <c r="E1224" s="711">
        <v>46165</v>
      </c>
      <c r="G1224" s="835"/>
      <c r="H1224" s="120" t="s">
        <v>75</v>
      </c>
      <c r="I1224" s="120" t="s">
        <v>106</v>
      </c>
      <c r="J1224" s="106">
        <v>28</v>
      </c>
      <c r="K1224" s="106">
        <f t="shared" si="1330"/>
        <v>8</v>
      </c>
      <c r="L1224" s="106">
        <v>5</v>
      </c>
      <c r="M1224" s="106">
        <v>0</v>
      </c>
      <c r="N1224" s="106">
        <v>0</v>
      </c>
      <c r="O1224" s="106">
        <v>13</v>
      </c>
      <c r="P1224" s="107">
        <v>2</v>
      </c>
      <c r="Q1224" s="108">
        <f t="shared" si="1329"/>
        <v>0.4642857142857143</v>
      </c>
      <c r="R1224" s="109">
        <f t="shared" si="1324"/>
        <v>0</v>
      </c>
      <c r="S1224" s="109">
        <f t="shared" si="1325"/>
        <v>7.1428571428571425E-2</v>
      </c>
      <c r="T1224" s="109">
        <f t="shared" si="1326"/>
        <v>0.4642857142857143</v>
      </c>
      <c r="U1224" s="110">
        <f t="shared" si="1327"/>
        <v>1</v>
      </c>
      <c r="V1224"/>
    </row>
    <row r="1225" spans="2:22" ht="15.75" hidden="1" x14ac:dyDescent="0.2">
      <c r="B1225" s="711">
        <v>46165</v>
      </c>
      <c r="C1225" s="105" t="s">
        <v>105</v>
      </c>
      <c r="D1225" s="105" t="s">
        <v>137</v>
      </c>
      <c r="E1225" s="711">
        <v>46165</v>
      </c>
      <c r="G1225" s="267"/>
      <c r="H1225" s="113" t="s">
        <v>19</v>
      </c>
      <c r="I1225" s="113"/>
      <c r="J1225" s="113">
        <f t="shared" ref="J1225:P1225" si="1331">SUM(J1222:J1224)</f>
        <v>66</v>
      </c>
      <c r="K1225" s="113">
        <f t="shared" si="1331"/>
        <v>27</v>
      </c>
      <c r="L1225" s="113">
        <f t="shared" si="1331"/>
        <v>12</v>
      </c>
      <c r="M1225" s="113">
        <f t="shared" si="1331"/>
        <v>0</v>
      </c>
      <c r="N1225" s="113">
        <f t="shared" si="1331"/>
        <v>0</v>
      </c>
      <c r="O1225" s="113">
        <f t="shared" si="1331"/>
        <v>23</v>
      </c>
      <c r="P1225" s="113">
        <f t="shared" si="1331"/>
        <v>4</v>
      </c>
      <c r="Q1225" s="115">
        <f>(K1225+L1225)/J1225</f>
        <v>0.59090909090909094</v>
      </c>
      <c r="R1225" s="116">
        <f t="shared" si="1324"/>
        <v>0</v>
      </c>
      <c r="S1225" s="116">
        <f t="shared" si="1325"/>
        <v>6.0606060606060608E-2</v>
      </c>
      <c r="T1225" s="116">
        <f t="shared" si="1326"/>
        <v>0.34848484848484851</v>
      </c>
      <c r="U1225" s="117">
        <f t="shared" si="1327"/>
        <v>1</v>
      </c>
      <c r="V1225" s="127"/>
    </row>
    <row r="1226" spans="2:22" ht="15.75" hidden="1" x14ac:dyDescent="0.2">
      <c r="B1226" s="711">
        <v>46165</v>
      </c>
      <c r="C1226" s="105" t="s">
        <v>105</v>
      </c>
      <c r="D1226" s="105" t="s">
        <v>137</v>
      </c>
      <c r="E1226" s="711">
        <v>46167</v>
      </c>
      <c r="G1226" s="703">
        <v>46166</v>
      </c>
      <c r="H1226" s="120" t="s">
        <v>17</v>
      </c>
      <c r="I1226" s="120" t="s">
        <v>43</v>
      </c>
      <c r="J1226" s="106">
        <v>199</v>
      </c>
      <c r="K1226" s="106">
        <f t="shared" ref="K1226" si="1332">J1226-L1226-M1226-N1226-O1226-P1226</f>
        <v>108</v>
      </c>
      <c r="L1226" s="106">
        <v>45</v>
      </c>
      <c r="M1226" s="106">
        <v>39</v>
      </c>
      <c r="N1226" s="106">
        <v>0</v>
      </c>
      <c r="O1226" s="106">
        <v>0</v>
      </c>
      <c r="P1226" s="106">
        <v>7</v>
      </c>
      <c r="Q1226" s="108">
        <f t="shared" ref="Q1226" si="1333">(K1226+L1226)/J1226</f>
        <v>0.76884422110552764</v>
      </c>
      <c r="R1226" s="109">
        <f t="shared" ref="R1226:R1243" si="1334">N1226/J1226</f>
        <v>0</v>
      </c>
      <c r="S1226" s="109">
        <f t="shared" ref="S1226:S1243" si="1335">P1226/J1226</f>
        <v>3.5175879396984924E-2</v>
      </c>
      <c r="T1226" s="109">
        <f t="shared" ref="T1226:T1243" si="1336">O1226/J1226</f>
        <v>0</v>
      </c>
      <c r="U1226" s="110">
        <f t="shared" ref="U1226:U1243" si="1337">S1226+R1226+Q1226+T1226</f>
        <v>0.8040201005025126</v>
      </c>
      <c r="V1226" t="s">
        <v>140</v>
      </c>
    </row>
    <row r="1227" spans="2:22" ht="15.75" hidden="1" x14ac:dyDescent="0.2">
      <c r="B1227" s="711">
        <v>46165</v>
      </c>
      <c r="C1227" s="105" t="s">
        <v>105</v>
      </c>
      <c r="D1227" s="105" t="s">
        <v>137</v>
      </c>
      <c r="E1227" s="711">
        <v>46167</v>
      </c>
      <c r="G1227" s="267"/>
      <c r="H1227" s="113" t="s">
        <v>19</v>
      </c>
      <c r="I1227" s="113"/>
      <c r="J1227" s="113">
        <f>SUM(J1226)</f>
        <v>199</v>
      </c>
      <c r="K1227" s="113">
        <f t="shared" ref="K1227:O1227" si="1338">SUM(K1226)</f>
        <v>108</v>
      </c>
      <c r="L1227" s="113">
        <f t="shared" si="1338"/>
        <v>45</v>
      </c>
      <c r="M1227" s="113">
        <f t="shared" si="1338"/>
        <v>39</v>
      </c>
      <c r="N1227" s="113">
        <f t="shared" si="1338"/>
        <v>0</v>
      </c>
      <c r="O1227" s="113">
        <f t="shared" si="1338"/>
        <v>0</v>
      </c>
      <c r="P1227" s="113">
        <f>SUM(P1226)</f>
        <v>7</v>
      </c>
      <c r="Q1227" s="115">
        <f>(K1227+L1227)/J1227</f>
        <v>0.76884422110552764</v>
      </c>
      <c r="R1227" s="116">
        <f t="shared" si="1334"/>
        <v>0</v>
      </c>
      <c r="S1227" s="116">
        <f t="shared" si="1335"/>
        <v>3.5175879396984924E-2</v>
      </c>
      <c r="T1227" s="116">
        <f t="shared" si="1336"/>
        <v>0</v>
      </c>
      <c r="U1227" s="117">
        <f t="shared" si="1337"/>
        <v>0.8040201005025126</v>
      </c>
      <c r="V1227" s="127"/>
    </row>
    <row r="1228" spans="2:22" ht="15.75" hidden="1" x14ac:dyDescent="0.2">
      <c r="B1228" s="711">
        <v>46165</v>
      </c>
      <c r="C1228" s="105" t="s">
        <v>105</v>
      </c>
      <c r="D1228" s="105" t="s">
        <v>137</v>
      </c>
      <c r="E1228" s="711">
        <v>46165</v>
      </c>
      <c r="G1228" s="833">
        <v>46167</v>
      </c>
      <c r="H1228" s="120" t="s">
        <v>139</v>
      </c>
      <c r="I1228" s="120" t="s">
        <v>106</v>
      </c>
      <c r="J1228" s="106">
        <v>26</v>
      </c>
      <c r="K1228" s="106">
        <f>J1228-L1228-M1228-N1228-O1228-P1228</f>
        <v>0</v>
      </c>
      <c r="L1228" s="106">
        <v>0</v>
      </c>
      <c r="M1228" s="106">
        <v>26</v>
      </c>
      <c r="N1228" s="106">
        <v>0</v>
      </c>
      <c r="O1228" s="106">
        <v>0</v>
      </c>
      <c r="P1228" s="106">
        <v>0</v>
      </c>
      <c r="Q1228" s="108">
        <f t="shared" ref="Q1228:Q1233" si="1339">(K1228+L1228)/J1228</f>
        <v>0</v>
      </c>
      <c r="R1228" s="109">
        <f t="shared" si="1334"/>
        <v>0</v>
      </c>
      <c r="S1228" s="109">
        <f t="shared" si="1335"/>
        <v>0</v>
      </c>
      <c r="T1228" s="109">
        <f t="shared" si="1336"/>
        <v>0</v>
      </c>
      <c r="U1228" s="110">
        <f t="shared" si="1337"/>
        <v>0</v>
      </c>
      <c r="V1228" s="136"/>
    </row>
    <row r="1229" spans="2:22" ht="15.75" hidden="1" x14ac:dyDescent="0.2">
      <c r="B1229" s="711">
        <v>46165</v>
      </c>
      <c r="C1229" s="105" t="s">
        <v>105</v>
      </c>
      <c r="D1229" s="105" t="s">
        <v>137</v>
      </c>
      <c r="E1229" s="711">
        <v>46165</v>
      </c>
      <c r="G1229" s="834"/>
      <c r="H1229" s="120" t="s">
        <v>118</v>
      </c>
      <c r="I1229" s="120" t="s">
        <v>106</v>
      </c>
      <c r="J1229" s="106">
        <v>22</v>
      </c>
      <c r="K1229" s="106">
        <f>J1229-L1229-M1229-N1229-O1229-P1229</f>
        <v>0</v>
      </c>
      <c r="L1229" s="106">
        <v>0</v>
      </c>
      <c r="M1229" s="106">
        <v>0</v>
      </c>
      <c r="N1229" s="106">
        <v>0</v>
      </c>
      <c r="O1229" s="106">
        <v>0</v>
      </c>
      <c r="P1229" s="107">
        <v>22</v>
      </c>
      <c r="Q1229" s="108">
        <f t="shared" ref="Q1229" si="1340">(K1229+L1229)/J1229</f>
        <v>0</v>
      </c>
      <c r="R1229" s="109">
        <f t="shared" ref="R1229" si="1341">N1229/J1229</f>
        <v>0</v>
      </c>
      <c r="S1229" s="109">
        <f t="shared" ref="S1229" si="1342">P1229/J1229</f>
        <v>1</v>
      </c>
      <c r="T1229" s="109">
        <f t="shared" ref="T1229" si="1343">O1229/J1229</f>
        <v>0</v>
      </c>
      <c r="U1229" s="110">
        <f t="shared" ref="U1229" si="1344">S1229+R1229+Q1229+T1229</f>
        <v>1</v>
      </c>
      <c r="V1229" s="296"/>
    </row>
    <row r="1230" spans="2:22" ht="15.75" hidden="1" x14ac:dyDescent="0.2">
      <c r="B1230" s="711">
        <v>46165</v>
      </c>
      <c r="C1230" s="105" t="s">
        <v>105</v>
      </c>
      <c r="D1230" s="105" t="s">
        <v>137</v>
      </c>
      <c r="E1230" s="711">
        <v>46165</v>
      </c>
      <c r="G1230" s="834"/>
      <c r="H1230" s="120" t="s">
        <v>14</v>
      </c>
      <c r="I1230" s="120" t="s">
        <v>106</v>
      </c>
      <c r="J1230" s="106">
        <v>197</v>
      </c>
      <c r="K1230" s="106">
        <f t="shared" ref="K1230:K1233" si="1345">J1230-L1230-M1230-N1230-O1230-P1230</f>
        <v>0</v>
      </c>
      <c r="L1230" s="106">
        <v>0</v>
      </c>
      <c r="M1230" s="106">
        <v>197</v>
      </c>
      <c r="N1230" s="106">
        <v>0</v>
      </c>
      <c r="O1230" s="106">
        <v>0</v>
      </c>
      <c r="P1230" s="106">
        <v>0</v>
      </c>
      <c r="Q1230" s="108">
        <f t="shared" si="1339"/>
        <v>0</v>
      </c>
      <c r="R1230" s="109">
        <f t="shared" si="1334"/>
        <v>0</v>
      </c>
      <c r="S1230" s="109">
        <f t="shared" si="1335"/>
        <v>0</v>
      </c>
      <c r="T1230" s="109">
        <f t="shared" si="1336"/>
        <v>0</v>
      </c>
      <c r="U1230" s="110">
        <f t="shared" si="1337"/>
        <v>0</v>
      </c>
      <c r="V1230" s="296"/>
    </row>
    <row r="1231" spans="2:22" ht="15.75" hidden="1" x14ac:dyDescent="0.2">
      <c r="B1231" s="711">
        <v>46165</v>
      </c>
      <c r="C1231" s="105" t="s">
        <v>105</v>
      </c>
      <c r="D1231" s="105" t="s">
        <v>137</v>
      </c>
      <c r="E1231" s="711">
        <v>46165</v>
      </c>
      <c r="G1231" s="834"/>
      <c r="H1231" s="120" t="s">
        <v>84</v>
      </c>
      <c r="I1231" s="120" t="s">
        <v>106</v>
      </c>
      <c r="J1231" s="106">
        <v>267</v>
      </c>
      <c r="K1231" s="106">
        <f t="shared" si="1345"/>
        <v>102</v>
      </c>
      <c r="L1231" s="106">
        <v>35</v>
      </c>
      <c r="M1231" s="106">
        <v>74</v>
      </c>
      <c r="N1231" s="106">
        <v>52</v>
      </c>
      <c r="O1231" s="106">
        <v>0</v>
      </c>
      <c r="P1231" s="107">
        <v>4</v>
      </c>
      <c r="Q1231" s="108">
        <f t="shared" si="1339"/>
        <v>0.51310861423220977</v>
      </c>
      <c r="R1231" s="109">
        <f t="shared" si="1334"/>
        <v>0.19475655430711611</v>
      </c>
      <c r="S1231" s="109">
        <f t="shared" si="1335"/>
        <v>1.4981273408239701E-2</v>
      </c>
      <c r="T1231" s="109">
        <f t="shared" si="1336"/>
        <v>0</v>
      </c>
      <c r="U1231" s="110">
        <f t="shared" si="1337"/>
        <v>0.72284644194756553</v>
      </c>
      <c r="V1231" s="296"/>
    </row>
    <row r="1232" spans="2:22" ht="15.75" hidden="1" x14ac:dyDescent="0.2">
      <c r="B1232" s="711">
        <v>46165</v>
      </c>
      <c r="C1232" s="105" t="s">
        <v>105</v>
      </c>
      <c r="D1232" s="105" t="s">
        <v>137</v>
      </c>
      <c r="E1232" s="711">
        <v>46165</v>
      </c>
      <c r="G1232" s="834"/>
      <c r="H1232" s="120" t="s">
        <v>17</v>
      </c>
      <c r="I1232" s="120" t="s">
        <v>105</v>
      </c>
      <c r="J1232" s="106">
        <v>194</v>
      </c>
      <c r="K1232" s="106">
        <f t="shared" si="1345"/>
        <v>60</v>
      </c>
      <c r="L1232" s="106">
        <v>0</v>
      </c>
      <c r="M1232" s="106">
        <v>134</v>
      </c>
      <c r="N1232" s="106">
        <v>0</v>
      </c>
      <c r="O1232" s="106">
        <v>0</v>
      </c>
      <c r="P1232" s="106">
        <v>0</v>
      </c>
      <c r="Q1232" s="108">
        <f t="shared" si="1339"/>
        <v>0.30927835051546393</v>
      </c>
      <c r="R1232" s="109">
        <f t="shared" si="1334"/>
        <v>0</v>
      </c>
      <c r="S1232" s="109">
        <f t="shared" si="1335"/>
        <v>0</v>
      </c>
      <c r="T1232" s="109">
        <f t="shared" si="1336"/>
        <v>0</v>
      </c>
      <c r="U1232" s="110">
        <f t="shared" si="1337"/>
        <v>0.30927835051546393</v>
      </c>
      <c r="V1232"/>
    </row>
    <row r="1233" spans="2:25" ht="15.75" hidden="1" x14ac:dyDescent="0.2">
      <c r="B1233" s="711">
        <v>46165</v>
      </c>
      <c r="C1233" s="105" t="s">
        <v>105</v>
      </c>
      <c r="D1233" s="105" t="s">
        <v>137</v>
      </c>
      <c r="E1233" s="711">
        <v>46165</v>
      </c>
      <c r="G1233" s="835"/>
      <c r="H1233" s="120" t="s">
        <v>75</v>
      </c>
      <c r="I1233" s="120" t="s">
        <v>112</v>
      </c>
      <c r="J1233" s="106">
        <v>210</v>
      </c>
      <c r="K1233" s="106">
        <f t="shared" si="1345"/>
        <v>74</v>
      </c>
      <c r="L1233" s="106">
        <v>38</v>
      </c>
      <c r="M1233" s="106">
        <v>98</v>
      </c>
      <c r="N1233" s="106">
        <v>0</v>
      </c>
      <c r="O1233" s="106">
        <v>0</v>
      </c>
      <c r="P1233" s="106">
        <v>0</v>
      </c>
      <c r="Q1233" s="108">
        <f t="shared" si="1339"/>
        <v>0.53333333333333333</v>
      </c>
      <c r="R1233" s="109">
        <f t="shared" si="1334"/>
        <v>0</v>
      </c>
      <c r="S1233" s="109">
        <f t="shared" si="1335"/>
        <v>0</v>
      </c>
      <c r="T1233" s="109">
        <f t="shared" si="1336"/>
        <v>0</v>
      </c>
      <c r="U1233" s="110">
        <f t="shared" si="1337"/>
        <v>0.53333333333333333</v>
      </c>
      <c r="V1233"/>
    </row>
    <row r="1234" spans="2:25" ht="15.75" hidden="1" x14ac:dyDescent="0.2">
      <c r="B1234" s="711">
        <v>46165</v>
      </c>
      <c r="C1234" s="105" t="s">
        <v>105</v>
      </c>
      <c r="D1234" s="105" t="s">
        <v>137</v>
      </c>
      <c r="E1234" s="711">
        <v>46165</v>
      </c>
      <c r="G1234" s="267"/>
      <c r="H1234" s="113" t="s">
        <v>19</v>
      </c>
      <c r="I1234" s="113"/>
      <c r="J1234" s="113">
        <f>SUM(J1228:J1233)</f>
        <v>916</v>
      </c>
      <c r="K1234" s="113">
        <f t="shared" ref="K1234:P1234" si="1346">SUM(K1228:K1233)</f>
        <v>236</v>
      </c>
      <c r="L1234" s="113">
        <f t="shared" si="1346"/>
        <v>73</v>
      </c>
      <c r="M1234" s="113">
        <f t="shared" si="1346"/>
        <v>529</v>
      </c>
      <c r="N1234" s="113">
        <f t="shared" si="1346"/>
        <v>52</v>
      </c>
      <c r="O1234" s="113">
        <f t="shared" si="1346"/>
        <v>0</v>
      </c>
      <c r="P1234" s="113">
        <f t="shared" si="1346"/>
        <v>26</v>
      </c>
      <c r="Q1234" s="115">
        <f>(K1234+L1234)/J1234</f>
        <v>0.3373362445414847</v>
      </c>
      <c r="R1234" s="116">
        <f t="shared" si="1334"/>
        <v>5.6768558951965066E-2</v>
      </c>
      <c r="S1234" s="116">
        <f t="shared" si="1335"/>
        <v>2.8384279475982533E-2</v>
      </c>
      <c r="T1234" s="116">
        <f t="shared" si="1336"/>
        <v>0</v>
      </c>
      <c r="U1234" s="117">
        <f t="shared" si="1337"/>
        <v>0.42248908296943233</v>
      </c>
      <c r="V1234" s="127"/>
    </row>
    <row r="1235" spans="2:25" ht="15.75" hidden="1" x14ac:dyDescent="0.2">
      <c r="B1235" s="711">
        <v>46166</v>
      </c>
      <c r="C1235" s="105" t="s">
        <v>106</v>
      </c>
      <c r="D1235" s="105" t="s">
        <v>129</v>
      </c>
      <c r="E1235" s="711">
        <v>46166</v>
      </c>
      <c r="G1235" s="833">
        <v>46166</v>
      </c>
      <c r="H1235" s="120" t="s">
        <v>75</v>
      </c>
      <c r="I1235" s="120" t="s">
        <v>43</v>
      </c>
      <c r="J1235" s="106">
        <f>SUM(K1235:P1235)</f>
        <v>43</v>
      </c>
      <c r="K1235" s="106">
        <v>6</v>
      </c>
      <c r="L1235" s="106">
        <v>17</v>
      </c>
      <c r="M1235" s="106">
        <v>0</v>
      </c>
      <c r="N1235" s="106">
        <v>0</v>
      </c>
      <c r="O1235" s="106">
        <v>20</v>
      </c>
      <c r="P1235" s="106">
        <v>0</v>
      </c>
      <c r="Q1235" s="108">
        <f t="shared" ref="Q1235:Q1242" si="1347">(K1235+L1235)/J1235</f>
        <v>0.53488372093023251</v>
      </c>
      <c r="R1235" s="109">
        <f t="shared" si="1334"/>
        <v>0</v>
      </c>
      <c r="S1235" s="109">
        <f t="shared" si="1335"/>
        <v>0</v>
      </c>
      <c r="T1235" s="109">
        <f t="shared" si="1336"/>
        <v>0.46511627906976744</v>
      </c>
      <c r="U1235" s="110">
        <f t="shared" si="1337"/>
        <v>1</v>
      </c>
      <c r="V1235" s="136"/>
    </row>
    <row r="1236" spans="2:25" ht="15.75" hidden="1" x14ac:dyDescent="0.2">
      <c r="B1236" s="711">
        <v>46166</v>
      </c>
      <c r="C1236" s="105" t="s">
        <v>106</v>
      </c>
      <c r="D1236" s="105" t="s">
        <v>129</v>
      </c>
      <c r="E1236" s="711">
        <v>46166</v>
      </c>
      <c r="G1236" s="835"/>
      <c r="H1236" s="120" t="s">
        <v>17</v>
      </c>
      <c r="I1236" s="120" t="s">
        <v>43</v>
      </c>
      <c r="J1236" s="106">
        <f t="shared" ref="J1236" si="1348">SUM(K1236:P1236)</f>
        <v>91</v>
      </c>
      <c r="K1236" s="106">
        <v>46</v>
      </c>
      <c r="L1236" s="106">
        <v>15</v>
      </c>
      <c r="M1236" s="106">
        <v>0</v>
      </c>
      <c r="N1236" s="106">
        <v>0</v>
      </c>
      <c r="O1236" s="106">
        <v>25</v>
      </c>
      <c r="P1236" s="106">
        <v>5</v>
      </c>
      <c r="Q1236" s="108">
        <f t="shared" si="1347"/>
        <v>0.67032967032967028</v>
      </c>
      <c r="R1236" s="109">
        <f t="shared" si="1334"/>
        <v>0</v>
      </c>
      <c r="S1236" s="109">
        <f t="shared" si="1335"/>
        <v>5.4945054945054944E-2</v>
      </c>
      <c r="T1236" s="109">
        <f t="shared" si="1336"/>
        <v>0.27472527472527475</v>
      </c>
      <c r="U1236" s="110">
        <f t="shared" si="1337"/>
        <v>1</v>
      </c>
      <c r="V1236" s="136"/>
    </row>
    <row r="1237" spans="2:25" ht="15.75" hidden="1" x14ac:dyDescent="0.2">
      <c r="B1237" s="711">
        <v>46166</v>
      </c>
      <c r="C1237" s="105" t="s">
        <v>106</v>
      </c>
      <c r="D1237" s="105" t="s">
        <v>129</v>
      </c>
      <c r="E1237" s="711">
        <v>46166</v>
      </c>
      <c r="G1237" s="830">
        <v>46167</v>
      </c>
      <c r="H1237" s="120" t="s">
        <v>75</v>
      </c>
      <c r="I1237" s="120" t="s">
        <v>112</v>
      </c>
      <c r="J1237" s="106">
        <v>210</v>
      </c>
      <c r="K1237" s="106">
        <v>37</v>
      </c>
      <c r="L1237" s="106">
        <v>22</v>
      </c>
      <c r="M1237" s="106">
        <v>16</v>
      </c>
      <c r="N1237" s="106">
        <v>0</v>
      </c>
      <c r="O1237" s="106">
        <v>20</v>
      </c>
      <c r="P1237" s="106">
        <v>2</v>
      </c>
      <c r="Q1237" s="108">
        <f t="shared" si="1347"/>
        <v>0.28095238095238095</v>
      </c>
      <c r="R1237" s="109">
        <f t="shared" si="1334"/>
        <v>0</v>
      </c>
      <c r="S1237" s="109">
        <f t="shared" si="1335"/>
        <v>9.5238095238095247E-3</v>
      </c>
      <c r="T1237" s="109">
        <f t="shared" si="1336"/>
        <v>9.5238095238095233E-2</v>
      </c>
      <c r="U1237" s="110">
        <f t="shared" si="1337"/>
        <v>0.38571428571428573</v>
      </c>
      <c r="V1237" s="136"/>
    </row>
    <row r="1238" spans="2:25" ht="15.75" hidden="1" x14ac:dyDescent="0.2">
      <c r="B1238" s="711">
        <v>46166</v>
      </c>
      <c r="C1238" s="105" t="s">
        <v>106</v>
      </c>
      <c r="D1238" s="105" t="s">
        <v>129</v>
      </c>
      <c r="E1238" s="711">
        <v>46166</v>
      </c>
      <c r="G1238" s="831"/>
      <c r="H1238" s="120" t="s">
        <v>14</v>
      </c>
      <c r="I1238" s="120" t="s">
        <v>106</v>
      </c>
      <c r="J1238" s="106">
        <v>197</v>
      </c>
      <c r="K1238" s="106">
        <v>104</v>
      </c>
      <c r="L1238" s="106">
        <v>29</v>
      </c>
      <c r="M1238" s="106">
        <v>35</v>
      </c>
      <c r="N1238" s="106">
        <v>21</v>
      </c>
      <c r="O1238" s="106">
        <v>11</v>
      </c>
      <c r="P1238" s="106">
        <v>3</v>
      </c>
      <c r="Q1238" s="108">
        <f t="shared" si="1347"/>
        <v>0.67512690355329952</v>
      </c>
      <c r="R1238" s="109">
        <f t="shared" si="1334"/>
        <v>0.1065989847715736</v>
      </c>
      <c r="S1238" s="109">
        <f t="shared" si="1335"/>
        <v>1.5228426395939087E-2</v>
      </c>
      <c r="T1238" s="109">
        <f t="shared" si="1336"/>
        <v>5.5837563451776651E-2</v>
      </c>
      <c r="U1238" s="110">
        <f t="shared" si="1337"/>
        <v>0.85279187817258895</v>
      </c>
      <c r="V1238" s="136"/>
    </row>
    <row r="1239" spans="2:25" ht="15.75" hidden="1" x14ac:dyDescent="0.2">
      <c r="B1239" s="711">
        <v>46166</v>
      </c>
      <c r="C1239" s="105" t="s">
        <v>106</v>
      </c>
      <c r="D1239" s="105" t="s">
        <v>129</v>
      </c>
      <c r="E1239" s="711">
        <v>46166</v>
      </c>
      <c r="G1239" s="831"/>
      <c r="H1239" s="120" t="s">
        <v>120</v>
      </c>
      <c r="I1239" s="120" t="s">
        <v>106</v>
      </c>
      <c r="J1239" s="106">
        <v>26</v>
      </c>
      <c r="K1239" s="106">
        <v>0</v>
      </c>
      <c r="L1239" s="106">
        <v>0</v>
      </c>
      <c r="M1239" s="106">
        <f>26-9</f>
        <v>17</v>
      </c>
      <c r="N1239" s="106">
        <v>0</v>
      </c>
      <c r="O1239" s="106">
        <v>0</v>
      </c>
      <c r="P1239" s="106">
        <v>9</v>
      </c>
      <c r="Q1239" s="108">
        <f t="shared" si="1347"/>
        <v>0</v>
      </c>
      <c r="R1239" s="109">
        <f t="shared" si="1334"/>
        <v>0</v>
      </c>
      <c r="S1239" s="109">
        <f t="shared" si="1335"/>
        <v>0.34615384615384615</v>
      </c>
      <c r="T1239" s="109">
        <f t="shared" si="1336"/>
        <v>0</v>
      </c>
      <c r="U1239" s="110">
        <f t="shared" si="1337"/>
        <v>0.34615384615384615</v>
      </c>
      <c r="V1239" s="136"/>
    </row>
    <row r="1240" spans="2:25" ht="15.75" hidden="1" x14ac:dyDescent="0.2">
      <c r="B1240" s="711">
        <v>46166</v>
      </c>
      <c r="C1240" s="105" t="s">
        <v>106</v>
      </c>
      <c r="D1240" s="105" t="s">
        <v>129</v>
      </c>
      <c r="E1240" s="711">
        <v>46166</v>
      </c>
      <c r="G1240" s="831"/>
      <c r="H1240" s="120" t="s">
        <v>118</v>
      </c>
      <c r="I1240" s="120" t="s">
        <v>106</v>
      </c>
      <c r="J1240" s="106">
        <v>22</v>
      </c>
      <c r="K1240" s="106">
        <v>0</v>
      </c>
      <c r="L1240" s="106">
        <v>0</v>
      </c>
      <c r="M1240" s="106">
        <v>0</v>
      </c>
      <c r="N1240" s="106">
        <v>0</v>
      </c>
      <c r="O1240" s="106">
        <v>0</v>
      </c>
      <c r="P1240" s="106">
        <v>22</v>
      </c>
      <c r="Q1240" s="108">
        <f t="shared" si="1347"/>
        <v>0</v>
      </c>
      <c r="R1240" s="109">
        <f t="shared" si="1334"/>
        <v>0</v>
      </c>
      <c r="S1240" s="109">
        <f t="shared" si="1335"/>
        <v>1</v>
      </c>
      <c r="T1240" s="109">
        <f t="shared" si="1336"/>
        <v>0</v>
      </c>
      <c r="U1240" s="110">
        <f t="shared" si="1337"/>
        <v>1</v>
      </c>
      <c r="V1240" s="136"/>
    </row>
    <row r="1241" spans="2:25" ht="15.75" hidden="1" x14ac:dyDescent="0.2">
      <c r="B1241" s="711">
        <v>46166</v>
      </c>
      <c r="C1241" s="105" t="s">
        <v>106</v>
      </c>
      <c r="D1241" s="105" t="s">
        <v>129</v>
      </c>
      <c r="E1241" s="711">
        <v>46166</v>
      </c>
      <c r="G1241" s="831"/>
      <c r="H1241" s="120" t="s">
        <v>84</v>
      </c>
      <c r="I1241" s="120" t="s">
        <v>106</v>
      </c>
      <c r="J1241" s="106">
        <v>130</v>
      </c>
      <c r="K1241" s="106">
        <v>0</v>
      </c>
      <c r="L1241" s="106">
        <v>0</v>
      </c>
      <c r="M1241" s="106">
        <v>122</v>
      </c>
      <c r="N1241" s="106">
        <v>0</v>
      </c>
      <c r="O1241" s="106">
        <v>8</v>
      </c>
      <c r="P1241" s="106">
        <v>4</v>
      </c>
      <c r="Q1241" s="108">
        <f t="shared" si="1347"/>
        <v>0</v>
      </c>
      <c r="R1241" s="109">
        <f t="shared" si="1334"/>
        <v>0</v>
      </c>
      <c r="S1241" s="109">
        <f t="shared" si="1335"/>
        <v>3.0769230769230771E-2</v>
      </c>
      <c r="T1241" s="109">
        <f t="shared" si="1336"/>
        <v>6.1538461538461542E-2</v>
      </c>
      <c r="U1241" s="110">
        <f t="shared" si="1337"/>
        <v>9.2307692307692313E-2</v>
      </c>
      <c r="V1241" s="136"/>
    </row>
    <row r="1242" spans="2:25" ht="15.75" hidden="1" x14ac:dyDescent="0.2">
      <c r="B1242" s="711">
        <v>46166</v>
      </c>
      <c r="C1242" s="105" t="s">
        <v>106</v>
      </c>
      <c r="D1242" s="105" t="s">
        <v>129</v>
      </c>
      <c r="E1242" s="711">
        <v>46166</v>
      </c>
      <c r="G1242" s="832"/>
      <c r="H1242" s="120" t="s">
        <v>17</v>
      </c>
      <c r="I1242" s="120" t="s">
        <v>105</v>
      </c>
      <c r="J1242" s="106">
        <v>198</v>
      </c>
      <c r="K1242" s="106">
        <v>0</v>
      </c>
      <c r="L1242" s="106">
        <v>0</v>
      </c>
      <c r="M1242" s="106">
        <f>198-31-5</f>
        <v>162</v>
      </c>
      <c r="N1242" s="106">
        <v>0</v>
      </c>
      <c r="O1242" s="106">
        <v>31</v>
      </c>
      <c r="P1242" s="106">
        <v>5</v>
      </c>
      <c r="Q1242" s="108">
        <f t="shared" si="1347"/>
        <v>0</v>
      </c>
      <c r="R1242" s="109">
        <f t="shared" si="1334"/>
        <v>0</v>
      </c>
      <c r="S1242" s="109">
        <f t="shared" si="1335"/>
        <v>2.5252525252525252E-2</v>
      </c>
      <c r="T1242" s="109">
        <f t="shared" si="1336"/>
        <v>0.15656565656565657</v>
      </c>
      <c r="U1242" s="110">
        <f t="shared" si="1337"/>
        <v>0.18181818181818182</v>
      </c>
      <c r="V1242"/>
    </row>
    <row r="1243" spans="2:25" s="97" customFormat="1" ht="16.5" hidden="1" customHeight="1" x14ac:dyDescent="0.2">
      <c r="B1243" s="711">
        <v>46166</v>
      </c>
      <c r="C1243" s="105" t="s">
        <v>106</v>
      </c>
      <c r="D1243" s="105" t="s">
        <v>129</v>
      </c>
      <c r="E1243" s="711">
        <v>46166</v>
      </c>
      <c r="F1243" s="89"/>
      <c r="G1243" s="267"/>
      <c r="H1243" s="113" t="s">
        <v>19</v>
      </c>
      <c r="I1243" s="113"/>
      <c r="J1243" s="113">
        <f t="shared" ref="J1243:P1243" si="1349">SUM(J1235:J1242)</f>
        <v>917</v>
      </c>
      <c r="K1243" s="113">
        <f t="shared" si="1349"/>
        <v>193</v>
      </c>
      <c r="L1243" s="113">
        <f t="shared" si="1349"/>
        <v>83</v>
      </c>
      <c r="M1243" s="113">
        <f t="shared" si="1349"/>
        <v>352</v>
      </c>
      <c r="N1243" s="113">
        <f t="shared" si="1349"/>
        <v>21</v>
      </c>
      <c r="O1243" s="113">
        <f t="shared" si="1349"/>
        <v>115</v>
      </c>
      <c r="P1243" s="113">
        <f t="shared" si="1349"/>
        <v>50</v>
      </c>
      <c r="Q1243" s="115">
        <f>(K1243+L1243)/J1243</f>
        <v>0.30098146128680481</v>
      </c>
      <c r="R1243" s="116">
        <f t="shared" si="1334"/>
        <v>2.2900763358778626E-2</v>
      </c>
      <c r="S1243" s="116">
        <f t="shared" si="1335"/>
        <v>5.4525627044711013E-2</v>
      </c>
      <c r="T1243" s="116">
        <f t="shared" si="1336"/>
        <v>0.12540894220283533</v>
      </c>
      <c r="U1243" s="117">
        <f t="shared" si="1337"/>
        <v>0.50381679389312972</v>
      </c>
      <c r="V1243" s="127"/>
      <c r="W1243" s="88"/>
      <c r="X1243" s="88"/>
      <c r="Y1243" s="118"/>
    </row>
    <row r="1244" spans="2:25" ht="15.75" hidden="1" x14ac:dyDescent="0.2">
      <c r="B1244" s="711">
        <v>46167</v>
      </c>
      <c r="C1244" s="105" t="s">
        <v>106</v>
      </c>
      <c r="D1244" s="105" t="s">
        <v>137</v>
      </c>
      <c r="E1244" s="711">
        <v>46167</v>
      </c>
      <c r="G1244" s="833">
        <v>46167</v>
      </c>
      <c r="H1244" s="120" t="s">
        <v>139</v>
      </c>
      <c r="I1244" s="120" t="s">
        <v>106</v>
      </c>
      <c r="J1244" s="106">
        <v>26</v>
      </c>
      <c r="K1244" s="106">
        <f>J1244-L1244-M1244-N1244-O1244-P1244</f>
        <v>16</v>
      </c>
      <c r="L1244" s="106">
        <v>1</v>
      </c>
      <c r="M1244" s="106">
        <v>0</v>
      </c>
      <c r="N1244" s="106">
        <v>0</v>
      </c>
      <c r="O1244" s="106">
        <v>0</v>
      </c>
      <c r="P1244" s="106">
        <v>9</v>
      </c>
      <c r="Q1244" s="108">
        <f t="shared" ref="Q1244:Q1248" si="1350">(K1244+L1244)/J1244</f>
        <v>0.65384615384615385</v>
      </c>
      <c r="R1244" s="109">
        <f t="shared" ref="R1244:R1270" si="1351">N1244/J1244</f>
        <v>0</v>
      </c>
      <c r="S1244" s="109">
        <f t="shared" ref="S1244:S1270" si="1352">P1244/J1244</f>
        <v>0.34615384615384615</v>
      </c>
      <c r="T1244" s="109">
        <f t="shared" ref="T1244:T1270" si="1353">O1244/J1244</f>
        <v>0</v>
      </c>
      <c r="U1244" s="110">
        <f t="shared" ref="U1244:U1270" si="1354">S1244+R1244+Q1244+T1244</f>
        <v>1</v>
      </c>
      <c r="V1244" s="136"/>
    </row>
    <row r="1245" spans="2:25" ht="15.75" hidden="1" x14ac:dyDescent="0.2">
      <c r="B1245" s="711">
        <v>46167</v>
      </c>
      <c r="C1245" s="105" t="s">
        <v>106</v>
      </c>
      <c r="D1245" s="105" t="s">
        <v>137</v>
      </c>
      <c r="E1245" s="711">
        <v>46167</v>
      </c>
      <c r="G1245" s="834"/>
      <c r="H1245" s="120" t="s">
        <v>14</v>
      </c>
      <c r="I1245" s="120" t="s">
        <v>106</v>
      </c>
      <c r="J1245" s="106">
        <v>71</v>
      </c>
      <c r="K1245" s="106">
        <f t="shared" ref="K1245:K1248" si="1355">J1245-L1245-M1245-N1245-O1245-P1245</f>
        <v>48</v>
      </c>
      <c r="L1245" s="106">
        <v>10</v>
      </c>
      <c r="M1245" s="106">
        <v>0</v>
      </c>
      <c r="N1245" s="106">
        <v>0</v>
      </c>
      <c r="O1245" s="106">
        <v>10</v>
      </c>
      <c r="P1245" s="106">
        <v>3</v>
      </c>
      <c r="Q1245" s="108">
        <f t="shared" si="1350"/>
        <v>0.81690140845070425</v>
      </c>
      <c r="R1245" s="109">
        <f t="shared" si="1351"/>
        <v>0</v>
      </c>
      <c r="S1245" s="109">
        <f t="shared" si="1352"/>
        <v>4.2253521126760563E-2</v>
      </c>
      <c r="T1245" s="109">
        <f t="shared" si="1353"/>
        <v>0.14084507042253522</v>
      </c>
      <c r="U1245" s="110">
        <f t="shared" si="1354"/>
        <v>1</v>
      </c>
      <c r="V1245" s="296"/>
    </row>
    <row r="1246" spans="2:25" ht="15.75" hidden="1" x14ac:dyDescent="0.2">
      <c r="B1246" s="711">
        <v>46167</v>
      </c>
      <c r="C1246" s="105" t="s">
        <v>106</v>
      </c>
      <c r="D1246" s="105" t="s">
        <v>137</v>
      </c>
      <c r="E1246" s="711">
        <v>46167</v>
      </c>
      <c r="G1246" s="834"/>
      <c r="H1246" s="120" t="s">
        <v>84</v>
      </c>
      <c r="I1246" s="120" t="s">
        <v>106</v>
      </c>
      <c r="J1246" s="106">
        <v>141</v>
      </c>
      <c r="K1246" s="106">
        <f t="shared" si="1355"/>
        <v>93</v>
      </c>
      <c r="L1246" s="106">
        <v>30</v>
      </c>
      <c r="M1246" s="106">
        <v>14</v>
      </c>
      <c r="N1246" s="106">
        <v>0</v>
      </c>
      <c r="O1246" s="106">
        <v>0</v>
      </c>
      <c r="P1246" s="107">
        <v>4</v>
      </c>
      <c r="Q1246" s="108">
        <f t="shared" si="1350"/>
        <v>0.87234042553191493</v>
      </c>
      <c r="R1246" s="109">
        <f t="shared" si="1351"/>
        <v>0</v>
      </c>
      <c r="S1246" s="109">
        <f t="shared" si="1352"/>
        <v>2.8368794326241134E-2</v>
      </c>
      <c r="T1246" s="109">
        <f t="shared" si="1353"/>
        <v>0</v>
      </c>
      <c r="U1246" s="110">
        <f t="shared" si="1354"/>
        <v>0.90070921985815611</v>
      </c>
      <c r="V1246" s="296" t="s">
        <v>141</v>
      </c>
    </row>
    <row r="1247" spans="2:25" ht="15.75" hidden="1" x14ac:dyDescent="0.2">
      <c r="B1247" s="711">
        <v>46167</v>
      </c>
      <c r="C1247" s="105" t="s">
        <v>106</v>
      </c>
      <c r="D1247" s="105" t="s">
        <v>137</v>
      </c>
      <c r="E1247" s="711">
        <v>46167</v>
      </c>
      <c r="G1247" s="834"/>
      <c r="H1247" s="120" t="s">
        <v>17</v>
      </c>
      <c r="I1247" s="120" t="s">
        <v>105</v>
      </c>
      <c r="J1247" s="106">
        <v>194</v>
      </c>
      <c r="K1247" s="106">
        <f t="shared" si="1355"/>
        <v>128</v>
      </c>
      <c r="L1247" s="106">
        <v>34</v>
      </c>
      <c r="M1247" s="106">
        <v>27</v>
      </c>
      <c r="N1247" s="106">
        <v>0</v>
      </c>
      <c r="O1247" s="106">
        <v>0</v>
      </c>
      <c r="P1247" s="106">
        <v>5</v>
      </c>
      <c r="Q1247" s="108">
        <f t="shared" si="1350"/>
        <v>0.83505154639175261</v>
      </c>
      <c r="R1247" s="109">
        <f t="shared" si="1351"/>
        <v>0</v>
      </c>
      <c r="S1247" s="109">
        <f t="shared" si="1352"/>
        <v>2.5773195876288658E-2</v>
      </c>
      <c r="T1247" s="109">
        <f t="shared" si="1353"/>
        <v>0</v>
      </c>
      <c r="U1247" s="110">
        <f t="shared" si="1354"/>
        <v>0.86082474226804129</v>
      </c>
      <c r="V1247" t="s">
        <v>21</v>
      </c>
    </row>
    <row r="1248" spans="2:25" ht="15.75" hidden="1" x14ac:dyDescent="0.2">
      <c r="B1248" s="711">
        <v>46167</v>
      </c>
      <c r="C1248" s="105" t="s">
        <v>106</v>
      </c>
      <c r="D1248" s="105" t="s">
        <v>137</v>
      </c>
      <c r="E1248" s="711">
        <v>46167</v>
      </c>
      <c r="G1248" s="835"/>
      <c r="H1248" s="120" t="s">
        <v>75</v>
      </c>
      <c r="I1248" s="120" t="s">
        <v>112</v>
      </c>
      <c r="J1248" s="106">
        <v>44</v>
      </c>
      <c r="K1248" s="106">
        <f t="shared" si="1355"/>
        <v>16</v>
      </c>
      <c r="L1248" s="106">
        <v>11</v>
      </c>
      <c r="M1248" s="106">
        <v>0</v>
      </c>
      <c r="N1248" s="106">
        <v>0</v>
      </c>
      <c r="O1248" s="106">
        <v>15</v>
      </c>
      <c r="P1248" s="106">
        <v>2</v>
      </c>
      <c r="Q1248" s="108">
        <f t="shared" si="1350"/>
        <v>0.61363636363636365</v>
      </c>
      <c r="R1248" s="109">
        <f t="shared" si="1351"/>
        <v>0</v>
      </c>
      <c r="S1248" s="109">
        <f t="shared" si="1352"/>
        <v>4.5454545454545456E-2</v>
      </c>
      <c r="T1248" s="109">
        <f t="shared" si="1353"/>
        <v>0.34090909090909088</v>
      </c>
      <c r="U1248" s="110">
        <f t="shared" si="1354"/>
        <v>1</v>
      </c>
      <c r="V1248" t="s">
        <v>21</v>
      </c>
    </row>
    <row r="1249" spans="2:25" ht="15.75" hidden="1" x14ac:dyDescent="0.2">
      <c r="B1249" s="711">
        <v>46167</v>
      </c>
      <c r="C1249" s="105" t="s">
        <v>106</v>
      </c>
      <c r="D1249" s="105" t="s">
        <v>137</v>
      </c>
      <c r="E1249" s="711">
        <v>46167</v>
      </c>
      <c r="G1249" s="267"/>
      <c r="H1249" s="113" t="s">
        <v>19</v>
      </c>
      <c r="I1249" s="113"/>
      <c r="J1249" s="113">
        <f>SUM(J1244:J1248)</f>
        <v>476</v>
      </c>
      <c r="K1249" s="113">
        <f t="shared" ref="K1249:P1249" si="1356">SUM(K1244:K1248)</f>
        <v>301</v>
      </c>
      <c r="L1249" s="113">
        <f t="shared" si="1356"/>
        <v>86</v>
      </c>
      <c r="M1249" s="113">
        <f t="shared" si="1356"/>
        <v>41</v>
      </c>
      <c r="N1249" s="113">
        <f t="shared" si="1356"/>
        <v>0</v>
      </c>
      <c r="O1249" s="113">
        <f t="shared" si="1356"/>
        <v>25</v>
      </c>
      <c r="P1249" s="113">
        <f t="shared" si="1356"/>
        <v>23</v>
      </c>
      <c r="Q1249" s="115">
        <f>(K1249+L1249)/J1249</f>
        <v>0.81302521008403361</v>
      </c>
      <c r="R1249" s="116">
        <f t="shared" si="1351"/>
        <v>0</v>
      </c>
      <c r="S1249" s="116">
        <f t="shared" si="1352"/>
        <v>4.8319327731092439E-2</v>
      </c>
      <c r="T1249" s="116">
        <f t="shared" si="1353"/>
        <v>5.2521008403361345E-2</v>
      </c>
      <c r="U1249" s="117">
        <f t="shared" si="1354"/>
        <v>0.91386554621848748</v>
      </c>
      <c r="V1249" s="127"/>
    </row>
    <row r="1250" spans="2:25" ht="15.75" hidden="1" x14ac:dyDescent="0.2">
      <c r="B1250" s="711">
        <v>46167</v>
      </c>
      <c r="C1250" s="105" t="s">
        <v>106</v>
      </c>
      <c r="D1250" s="105" t="s">
        <v>137</v>
      </c>
      <c r="E1250" s="711">
        <v>46168</v>
      </c>
      <c r="G1250" s="833">
        <v>46168</v>
      </c>
      <c r="H1250" s="120" t="s">
        <v>14</v>
      </c>
      <c r="I1250" s="120" t="s">
        <v>106</v>
      </c>
      <c r="J1250" s="106">
        <v>207</v>
      </c>
      <c r="K1250" s="106">
        <f t="shared" ref="K1250:K1253" si="1357">J1250-L1250-M1250-N1250-O1250-P1250</f>
        <v>0</v>
      </c>
      <c r="L1250" s="106">
        <v>0</v>
      </c>
      <c r="M1250" s="106">
        <v>203</v>
      </c>
      <c r="N1250" s="106">
        <v>0</v>
      </c>
      <c r="O1250" s="106">
        <v>0</v>
      </c>
      <c r="P1250" s="106">
        <v>4</v>
      </c>
      <c r="Q1250" s="108">
        <f t="shared" ref="Q1250:Q1253" si="1358">(K1250+L1250)/J1250</f>
        <v>0</v>
      </c>
      <c r="R1250" s="109">
        <f t="shared" si="1351"/>
        <v>0</v>
      </c>
      <c r="S1250" s="109">
        <f t="shared" si="1352"/>
        <v>1.932367149758454E-2</v>
      </c>
      <c r="T1250" s="109">
        <f t="shared" si="1353"/>
        <v>0</v>
      </c>
      <c r="U1250" s="110">
        <f t="shared" si="1354"/>
        <v>1.932367149758454E-2</v>
      </c>
      <c r="V1250" s="296"/>
    </row>
    <row r="1251" spans="2:25" ht="15.75" hidden="1" x14ac:dyDescent="0.2">
      <c r="B1251" s="711">
        <v>46167</v>
      </c>
      <c r="C1251" s="105" t="s">
        <v>106</v>
      </c>
      <c r="D1251" s="105" t="s">
        <v>137</v>
      </c>
      <c r="E1251" s="711">
        <v>46168</v>
      </c>
      <c r="G1251" s="834"/>
      <c r="H1251" s="120" t="s">
        <v>84</v>
      </c>
      <c r="I1251" s="120" t="s">
        <v>106</v>
      </c>
      <c r="J1251" s="106">
        <v>45</v>
      </c>
      <c r="K1251" s="106">
        <f t="shared" si="1357"/>
        <v>0</v>
      </c>
      <c r="L1251" s="106">
        <v>0</v>
      </c>
      <c r="M1251" s="106">
        <v>45</v>
      </c>
      <c r="N1251" s="106">
        <v>0</v>
      </c>
      <c r="O1251" s="106">
        <v>0</v>
      </c>
      <c r="P1251" s="106">
        <v>0</v>
      </c>
      <c r="Q1251" s="108">
        <f t="shared" si="1358"/>
        <v>0</v>
      </c>
      <c r="R1251" s="109">
        <f t="shared" si="1351"/>
        <v>0</v>
      </c>
      <c r="S1251" s="109">
        <f t="shared" si="1352"/>
        <v>0</v>
      </c>
      <c r="T1251" s="109">
        <f t="shared" si="1353"/>
        <v>0</v>
      </c>
      <c r="U1251" s="110">
        <f t="shared" si="1354"/>
        <v>0</v>
      </c>
      <c r="V1251" s="296"/>
    </row>
    <row r="1252" spans="2:25" ht="15.75" hidden="1" x14ac:dyDescent="0.2">
      <c r="B1252" s="711">
        <v>46167</v>
      </c>
      <c r="C1252" s="105" t="s">
        <v>106</v>
      </c>
      <c r="D1252" s="105" t="s">
        <v>137</v>
      </c>
      <c r="E1252" s="711">
        <v>46168</v>
      </c>
      <c r="G1252" s="834"/>
      <c r="H1252" s="120" t="s">
        <v>17</v>
      </c>
      <c r="I1252" s="120" t="s">
        <v>105</v>
      </c>
      <c r="J1252" s="106">
        <v>180</v>
      </c>
      <c r="K1252" s="106">
        <f t="shared" si="1357"/>
        <v>0</v>
      </c>
      <c r="L1252" s="106">
        <v>0</v>
      </c>
      <c r="M1252" s="106">
        <v>180</v>
      </c>
      <c r="N1252" s="106">
        <v>0</v>
      </c>
      <c r="O1252" s="106">
        <v>0</v>
      </c>
      <c r="P1252" s="106">
        <v>0</v>
      </c>
      <c r="Q1252" s="108">
        <f t="shared" si="1358"/>
        <v>0</v>
      </c>
      <c r="R1252" s="109">
        <f t="shared" si="1351"/>
        <v>0</v>
      </c>
      <c r="S1252" s="109">
        <f t="shared" si="1352"/>
        <v>0</v>
      </c>
      <c r="T1252" s="109">
        <f t="shared" si="1353"/>
        <v>0</v>
      </c>
      <c r="U1252" s="110">
        <f t="shared" si="1354"/>
        <v>0</v>
      </c>
      <c r="V1252"/>
    </row>
    <row r="1253" spans="2:25" ht="15.75" hidden="1" x14ac:dyDescent="0.2">
      <c r="B1253" s="711">
        <v>46167</v>
      </c>
      <c r="C1253" s="105" t="s">
        <v>106</v>
      </c>
      <c r="D1253" s="105" t="s">
        <v>137</v>
      </c>
      <c r="E1253" s="711">
        <v>46168</v>
      </c>
      <c r="G1253" s="835"/>
      <c r="H1253" s="120" t="s">
        <v>75</v>
      </c>
      <c r="I1253" s="120" t="s">
        <v>112</v>
      </c>
      <c r="J1253" s="106">
        <v>242</v>
      </c>
      <c r="K1253" s="106">
        <f t="shared" si="1357"/>
        <v>45</v>
      </c>
      <c r="L1253" s="106">
        <v>0</v>
      </c>
      <c r="M1253" s="106">
        <v>191</v>
      </c>
      <c r="N1253" s="106">
        <v>0</v>
      </c>
      <c r="O1253" s="106">
        <v>0</v>
      </c>
      <c r="P1253" s="106">
        <v>6</v>
      </c>
      <c r="Q1253" s="108">
        <f t="shared" si="1358"/>
        <v>0.18595041322314049</v>
      </c>
      <c r="R1253" s="109">
        <f t="shared" si="1351"/>
        <v>0</v>
      </c>
      <c r="S1253" s="109">
        <f t="shared" si="1352"/>
        <v>2.4793388429752067E-2</v>
      </c>
      <c r="T1253" s="109">
        <f t="shared" si="1353"/>
        <v>0</v>
      </c>
      <c r="U1253" s="110">
        <f t="shared" si="1354"/>
        <v>0.21074380165289255</v>
      </c>
      <c r="V1253"/>
    </row>
    <row r="1254" spans="2:25" ht="15.75" hidden="1" x14ac:dyDescent="0.2">
      <c r="B1254" s="711">
        <v>46167</v>
      </c>
      <c r="C1254" s="105" t="s">
        <v>106</v>
      </c>
      <c r="D1254" s="105" t="s">
        <v>137</v>
      </c>
      <c r="E1254" s="711">
        <v>46168</v>
      </c>
      <c r="G1254" s="267"/>
      <c r="H1254" s="113" t="s">
        <v>19</v>
      </c>
      <c r="I1254" s="113"/>
      <c r="J1254" s="113">
        <f>SUM(J1250:J1253)</f>
        <v>674</v>
      </c>
      <c r="K1254" s="113">
        <f t="shared" ref="K1254:P1254" si="1359">SUM(K1250:K1253)</f>
        <v>45</v>
      </c>
      <c r="L1254" s="113">
        <f t="shared" si="1359"/>
        <v>0</v>
      </c>
      <c r="M1254" s="113">
        <f t="shared" si="1359"/>
        <v>619</v>
      </c>
      <c r="N1254" s="113">
        <f t="shared" si="1359"/>
        <v>0</v>
      </c>
      <c r="O1254" s="113">
        <f t="shared" si="1359"/>
        <v>0</v>
      </c>
      <c r="P1254" s="113">
        <f t="shared" si="1359"/>
        <v>10</v>
      </c>
      <c r="Q1254" s="115">
        <f>(K1254+L1254)/J1254</f>
        <v>6.6765578635014838E-2</v>
      </c>
      <c r="R1254" s="116">
        <f t="shared" si="1351"/>
        <v>0</v>
      </c>
      <c r="S1254" s="116">
        <f t="shared" si="1352"/>
        <v>1.483679525222552E-2</v>
      </c>
      <c r="T1254" s="116">
        <f t="shared" si="1353"/>
        <v>0</v>
      </c>
      <c r="U1254" s="117">
        <f t="shared" si="1354"/>
        <v>8.1602373887240356E-2</v>
      </c>
      <c r="V1254" s="127"/>
    </row>
    <row r="1255" spans="2:25" ht="15.75" hidden="1" x14ac:dyDescent="0.2">
      <c r="B1255" s="711">
        <v>46165</v>
      </c>
      <c r="C1255" s="105" t="s">
        <v>106</v>
      </c>
      <c r="D1255" s="105" t="s">
        <v>129</v>
      </c>
      <c r="E1255" s="711">
        <v>46165</v>
      </c>
      <c r="G1255" s="833">
        <v>46165</v>
      </c>
      <c r="H1255" s="120" t="s">
        <v>75</v>
      </c>
      <c r="I1255" s="120" t="s">
        <v>112</v>
      </c>
      <c r="J1255" s="106">
        <f>SUM(K1255:P1255)</f>
        <v>40</v>
      </c>
      <c r="K1255" s="106">
        <v>4</v>
      </c>
      <c r="L1255" s="106">
        <v>21</v>
      </c>
      <c r="M1255" s="106">
        <v>0</v>
      </c>
      <c r="N1255" s="106">
        <v>0</v>
      </c>
      <c r="O1255" s="106">
        <v>15</v>
      </c>
      <c r="P1255" s="106">
        <v>0</v>
      </c>
      <c r="Q1255" s="108">
        <f t="shared" ref="Q1255:Q1262" si="1360">(K1255+L1255)/J1255</f>
        <v>0.625</v>
      </c>
      <c r="R1255" s="109">
        <f t="shared" si="1351"/>
        <v>0</v>
      </c>
      <c r="S1255" s="109">
        <f t="shared" si="1352"/>
        <v>0</v>
      </c>
      <c r="T1255" s="109">
        <f t="shared" si="1353"/>
        <v>0.375</v>
      </c>
      <c r="U1255" s="110">
        <f t="shared" si="1354"/>
        <v>1</v>
      </c>
      <c r="V1255" s="136"/>
    </row>
    <row r="1256" spans="2:25" ht="15.75" hidden="1" x14ac:dyDescent="0.2">
      <c r="B1256" s="711">
        <v>46165</v>
      </c>
      <c r="C1256" s="105" t="s">
        <v>106</v>
      </c>
      <c r="D1256" s="105" t="s">
        <v>129</v>
      </c>
      <c r="E1256" s="711">
        <v>46165</v>
      </c>
      <c r="G1256" s="834"/>
      <c r="H1256" s="120" t="s">
        <v>17</v>
      </c>
      <c r="I1256" s="120" t="s">
        <v>106</v>
      </c>
      <c r="J1256" s="106">
        <f t="shared" ref="J1256:J1258" si="1361">SUM(K1256:P1256)</f>
        <v>48</v>
      </c>
      <c r="K1256" s="106">
        <v>30</v>
      </c>
      <c r="L1256" s="106">
        <v>9</v>
      </c>
      <c r="M1256" s="106">
        <v>0</v>
      </c>
      <c r="N1256" s="106">
        <v>0</v>
      </c>
      <c r="O1256" s="106">
        <v>0</v>
      </c>
      <c r="P1256" s="106">
        <v>9</v>
      </c>
      <c r="Q1256" s="108">
        <f t="shared" si="1360"/>
        <v>0.8125</v>
      </c>
      <c r="R1256" s="109">
        <f t="shared" si="1351"/>
        <v>0</v>
      </c>
      <c r="S1256" s="109">
        <f t="shared" si="1352"/>
        <v>0.1875</v>
      </c>
      <c r="T1256" s="109">
        <f t="shared" si="1353"/>
        <v>0</v>
      </c>
      <c r="U1256" s="110">
        <f t="shared" si="1354"/>
        <v>1</v>
      </c>
      <c r="V1256" s="136"/>
    </row>
    <row r="1257" spans="2:25" ht="15.75" hidden="1" x14ac:dyDescent="0.2">
      <c r="B1257" s="711">
        <v>46165</v>
      </c>
      <c r="C1257" s="105" t="s">
        <v>106</v>
      </c>
      <c r="D1257" s="105" t="s">
        <v>129</v>
      </c>
      <c r="E1257" s="711">
        <v>46165</v>
      </c>
      <c r="G1257" s="834"/>
      <c r="H1257" s="120" t="s">
        <v>32</v>
      </c>
      <c r="I1257" s="120" t="s">
        <v>106</v>
      </c>
      <c r="J1257" s="106">
        <f t="shared" si="1361"/>
        <v>11</v>
      </c>
      <c r="K1257" s="106">
        <v>10</v>
      </c>
      <c r="L1257" s="106">
        <v>1</v>
      </c>
      <c r="M1257" s="106">
        <v>0</v>
      </c>
      <c r="N1257" s="106">
        <v>0</v>
      </c>
      <c r="O1257" s="106">
        <v>0</v>
      </c>
      <c r="P1257" s="106">
        <v>0</v>
      </c>
      <c r="Q1257" s="108">
        <f t="shared" si="1360"/>
        <v>1</v>
      </c>
      <c r="R1257" s="109">
        <f t="shared" si="1351"/>
        <v>0</v>
      </c>
      <c r="S1257" s="109">
        <f t="shared" si="1352"/>
        <v>0</v>
      </c>
      <c r="T1257" s="109">
        <f t="shared" si="1353"/>
        <v>0</v>
      </c>
      <c r="U1257" s="110">
        <f t="shared" si="1354"/>
        <v>1</v>
      </c>
      <c r="V1257" s="136"/>
    </row>
    <row r="1258" spans="2:25" ht="15.75" hidden="1" x14ac:dyDescent="0.2">
      <c r="B1258" s="711">
        <v>46165</v>
      </c>
      <c r="C1258" s="105" t="s">
        <v>106</v>
      </c>
      <c r="D1258" s="105" t="s">
        <v>129</v>
      </c>
      <c r="E1258" s="711">
        <v>46165</v>
      </c>
      <c r="G1258" s="834"/>
      <c r="H1258" s="120" t="s">
        <v>25</v>
      </c>
      <c r="I1258" s="120" t="s">
        <v>106</v>
      </c>
      <c r="J1258" s="106">
        <f t="shared" si="1361"/>
        <v>7</v>
      </c>
      <c r="K1258" s="106">
        <v>4</v>
      </c>
      <c r="L1258" s="106">
        <v>2</v>
      </c>
      <c r="M1258" s="106">
        <v>0</v>
      </c>
      <c r="N1258" s="106">
        <v>0</v>
      </c>
      <c r="O1258" s="106">
        <v>0</v>
      </c>
      <c r="P1258" s="106">
        <v>1</v>
      </c>
      <c r="Q1258" s="108">
        <f t="shared" si="1360"/>
        <v>0.8571428571428571</v>
      </c>
      <c r="R1258" s="109">
        <f t="shared" si="1351"/>
        <v>0</v>
      </c>
      <c r="S1258" s="109">
        <f t="shared" si="1352"/>
        <v>0.14285714285714285</v>
      </c>
      <c r="T1258" s="109">
        <f t="shared" si="1353"/>
        <v>0</v>
      </c>
      <c r="U1258" s="110">
        <f t="shared" si="1354"/>
        <v>1</v>
      </c>
      <c r="V1258" s="136"/>
    </row>
    <row r="1259" spans="2:25" ht="15.75" hidden="1" x14ac:dyDescent="0.2">
      <c r="B1259" s="711">
        <v>46165</v>
      </c>
      <c r="C1259" s="105" t="s">
        <v>106</v>
      </c>
      <c r="D1259" s="105" t="s">
        <v>129</v>
      </c>
      <c r="E1259" s="711">
        <v>46165</v>
      </c>
      <c r="G1259" s="835"/>
      <c r="H1259" s="120" t="s">
        <v>14</v>
      </c>
      <c r="I1259" s="120" t="s">
        <v>18</v>
      </c>
      <c r="J1259" s="106">
        <v>177</v>
      </c>
      <c r="K1259" s="106">
        <v>130</v>
      </c>
      <c r="L1259" s="106">
        <v>30</v>
      </c>
      <c r="M1259" s="106">
        <v>0</v>
      </c>
      <c r="N1259" s="106">
        <v>0</v>
      </c>
      <c r="O1259" s="106">
        <v>17</v>
      </c>
      <c r="P1259" s="106">
        <v>0</v>
      </c>
      <c r="Q1259" s="108">
        <f t="shared" si="1360"/>
        <v>0.903954802259887</v>
      </c>
      <c r="R1259" s="109">
        <f t="shared" si="1351"/>
        <v>0</v>
      </c>
      <c r="S1259" s="109">
        <f t="shared" si="1352"/>
        <v>0</v>
      </c>
      <c r="T1259" s="109">
        <f t="shared" si="1353"/>
        <v>9.6045197740112997E-2</v>
      </c>
      <c r="U1259" s="110">
        <f t="shared" si="1354"/>
        <v>1</v>
      </c>
      <c r="V1259" s="136"/>
    </row>
    <row r="1260" spans="2:25" ht="15.75" hidden="1" x14ac:dyDescent="0.2">
      <c r="B1260" s="711">
        <v>46165</v>
      </c>
      <c r="C1260" s="105" t="s">
        <v>106</v>
      </c>
      <c r="D1260" s="105" t="s">
        <v>129</v>
      </c>
      <c r="E1260" s="711">
        <v>46166</v>
      </c>
      <c r="G1260" s="713">
        <v>46166</v>
      </c>
      <c r="H1260" s="120" t="s">
        <v>17</v>
      </c>
      <c r="I1260" s="120" t="s">
        <v>105</v>
      </c>
      <c r="J1260" s="106">
        <v>199</v>
      </c>
      <c r="K1260" s="106">
        <v>0</v>
      </c>
      <c r="L1260" s="106">
        <v>0</v>
      </c>
      <c r="M1260" s="106">
        <v>167</v>
      </c>
      <c r="N1260" s="106">
        <v>20</v>
      </c>
      <c r="O1260" s="106">
        <v>0</v>
      </c>
      <c r="P1260" s="106">
        <v>7</v>
      </c>
      <c r="Q1260" s="108">
        <f t="shared" si="1360"/>
        <v>0</v>
      </c>
      <c r="R1260" s="109">
        <f t="shared" si="1351"/>
        <v>0.10050251256281408</v>
      </c>
      <c r="S1260" s="109">
        <f t="shared" si="1352"/>
        <v>3.5175879396984924E-2</v>
      </c>
      <c r="T1260" s="109">
        <f t="shared" si="1353"/>
        <v>0</v>
      </c>
      <c r="U1260" s="110">
        <f t="shared" si="1354"/>
        <v>0.135678391959799</v>
      </c>
      <c r="V1260" s="136"/>
    </row>
    <row r="1261" spans="2:25" ht="15.75" hidden="1" x14ac:dyDescent="0.2">
      <c r="B1261" s="711">
        <v>46165</v>
      </c>
      <c r="C1261" s="105" t="s">
        <v>106</v>
      </c>
      <c r="D1261" s="105" t="s">
        <v>129</v>
      </c>
      <c r="E1261" s="711">
        <v>46166</v>
      </c>
      <c r="G1261" s="830">
        <v>46167</v>
      </c>
      <c r="H1261" s="120" t="s">
        <v>84</v>
      </c>
      <c r="I1261" s="120" t="s">
        <v>106</v>
      </c>
      <c r="J1261" s="106">
        <v>173</v>
      </c>
      <c r="K1261" s="106">
        <v>106</v>
      </c>
      <c r="L1261" s="106">
        <v>18</v>
      </c>
      <c r="M1261" s="106">
        <v>24</v>
      </c>
      <c r="N1261" s="106">
        <v>21</v>
      </c>
      <c r="O1261" s="106">
        <v>0</v>
      </c>
      <c r="P1261" s="106">
        <v>4</v>
      </c>
      <c r="Q1261" s="108">
        <f t="shared" si="1360"/>
        <v>0.7167630057803468</v>
      </c>
      <c r="R1261" s="109">
        <f t="shared" si="1351"/>
        <v>0.12138728323699421</v>
      </c>
      <c r="S1261" s="109">
        <f t="shared" si="1352"/>
        <v>2.3121387283236993E-2</v>
      </c>
      <c r="T1261" s="109">
        <f t="shared" si="1353"/>
        <v>0</v>
      </c>
      <c r="U1261" s="110">
        <f t="shared" si="1354"/>
        <v>0.86127167630057799</v>
      </c>
      <c r="V1261" s="136"/>
    </row>
    <row r="1262" spans="2:25" ht="15.75" hidden="1" x14ac:dyDescent="0.2">
      <c r="B1262" s="711">
        <v>46165</v>
      </c>
      <c r="C1262" s="105" t="s">
        <v>106</v>
      </c>
      <c r="D1262" s="105" t="s">
        <v>129</v>
      </c>
      <c r="E1262" s="711">
        <v>46166</v>
      </c>
      <c r="G1262" s="832"/>
      <c r="H1262" s="120" t="s">
        <v>142</v>
      </c>
      <c r="I1262" s="120" t="s">
        <v>106</v>
      </c>
      <c r="J1262" s="106">
        <v>41</v>
      </c>
      <c r="K1262" s="106">
        <v>9</v>
      </c>
      <c r="L1262" s="106">
        <v>14</v>
      </c>
      <c r="M1262" s="106">
        <v>0</v>
      </c>
      <c r="N1262" s="106">
        <v>0</v>
      </c>
      <c r="O1262" s="106">
        <v>0</v>
      </c>
      <c r="P1262" s="106">
        <v>22</v>
      </c>
      <c r="Q1262" s="108">
        <f t="shared" si="1360"/>
        <v>0.56097560975609762</v>
      </c>
      <c r="R1262" s="109">
        <f t="shared" si="1351"/>
        <v>0</v>
      </c>
      <c r="S1262" s="109">
        <f t="shared" si="1352"/>
        <v>0.53658536585365857</v>
      </c>
      <c r="T1262" s="109">
        <f t="shared" si="1353"/>
        <v>0</v>
      </c>
      <c r="U1262" s="110">
        <f t="shared" si="1354"/>
        <v>1.0975609756097562</v>
      </c>
      <c r="V1262"/>
    </row>
    <row r="1263" spans="2:25" s="97" customFormat="1" ht="16.5" hidden="1" customHeight="1" x14ac:dyDescent="0.2">
      <c r="B1263" s="711">
        <v>46165</v>
      </c>
      <c r="C1263" s="105" t="s">
        <v>106</v>
      </c>
      <c r="D1263" s="105" t="s">
        <v>129</v>
      </c>
      <c r="E1263" s="711">
        <v>46166</v>
      </c>
      <c r="F1263" s="89"/>
      <c r="G1263" s="267"/>
      <c r="H1263" s="113" t="s">
        <v>19</v>
      </c>
      <c r="I1263" s="113"/>
      <c r="J1263" s="113">
        <f t="shared" ref="J1263:P1263" si="1362">SUM(J1255:J1262)</f>
        <v>696</v>
      </c>
      <c r="K1263" s="113">
        <f t="shared" si="1362"/>
        <v>293</v>
      </c>
      <c r="L1263" s="113">
        <f t="shared" si="1362"/>
        <v>95</v>
      </c>
      <c r="M1263" s="113">
        <f t="shared" si="1362"/>
        <v>191</v>
      </c>
      <c r="N1263" s="113">
        <f t="shared" si="1362"/>
        <v>41</v>
      </c>
      <c r="O1263" s="113">
        <f t="shared" si="1362"/>
        <v>32</v>
      </c>
      <c r="P1263" s="113">
        <f t="shared" si="1362"/>
        <v>43</v>
      </c>
      <c r="Q1263" s="115">
        <f>(K1263+L1263)/J1263</f>
        <v>0.55747126436781613</v>
      </c>
      <c r="R1263" s="116">
        <f t="shared" si="1351"/>
        <v>5.8908045977011492E-2</v>
      </c>
      <c r="S1263" s="116">
        <f t="shared" si="1352"/>
        <v>6.17816091954023E-2</v>
      </c>
      <c r="T1263" s="116">
        <f t="shared" si="1353"/>
        <v>4.5977011494252873E-2</v>
      </c>
      <c r="U1263" s="117">
        <f t="shared" si="1354"/>
        <v>0.72413793103448287</v>
      </c>
      <c r="V1263" s="127"/>
      <c r="W1263" s="88"/>
      <c r="X1263" s="88"/>
      <c r="Y1263" s="118"/>
    </row>
    <row r="1264" spans="2:25" ht="15.75" hidden="1" x14ac:dyDescent="0.2">
      <c r="B1264" s="711">
        <v>46167</v>
      </c>
      <c r="C1264" s="105" t="s">
        <v>105</v>
      </c>
      <c r="D1264" s="105" t="s">
        <v>129</v>
      </c>
      <c r="E1264" s="711">
        <v>46167</v>
      </c>
      <c r="G1264" s="833">
        <v>46167</v>
      </c>
      <c r="H1264" s="120" t="s">
        <v>75</v>
      </c>
      <c r="I1264" s="120" t="s">
        <v>112</v>
      </c>
      <c r="J1264" s="106">
        <f>SUM(K1264:P1264)</f>
        <v>53</v>
      </c>
      <c r="K1264" s="106">
        <v>27</v>
      </c>
      <c r="L1264" s="106">
        <f>72-53</f>
        <v>19</v>
      </c>
      <c r="M1264" s="106">
        <v>0</v>
      </c>
      <c r="N1264" s="106">
        <v>0</v>
      </c>
      <c r="O1264" s="106">
        <v>0</v>
      </c>
      <c r="P1264" s="106">
        <v>7</v>
      </c>
      <c r="Q1264" s="108">
        <f t="shared" ref="Q1264:Q1269" si="1363">(K1264+L1264)/J1264</f>
        <v>0.86792452830188682</v>
      </c>
      <c r="R1264" s="109">
        <f t="shared" si="1351"/>
        <v>0</v>
      </c>
      <c r="S1264" s="109">
        <f t="shared" si="1352"/>
        <v>0.13207547169811321</v>
      </c>
      <c r="T1264" s="109">
        <f t="shared" si="1353"/>
        <v>0</v>
      </c>
      <c r="U1264" s="110">
        <f t="shared" si="1354"/>
        <v>1</v>
      </c>
      <c r="V1264" s="136"/>
    </row>
    <row r="1265" spans="2:25" ht="15.75" hidden="1" x14ac:dyDescent="0.2">
      <c r="B1265" s="711">
        <v>46167</v>
      </c>
      <c r="C1265" s="105" t="s">
        <v>105</v>
      </c>
      <c r="D1265" s="105" t="s">
        <v>129</v>
      </c>
      <c r="E1265" s="711">
        <v>46167</v>
      </c>
      <c r="G1265" s="835"/>
      <c r="H1265" s="120" t="s">
        <v>17</v>
      </c>
      <c r="I1265" s="120" t="s">
        <v>18</v>
      </c>
      <c r="J1265" s="106">
        <f t="shared" ref="J1265" si="1364">SUM(K1265:P1265)</f>
        <v>42</v>
      </c>
      <c r="K1265" s="106">
        <v>12</v>
      </c>
      <c r="L1265" s="106">
        <v>24</v>
      </c>
      <c r="M1265" s="106">
        <v>0</v>
      </c>
      <c r="N1265" s="106">
        <v>0</v>
      </c>
      <c r="O1265" s="106">
        <v>0</v>
      </c>
      <c r="P1265" s="106">
        <v>6</v>
      </c>
      <c r="Q1265" s="108">
        <f t="shared" si="1363"/>
        <v>0.8571428571428571</v>
      </c>
      <c r="R1265" s="109">
        <f t="shared" si="1351"/>
        <v>0</v>
      </c>
      <c r="S1265" s="109">
        <f t="shared" si="1352"/>
        <v>0.14285714285714285</v>
      </c>
      <c r="T1265" s="109">
        <f t="shared" si="1353"/>
        <v>0</v>
      </c>
      <c r="U1265" s="110">
        <f t="shared" si="1354"/>
        <v>1</v>
      </c>
      <c r="V1265" s="136"/>
    </row>
    <row r="1266" spans="2:25" ht="15.75" hidden="1" x14ac:dyDescent="0.2">
      <c r="B1266" s="711">
        <v>46167</v>
      </c>
      <c r="C1266" s="105" t="s">
        <v>105</v>
      </c>
      <c r="D1266" s="105" t="s">
        <v>129</v>
      </c>
      <c r="E1266" s="711">
        <v>46167</v>
      </c>
      <c r="G1266" s="830">
        <v>46167</v>
      </c>
      <c r="H1266" s="120" t="s">
        <v>75</v>
      </c>
      <c r="I1266" s="120" t="s">
        <v>112</v>
      </c>
      <c r="J1266" s="106">
        <v>197</v>
      </c>
      <c r="K1266" s="106">
        <v>111</v>
      </c>
      <c r="L1266" s="106">
        <v>53</v>
      </c>
      <c r="M1266" s="106">
        <v>7</v>
      </c>
      <c r="N1266" s="106">
        <v>0</v>
      </c>
      <c r="O1266" s="106">
        <v>20</v>
      </c>
      <c r="P1266" s="106">
        <v>7</v>
      </c>
      <c r="Q1266" s="108">
        <f t="shared" si="1363"/>
        <v>0.8324873096446701</v>
      </c>
      <c r="R1266" s="109">
        <f t="shared" si="1351"/>
        <v>0</v>
      </c>
      <c r="S1266" s="109">
        <f t="shared" si="1352"/>
        <v>3.553299492385787E-2</v>
      </c>
      <c r="T1266" s="109">
        <f t="shared" si="1353"/>
        <v>0.10152284263959391</v>
      </c>
      <c r="U1266" s="110">
        <f t="shared" si="1354"/>
        <v>0.96954314720812185</v>
      </c>
      <c r="V1266" s="136"/>
    </row>
    <row r="1267" spans="2:25" ht="6.75" hidden="1" customHeight="1" x14ac:dyDescent="0.2">
      <c r="B1267" s="711">
        <v>46167</v>
      </c>
      <c r="C1267" s="105" t="s">
        <v>105</v>
      </c>
      <c r="D1267" s="105" t="s">
        <v>129</v>
      </c>
      <c r="E1267" s="711">
        <v>46167</v>
      </c>
      <c r="G1267" s="831"/>
      <c r="H1267" s="120" t="s">
        <v>14</v>
      </c>
      <c r="I1267" s="120" t="s">
        <v>106</v>
      </c>
      <c r="J1267" s="106">
        <v>207</v>
      </c>
      <c r="K1267" s="106">
        <v>109</v>
      </c>
      <c r="L1267" s="106">
        <v>32</v>
      </c>
      <c r="M1267" s="106">
        <v>59</v>
      </c>
      <c r="N1267" s="106">
        <v>8</v>
      </c>
      <c r="O1267" s="106">
        <v>10</v>
      </c>
      <c r="P1267" s="106">
        <v>6</v>
      </c>
      <c r="Q1267" s="108">
        <f t="shared" si="1363"/>
        <v>0.6811594202898551</v>
      </c>
      <c r="R1267" s="109">
        <f t="shared" si="1351"/>
        <v>3.864734299516908E-2</v>
      </c>
      <c r="S1267" s="109">
        <f t="shared" si="1352"/>
        <v>2.8985507246376812E-2</v>
      </c>
      <c r="T1267" s="109">
        <f t="shared" si="1353"/>
        <v>4.8309178743961352E-2</v>
      </c>
      <c r="U1267" s="110">
        <f t="shared" si="1354"/>
        <v>0.79710144927536231</v>
      </c>
      <c r="V1267" s="136"/>
    </row>
    <row r="1268" spans="2:25" ht="11.25" hidden="1" customHeight="1" x14ac:dyDescent="0.2">
      <c r="B1268" s="711">
        <v>46167</v>
      </c>
      <c r="C1268" s="105" t="s">
        <v>105</v>
      </c>
      <c r="D1268" s="105" t="s">
        <v>129</v>
      </c>
      <c r="E1268" s="711">
        <v>46167</v>
      </c>
      <c r="G1268" s="831"/>
      <c r="H1268" s="120" t="s">
        <v>84</v>
      </c>
      <c r="I1268" s="120" t="s">
        <v>106</v>
      </c>
      <c r="J1268" s="106">
        <v>45</v>
      </c>
      <c r="K1268" s="106">
        <v>0</v>
      </c>
      <c r="L1268" s="106">
        <v>0</v>
      </c>
      <c r="M1268" s="106">
        <f>45-7</f>
        <v>38</v>
      </c>
      <c r="N1268" s="106">
        <v>0</v>
      </c>
      <c r="O1268" s="106">
        <v>1</v>
      </c>
      <c r="P1268" s="106">
        <v>6</v>
      </c>
      <c r="Q1268" s="108">
        <f t="shared" si="1363"/>
        <v>0</v>
      </c>
      <c r="R1268" s="109">
        <f t="shared" si="1351"/>
        <v>0</v>
      </c>
      <c r="S1268" s="109">
        <f t="shared" si="1352"/>
        <v>0.13333333333333333</v>
      </c>
      <c r="T1268" s="109">
        <f t="shared" si="1353"/>
        <v>2.2222222222222223E-2</v>
      </c>
      <c r="U1268" s="110">
        <f t="shared" si="1354"/>
        <v>0.15555555555555556</v>
      </c>
      <c r="V1268" s="136"/>
    </row>
    <row r="1269" spans="2:25" ht="13.5" hidden="1" customHeight="1" x14ac:dyDescent="0.2">
      <c r="B1269" s="711">
        <v>46167</v>
      </c>
      <c r="C1269" s="105" t="s">
        <v>105</v>
      </c>
      <c r="D1269" s="105" t="s">
        <v>129</v>
      </c>
      <c r="E1269" s="711">
        <v>46167</v>
      </c>
      <c r="G1269" s="832"/>
      <c r="H1269" s="120" t="s">
        <v>17</v>
      </c>
      <c r="I1269" s="120" t="s">
        <v>105</v>
      </c>
      <c r="J1269" s="106">
        <v>180</v>
      </c>
      <c r="K1269" s="106">
        <v>0</v>
      </c>
      <c r="L1269" s="106">
        <v>0</v>
      </c>
      <c r="M1269" s="106">
        <f>180-26</f>
        <v>154</v>
      </c>
      <c r="N1269" s="106">
        <v>0</v>
      </c>
      <c r="O1269" s="106">
        <v>26</v>
      </c>
      <c r="P1269" s="106">
        <v>6</v>
      </c>
      <c r="Q1269" s="108">
        <f t="shared" si="1363"/>
        <v>0</v>
      </c>
      <c r="R1269" s="109">
        <f t="shared" si="1351"/>
        <v>0</v>
      </c>
      <c r="S1269" s="109">
        <f t="shared" si="1352"/>
        <v>3.3333333333333333E-2</v>
      </c>
      <c r="T1269" s="109">
        <f t="shared" si="1353"/>
        <v>0.14444444444444443</v>
      </c>
      <c r="U1269" s="110">
        <f t="shared" si="1354"/>
        <v>0.17777777777777776</v>
      </c>
      <c r="V1269"/>
    </row>
    <row r="1270" spans="2:25" s="97" customFormat="1" ht="10.5" hidden="1" customHeight="1" x14ac:dyDescent="0.2">
      <c r="B1270" s="711">
        <v>46167</v>
      </c>
      <c r="C1270" s="105" t="s">
        <v>105</v>
      </c>
      <c r="D1270" s="105" t="s">
        <v>129</v>
      </c>
      <c r="E1270" s="711">
        <v>46167</v>
      </c>
      <c r="F1270" s="89"/>
      <c r="G1270" s="267"/>
      <c r="H1270" s="113" t="s">
        <v>19</v>
      </c>
      <c r="I1270" s="113"/>
      <c r="J1270" s="113">
        <f t="shared" ref="J1270:P1270" si="1365">SUM(J1264:J1269)</f>
        <v>724</v>
      </c>
      <c r="K1270" s="113">
        <f t="shared" si="1365"/>
        <v>259</v>
      </c>
      <c r="L1270" s="113">
        <f t="shared" si="1365"/>
        <v>128</v>
      </c>
      <c r="M1270" s="113">
        <f t="shared" si="1365"/>
        <v>258</v>
      </c>
      <c r="N1270" s="113">
        <f t="shared" si="1365"/>
        <v>8</v>
      </c>
      <c r="O1270" s="113">
        <f t="shared" si="1365"/>
        <v>57</v>
      </c>
      <c r="P1270" s="113">
        <f t="shared" si="1365"/>
        <v>38</v>
      </c>
      <c r="Q1270" s="115">
        <f>(K1270+L1270)/J1270</f>
        <v>0.53453038674033149</v>
      </c>
      <c r="R1270" s="116">
        <f t="shared" si="1351"/>
        <v>1.1049723756906077E-2</v>
      </c>
      <c r="S1270" s="116">
        <f t="shared" si="1352"/>
        <v>5.2486187845303865E-2</v>
      </c>
      <c r="T1270" s="116">
        <f t="shared" si="1353"/>
        <v>7.8729281767955794E-2</v>
      </c>
      <c r="U1270" s="117">
        <f t="shared" si="1354"/>
        <v>0.67679558011049723</v>
      </c>
      <c r="V1270" s="127"/>
      <c r="W1270" s="88"/>
      <c r="X1270" s="88"/>
      <c r="Y1270" s="118"/>
    </row>
    <row r="1271" spans="2:25" ht="15.75" hidden="1" x14ac:dyDescent="0.2">
      <c r="B1271" s="711">
        <v>46168</v>
      </c>
      <c r="C1271" s="105" t="s">
        <v>106</v>
      </c>
      <c r="D1271" s="105" t="s">
        <v>133</v>
      </c>
      <c r="E1271" s="711">
        <v>46168</v>
      </c>
      <c r="G1271" s="830">
        <v>46168</v>
      </c>
      <c r="H1271" s="120" t="s">
        <v>75</v>
      </c>
      <c r="I1271" s="120" t="s">
        <v>112</v>
      </c>
      <c r="J1271" s="106">
        <v>242</v>
      </c>
      <c r="K1271" s="106">
        <f>242-94</f>
        <v>148</v>
      </c>
      <c r="L1271" s="106">
        <v>62</v>
      </c>
      <c r="M1271" s="106">
        <v>5</v>
      </c>
      <c r="N1271" s="106">
        <v>0</v>
      </c>
      <c r="O1271" s="106">
        <v>20</v>
      </c>
      <c r="P1271" s="106">
        <v>7</v>
      </c>
      <c r="Q1271" s="108">
        <f t="shared" ref="Q1271:Q1274" si="1366">(K1271+L1271)/J1271</f>
        <v>0.86776859504132231</v>
      </c>
      <c r="R1271" s="109">
        <f t="shared" ref="R1271:R1275" si="1367">N1271/J1271</f>
        <v>0</v>
      </c>
      <c r="S1271" s="109">
        <f t="shared" ref="S1271:S1275" si="1368">P1271/J1271</f>
        <v>2.8925619834710745E-2</v>
      </c>
      <c r="T1271" s="109">
        <f t="shared" ref="T1271:T1275" si="1369">O1271/J1271</f>
        <v>8.2644628099173556E-2</v>
      </c>
      <c r="U1271" s="110">
        <f t="shared" ref="U1271:U1275" si="1370">S1271+R1271+Q1271+T1271</f>
        <v>0.97933884297520657</v>
      </c>
      <c r="V1271" s="136"/>
    </row>
    <row r="1272" spans="2:25" ht="15.75" hidden="1" x14ac:dyDescent="0.2">
      <c r="B1272" s="711">
        <v>46168</v>
      </c>
      <c r="C1272" s="105" t="s">
        <v>106</v>
      </c>
      <c r="D1272" s="105" t="s">
        <v>133</v>
      </c>
      <c r="E1272" s="711">
        <v>46168</v>
      </c>
      <c r="G1272" s="831"/>
      <c r="H1272" s="120" t="s">
        <v>84</v>
      </c>
      <c r="I1272" s="120" t="s">
        <v>43</v>
      </c>
      <c r="J1272" s="106">
        <v>45</v>
      </c>
      <c r="K1272" s="106">
        <v>11</v>
      </c>
      <c r="L1272" s="106">
        <v>2</v>
      </c>
      <c r="M1272" s="106">
        <v>22</v>
      </c>
      <c r="N1272" s="106">
        <v>0</v>
      </c>
      <c r="O1272" s="106">
        <v>5</v>
      </c>
      <c r="P1272" s="106">
        <v>5</v>
      </c>
      <c r="Q1272" s="108">
        <f t="shared" si="1366"/>
        <v>0.28888888888888886</v>
      </c>
      <c r="R1272" s="109">
        <f t="shared" si="1367"/>
        <v>0</v>
      </c>
      <c r="S1272" s="109">
        <f t="shared" si="1368"/>
        <v>0.1111111111111111</v>
      </c>
      <c r="T1272" s="109">
        <f t="shared" si="1369"/>
        <v>0.1111111111111111</v>
      </c>
      <c r="U1272" s="110">
        <f t="shared" si="1370"/>
        <v>0.51111111111111107</v>
      </c>
      <c r="V1272" s="136"/>
    </row>
    <row r="1273" spans="2:25" ht="15.75" hidden="1" x14ac:dyDescent="0.2">
      <c r="B1273" s="711">
        <v>46168</v>
      </c>
      <c r="C1273" s="105" t="s">
        <v>106</v>
      </c>
      <c r="D1273" s="105" t="s">
        <v>133</v>
      </c>
      <c r="E1273" s="711">
        <v>46168</v>
      </c>
      <c r="G1273" s="831"/>
      <c r="H1273" s="120" t="s">
        <v>14</v>
      </c>
      <c r="I1273" s="120" t="s">
        <v>106</v>
      </c>
      <c r="J1273" s="106">
        <v>207</v>
      </c>
      <c r="K1273" s="106">
        <f>207-58</f>
        <v>149</v>
      </c>
      <c r="L1273" s="106">
        <v>40</v>
      </c>
      <c r="M1273" s="106">
        <v>2</v>
      </c>
      <c r="N1273" s="106">
        <v>0</v>
      </c>
      <c r="O1273" s="106">
        <v>15</v>
      </c>
      <c r="P1273" s="106">
        <v>1</v>
      </c>
      <c r="Q1273" s="108">
        <f t="shared" si="1366"/>
        <v>0.91304347826086951</v>
      </c>
      <c r="R1273" s="109">
        <f t="shared" si="1367"/>
        <v>0</v>
      </c>
      <c r="S1273" s="109">
        <f t="shared" si="1368"/>
        <v>4.830917874396135E-3</v>
      </c>
      <c r="T1273" s="109">
        <f t="shared" si="1369"/>
        <v>7.2463768115942032E-2</v>
      </c>
      <c r="U1273" s="110">
        <f t="shared" si="1370"/>
        <v>0.99033816425120769</v>
      </c>
      <c r="V1273" s="136"/>
    </row>
    <row r="1274" spans="2:25" ht="15.75" hidden="1" x14ac:dyDescent="0.2">
      <c r="B1274" s="711">
        <v>46168</v>
      </c>
      <c r="C1274" s="105" t="s">
        <v>106</v>
      </c>
      <c r="D1274" s="105" t="s">
        <v>133</v>
      </c>
      <c r="E1274" s="711">
        <v>46168</v>
      </c>
      <c r="G1274" s="832"/>
      <c r="H1274" s="120" t="s">
        <v>17</v>
      </c>
      <c r="I1274" s="120" t="s">
        <v>18</v>
      </c>
      <c r="J1274" s="106">
        <v>180</v>
      </c>
      <c r="K1274" s="106">
        <v>99</v>
      </c>
      <c r="L1274" s="106">
        <v>14</v>
      </c>
      <c r="M1274" s="106">
        <v>1</v>
      </c>
      <c r="N1274" s="106">
        <v>36</v>
      </c>
      <c r="O1274" s="106">
        <v>24</v>
      </c>
      <c r="P1274" s="106">
        <v>6</v>
      </c>
      <c r="Q1274" s="108">
        <f t="shared" si="1366"/>
        <v>0.62777777777777777</v>
      </c>
      <c r="R1274" s="109">
        <f t="shared" si="1367"/>
        <v>0.2</v>
      </c>
      <c r="S1274" s="109">
        <f t="shared" si="1368"/>
        <v>3.3333333333333333E-2</v>
      </c>
      <c r="T1274" s="109">
        <f t="shared" si="1369"/>
        <v>0.13333333333333333</v>
      </c>
      <c r="U1274" s="110">
        <f t="shared" si="1370"/>
        <v>0.99444444444444446</v>
      </c>
      <c r="V1274"/>
    </row>
    <row r="1275" spans="2:25" s="97" customFormat="1" ht="16.5" hidden="1" customHeight="1" x14ac:dyDescent="0.2">
      <c r="B1275" s="711">
        <v>46168</v>
      </c>
      <c r="C1275" s="105" t="s">
        <v>106</v>
      </c>
      <c r="D1275" s="105" t="s">
        <v>133</v>
      </c>
      <c r="E1275" s="711">
        <v>46168</v>
      </c>
      <c r="F1275" s="89"/>
      <c r="G1275" s="267"/>
      <c r="H1275" s="113" t="s">
        <v>19</v>
      </c>
      <c r="I1275" s="113"/>
      <c r="J1275" s="113">
        <f t="shared" ref="J1275:P1275" si="1371">SUM(J1271:J1274)</f>
        <v>674</v>
      </c>
      <c r="K1275" s="113">
        <f t="shared" si="1371"/>
        <v>407</v>
      </c>
      <c r="L1275" s="113">
        <f t="shared" si="1371"/>
        <v>118</v>
      </c>
      <c r="M1275" s="113">
        <f t="shared" si="1371"/>
        <v>30</v>
      </c>
      <c r="N1275" s="113">
        <f t="shared" si="1371"/>
        <v>36</v>
      </c>
      <c r="O1275" s="113">
        <f t="shared" si="1371"/>
        <v>64</v>
      </c>
      <c r="P1275" s="113">
        <f t="shared" si="1371"/>
        <v>19</v>
      </c>
      <c r="Q1275" s="115">
        <f>(K1275+L1275)/J1275</f>
        <v>0.77893175074183973</v>
      </c>
      <c r="R1275" s="116">
        <f t="shared" si="1367"/>
        <v>5.3412462908011868E-2</v>
      </c>
      <c r="S1275" s="116">
        <f t="shared" si="1368"/>
        <v>2.8189910979228485E-2</v>
      </c>
      <c r="T1275" s="116">
        <f t="shared" si="1369"/>
        <v>9.4955489614243327E-2</v>
      </c>
      <c r="U1275" s="117">
        <f t="shared" si="1370"/>
        <v>0.95548961424332335</v>
      </c>
      <c r="V1275" s="127"/>
      <c r="W1275" s="88"/>
      <c r="X1275" s="88"/>
      <c r="Y1275" s="118"/>
    </row>
    <row r="1276" spans="2:25" ht="15.75" hidden="1" x14ac:dyDescent="0.2">
      <c r="B1276" s="711">
        <v>46168</v>
      </c>
      <c r="C1276" s="105" t="s">
        <v>106</v>
      </c>
      <c r="D1276" s="105" t="s">
        <v>133</v>
      </c>
      <c r="E1276" s="711">
        <v>46169</v>
      </c>
      <c r="G1276" s="830">
        <v>46169</v>
      </c>
      <c r="H1276" s="120" t="s">
        <v>75</v>
      </c>
      <c r="I1276" s="120" t="s">
        <v>112</v>
      </c>
      <c r="J1276" s="106">
        <v>231</v>
      </c>
      <c r="K1276" s="106">
        <v>28</v>
      </c>
      <c r="L1276" s="106">
        <v>32</v>
      </c>
      <c r="M1276" s="106">
        <v>146</v>
      </c>
      <c r="N1276" s="106">
        <v>0</v>
      </c>
      <c r="O1276" s="106">
        <v>20</v>
      </c>
      <c r="P1276" s="106">
        <v>5</v>
      </c>
      <c r="Q1276" s="108">
        <f t="shared" ref="Q1276:Q1279" si="1372">(K1276+L1276)/J1276</f>
        <v>0.25974025974025972</v>
      </c>
      <c r="R1276" s="109">
        <f t="shared" ref="R1276:R1288" si="1373">N1276/J1276</f>
        <v>0</v>
      </c>
      <c r="S1276" s="109">
        <f t="shared" ref="S1276:S1288" si="1374">P1276/J1276</f>
        <v>2.1645021645021644E-2</v>
      </c>
      <c r="T1276" s="109">
        <f t="shared" ref="T1276:T1288" si="1375">O1276/J1276</f>
        <v>8.6580086580086577E-2</v>
      </c>
      <c r="U1276" s="110">
        <f t="shared" ref="U1276:U1288" si="1376">S1276+R1276+Q1276+T1276</f>
        <v>0.36796536796536794</v>
      </c>
      <c r="V1276" s="136"/>
    </row>
    <row r="1277" spans="2:25" ht="15.75" hidden="1" x14ac:dyDescent="0.2">
      <c r="B1277" s="711">
        <v>46168</v>
      </c>
      <c r="C1277" s="105" t="s">
        <v>106</v>
      </c>
      <c r="D1277" s="105" t="s">
        <v>133</v>
      </c>
      <c r="E1277" s="711">
        <v>46169</v>
      </c>
      <c r="G1277" s="831"/>
      <c r="H1277" s="120" t="s">
        <v>84</v>
      </c>
      <c r="I1277" s="120" t="s">
        <v>43</v>
      </c>
      <c r="J1277" s="106">
        <v>53</v>
      </c>
      <c r="K1277" s="106">
        <f>53-35</f>
        <v>18</v>
      </c>
      <c r="L1277" s="106">
        <v>3</v>
      </c>
      <c r="M1277" s="106">
        <v>26</v>
      </c>
      <c r="N1277" s="106">
        <v>0</v>
      </c>
      <c r="O1277" s="106">
        <v>5</v>
      </c>
      <c r="P1277" s="106">
        <v>1</v>
      </c>
      <c r="Q1277" s="108">
        <f t="shared" si="1372"/>
        <v>0.39622641509433965</v>
      </c>
      <c r="R1277" s="109">
        <f t="shared" si="1373"/>
        <v>0</v>
      </c>
      <c r="S1277" s="109">
        <f t="shared" si="1374"/>
        <v>1.8867924528301886E-2</v>
      </c>
      <c r="T1277" s="109">
        <f t="shared" si="1375"/>
        <v>9.4339622641509441E-2</v>
      </c>
      <c r="U1277" s="110">
        <f t="shared" si="1376"/>
        <v>0.50943396226415094</v>
      </c>
      <c r="V1277" s="136"/>
    </row>
    <row r="1278" spans="2:25" ht="15.75" hidden="1" x14ac:dyDescent="0.2">
      <c r="B1278" s="711">
        <v>46168</v>
      </c>
      <c r="C1278" s="105" t="s">
        <v>106</v>
      </c>
      <c r="D1278" s="105" t="s">
        <v>133</v>
      </c>
      <c r="E1278" s="711">
        <v>46169</v>
      </c>
      <c r="G1278" s="831"/>
      <c r="H1278" s="120" t="s">
        <v>14</v>
      </c>
      <c r="I1278" s="120" t="s">
        <v>106</v>
      </c>
      <c r="J1278" s="106">
        <v>192</v>
      </c>
      <c r="K1278" s="106">
        <v>0</v>
      </c>
      <c r="L1278" s="106">
        <v>0</v>
      </c>
      <c r="M1278" s="106">
        <v>175</v>
      </c>
      <c r="N1278" s="106">
        <v>0</v>
      </c>
      <c r="O1278" s="106">
        <v>11</v>
      </c>
      <c r="P1278" s="106">
        <v>6</v>
      </c>
      <c r="Q1278" s="108">
        <f t="shared" si="1372"/>
        <v>0</v>
      </c>
      <c r="R1278" s="109">
        <f t="shared" si="1373"/>
        <v>0</v>
      </c>
      <c r="S1278" s="109">
        <f t="shared" si="1374"/>
        <v>3.125E-2</v>
      </c>
      <c r="T1278" s="109">
        <f t="shared" si="1375"/>
        <v>5.7291666666666664E-2</v>
      </c>
      <c r="U1278" s="110">
        <f t="shared" si="1376"/>
        <v>8.8541666666666657E-2</v>
      </c>
      <c r="V1278" s="136"/>
    </row>
    <row r="1279" spans="2:25" ht="15.75" hidden="1" x14ac:dyDescent="0.2">
      <c r="B1279" s="711">
        <v>46168</v>
      </c>
      <c r="C1279" s="105" t="s">
        <v>106</v>
      </c>
      <c r="D1279" s="105" t="s">
        <v>133</v>
      </c>
      <c r="E1279" s="711">
        <v>46169</v>
      </c>
      <c r="G1279" s="832"/>
      <c r="H1279" s="120" t="s">
        <v>17</v>
      </c>
      <c r="I1279" s="120" t="s">
        <v>105</v>
      </c>
      <c r="J1279" s="106">
        <v>203</v>
      </c>
      <c r="K1279" s="106">
        <v>0</v>
      </c>
      <c r="L1279" s="106">
        <v>0</v>
      </c>
      <c r="M1279" s="106">
        <v>203</v>
      </c>
      <c r="N1279" s="106">
        <v>0</v>
      </c>
      <c r="O1279" s="106">
        <v>0</v>
      </c>
      <c r="P1279" s="106">
        <v>0</v>
      </c>
      <c r="Q1279" s="108">
        <f t="shared" si="1372"/>
        <v>0</v>
      </c>
      <c r="R1279" s="109">
        <f t="shared" si="1373"/>
        <v>0</v>
      </c>
      <c r="S1279" s="109">
        <f t="shared" si="1374"/>
        <v>0</v>
      </c>
      <c r="T1279" s="109">
        <f t="shared" si="1375"/>
        <v>0</v>
      </c>
      <c r="U1279" s="110">
        <f t="shared" si="1376"/>
        <v>0</v>
      </c>
      <c r="V1279"/>
    </row>
    <row r="1280" spans="2:25" s="97" customFormat="1" ht="16.5" hidden="1" customHeight="1" x14ac:dyDescent="0.2">
      <c r="B1280" s="711">
        <v>46168</v>
      </c>
      <c r="C1280" s="105" t="s">
        <v>106</v>
      </c>
      <c r="D1280" s="105" t="s">
        <v>133</v>
      </c>
      <c r="E1280" s="711">
        <v>46169</v>
      </c>
      <c r="F1280" s="89"/>
      <c r="G1280" s="267"/>
      <c r="H1280" s="113" t="s">
        <v>19</v>
      </c>
      <c r="I1280" s="113"/>
      <c r="J1280" s="113">
        <f t="shared" ref="J1280:P1280" si="1377">SUM(J1276:J1279)</f>
        <v>679</v>
      </c>
      <c r="K1280" s="113">
        <f t="shared" si="1377"/>
        <v>46</v>
      </c>
      <c r="L1280" s="113">
        <f t="shared" si="1377"/>
        <v>35</v>
      </c>
      <c r="M1280" s="113">
        <f t="shared" si="1377"/>
        <v>550</v>
      </c>
      <c r="N1280" s="113">
        <f t="shared" si="1377"/>
        <v>0</v>
      </c>
      <c r="O1280" s="113">
        <f t="shared" si="1377"/>
        <v>36</v>
      </c>
      <c r="P1280" s="113">
        <f t="shared" si="1377"/>
        <v>12</v>
      </c>
      <c r="Q1280" s="115">
        <f>(K1280+L1280)/J1280</f>
        <v>0.11929307805596466</v>
      </c>
      <c r="R1280" s="116">
        <f t="shared" si="1373"/>
        <v>0</v>
      </c>
      <c r="S1280" s="116">
        <f t="shared" si="1374"/>
        <v>1.7673048600883652E-2</v>
      </c>
      <c r="T1280" s="116">
        <f t="shared" si="1375"/>
        <v>5.3019145802650956E-2</v>
      </c>
      <c r="U1280" s="117">
        <f t="shared" si="1376"/>
        <v>0.18998527245949928</v>
      </c>
      <c r="V1280" s="127"/>
      <c r="W1280" s="88"/>
      <c r="X1280" s="88"/>
      <c r="Y1280" s="118"/>
    </row>
    <row r="1281" spans="2:25" ht="15.75" hidden="1" x14ac:dyDescent="0.2">
      <c r="B1281" s="711">
        <v>46168</v>
      </c>
      <c r="C1281" s="105" t="s">
        <v>105</v>
      </c>
      <c r="D1281" s="105" t="s">
        <v>129</v>
      </c>
      <c r="E1281" s="711">
        <v>46168</v>
      </c>
      <c r="G1281" s="833">
        <v>46168</v>
      </c>
      <c r="H1281" s="120" t="s">
        <v>75</v>
      </c>
      <c r="I1281" s="120" t="s">
        <v>112</v>
      </c>
      <c r="J1281" s="106">
        <f>SUM(K1281:P1281)</f>
        <v>55</v>
      </c>
      <c r="K1281" s="106">
        <f>93-68</f>
        <v>25</v>
      </c>
      <c r="L1281" s="106">
        <f>52-29</f>
        <v>23</v>
      </c>
      <c r="M1281" s="106">
        <v>0</v>
      </c>
      <c r="N1281" s="106">
        <v>0</v>
      </c>
      <c r="O1281" s="106">
        <v>0</v>
      </c>
      <c r="P1281" s="106">
        <v>7</v>
      </c>
      <c r="Q1281" s="108">
        <f t="shared" ref="Q1281:Q1287" si="1378">(K1281+L1281)/J1281</f>
        <v>0.87272727272727268</v>
      </c>
      <c r="R1281" s="109">
        <f t="shared" si="1373"/>
        <v>0</v>
      </c>
      <c r="S1281" s="109">
        <f t="shared" si="1374"/>
        <v>0.12727272727272726</v>
      </c>
      <c r="T1281" s="109">
        <f t="shared" si="1375"/>
        <v>0</v>
      </c>
      <c r="U1281" s="110">
        <f t="shared" si="1376"/>
        <v>1</v>
      </c>
      <c r="V1281" s="136"/>
    </row>
    <row r="1282" spans="2:25" ht="15.75" hidden="1" x14ac:dyDescent="0.2">
      <c r="B1282" s="711">
        <v>46168</v>
      </c>
      <c r="C1282" s="105" t="s">
        <v>105</v>
      </c>
      <c r="D1282" s="105" t="s">
        <v>129</v>
      </c>
      <c r="E1282" s="711">
        <v>46168</v>
      </c>
      <c r="G1282" s="834"/>
      <c r="H1282" s="120" t="s">
        <v>17</v>
      </c>
      <c r="I1282" s="120" t="s">
        <v>18</v>
      </c>
      <c r="J1282" s="106">
        <f>SUM(K1282:P1282)</f>
        <v>88</v>
      </c>
      <c r="K1282" s="106">
        <v>61</v>
      </c>
      <c r="L1282" s="106">
        <v>23</v>
      </c>
      <c r="M1282" s="106">
        <v>0</v>
      </c>
      <c r="N1282" s="106">
        <v>0</v>
      </c>
      <c r="O1282" s="106">
        <v>0</v>
      </c>
      <c r="P1282" s="106">
        <v>4</v>
      </c>
      <c r="Q1282" s="108">
        <f t="shared" ref="Q1282" si="1379">(K1282+L1282)/J1282</f>
        <v>0.95454545454545459</v>
      </c>
      <c r="R1282" s="109">
        <f t="shared" ref="R1282" si="1380">N1282/J1282</f>
        <v>0</v>
      </c>
      <c r="S1282" s="109">
        <f t="shared" ref="S1282" si="1381">P1282/J1282</f>
        <v>4.5454545454545456E-2</v>
      </c>
      <c r="T1282" s="109">
        <f t="shared" ref="T1282" si="1382">O1282/J1282</f>
        <v>0</v>
      </c>
      <c r="U1282" s="110">
        <f t="shared" ref="U1282" si="1383">S1282+R1282+Q1282+T1282</f>
        <v>1</v>
      </c>
      <c r="V1282" s="136"/>
    </row>
    <row r="1283" spans="2:25" ht="15.75" hidden="1" x14ac:dyDescent="0.2">
      <c r="B1283" s="711">
        <v>46168</v>
      </c>
      <c r="C1283" s="105" t="s">
        <v>105</v>
      </c>
      <c r="D1283" s="105" t="s">
        <v>129</v>
      </c>
      <c r="E1283" s="711">
        <v>46168</v>
      </c>
      <c r="G1283" s="835"/>
      <c r="H1283" s="120" t="s">
        <v>25</v>
      </c>
      <c r="I1283" s="120" t="s">
        <v>18</v>
      </c>
      <c r="J1283" s="106">
        <f>SUM(K1283:P1283)</f>
        <v>4</v>
      </c>
      <c r="K1283" s="106">
        <v>1</v>
      </c>
      <c r="L1283" s="106">
        <v>3</v>
      </c>
      <c r="M1283" s="106">
        <v>0</v>
      </c>
      <c r="N1283" s="106">
        <v>0</v>
      </c>
      <c r="O1283" s="106">
        <v>0</v>
      </c>
      <c r="P1283" s="106">
        <v>0</v>
      </c>
      <c r="Q1283" s="108">
        <f t="shared" si="1378"/>
        <v>1</v>
      </c>
      <c r="R1283" s="109">
        <f t="shared" si="1373"/>
        <v>0</v>
      </c>
      <c r="S1283" s="109">
        <f t="shared" si="1374"/>
        <v>0</v>
      </c>
      <c r="T1283" s="109">
        <f t="shared" si="1375"/>
        <v>0</v>
      </c>
      <c r="U1283" s="110">
        <f t="shared" si="1376"/>
        <v>1</v>
      </c>
      <c r="V1283" s="136"/>
    </row>
    <row r="1284" spans="2:25" ht="15.75" hidden="1" x14ac:dyDescent="0.2">
      <c r="B1284" s="711">
        <v>46168</v>
      </c>
      <c r="C1284" s="105" t="s">
        <v>105</v>
      </c>
      <c r="D1284" s="105" t="s">
        <v>129</v>
      </c>
      <c r="E1284" s="711">
        <v>46169</v>
      </c>
      <c r="G1284" s="830">
        <v>46169</v>
      </c>
      <c r="H1284" s="120" t="s">
        <v>75</v>
      </c>
      <c r="I1284" s="120" t="s">
        <v>112</v>
      </c>
      <c r="J1284" s="106">
        <v>231</v>
      </c>
      <c r="K1284" s="106">
        <v>68</v>
      </c>
      <c r="L1284" s="106">
        <v>29</v>
      </c>
      <c r="M1284" s="106">
        <v>28</v>
      </c>
      <c r="N1284" s="106">
        <v>0</v>
      </c>
      <c r="O1284" s="106">
        <v>20</v>
      </c>
      <c r="P1284" s="106">
        <v>5</v>
      </c>
      <c r="Q1284" s="108">
        <f t="shared" si="1378"/>
        <v>0.41991341991341991</v>
      </c>
      <c r="R1284" s="109">
        <f t="shared" si="1373"/>
        <v>0</v>
      </c>
      <c r="S1284" s="109">
        <f t="shared" si="1374"/>
        <v>2.1645021645021644E-2</v>
      </c>
      <c r="T1284" s="109">
        <f t="shared" si="1375"/>
        <v>8.6580086580086577E-2</v>
      </c>
      <c r="U1284" s="110">
        <f t="shared" si="1376"/>
        <v>0.52813852813852813</v>
      </c>
      <c r="V1284" s="136"/>
    </row>
    <row r="1285" spans="2:25" ht="15.75" hidden="1" x14ac:dyDescent="0.2">
      <c r="B1285" s="711">
        <v>46168</v>
      </c>
      <c r="C1285" s="105" t="s">
        <v>105</v>
      </c>
      <c r="D1285" s="105" t="s">
        <v>129</v>
      </c>
      <c r="E1285" s="711">
        <v>46169</v>
      </c>
      <c r="G1285" s="831"/>
      <c r="H1285" s="120" t="s">
        <v>14</v>
      </c>
      <c r="I1285" s="120" t="s">
        <v>106</v>
      </c>
      <c r="J1285" s="106">
        <v>192</v>
      </c>
      <c r="K1285" s="106">
        <v>132</v>
      </c>
      <c r="L1285" s="106">
        <v>36</v>
      </c>
      <c r="M1285" s="106">
        <v>10</v>
      </c>
      <c r="N1285" s="106">
        <v>0</v>
      </c>
      <c r="O1285" s="106">
        <v>11</v>
      </c>
      <c r="P1285" s="106">
        <v>3</v>
      </c>
      <c r="Q1285" s="108">
        <f t="shared" si="1378"/>
        <v>0.875</v>
      </c>
      <c r="R1285" s="109">
        <f t="shared" si="1373"/>
        <v>0</v>
      </c>
      <c r="S1285" s="109">
        <f t="shared" si="1374"/>
        <v>1.5625E-2</v>
      </c>
      <c r="T1285" s="109">
        <f t="shared" si="1375"/>
        <v>5.7291666666666664E-2</v>
      </c>
      <c r="U1285" s="110">
        <f t="shared" si="1376"/>
        <v>0.94791666666666663</v>
      </c>
      <c r="V1285" s="136"/>
    </row>
    <row r="1286" spans="2:25" ht="15.75" hidden="1" x14ac:dyDescent="0.2">
      <c r="B1286" s="711">
        <v>46168</v>
      </c>
      <c r="C1286" s="105" t="s">
        <v>105</v>
      </c>
      <c r="D1286" s="105" t="s">
        <v>129</v>
      </c>
      <c r="E1286" s="711">
        <v>46169</v>
      </c>
      <c r="G1286" s="831"/>
      <c r="H1286" s="120" t="s">
        <v>84</v>
      </c>
      <c r="I1286" s="120" t="s">
        <v>106</v>
      </c>
      <c r="J1286" s="106">
        <v>27</v>
      </c>
      <c r="K1286" s="106">
        <v>6</v>
      </c>
      <c r="L1286" s="106">
        <v>0</v>
      </c>
      <c r="M1286" s="106">
        <v>20</v>
      </c>
      <c r="N1286" s="106">
        <v>0</v>
      </c>
      <c r="O1286" s="106">
        <v>0</v>
      </c>
      <c r="P1286" s="106">
        <v>1</v>
      </c>
      <c r="Q1286" s="108">
        <f t="shared" ref="Q1286" si="1384">(K1286+L1286)/J1286</f>
        <v>0.22222222222222221</v>
      </c>
      <c r="R1286" s="109">
        <f t="shared" ref="R1286" si="1385">N1286/J1286</f>
        <v>0</v>
      </c>
      <c r="S1286" s="109">
        <f t="shared" ref="S1286" si="1386">P1286/J1286</f>
        <v>3.7037037037037035E-2</v>
      </c>
      <c r="T1286" s="109">
        <f t="shared" ref="T1286" si="1387">O1286/J1286</f>
        <v>0</v>
      </c>
      <c r="U1286" s="110">
        <f t="shared" ref="U1286" si="1388">S1286+R1286+Q1286+T1286</f>
        <v>0.25925925925925924</v>
      </c>
      <c r="V1286" s="296"/>
    </row>
    <row r="1287" spans="2:25" ht="15.75" hidden="1" x14ac:dyDescent="0.2">
      <c r="B1287" s="711">
        <v>46168</v>
      </c>
      <c r="C1287" s="105" t="s">
        <v>105</v>
      </c>
      <c r="D1287" s="105" t="s">
        <v>129</v>
      </c>
      <c r="E1287" s="711">
        <v>46169</v>
      </c>
      <c r="G1287" s="832"/>
      <c r="H1287" s="120" t="s">
        <v>17</v>
      </c>
      <c r="I1287" s="120" t="s">
        <v>105</v>
      </c>
      <c r="J1287" s="106">
        <v>203</v>
      </c>
      <c r="K1287" s="106">
        <v>0</v>
      </c>
      <c r="L1287" s="106">
        <v>0</v>
      </c>
      <c r="M1287" s="106">
        <v>203</v>
      </c>
      <c r="N1287" s="106">
        <v>0</v>
      </c>
      <c r="O1287" s="106">
        <v>0</v>
      </c>
      <c r="P1287" s="106">
        <v>9</v>
      </c>
      <c r="Q1287" s="108">
        <f t="shared" si="1378"/>
        <v>0</v>
      </c>
      <c r="R1287" s="109">
        <f t="shared" si="1373"/>
        <v>0</v>
      </c>
      <c r="S1287" s="109">
        <f t="shared" si="1374"/>
        <v>4.4334975369458129E-2</v>
      </c>
      <c r="T1287" s="109">
        <f t="shared" si="1375"/>
        <v>0</v>
      </c>
      <c r="U1287" s="110">
        <f t="shared" si="1376"/>
        <v>4.4334975369458129E-2</v>
      </c>
      <c r="V1287"/>
    </row>
    <row r="1288" spans="2:25" s="97" customFormat="1" ht="16.5" hidden="1" customHeight="1" x14ac:dyDescent="0.2">
      <c r="B1288" s="711">
        <v>46168</v>
      </c>
      <c r="C1288" s="105" t="s">
        <v>105</v>
      </c>
      <c r="D1288" s="105" t="s">
        <v>129</v>
      </c>
      <c r="E1288" s="711">
        <v>46167</v>
      </c>
      <c r="F1288" s="89"/>
      <c r="G1288" s="267"/>
      <c r="H1288" s="113" t="s">
        <v>19</v>
      </c>
      <c r="I1288" s="113"/>
      <c r="J1288" s="113">
        <f t="shared" ref="J1288:P1288" si="1389">SUM(J1281:J1287)</f>
        <v>800</v>
      </c>
      <c r="K1288" s="113">
        <f t="shared" si="1389"/>
        <v>293</v>
      </c>
      <c r="L1288" s="113">
        <f t="shared" si="1389"/>
        <v>114</v>
      </c>
      <c r="M1288" s="113">
        <f t="shared" si="1389"/>
        <v>261</v>
      </c>
      <c r="N1288" s="113">
        <f t="shared" si="1389"/>
        <v>0</v>
      </c>
      <c r="O1288" s="113">
        <f t="shared" si="1389"/>
        <v>31</v>
      </c>
      <c r="P1288" s="113">
        <f t="shared" si="1389"/>
        <v>29</v>
      </c>
      <c r="Q1288" s="115">
        <f>(K1288+L1288)/J1288</f>
        <v>0.50875000000000004</v>
      </c>
      <c r="R1288" s="116">
        <f t="shared" si="1373"/>
        <v>0</v>
      </c>
      <c r="S1288" s="116">
        <f t="shared" si="1374"/>
        <v>3.6249999999999998E-2</v>
      </c>
      <c r="T1288" s="116">
        <f t="shared" si="1375"/>
        <v>3.875E-2</v>
      </c>
      <c r="U1288" s="117">
        <f t="shared" si="1376"/>
        <v>0.58374999999999999</v>
      </c>
      <c r="V1288" s="127"/>
      <c r="W1288" s="88"/>
      <c r="X1288" s="88"/>
      <c r="Y1288" s="118"/>
    </row>
    <row r="1289" spans="2:25" ht="15.75" hidden="1" x14ac:dyDescent="0.2">
      <c r="B1289" s="711">
        <v>46169</v>
      </c>
      <c r="C1289" s="105" t="s">
        <v>106</v>
      </c>
      <c r="D1289" s="105" t="s">
        <v>133</v>
      </c>
      <c r="E1289" s="711">
        <v>46170</v>
      </c>
      <c r="G1289" s="833">
        <v>46170</v>
      </c>
      <c r="H1289" s="120" t="s">
        <v>75</v>
      </c>
      <c r="I1289" s="120" t="s">
        <v>112</v>
      </c>
      <c r="J1289" s="106">
        <v>227</v>
      </c>
      <c r="K1289" s="106">
        <v>0</v>
      </c>
      <c r="L1289" s="106">
        <v>0</v>
      </c>
      <c r="M1289" s="106">
        <v>224</v>
      </c>
      <c r="N1289" s="106">
        <v>0</v>
      </c>
      <c r="O1289" s="106">
        <v>0</v>
      </c>
      <c r="P1289" s="106">
        <v>3</v>
      </c>
      <c r="Q1289" s="108">
        <f t="shared" ref="Q1289:Q1292" si="1390">(K1289+L1289)/J1289</f>
        <v>0</v>
      </c>
      <c r="R1289" s="109">
        <f t="shared" ref="R1289:R1301" si="1391">N1289/J1289</f>
        <v>0</v>
      </c>
      <c r="S1289" s="109">
        <f t="shared" ref="S1289:S1301" si="1392">P1289/J1289</f>
        <v>1.3215859030837005E-2</v>
      </c>
      <c r="T1289" s="109">
        <f t="shared" ref="T1289:T1301" si="1393">O1289/J1289</f>
        <v>0</v>
      </c>
      <c r="U1289" s="110">
        <f t="shared" ref="U1289:U1301" si="1394">S1289+R1289+Q1289+T1289</f>
        <v>1.3215859030837005E-2</v>
      </c>
      <c r="V1289" s="136"/>
    </row>
    <row r="1290" spans="2:25" ht="15.75" hidden="1" x14ac:dyDescent="0.2">
      <c r="B1290" s="711">
        <v>46169</v>
      </c>
      <c r="C1290" s="105" t="s">
        <v>106</v>
      </c>
      <c r="D1290" s="105" t="s">
        <v>133</v>
      </c>
      <c r="E1290" s="711">
        <v>46170</v>
      </c>
      <c r="G1290" s="834"/>
      <c r="H1290" s="120" t="s">
        <v>84</v>
      </c>
      <c r="I1290" s="120" t="s">
        <v>43</v>
      </c>
      <c r="J1290" s="106">
        <v>17</v>
      </c>
      <c r="K1290" s="106">
        <v>0</v>
      </c>
      <c r="L1290" s="106">
        <v>0</v>
      </c>
      <c r="M1290" s="106">
        <v>17</v>
      </c>
      <c r="N1290" s="106">
        <v>0</v>
      </c>
      <c r="O1290" s="106">
        <v>0</v>
      </c>
      <c r="P1290" s="106">
        <v>0</v>
      </c>
      <c r="Q1290" s="108">
        <f t="shared" si="1390"/>
        <v>0</v>
      </c>
      <c r="R1290" s="109">
        <f t="shared" si="1391"/>
        <v>0</v>
      </c>
      <c r="S1290" s="109">
        <f t="shared" si="1392"/>
        <v>0</v>
      </c>
      <c r="T1290" s="109">
        <f t="shared" si="1393"/>
        <v>0</v>
      </c>
      <c r="U1290" s="110">
        <f t="shared" si="1394"/>
        <v>0</v>
      </c>
      <c r="V1290" s="136"/>
    </row>
    <row r="1291" spans="2:25" ht="15.75" hidden="1" x14ac:dyDescent="0.2">
      <c r="B1291" s="711">
        <v>46169</v>
      </c>
      <c r="C1291" s="105" t="s">
        <v>106</v>
      </c>
      <c r="D1291" s="105" t="s">
        <v>133</v>
      </c>
      <c r="E1291" s="711">
        <v>46170</v>
      </c>
      <c r="G1291" s="834"/>
      <c r="H1291" s="120" t="s">
        <v>14</v>
      </c>
      <c r="I1291" s="120" t="s">
        <v>22</v>
      </c>
      <c r="J1291" s="106">
        <v>210</v>
      </c>
      <c r="K1291" s="106">
        <f>210-193</f>
        <v>17</v>
      </c>
      <c r="L1291" s="106">
        <v>6</v>
      </c>
      <c r="M1291" s="106">
        <v>72</v>
      </c>
      <c r="N1291" s="106">
        <v>99</v>
      </c>
      <c r="O1291" s="106">
        <v>11</v>
      </c>
      <c r="P1291" s="106">
        <v>5</v>
      </c>
      <c r="Q1291" s="108">
        <f t="shared" si="1390"/>
        <v>0.10952380952380952</v>
      </c>
      <c r="R1291" s="109">
        <f t="shared" si="1391"/>
        <v>0.47142857142857142</v>
      </c>
      <c r="S1291" s="109">
        <f t="shared" si="1392"/>
        <v>2.3809523809523808E-2</v>
      </c>
      <c r="T1291" s="109">
        <f t="shared" si="1393"/>
        <v>5.2380952380952382E-2</v>
      </c>
      <c r="U1291" s="110">
        <f t="shared" si="1394"/>
        <v>0.65714285714285725</v>
      </c>
      <c r="V1291" s="136"/>
    </row>
    <row r="1292" spans="2:25" ht="15.75" hidden="1" x14ac:dyDescent="0.2">
      <c r="B1292" s="711">
        <v>46169</v>
      </c>
      <c r="C1292" s="105" t="s">
        <v>106</v>
      </c>
      <c r="D1292" s="105" t="s">
        <v>133</v>
      </c>
      <c r="E1292" s="711">
        <v>46170</v>
      </c>
      <c r="G1292" s="835"/>
      <c r="H1292" s="120" t="s">
        <v>25</v>
      </c>
      <c r="I1292" s="120" t="s">
        <v>18</v>
      </c>
      <c r="J1292" s="106">
        <v>200</v>
      </c>
      <c r="K1292" s="106">
        <v>0</v>
      </c>
      <c r="L1292" s="106">
        <v>0</v>
      </c>
      <c r="M1292" s="106">
        <v>200</v>
      </c>
      <c r="N1292" s="106">
        <v>0</v>
      </c>
      <c r="O1292" s="106">
        <v>25</v>
      </c>
      <c r="P1292" s="106">
        <v>5</v>
      </c>
      <c r="Q1292" s="108">
        <f t="shared" si="1390"/>
        <v>0</v>
      </c>
      <c r="R1292" s="109">
        <f t="shared" si="1391"/>
        <v>0</v>
      </c>
      <c r="S1292" s="109">
        <f t="shared" si="1392"/>
        <v>2.5000000000000001E-2</v>
      </c>
      <c r="T1292" s="109">
        <f t="shared" si="1393"/>
        <v>0.125</v>
      </c>
      <c r="U1292" s="110">
        <f t="shared" si="1394"/>
        <v>0.15</v>
      </c>
      <c r="V1292" s="136"/>
    </row>
    <row r="1293" spans="2:25" s="97" customFormat="1" ht="16.5" hidden="1" customHeight="1" x14ac:dyDescent="0.2">
      <c r="B1293" s="711">
        <v>46169</v>
      </c>
      <c r="C1293" s="105" t="s">
        <v>106</v>
      </c>
      <c r="D1293" s="105" t="s">
        <v>133</v>
      </c>
      <c r="E1293" s="711">
        <v>46170</v>
      </c>
      <c r="F1293" s="89"/>
      <c r="G1293" s="267"/>
      <c r="H1293" s="113" t="s">
        <v>19</v>
      </c>
      <c r="I1293" s="113"/>
      <c r="J1293" s="113">
        <f t="shared" ref="J1293:P1293" si="1395">SUM(J1289:J1292)</f>
        <v>654</v>
      </c>
      <c r="K1293" s="113">
        <f t="shared" si="1395"/>
        <v>17</v>
      </c>
      <c r="L1293" s="113">
        <f t="shared" si="1395"/>
        <v>6</v>
      </c>
      <c r="M1293" s="113">
        <f t="shared" si="1395"/>
        <v>513</v>
      </c>
      <c r="N1293" s="113">
        <f t="shared" si="1395"/>
        <v>99</v>
      </c>
      <c r="O1293" s="113">
        <f t="shared" si="1395"/>
        <v>36</v>
      </c>
      <c r="P1293" s="113">
        <f t="shared" si="1395"/>
        <v>13</v>
      </c>
      <c r="Q1293" s="115">
        <f>(K1293+L1293)/J1293</f>
        <v>3.5168195718654434E-2</v>
      </c>
      <c r="R1293" s="116">
        <f t="shared" si="1391"/>
        <v>0.15137614678899083</v>
      </c>
      <c r="S1293" s="116">
        <f t="shared" si="1392"/>
        <v>1.9877675840978593E-2</v>
      </c>
      <c r="T1293" s="116">
        <f t="shared" si="1393"/>
        <v>5.5045871559633031E-2</v>
      </c>
      <c r="U1293" s="117">
        <f t="shared" si="1394"/>
        <v>0.26146788990825687</v>
      </c>
      <c r="V1293" s="127"/>
      <c r="W1293" s="88"/>
      <c r="X1293" s="88"/>
      <c r="Y1293" s="118"/>
    </row>
    <row r="1294" spans="2:25" ht="15.75" hidden="1" x14ac:dyDescent="0.2">
      <c r="B1294" s="711">
        <v>46169</v>
      </c>
      <c r="C1294" s="105" t="s">
        <v>105</v>
      </c>
      <c r="D1294" s="105" t="s">
        <v>129</v>
      </c>
      <c r="E1294" s="711">
        <v>46169</v>
      </c>
      <c r="G1294" s="833">
        <v>46169</v>
      </c>
      <c r="H1294" s="120" t="s">
        <v>75</v>
      </c>
      <c r="I1294" s="120" t="s">
        <v>112</v>
      </c>
      <c r="J1294" s="106">
        <f>SUM(K1294:P1294)</f>
        <v>50</v>
      </c>
      <c r="K1294" s="106">
        <f>152-122</f>
        <v>30</v>
      </c>
      <c r="L1294" s="106">
        <f>96-79</f>
        <v>17</v>
      </c>
      <c r="M1294" s="106">
        <v>0</v>
      </c>
      <c r="N1294" s="106">
        <v>0</v>
      </c>
      <c r="O1294" s="106">
        <v>0</v>
      </c>
      <c r="P1294" s="106">
        <v>3</v>
      </c>
      <c r="Q1294" s="108">
        <f t="shared" ref="Q1294:Q1300" si="1396">(K1294+L1294)/J1294</f>
        <v>0.94</v>
      </c>
      <c r="R1294" s="109">
        <f t="shared" si="1391"/>
        <v>0</v>
      </c>
      <c r="S1294" s="109">
        <f t="shared" si="1392"/>
        <v>0.06</v>
      </c>
      <c r="T1294" s="109">
        <f t="shared" si="1393"/>
        <v>0</v>
      </c>
      <c r="U1294" s="110">
        <f t="shared" si="1394"/>
        <v>1</v>
      </c>
      <c r="V1294" s="136"/>
    </row>
    <row r="1295" spans="2:25" ht="15.75" hidden="1" x14ac:dyDescent="0.2">
      <c r="B1295" s="711">
        <v>46169</v>
      </c>
      <c r="C1295" s="105" t="s">
        <v>105</v>
      </c>
      <c r="D1295" s="105" t="s">
        <v>129</v>
      </c>
      <c r="E1295" s="711">
        <v>46169</v>
      </c>
      <c r="G1295" s="835"/>
      <c r="H1295" s="120" t="s">
        <v>17</v>
      </c>
      <c r="I1295" s="120" t="s">
        <v>18</v>
      </c>
      <c r="J1295" s="106">
        <f>SUM(K1295:P1295)</f>
        <v>52</v>
      </c>
      <c r="K1295" s="106">
        <v>28</v>
      </c>
      <c r="L1295" s="106">
        <v>17</v>
      </c>
      <c r="M1295" s="106">
        <v>0</v>
      </c>
      <c r="N1295" s="106">
        <v>0</v>
      </c>
      <c r="O1295" s="106">
        <v>0</v>
      </c>
      <c r="P1295" s="106">
        <v>7</v>
      </c>
      <c r="Q1295" s="108">
        <f t="shared" si="1396"/>
        <v>0.86538461538461542</v>
      </c>
      <c r="R1295" s="109">
        <f t="shared" si="1391"/>
        <v>0</v>
      </c>
      <c r="S1295" s="109">
        <f t="shared" si="1392"/>
        <v>0.13461538461538461</v>
      </c>
      <c r="T1295" s="109">
        <f t="shared" si="1393"/>
        <v>0</v>
      </c>
      <c r="U1295" s="110">
        <f t="shared" si="1394"/>
        <v>1</v>
      </c>
      <c r="V1295" s="136"/>
    </row>
    <row r="1296" spans="2:25" ht="15.75" hidden="1" x14ac:dyDescent="0.2">
      <c r="B1296" s="711">
        <v>46169</v>
      </c>
      <c r="C1296" s="105" t="s">
        <v>105</v>
      </c>
      <c r="D1296" s="105" t="s">
        <v>129</v>
      </c>
      <c r="E1296" s="711">
        <v>46170</v>
      </c>
      <c r="G1296" s="830">
        <v>46170</v>
      </c>
      <c r="H1296" s="120" t="s">
        <v>75</v>
      </c>
      <c r="I1296" s="120" t="s">
        <v>112</v>
      </c>
      <c r="J1296" s="106">
        <v>227</v>
      </c>
      <c r="K1296" s="106">
        <v>122</v>
      </c>
      <c r="L1296" s="106">
        <v>79</v>
      </c>
      <c r="M1296" s="106">
        <v>1</v>
      </c>
      <c r="N1296" s="106">
        <v>0</v>
      </c>
      <c r="O1296" s="106">
        <v>20</v>
      </c>
      <c r="P1296" s="106">
        <v>5</v>
      </c>
      <c r="Q1296" s="108">
        <f t="shared" si="1396"/>
        <v>0.88546255506607929</v>
      </c>
      <c r="R1296" s="109">
        <f t="shared" si="1391"/>
        <v>0</v>
      </c>
      <c r="S1296" s="109">
        <f t="shared" si="1392"/>
        <v>2.2026431718061675E-2</v>
      </c>
      <c r="T1296" s="109">
        <f t="shared" si="1393"/>
        <v>8.8105726872246701E-2</v>
      </c>
      <c r="U1296" s="110">
        <f t="shared" si="1394"/>
        <v>0.99559471365638763</v>
      </c>
      <c r="V1296" s="136"/>
    </row>
    <row r="1297" spans="2:25" ht="15.75" hidden="1" x14ac:dyDescent="0.2">
      <c r="B1297" s="711">
        <v>46169</v>
      </c>
      <c r="C1297" s="105" t="s">
        <v>105</v>
      </c>
      <c r="D1297" s="105" t="s">
        <v>129</v>
      </c>
      <c r="E1297" s="711">
        <v>46170</v>
      </c>
      <c r="G1297" s="831"/>
      <c r="H1297" s="120" t="s">
        <v>14</v>
      </c>
      <c r="I1297" s="120" t="s">
        <v>22</v>
      </c>
      <c r="J1297" s="106">
        <v>210</v>
      </c>
      <c r="K1297" s="106">
        <v>97</v>
      </c>
      <c r="L1297" s="106">
        <v>30</v>
      </c>
      <c r="M1297" s="106">
        <v>11</v>
      </c>
      <c r="N1297" s="106">
        <v>37</v>
      </c>
      <c r="O1297" s="106">
        <v>11</v>
      </c>
      <c r="P1297" s="106">
        <v>3</v>
      </c>
      <c r="Q1297" s="108">
        <f t="shared" si="1396"/>
        <v>0.60476190476190472</v>
      </c>
      <c r="R1297" s="109">
        <f t="shared" si="1391"/>
        <v>0.1761904761904762</v>
      </c>
      <c r="S1297" s="109">
        <f t="shared" si="1392"/>
        <v>1.4285714285714285E-2</v>
      </c>
      <c r="T1297" s="109">
        <f t="shared" si="1393"/>
        <v>5.2380952380952382E-2</v>
      </c>
      <c r="U1297" s="110">
        <f t="shared" si="1394"/>
        <v>0.84761904761904761</v>
      </c>
      <c r="V1297" s="136"/>
    </row>
    <row r="1298" spans="2:25" ht="15.75" hidden="1" x14ac:dyDescent="0.2">
      <c r="B1298" s="711">
        <v>46169</v>
      </c>
      <c r="C1298" s="105" t="s">
        <v>105</v>
      </c>
      <c r="D1298" s="105" t="s">
        <v>129</v>
      </c>
      <c r="E1298" s="711">
        <v>46170</v>
      </c>
      <c r="G1298" s="831"/>
      <c r="H1298" s="120" t="s">
        <v>120</v>
      </c>
      <c r="I1298" s="120" t="s">
        <v>106</v>
      </c>
      <c r="J1298" s="106">
        <v>107</v>
      </c>
      <c r="K1298" s="106">
        <v>5</v>
      </c>
      <c r="L1298" s="106">
        <v>3</v>
      </c>
      <c r="M1298" s="106">
        <v>9</v>
      </c>
      <c r="N1298" s="106">
        <v>0</v>
      </c>
      <c r="O1298" s="106">
        <v>0</v>
      </c>
      <c r="P1298" s="106">
        <v>90</v>
      </c>
      <c r="Q1298" s="108">
        <f t="shared" ref="Q1298" si="1397">(K1298+L1298)/J1298</f>
        <v>7.476635514018691E-2</v>
      </c>
      <c r="R1298" s="109">
        <f t="shared" ref="R1298" si="1398">N1298/J1298</f>
        <v>0</v>
      </c>
      <c r="S1298" s="109">
        <f t="shared" ref="S1298" si="1399">P1298/J1298</f>
        <v>0.84112149532710279</v>
      </c>
      <c r="T1298" s="109">
        <f t="shared" ref="T1298" si="1400">O1298/J1298</f>
        <v>0</v>
      </c>
      <c r="U1298" s="110">
        <f t="shared" ref="U1298" si="1401">S1298+R1298+Q1298+T1298</f>
        <v>0.91588785046728971</v>
      </c>
      <c r="V1298" s="296"/>
    </row>
    <row r="1299" spans="2:25" ht="15.75" hidden="1" x14ac:dyDescent="0.2">
      <c r="B1299" s="711">
        <v>46169</v>
      </c>
      <c r="C1299" s="105" t="s">
        <v>105</v>
      </c>
      <c r="D1299" s="105" t="s">
        <v>129</v>
      </c>
      <c r="E1299" s="711">
        <v>46170</v>
      </c>
      <c r="G1299" s="831"/>
      <c r="H1299" s="120" t="s">
        <v>84</v>
      </c>
      <c r="I1299" s="120" t="s">
        <v>106</v>
      </c>
      <c r="J1299" s="106">
        <v>17</v>
      </c>
      <c r="K1299" s="106">
        <v>0</v>
      </c>
      <c r="L1299" s="106">
        <v>0</v>
      </c>
      <c r="M1299" s="106">
        <v>13</v>
      </c>
      <c r="N1299" s="106">
        <v>4</v>
      </c>
      <c r="O1299" s="106">
        <v>0</v>
      </c>
      <c r="P1299" s="106">
        <v>0</v>
      </c>
      <c r="Q1299" s="108">
        <f t="shared" si="1396"/>
        <v>0</v>
      </c>
      <c r="R1299" s="109">
        <f t="shared" si="1391"/>
        <v>0.23529411764705882</v>
      </c>
      <c r="S1299" s="109">
        <f t="shared" si="1392"/>
        <v>0</v>
      </c>
      <c r="T1299" s="109">
        <f t="shared" si="1393"/>
        <v>0</v>
      </c>
      <c r="U1299" s="110">
        <f t="shared" si="1394"/>
        <v>0.23529411764705882</v>
      </c>
      <c r="V1299" s="296"/>
    </row>
    <row r="1300" spans="2:25" ht="15.75" hidden="1" x14ac:dyDescent="0.2">
      <c r="B1300" s="711">
        <v>46169</v>
      </c>
      <c r="C1300" s="105" t="s">
        <v>105</v>
      </c>
      <c r="D1300" s="105" t="s">
        <v>129</v>
      </c>
      <c r="E1300" s="711">
        <v>46170</v>
      </c>
      <c r="G1300" s="832"/>
      <c r="H1300" s="120" t="s">
        <v>25</v>
      </c>
      <c r="I1300" s="120" t="s">
        <v>18</v>
      </c>
      <c r="J1300" s="106">
        <v>223</v>
      </c>
      <c r="K1300" s="106">
        <v>2</v>
      </c>
      <c r="L1300" s="106">
        <v>6</v>
      </c>
      <c r="M1300" s="106">
        <v>205</v>
      </c>
      <c r="N1300" s="106">
        <v>9</v>
      </c>
      <c r="O1300" s="106">
        <v>0</v>
      </c>
      <c r="P1300" s="106">
        <v>3</v>
      </c>
      <c r="Q1300" s="108">
        <f t="shared" si="1396"/>
        <v>3.5874439461883408E-2</v>
      </c>
      <c r="R1300" s="109">
        <f t="shared" si="1391"/>
        <v>4.0358744394618833E-2</v>
      </c>
      <c r="S1300" s="109">
        <f t="shared" si="1392"/>
        <v>1.3452914798206279E-2</v>
      </c>
      <c r="T1300" s="109">
        <f t="shared" si="1393"/>
        <v>0</v>
      </c>
      <c r="U1300" s="110">
        <f t="shared" si="1394"/>
        <v>8.9686098654708529E-2</v>
      </c>
      <c r="V1300"/>
    </row>
    <row r="1301" spans="2:25" s="97" customFormat="1" ht="16.5" hidden="1" customHeight="1" x14ac:dyDescent="0.2">
      <c r="B1301" s="711">
        <v>46169</v>
      </c>
      <c r="C1301" s="105" t="s">
        <v>105</v>
      </c>
      <c r="D1301" s="105" t="s">
        <v>129</v>
      </c>
      <c r="E1301" s="711">
        <v>46170</v>
      </c>
      <c r="F1301" s="89"/>
      <c r="G1301" s="267"/>
      <c r="H1301" s="113" t="s">
        <v>19</v>
      </c>
      <c r="I1301" s="113"/>
      <c r="J1301" s="113">
        <f t="shared" ref="J1301:P1301" si="1402">SUM(J1294:J1300)</f>
        <v>886</v>
      </c>
      <c r="K1301" s="113">
        <f t="shared" si="1402"/>
        <v>284</v>
      </c>
      <c r="L1301" s="113">
        <f t="shared" si="1402"/>
        <v>152</v>
      </c>
      <c r="M1301" s="113">
        <f t="shared" si="1402"/>
        <v>239</v>
      </c>
      <c r="N1301" s="113">
        <f t="shared" si="1402"/>
        <v>50</v>
      </c>
      <c r="O1301" s="113">
        <f t="shared" si="1402"/>
        <v>31</v>
      </c>
      <c r="P1301" s="113">
        <f t="shared" si="1402"/>
        <v>111</v>
      </c>
      <c r="Q1301" s="115">
        <f>(K1301+L1301)/J1301</f>
        <v>0.49209932279909707</v>
      </c>
      <c r="R1301" s="116">
        <f t="shared" si="1391"/>
        <v>5.6433408577878104E-2</v>
      </c>
      <c r="S1301" s="116">
        <f t="shared" si="1392"/>
        <v>0.12528216704288939</v>
      </c>
      <c r="T1301" s="116">
        <f t="shared" si="1393"/>
        <v>3.4988713318284424E-2</v>
      </c>
      <c r="U1301" s="117">
        <f t="shared" si="1394"/>
        <v>0.70880361173814899</v>
      </c>
      <c r="V1301" s="127"/>
      <c r="W1301" s="88"/>
      <c r="X1301" s="88"/>
      <c r="Y1301" s="118"/>
    </row>
    <row r="1302" spans="2:25" s="97" customFormat="1" ht="16.5" hidden="1" customHeight="1" x14ac:dyDescent="0.2">
      <c r="B1302" s="711">
        <v>46169</v>
      </c>
      <c r="C1302" s="105" t="s">
        <v>106</v>
      </c>
      <c r="D1302" s="105" t="s">
        <v>133</v>
      </c>
      <c r="E1302" s="711">
        <v>46170</v>
      </c>
      <c r="F1302" s="89"/>
      <c r="G1302" s="267"/>
      <c r="H1302" s="113" t="s">
        <v>19</v>
      </c>
      <c r="I1302" s="113"/>
      <c r="J1302" s="113">
        <f t="shared" ref="J1302:P1302" si="1403">SUM(J1298:J1301)</f>
        <v>1233</v>
      </c>
      <c r="K1302" s="113">
        <f t="shared" si="1403"/>
        <v>291</v>
      </c>
      <c r="L1302" s="113">
        <f t="shared" si="1403"/>
        <v>161</v>
      </c>
      <c r="M1302" s="113">
        <f t="shared" si="1403"/>
        <v>466</v>
      </c>
      <c r="N1302" s="113">
        <f t="shared" si="1403"/>
        <v>63</v>
      </c>
      <c r="O1302" s="113">
        <f t="shared" si="1403"/>
        <v>31</v>
      </c>
      <c r="P1302" s="113">
        <f t="shared" si="1403"/>
        <v>204</v>
      </c>
      <c r="Q1302" s="115">
        <f>(K1302+L1302)/J1302</f>
        <v>0.36658556366585565</v>
      </c>
      <c r="R1302" s="116">
        <f t="shared" ref="R1302:R1317" si="1404">N1302/J1302</f>
        <v>5.1094890510948905E-2</v>
      </c>
      <c r="S1302" s="116">
        <f t="shared" ref="S1302:S1317" si="1405">P1302/J1302</f>
        <v>0.16545012165450121</v>
      </c>
      <c r="T1302" s="116">
        <f t="shared" ref="T1302:T1317" si="1406">O1302/J1302</f>
        <v>2.5141930251419302E-2</v>
      </c>
      <c r="U1302" s="117">
        <f t="shared" ref="U1302:U1317" si="1407">S1302+R1302+Q1302+T1302</f>
        <v>0.6082725060827251</v>
      </c>
      <c r="V1302" s="127"/>
      <c r="W1302" s="88"/>
      <c r="X1302" s="88"/>
      <c r="Y1302" s="118"/>
    </row>
    <row r="1303" spans="2:25" ht="15.75" hidden="1" x14ac:dyDescent="0.2">
      <c r="B1303" s="711">
        <v>46170</v>
      </c>
      <c r="C1303" s="105" t="s">
        <v>106</v>
      </c>
      <c r="D1303" s="105" t="s">
        <v>133</v>
      </c>
      <c r="E1303" s="711">
        <v>46170</v>
      </c>
      <c r="G1303" s="830">
        <v>46170</v>
      </c>
      <c r="H1303" s="120" t="s">
        <v>75</v>
      </c>
      <c r="I1303" s="120" t="s">
        <v>112</v>
      </c>
      <c r="J1303" s="106">
        <v>227</v>
      </c>
      <c r="K1303" s="106">
        <v>131</v>
      </c>
      <c r="L1303" s="106">
        <v>68</v>
      </c>
      <c r="M1303" s="106">
        <v>3</v>
      </c>
      <c r="N1303" s="106">
        <v>0</v>
      </c>
      <c r="O1303" s="106">
        <v>20</v>
      </c>
      <c r="P1303" s="106">
        <v>5</v>
      </c>
      <c r="Q1303" s="108">
        <f t="shared" ref="Q1303:Q1307" si="1408">(K1303+L1303)/J1303</f>
        <v>0.87665198237885467</v>
      </c>
      <c r="R1303" s="109">
        <f t="shared" si="1404"/>
        <v>0</v>
      </c>
      <c r="S1303" s="109">
        <f t="shared" si="1405"/>
        <v>2.2026431718061675E-2</v>
      </c>
      <c r="T1303" s="109">
        <f t="shared" si="1406"/>
        <v>8.8105726872246701E-2</v>
      </c>
      <c r="U1303" s="110">
        <f t="shared" si="1407"/>
        <v>0.986784140969163</v>
      </c>
      <c r="V1303" s="136"/>
    </row>
    <row r="1304" spans="2:25" ht="15.75" hidden="1" x14ac:dyDescent="0.2">
      <c r="B1304" s="711">
        <v>46170</v>
      </c>
      <c r="C1304" s="105" t="s">
        <v>106</v>
      </c>
      <c r="D1304" s="105" t="s">
        <v>133</v>
      </c>
      <c r="E1304" s="711">
        <v>46170</v>
      </c>
      <c r="G1304" s="831"/>
      <c r="H1304" s="120" t="s">
        <v>14</v>
      </c>
      <c r="I1304" s="120" t="s">
        <v>22</v>
      </c>
      <c r="J1304" s="106">
        <v>210</v>
      </c>
      <c r="K1304" s="106">
        <v>149</v>
      </c>
      <c r="L1304" s="106">
        <v>43</v>
      </c>
      <c r="M1304" s="106">
        <v>4</v>
      </c>
      <c r="N1304" s="106">
        <v>0</v>
      </c>
      <c r="O1304" s="106">
        <v>11</v>
      </c>
      <c r="P1304" s="106">
        <v>3</v>
      </c>
      <c r="Q1304" s="108">
        <f t="shared" si="1408"/>
        <v>0.91428571428571426</v>
      </c>
      <c r="R1304" s="109">
        <f t="shared" si="1404"/>
        <v>0</v>
      </c>
      <c r="S1304" s="109">
        <f t="shared" si="1405"/>
        <v>1.4285714285714285E-2</v>
      </c>
      <c r="T1304" s="109">
        <f t="shared" si="1406"/>
        <v>5.2380952380952382E-2</v>
      </c>
      <c r="U1304" s="110">
        <f t="shared" si="1407"/>
        <v>0.98095238095238091</v>
      </c>
      <c r="V1304" s="136"/>
    </row>
    <row r="1305" spans="2:25" ht="15.75" hidden="1" x14ac:dyDescent="0.2">
      <c r="B1305" s="711">
        <v>46170</v>
      </c>
      <c r="C1305" s="105" t="s">
        <v>106</v>
      </c>
      <c r="D1305" s="105" t="s">
        <v>133</v>
      </c>
      <c r="E1305" s="711">
        <v>46170</v>
      </c>
      <c r="G1305" s="831"/>
      <c r="H1305" s="120" t="s">
        <v>120</v>
      </c>
      <c r="I1305" s="120" t="s">
        <v>106</v>
      </c>
      <c r="J1305" s="106">
        <v>107</v>
      </c>
      <c r="K1305" s="106">
        <v>17</v>
      </c>
      <c r="L1305" s="106">
        <v>13</v>
      </c>
      <c r="M1305" s="106">
        <v>7</v>
      </c>
      <c r="N1305" s="106">
        <v>0</v>
      </c>
      <c r="O1305" s="106">
        <v>0</v>
      </c>
      <c r="P1305" s="106">
        <v>70</v>
      </c>
      <c r="Q1305" s="108">
        <f t="shared" si="1408"/>
        <v>0.28037383177570091</v>
      </c>
      <c r="R1305" s="109">
        <f t="shared" si="1404"/>
        <v>0</v>
      </c>
      <c r="S1305" s="109">
        <f t="shared" si="1405"/>
        <v>0.65420560747663548</v>
      </c>
      <c r="T1305" s="109">
        <f t="shared" si="1406"/>
        <v>0</v>
      </c>
      <c r="U1305" s="110">
        <f t="shared" si="1407"/>
        <v>0.93457943925233633</v>
      </c>
      <c r="V1305" s="296"/>
    </row>
    <row r="1306" spans="2:25" ht="15.75" hidden="1" x14ac:dyDescent="0.2">
      <c r="B1306" s="711">
        <v>46170</v>
      </c>
      <c r="C1306" s="105" t="s">
        <v>106</v>
      </c>
      <c r="D1306" s="105" t="s">
        <v>133</v>
      </c>
      <c r="E1306" s="711">
        <v>46170</v>
      </c>
      <c r="G1306" s="831"/>
      <c r="H1306" s="120" t="s">
        <v>84</v>
      </c>
      <c r="I1306" s="120" t="s">
        <v>106</v>
      </c>
      <c r="J1306" s="106">
        <v>17</v>
      </c>
      <c r="K1306" s="106">
        <v>4</v>
      </c>
      <c r="L1306" s="106">
        <v>6</v>
      </c>
      <c r="M1306" s="106">
        <v>2</v>
      </c>
      <c r="N1306" s="106">
        <v>0</v>
      </c>
      <c r="O1306" s="106">
        <v>5</v>
      </c>
      <c r="P1306" s="106">
        <v>0</v>
      </c>
      <c r="Q1306" s="108">
        <f t="shared" si="1408"/>
        <v>0.58823529411764708</v>
      </c>
      <c r="R1306" s="109">
        <f t="shared" si="1404"/>
        <v>0</v>
      </c>
      <c r="S1306" s="109">
        <f t="shared" si="1405"/>
        <v>0</v>
      </c>
      <c r="T1306" s="109">
        <f t="shared" si="1406"/>
        <v>0.29411764705882354</v>
      </c>
      <c r="U1306" s="110">
        <f t="shared" si="1407"/>
        <v>0.88235294117647056</v>
      </c>
      <c r="V1306" s="296"/>
    </row>
    <row r="1307" spans="2:25" ht="15.75" hidden="1" x14ac:dyDescent="0.2">
      <c r="B1307" s="711">
        <v>46170</v>
      </c>
      <c r="C1307" s="105" t="s">
        <v>106</v>
      </c>
      <c r="D1307" s="105" t="s">
        <v>133</v>
      </c>
      <c r="E1307" s="711">
        <v>46170</v>
      </c>
      <c r="G1307" s="832"/>
      <c r="H1307" s="120" t="s">
        <v>25</v>
      </c>
      <c r="I1307" s="120" t="s">
        <v>18</v>
      </c>
      <c r="J1307" s="106">
        <v>223</v>
      </c>
      <c r="K1307" s="106">
        <v>0</v>
      </c>
      <c r="L1307" s="106">
        <v>6</v>
      </c>
      <c r="M1307" s="106">
        <v>18</v>
      </c>
      <c r="N1307" s="106">
        <v>163</v>
      </c>
      <c r="O1307" s="106">
        <v>33</v>
      </c>
      <c r="P1307" s="106">
        <v>3</v>
      </c>
      <c r="Q1307" s="108">
        <f t="shared" si="1408"/>
        <v>2.6905829596412557E-2</v>
      </c>
      <c r="R1307" s="109">
        <f t="shared" si="1404"/>
        <v>0.73094170403587444</v>
      </c>
      <c r="S1307" s="109">
        <f t="shared" si="1405"/>
        <v>1.3452914798206279E-2</v>
      </c>
      <c r="T1307" s="109">
        <f t="shared" si="1406"/>
        <v>0.14798206278026907</v>
      </c>
      <c r="U1307" s="110">
        <f t="shared" si="1407"/>
        <v>0.91928251121076232</v>
      </c>
      <c r="V1307"/>
    </row>
    <row r="1308" spans="2:25" s="97" customFormat="1" ht="16.5" hidden="1" customHeight="1" x14ac:dyDescent="0.2">
      <c r="B1308" s="711">
        <v>46170</v>
      </c>
      <c r="C1308" s="105" t="s">
        <v>106</v>
      </c>
      <c r="D1308" s="105" t="s">
        <v>129</v>
      </c>
      <c r="E1308" s="711">
        <v>46170</v>
      </c>
      <c r="F1308" s="89"/>
      <c r="G1308" s="267"/>
      <c r="H1308" s="113" t="s">
        <v>19</v>
      </c>
      <c r="I1308" s="113"/>
      <c r="J1308" s="113">
        <f t="shared" ref="J1308:P1308" si="1409">SUM(J1303:J1307)</f>
        <v>784</v>
      </c>
      <c r="K1308" s="113">
        <f t="shared" si="1409"/>
        <v>301</v>
      </c>
      <c r="L1308" s="113">
        <f t="shared" si="1409"/>
        <v>136</v>
      </c>
      <c r="M1308" s="113">
        <f t="shared" si="1409"/>
        <v>34</v>
      </c>
      <c r="N1308" s="113">
        <f t="shared" si="1409"/>
        <v>163</v>
      </c>
      <c r="O1308" s="113">
        <f t="shared" si="1409"/>
        <v>69</v>
      </c>
      <c r="P1308" s="113">
        <f t="shared" si="1409"/>
        <v>81</v>
      </c>
      <c r="Q1308" s="115">
        <f>(K1308+L1308)/J1308</f>
        <v>0.55739795918367352</v>
      </c>
      <c r="R1308" s="116">
        <f t="shared" si="1404"/>
        <v>0.20790816326530612</v>
      </c>
      <c r="S1308" s="116">
        <f t="shared" si="1405"/>
        <v>0.10331632653061225</v>
      </c>
      <c r="T1308" s="116">
        <f t="shared" si="1406"/>
        <v>8.8010204081632654E-2</v>
      </c>
      <c r="U1308" s="117">
        <f t="shared" si="1407"/>
        <v>0.95663265306122458</v>
      </c>
      <c r="V1308" s="127"/>
      <c r="W1308" s="88"/>
      <c r="X1308" s="88"/>
      <c r="Y1308" s="118"/>
    </row>
    <row r="1309" spans="2:25" ht="15.75" hidden="1" x14ac:dyDescent="0.2">
      <c r="B1309" s="711">
        <v>46170</v>
      </c>
      <c r="C1309" s="105" t="s">
        <v>105</v>
      </c>
      <c r="D1309" s="105" t="s">
        <v>129</v>
      </c>
      <c r="E1309" s="711">
        <v>46170</v>
      </c>
      <c r="G1309" s="833">
        <v>46170</v>
      </c>
      <c r="H1309" s="120" t="s">
        <v>75</v>
      </c>
      <c r="I1309" s="120" t="s">
        <v>112</v>
      </c>
      <c r="J1309" s="106">
        <f>SUM(K1309:P1309)</f>
        <v>36</v>
      </c>
      <c r="K1309" s="106">
        <f>120-106</f>
        <v>14</v>
      </c>
      <c r="L1309" s="106">
        <f>77-60</f>
        <v>17</v>
      </c>
      <c r="M1309" s="106">
        <v>0</v>
      </c>
      <c r="N1309" s="106">
        <v>0</v>
      </c>
      <c r="O1309" s="106">
        <v>0</v>
      </c>
      <c r="P1309" s="106">
        <v>5</v>
      </c>
      <c r="Q1309" s="108">
        <f t="shared" ref="Q1309:Q1316" si="1410">(K1309+L1309)/J1309</f>
        <v>0.86111111111111116</v>
      </c>
      <c r="R1309" s="109">
        <f t="shared" si="1404"/>
        <v>0</v>
      </c>
      <c r="S1309" s="109">
        <f t="shared" si="1405"/>
        <v>0.1388888888888889</v>
      </c>
      <c r="T1309" s="109">
        <f t="shared" si="1406"/>
        <v>0</v>
      </c>
      <c r="U1309" s="110">
        <f t="shared" si="1407"/>
        <v>1</v>
      </c>
      <c r="V1309" s="136"/>
    </row>
    <row r="1310" spans="2:25" ht="15.75" hidden="1" x14ac:dyDescent="0.2">
      <c r="B1310" s="711">
        <v>46170</v>
      </c>
      <c r="C1310" s="105" t="s">
        <v>105</v>
      </c>
      <c r="D1310" s="105" t="s">
        <v>129</v>
      </c>
      <c r="E1310" s="711">
        <v>46170</v>
      </c>
      <c r="G1310" s="834"/>
      <c r="H1310" s="120" t="s">
        <v>17</v>
      </c>
      <c r="I1310" s="120" t="s">
        <v>18</v>
      </c>
      <c r="J1310" s="106">
        <f>SUM(K1310:P1310)</f>
        <v>6</v>
      </c>
      <c r="K1310" s="106">
        <v>4</v>
      </c>
      <c r="L1310" s="106">
        <v>2</v>
      </c>
      <c r="M1310" s="106">
        <v>0</v>
      </c>
      <c r="N1310" s="106">
        <v>0</v>
      </c>
      <c r="O1310" s="106">
        <v>0</v>
      </c>
      <c r="P1310" s="106">
        <v>0</v>
      </c>
      <c r="Q1310" s="108">
        <f t="shared" ref="Q1310" si="1411">(K1310+L1310)/J1310</f>
        <v>1</v>
      </c>
      <c r="R1310" s="109">
        <f t="shared" ref="R1310" si="1412">N1310/J1310</f>
        <v>0</v>
      </c>
      <c r="S1310" s="109">
        <f t="shared" ref="S1310" si="1413">P1310/J1310</f>
        <v>0</v>
      </c>
      <c r="T1310" s="109">
        <f t="shared" ref="T1310" si="1414">O1310/J1310</f>
        <v>0</v>
      </c>
      <c r="U1310" s="110">
        <f t="shared" ref="U1310" si="1415">S1310+R1310+Q1310+T1310</f>
        <v>1</v>
      </c>
      <c r="V1310" s="136"/>
    </row>
    <row r="1311" spans="2:25" ht="15.75" hidden="1" x14ac:dyDescent="0.2">
      <c r="B1311" s="711">
        <v>46170</v>
      </c>
      <c r="C1311" s="105" t="s">
        <v>105</v>
      </c>
      <c r="D1311" s="105" t="s">
        <v>129</v>
      </c>
      <c r="E1311" s="711">
        <v>46170</v>
      </c>
      <c r="G1311" s="835"/>
      <c r="H1311" s="120" t="s">
        <v>25</v>
      </c>
      <c r="I1311" s="120" t="s">
        <v>18</v>
      </c>
      <c r="J1311" s="106">
        <f>SUM(K1311:P1311)</f>
        <v>211</v>
      </c>
      <c r="K1311" s="106">
        <v>167</v>
      </c>
      <c r="L1311" s="106">
        <v>41</v>
      </c>
      <c r="M1311" s="106">
        <v>0</v>
      </c>
      <c r="N1311" s="106">
        <v>0</v>
      </c>
      <c r="O1311" s="106">
        <v>0</v>
      </c>
      <c r="P1311" s="106">
        <v>3</v>
      </c>
      <c r="Q1311" s="108">
        <f t="shared" si="1410"/>
        <v>0.98578199052132698</v>
      </c>
      <c r="R1311" s="109">
        <f t="shared" si="1404"/>
        <v>0</v>
      </c>
      <c r="S1311" s="109">
        <f t="shared" si="1405"/>
        <v>1.4218009478672985E-2</v>
      </c>
      <c r="T1311" s="109">
        <f t="shared" si="1406"/>
        <v>0</v>
      </c>
      <c r="U1311" s="110">
        <f t="shared" si="1407"/>
        <v>1</v>
      </c>
      <c r="V1311" s="136"/>
    </row>
    <row r="1312" spans="2:25" ht="15.75" hidden="1" x14ac:dyDescent="0.2">
      <c r="B1312" s="711">
        <v>46170</v>
      </c>
      <c r="C1312" s="105" t="s">
        <v>105</v>
      </c>
      <c r="D1312" s="105" t="s">
        <v>129</v>
      </c>
      <c r="E1312" s="711">
        <v>46171</v>
      </c>
      <c r="G1312" s="830">
        <v>46171</v>
      </c>
      <c r="H1312" s="120" t="s">
        <v>75</v>
      </c>
      <c r="I1312" s="120" t="s">
        <v>112</v>
      </c>
      <c r="J1312" s="106">
        <v>235</v>
      </c>
      <c r="K1312" s="106">
        <v>109</v>
      </c>
      <c r="L1312" s="106">
        <v>63</v>
      </c>
      <c r="M1312" s="106">
        <v>42</v>
      </c>
      <c r="N1312" s="106">
        <v>2</v>
      </c>
      <c r="O1312" s="106">
        <v>20</v>
      </c>
      <c r="P1312" s="106">
        <v>8</v>
      </c>
      <c r="Q1312" s="108">
        <f t="shared" si="1410"/>
        <v>0.73191489361702122</v>
      </c>
      <c r="R1312" s="109">
        <f t="shared" si="1404"/>
        <v>8.5106382978723406E-3</v>
      </c>
      <c r="S1312" s="109">
        <f t="shared" si="1405"/>
        <v>3.4042553191489362E-2</v>
      </c>
      <c r="T1312" s="109">
        <f t="shared" si="1406"/>
        <v>8.5106382978723402E-2</v>
      </c>
      <c r="U1312" s="110">
        <f t="shared" si="1407"/>
        <v>0.85957446808510629</v>
      </c>
      <c r="V1312" s="136"/>
    </row>
    <row r="1313" spans="2:25" ht="15.75" hidden="1" x14ac:dyDescent="0.2">
      <c r="B1313" s="711">
        <v>46170</v>
      </c>
      <c r="C1313" s="105" t="s">
        <v>105</v>
      </c>
      <c r="D1313" s="105" t="s">
        <v>129</v>
      </c>
      <c r="E1313" s="711">
        <v>46171</v>
      </c>
      <c r="G1313" s="831"/>
      <c r="H1313" s="120" t="s">
        <v>14</v>
      </c>
      <c r="I1313" s="120" t="s">
        <v>22</v>
      </c>
      <c r="J1313" s="106">
        <v>158</v>
      </c>
      <c r="K1313" s="106">
        <v>18</v>
      </c>
      <c r="L1313" s="106">
        <v>2</v>
      </c>
      <c r="M1313" s="106">
        <f>131-6</f>
        <v>125</v>
      </c>
      <c r="N1313" s="106">
        <v>12</v>
      </c>
      <c r="O1313" s="106">
        <v>6</v>
      </c>
      <c r="P1313" s="106">
        <v>0</v>
      </c>
      <c r="Q1313" s="108">
        <f t="shared" si="1410"/>
        <v>0.12658227848101267</v>
      </c>
      <c r="R1313" s="109">
        <f t="shared" si="1404"/>
        <v>7.5949367088607597E-2</v>
      </c>
      <c r="S1313" s="109">
        <f t="shared" si="1405"/>
        <v>0</v>
      </c>
      <c r="T1313" s="109">
        <f t="shared" si="1406"/>
        <v>3.7974683544303799E-2</v>
      </c>
      <c r="U1313" s="110">
        <f t="shared" si="1407"/>
        <v>0.24050632911392408</v>
      </c>
      <c r="V1313" s="136"/>
    </row>
    <row r="1314" spans="2:25" ht="15.75" hidden="1" x14ac:dyDescent="0.2">
      <c r="B1314" s="711">
        <v>46170</v>
      </c>
      <c r="C1314" s="105" t="s">
        <v>105</v>
      </c>
      <c r="D1314" s="105" t="s">
        <v>129</v>
      </c>
      <c r="E1314" s="711">
        <v>46171</v>
      </c>
      <c r="G1314" s="831"/>
      <c r="H1314" s="120" t="s">
        <v>120</v>
      </c>
      <c r="I1314" s="120" t="s">
        <v>106</v>
      </c>
      <c r="J1314" s="106">
        <v>31</v>
      </c>
      <c r="K1314" s="106">
        <v>0</v>
      </c>
      <c r="L1314" s="106">
        <v>0</v>
      </c>
      <c r="M1314" s="106">
        <f>31-18</f>
        <v>13</v>
      </c>
      <c r="N1314" s="106">
        <v>0</v>
      </c>
      <c r="O1314" s="106">
        <v>0</v>
      </c>
      <c r="P1314" s="106">
        <v>18</v>
      </c>
      <c r="Q1314" s="108">
        <f t="shared" si="1410"/>
        <v>0</v>
      </c>
      <c r="R1314" s="109">
        <f t="shared" si="1404"/>
        <v>0</v>
      </c>
      <c r="S1314" s="109">
        <f t="shared" si="1405"/>
        <v>0.58064516129032262</v>
      </c>
      <c r="T1314" s="109">
        <f t="shared" si="1406"/>
        <v>0</v>
      </c>
      <c r="U1314" s="110">
        <f t="shared" si="1407"/>
        <v>0.58064516129032262</v>
      </c>
      <c r="V1314" s="296"/>
    </row>
    <row r="1315" spans="2:25" ht="15.75" hidden="1" x14ac:dyDescent="0.2">
      <c r="B1315" s="711">
        <v>46170</v>
      </c>
      <c r="C1315" s="105" t="s">
        <v>105</v>
      </c>
      <c r="D1315" s="105" t="s">
        <v>129</v>
      </c>
      <c r="E1315" s="711">
        <v>46171</v>
      </c>
      <c r="G1315" s="831"/>
      <c r="H1315" s="120" t="s">
        <v>84</v>
      </c>
      <c r="I1315" s="120" t="s">
        <v>106</v>
      </c>
      <c r="J1315" s="106">
        <v>11</v>
      </c>
      <c r="K1315" s="106">
        <v>0</v>
      </c>
      <c r="L1315" s="106">
        <v>0</v>
      </c>
      <c r="M1315" s="106">
        <v>11</v>
      </c>
      <c r="N1315" s="106">
        <v>0</v>
      </c>
      <c r="O1315" s="106">
        <v>0</v>
      </c>
      <c r="P1315" s="106">
        <v>2</v>
      </c>
      <c r="Q1315" s="108">
        <f t="shared" si="1410"/>
        <v>0</v>
      </c>
      <c r="R1315" s="109">
        <f t="shared" si="1404"/>
        <v>0</v>
      </c>
      <c r="S1315" s="109">
        <f t="shared" si="1405"/>
        <v>0.18181818181818182</v>
      </c>
      <c r="T1315" s="109">
        <f t="shared" si="1406"/>
        <v>0</v>
      </c>
      <c r="U1315" s="110">
        <f t="shared" si="1407"/>
        <v>0.18181818181818182</v>
      </c>
      <c r="V1315" s="296"/>
    </row>
    <row r="1316" spans="2:25" ht="15.75" hidden="1" x14ac:dyDescent="0.2">
      <c r="B1316" s="711">
        <v>46170</v>
      </c>
      <c r="C1316" s="105" t="s">
        <v>105</v>
      </c>
      <c r="D1316" s="105" t="s">
        <v>129</v>
      </c>
      <c r="E1316" s="711">
        <v>46171</v>
      </c>
      <c r="G1316" s="832"/>
      <c r="H1316" s="120" t="s">
        <v>17</v>
      </c>
      <c r="I1316" s="120" t="s">
        <v>18</v>
      </c>
      <c r="J1316" s="106">
        <v>188</v>
      </c>
      <c r="K1316" s="106">
        <v>0</v>
      </c>
      <c r="L1316" s="106">
        <v>0</v>
      </c>
      <c r="M1316" s="106">
        <f>188-31-4</f>
        <v>153</v>
      </c>
      <c r="N1316" s="106">
        <v>0</v>
      </c>
      <c r="O1316" s="106">
        <v>31</v>
      </c>
      <c r="P1316" s="106">
        <v>4</v>
      </c>
      <c r="Q1316" s="108">
        <f t="shared" si="1410"/>
        <v>0</v>
      </c>
      <c r="R1316" s="109">
        <f t="shared" si="1404"/>
        <v>0</v>
      </c>
      <c r="S1316" s="109">
        <f t="shared" si="1405"/>
        <v>2.1276595744680851E-2</v>
      </c>
      <c r="T1316" s="109">
        <f t="shared" si="1406"/>
        <v>0.16489361702127658</v>
      </c>
      <c r="U1316" s="110">
        <f t="shared" si="1407"/>
        <v>0.18617021276595744</v>
      </c>
      <c r="V1316"/>
    </row>
    <row r="1317" spans="2:25" s="97" customFormat="1" ht="16.5" hidden="1" customHeight="1" x14ac:dyDescent="0.2">
      <c r="B1317" s="711">
        <v>46170</v>
      </c>
      <c r="C1317" s="105" t="s">
        <v>105</v>
      </c>
      <c r="D1317" s="105" t="s">
        <v>129</v>
      </c>
      <c r="E1317" s="711">
        <v>46171</v>
      </c>
      <c r="F1317" s="89"/>
      <c r="G1317" s="113"/>
      <c r="H1317" s="113" t="s">
        <v>19</v>
      </c>
      <c r="I1317" s="113"/>
      <c r="J1317" s="113">
        <f t="shared" ref="J1317:P1317" si="1416">SUM(J1309:J1316)</f>
        <v>876</v>
      </c>
      <c r="K1317" s="113">
        <f t="shared" si="1416"/>
        <v>312</v>
      </c>
      <c r="L1317" s="113">
        <f t="shared" si="1416"/>
        <v>125</v>
      </c>
      <c r="M1317" s="113">
        <f t="shared" si="1416"/>
        <v>344</v>
      </c>
      <c r="N1317" s="113">
        <f t="shared" si="1416"/>
        <v>14</v>
      </c>
      <c r="O1317" s="113">
        <f t="shared" si="1416"/>
        <v>57</v>
      </c>
      <c r="P1317" s="113">
        <f t="shared" si="1416"/>
        <v>40</v>
      </c>
      <c r="Q1317" s="115">
        <f>(K1317+L1317)/J1317</f>
        <v>0.49885844748858449</v>
      </c>
      <c r="R1317" s="116">
        <f t="shared" si="1404"/>
        <v>1.5981735159817351E-2</v>
      </c>
      <c r="S1317" s="116">
        <f t="shared" si="1405"/>
        <v>4.5662100456621002E-2</v>
      </c>
      <c r="T1317" s="116">
        <f t="shared" si="1406"/>
        <v>6.5068493150684928E-2</v>
      </c>
      <c r="U1317" s="117">
        <f t="shared" si="1407"/>
        <v>0.62557077625570778</v>
      </c>
      <c r="V1317" s="127"/>
      <c r="W1317" s="88"/>
      <c r="X1317" s="88"/>
      <c r="Y1317" s="118"/>
    </row>
    <row r="1318" spans="2:25" ht="15.75" hidden="1" x14ac:dyDescent="0.2">
      <c r="B1318" s="711">
        <v>46171</v>
      </c>
      <c r="C1318" s="105" t="s">
        <v>106</v>
      </c>
      <c r="D1318" s="105" t="s">
        <v>23</v>
      </c>
      <c r="E1318" s="711">
        <v>46171</v>
      </c>
      <c r="G1318" s="833">
        <v>46171</v>
      </c>
      <c r="H1318" s="120" t="s">
        <v>75</v>
      </c>
      <c r="I1318" s="120" t="s">
        <v>112</v>
      </c>
      <c r="J1318" s="106">
        <v>49</v>
      </c>
      <c r="K1318" s="106">
        <f t="shared" ref="K1318:K1326" si="1417">J1318-L1318-M1318-N1318-O1318-P1318</f>
        <v>21</v>
      </c>
      <c r="L1318" s="106">
        <v>10</v>
      </c>
      <c r="M1318" s="106">
        <v>0</v>
      </c>
      <c r="N1318" s="106">
        <v>0</v>
      </c>
      <c r="O1318" s="106">
        <v>15</v>
      </c>
      <c r="P1318" s="106">
        <v>3</v>
      </c>
      <c r="Q1318" s="108">
        <f t="shared" ref="Q1318:Q1322" si="1418">(K1318+L1318)/J1318</f>
        <v>0.63265306122448983</v>
      </c>
      <c r="R1318" s="109">
        <f t="shared" ref="R1318:R1323" si="1419">N1318/J1318</f>
        <v>0</v>
      </c>
      <c r="S1318" s="109">
        <f t="shared" ref="S1318:S1323" si="1420">P1318/J1318</f>
        <v>6.1224489795918366E-2</v>
      </c>
      <c r="T1318" s="109">
        <f t="shared" ref="T1318:T1323" si="1421">O1318/J1318</f>
        <v>0.30612244897959184</v>
      </c>
      <c r="U1318" s="110">
        <f t="shared" ref="U1318:U1323" si="1422">S1318+R1318+Q1318+T1318</f>
        <v>1</v>
      </c>
      <c r="V1318" s="136"/>
    </row>
    <row r="1319" spans="2:25" ht="15.75" hidden="1" x14ac:dyDescent="0.2">
      <c r="B1319" s="711">
        <v>46171</v>
      </c>
      <c r="C1319" s="105" t="s">
        <v>106</v>
      </c>
      <c r="D1319" s="105" t="s">
        <v>23</v>
      </c>
      <c r="E1319" s="711">
        <v>46171</v>
      </c>
      <c r="G1319" s="834"/>
      <c r="H1319" s="120" t="s">
        <v>14</v>
      </c>
      <c r="I1319" s="120" t="s">
        <v>22</v>
      </c>
      <c r="J1319" s="106">
        <v>158</v>
      </c>
      <c r="K1319" s="106">
        <f t="shared" si="1417"/>
        <v>122</v>
      </c>
      <c r="L1319" s="106">
        <v>19</v>
      </c>
      <c r="M1319" s="106">
        <v>0</v>
      </c>
      <c r="N1319" s="106">
        <v>0</v>
      </c>
      <c r="O1319" s="106">
        <v>15</v>
      </c>
      <c r="P1319" s="106">
        <v>2</v>
      </c>
      <c r="Q1319" s="108">
        <f t="shared" si="1418"/>
        <v>0.89240506329113922</v>
      </c>
      <c r="R1319" s="109">
        <f t="shared" si="1419"/>
        <v>0</v>
      </c>
      <c r="S1319" s="109">
        <f t="shared" si="1420"/>
        <v>1.2658227848101266E-2</v>
      </c>
      <c r="T1319" s="109">
        <f t="shared" si="1421"/>
        <v>9.49367088607595E-2</v>
      </c>
      <c r="U1319" s="110">
        <f t="shared" si="1422"/>
        <v>1</v>
      </c>
      <c r="V1319" s="136"/>
    </row>
    <row r="1320" spans="2:25" ht="15.75" hidden="1" x14ac:dyDescent="0.2">
      <c r="B1320" s="711">
        <v>46171</v>
      </c>
      <c r="C1320" s="105" t="s">
        <v>106</v>
      </c>
      <c r="D1320" s="105" t="s">
        <v>23</v>
      </c>
      <c r="E1320" s="711">
        <v>46171</v>
      </c>
      <c r="G1320" s="834"/>
      <c r="H1320" s="120" t="s">
        <v>120</v>
      </c>
      <c r="I1320" s="120" t="s">
        <v>106</v>
      </c>
      <c r="J1320" s="106">
        <v>34</v>
      </c>
      <c r="K1320" s="106">
        <f t="shared" si="1417"/>
        <v>11</v>
      </c>
      <c r="L1320" s="106">
        <v>5</v>
      </c>
      <c r="M1320" s="106">
        <v>0</v>
      </c>
      <c r="N1320" s="106">
        <v>0</v>
      </c>
      <c r="O1320" s="106">
        <v>0</v>
      </c>
      <c r="P1320" s="106">
        <v>18</v>
      </c>
      <c r="Q1320" s="108">
        <f t="shared" si="1418"/>
        <v>0.47058823529411764</v>
      </c>
      <c r="R1320" s="109">
        <f t="shared" si="1419"/>
        <v>0</v>
      </c>
      <c r="S1320" s="109">
        <f t="shared" si="1420"/>
        <v>0.52941176470588236</v>
      </c>
      <c r="T1320" s="109">
        <f t="shared" si="1421"/>
        <v>0</v>
      </c>
      <c r="U1320" s="110">
        <f t="shared" si="1422"/>
        <v>1</v>
      </c>
      <c r="V1320" s="296"/>
    </row>
    <row r="1321" spans="2:25" ht="15.75" hidden="1" x14ac:dyDescent="0.2">
      <c r="B1321" s="711">
        <v>46171</v>
      </c>
      <c r="C1321" s="105" t="s">
        <v>106</v>
      </c>
      <c r="D1321" s="105" t="s">
        <v>23</v>
      </c>
      <c r="E1321" s="711">
        <v>46171</v>
      </c>
      <c r="G1321" s="834"/>
      <c r="H1321" s="120" t="s">
        <v>84</v>
      </c>
      <c r="I1321" s="120" t="s">
        <v>106</v>
      </c>
      <c r="J1321" s="106">
        <v>21</v>
      </c>
      <c r="K1321" s="106">
        <f t="shared" si="1417"/>
        <v>14</v>
      </c>
      <c r="L1321" s="106">
        <v>5</v>
      </c>
      <c r="M1321" s="106">
        <v>0</v>
      </c>
      <c r="N1321" s="106">
        <v>0</v>
      </c>
      <c r="O1321" s="106">
        <v>0</v>
      </c>
      <c r="P1321" s="106">
        <v>2</v>
      </c>
      <c r="Q1321" s="108">
        <f t="shared" si="1418"/>
        <v>0.90476190476190477</v>
      </c>
      <c r="R1321" s="109">
        <f t="shared" si="1419"/>
        <v>0</v>
      </c>
      <c r="S1321" s="109">
        <f t="shared" si="1420"/>
        <v>9.5238095238095233E-2</v>
      </c>
      <c r="T1321" s="109">
        <f t="shared" si="1421"/>
        <v>0</v>
      </c>
      <c r="U1321" s="110">
        <f t="shared" si="1422"/>
        <v>1</v>
      </c>
      <c r="V1321" s="296"/>
    </row>
    <row r="1322" spans="2:25" ht="15.75" hidden="1" x14ac:dyDescent="0.2">
      <c r="B1322" s="711">
        <v>46171</v>
      </c>
      <c r="C1322" s="105" t="s">
        <v>106</v>
      </c>
      <c r="D1322" s="105" t="s">
        <v>23</v>
      </c>
      <c r="E1322" s="711">
        <v>46171</v>
      </c>
      <c r="G1322" s="835"/>
      <c r="H1322" s="120" t="s">
        <v>17</v>
      </c>
      <c r="I1322" s="120" t="s">
        <v>18</v>
      </c>
      <c r="J1322" s="106">
        <v>188</v>
      </c>
      <c r="K1322" s="106">
        <f t="shared" si="1417"/>
        <v>33</v>
      </c>
      <c r="L1322" s="106">
        <v>17</v>
      </c>
      <c r="M1322" s="106">
        <v>95</v>
      </c>
      <c r="N1322" s="106">
        <v>39</v>
      </c>
      <c r="O1322" s="106">
        <v>0</v>
      </c>
      <c r="P1322" s="106">
        <v>4</v>
      </c>
      <c r="Q1322" s="108">
        <f t="shared" si="1418"/>
        <v>0.26595744680851063</v>
      </c>
      <c r="R1322" s="109">
        <f t="shared" si="1419"/>
        <v>0.20744680851063829</v>
      </c>
      <c r="S1322" s="109">
        <f t="shared" si="1420"/>
        <v>2.1276595744680851E-2</v>
      </c>
      <c r="T1322" s="109">
        <f t="shared" si="1421"/>
        <v>0</v>
      </c>
      <c r="U1322" s="110">
        <f t="shared" si="1422"/>
        <v>0.49468085106382975</v>
      </c>
      <c r="V1322"/>
    </row>
    <row r="1323" spans="2:25" ht="15.75" hidden="1" x14ac:dyDescent="0.2">
      <c r="B1323" s="711">
        <v>46171</v>
      </c>
      <c r="C1323" s="105" t="s">
        <v>106</v>
      </c>
      <c r="D1323" s="105" t="s">
        <v>23</v>
      </c>
      <c r="E1323" s="711">
        <v>46171</v>
      </c>
      <c r="G1323" s="267"/>
      <c r="H1323" s="113" t="s">
        <v>19</v>
      </c>
      <c r="I1323" s="113"/>
      <c r="J1323" s="113">
        <f t="shared" ref="J1323:P1323" si="1423">SUM(J1315:J1322)</f>
        <v>1525</v>
      </c>
      <c r="K1323" s="113">
        <f t="shared" si="1423"/>
        <v>513</v>
      </c>
      <c r="L1323" s="113">
        <f t="shared" si="1423"/>
        <v>181</v>
      </c>
      <c r="M1323" s="113">
        <f t="shared" si="1423"/>
        <v>603</v>
      </c>
      <c r="N1323" s="113">
        <f t="shared" si="1423"/>
        <v>53</v>
      </c>
      <c r="O1323" s="113">
        <f t="shared" si="1423"/>
        <v>118</v>
      </c>
      <c r="P1323" s="113">
        <f t="shared" si="1423"/>
        <v>75</v>
      </c>
      <c r="Q1323" s="115">
        <f>(K1323+L1323)/J1323</f>
        <v>0.45508196721311478</v>
      </c>
      <c r="R1323" s="116">
        <f t="shared" si="1419"/>
        <v>3.4754098360655739E-2</v>
      </c>
      <c r="S1323" s="116">
        <f t="shared" si="1420"/>
        <v>4.9180327868852458E-2</v>
      </c>
      <c r="T1323" s="116">
        <f t="shared" si="1421"/>
        <v>7.7377049180327867E-2</v>
      </c>
      <c r="U1323" s="117">
        <f t="shared" si="1422"/>
        <v>0.61639344262295082</v>
      </c>
      <c r="V1323" s="127"/>
    </row>
    <row r="1324" spans="2:25" ht="15.75" hidden="1" x14ac:dyDescent="0.2">
      <c r="B1324" s="711">
        <v>46171</v>
      </c>
      <c r="C1324" s="105" t="s">
        <v>106</v>
      </c>
      <c r="D1324" s="105" t="s">
        <v>23</v>
      </c>
      <c r="E1324" s="711">
        <v>46172</v>
      </c>
      <c r="G1324" s="833">
        <v>46172</v>
      </c>
      <c r="H1324" s="120" t="s">
        <v>75</v>
      </c>
      <c r="I1324" s="120" t="s">
        <v>112</v>
      </c>
      <c r="J1324" s="106">
        <v>193</v>
      </c>
      <c r="K1324" s="106">
        <f t="shared" si="1417"/>
        <v>11</v>
      </c>
      <c r="L1324" s="106">
        <v>0</v>
      </c>
      <c r="M1324" s="106">
        <v>182</v>
      </c>
      <c r="N1324" s="106">
        <v>0</v>
      </c>
      <c r="O1324" s="106">
        <v>0</v>
      </c>
      <c r="P1324" s="106">
        <v>0</v>
      </c>
      <c r="Q1324" s="108">
        <f t="shared" ref="Q1324:Q1326" si="1424">(K1324+L1324)/J1324</f>
        <v>5.6994818652849742E-2</v>
      </c>
      <c r="R1324" s="109">
        <f t="shared" ref="R1324:R1334" si="1425">N1324/J1324</f>
        <v>0</v>
      </c>
      <c r="S1324" s="109">
        <f t="shared" ref="S1324:S1334" si="1426">P1324/J1324</f>
        <v>0</v>
      </c>
      <c r="T1324" s="109">
        <f t="shared" ref="T1324:T1334" si="1427">O1324/J1324</f>
        <v>0</v>
      </c>
      <c r="U1324" s="110">
        <f t="shared" ref="U1324:U1334" si="1428">S1324+R1324+Q1324+T1324</f>
        <v>5.6994818652849742E-2</v>
      </c>
      <c r="V1324" s="136"/>
    </row>
    <row r="1325" spans="2:25" ht="15.75" hidden="1" x14ac:dyDescent="0.2">
      <c r="B1325" s="711">
        <v>46171</v>
      </c>
      <c r="C1325" s="105" t="s">
        <v>106</v>
      </c>
      <c r="D1325" s="105" t="s">
        <v>23</v>
      </c>
      <c r="E1325" s="711">
        <v>46172</v>
      </c>
      <c r="G1325" s="834"/>
      <c r="H1325" s="120" t="s">
        <v>14</v>
      </c>
      <c r="I1325" s="120" t="s">
        <v>22</v>
      </c>
      <c r="J1325" s="106">
        <v>163</v>
      </c>
      <c r="K1325" s="106">
        <f t="shared" si="1417"/>
        <v>0</v>
      </c>
      <c r="L1325" s="106">
        <v>0</v>
      </c>
      <c r="M1325" s="106">
        <v>163</v>
      </c>
      <c r="N1325" s="106">
        <v>0</v>
      </c>
      <c r="O1325" s="106">
        <v>0</v>
      </c>
      <c r="P1325" s="106">
        <v>0</v>
      </c>
      <c r="Q1325" s="108">
        <f t="shared" si="1424"/>
        <v>0</v>
      </c>
      <c r="R1325" s="109">
        <f t="shared" si="1425"/>
        <v>0</v>
      </c>
      <c r="S1325" s="109">
        <f t="shared" si="1426"/>
        <v>0</v>
      </c>
      <c r="T1325" s="109">
        <f t="shared" si="1427"/>
        <v>0</v>
      </c>
      <c r="U1325" s="110">
        <f t="shared" si="1428"/>
        <v>0</v>
      </c>
      <c r="V1325" s="136"/>
    </row>
    <row r="1326" spans="2:25" ht="15.75" hidden="1" x14ac:dyDescent="0.2">
      <c r="B1326" s="711">
        <v>46171</v>
      </c>
      <c r="C1326" s="105" t="s">
        <v>106</v>
      </c>
      <c r="D1326" s="105" t="s">
        <v>23</v>
      </c>
      <c r="E1326" s="711">
        <v>46172</v>
      </c>
      <c r="G1326" s="835"/>
      <c r="H1326" s="120" t="s">
        <v>17</v>
      </c>
      <c r="I1326" s="120" t="s">
        <v>18</v>
      </c>
      <c r="J1326" s="106">
        <v>162</v>
      </c>
      <c r="K1326" s="106">
        <f t="shared" si="1417"/>
        <v>0</v>
      </c>
      <c r="L1326" s="106">
        <v>0</v>
      </c>
      <c r="M1326" s="106">
        <v>162</v>
      </c>
      <c r="N1326" s="106">
        <v>0</v>
      </c>
      <c r="O1326" s="106">
        <v>0</v>
      </c>
      <c r="P1326" s="106">
        <v>0</v>
      </c>
      <c r="Q1326" s="108">
        <f t="shared" si="1424"/>
        <v>0</v>
      </c>
      <c r="R1326" s="109">
        <f t="shared" si="1425"/>
        <v>0</v>
      </c>
      <c r="S1326" s="109">
        <f t="shared" si="1426"/>
        <v>0</v>
      </c>
      <c r="T1326" s="109">
        <f t="shared" si="1427"/>
        <v>0</v>
      </c>
      <c r="U1326" s="110">
        <f t="shared" si="1428"/>
        <v>0</v>
      </c>
      <c r="V1326"/>
    </row>
    <row r="1327" spans="2:25" ht="15.75" hidden="1" x14ac:dyDescent="0.2">
      <c r="B1327" s="711">
        <v>46171</v>
      </c>
      <c r="C1327" s="105" t="s">
        <v>106</v>
      </c>
      <c r="D1327" s="105" t="s">
        <v>23</v>
      </c>
      <c r="E1327" s="711">
        <v>46172</v>
      </c>
      <c r="G1327" s="267"/>
      <c r="H1327" s="113" t="s">
        <v>19</v>
      </c>
      <c r="I1327" s="113"/>
      <c r="J1327" s="113">
        <f t="shared" ref="J1327:P1327" si="1429">SUM(J1321:J1326)</f>
        <v>2252</v>
      </c>
      <c r="K1327" s="113">
        <f t="shared" si="1429"/>
        <v>571</v>
      </c>
      <c r="L1327" s="113">
        <f t="shared" si="1429"/>
        <v>203</v>
      </c>
      <c r="M1327" s="113">
        <f t="shared" si="1429"/>
        <v>1205</v>
      </c>
      <c r="N1327" s="113">
        <f t="shared" si="1429"/>
        <v>92</v>
      </c>
      <c r="O1327" s="113">
        <f t="shared" si="1429"/>
        <v>118</v>
      </c>
      <c r="P1327" s="113">
        <f t="shared" si="1429"/>
        <v>81</v>
      </c>
      <c r="Q1327" s="115">
        <f>(K1327+L1327)/J1327</f>
        <v>0.34369449378330375</v>
      </c>
      <c r="R1327" s="116">
        <f t="shared" si="1425"/>
        <v>4.0852575488454709E-2</v>
      </c>
      <c r="S1327" s="116">
        <f t="shared" si="1426"/>
        <v>3.5968028419182951E-2</v>
      </c>
      <c r="T1327" s="116">
        <f t="shared" si="1427"/>
        <v>5.2397868561278864E-2</v>
      </c>
      <c r="U1327" s="117">
        <f t="shared" si="1428"/>
        <v>0.47291296625222029</v>
      </c>
      <c r="V1327" s="127"/>
    </row>
    <row r="1328" spans="2:25" ht="15.75" hidden="1" x14ac:dyDescent="0.2">
      <c r="B1328" s="711">
        <v>46171</v>
      </c>
      <c r="C1328" s="105" t="s">
        <v>105</v>
      </c>
      <c r="D1328" s="105" t="s">
        <v>129</v>
      </c>
      <c r="E1328" s="711">
        <v>46171</v>
      </c>
      <c r="G1328" s="833">
        <v>46171</v>
      </c>
      <c r="H1328" s="120" t="s">
        <v>75</v>
      </c>
      <c r="I1328" s="120" t="s">
        <v>112</v>
      </c>
      <c r="J1328" s="106">
        <f>SUM(K1328:P1328)</f>
        <v>30</v>
      </c>
      <c r="K1328" s="106">
        <v>10</v>
      </c>
      <c r="L1328" s="106">
        <v>13</v>
      </c>
      <c r="M1328" s="106">
        <v>0</v>
      </c>
      <c r="N1328" s="106">
        <v>2</v>
      </c>
      <c r="O1328" s="106">
        <v>0</v>
      </c>
      <c r="P1328" s="106">
        <v>5</v>
      </c>
      <c r="Q1328" s="108">
        <f t="shared" ref="Q1328:Q1333" si="1430">(K1328+L1328)/J1328</f>
        <v>0.76666666666666672</v>
      </c>
      <c r="R1328" s="109">
        <f t="shared" si="1425"/>
        <v>6.6666666666666666E-2</v>
      </c>
      <c r="S1328" s="109">
        <f t="shared" si="1426"/>
        <v>0.16666666666666666</v>
      </c>
      <c r="T1328" s="109">
        <f t="shared" si="1427"/>
        <v>0</v>
      </c>
      <c r="U1328" s="110">
        <f t="shared" si="1428"/>
        <v>1</v>
      </c>
      <c r="V1328" s="136"/>
    </row>
    <row r="1329" spans="2:25" ht="15.75" hidden="1" x14ac:dyDescent="0.2">
      <c r="B1329" s="711">
        <v>46171</v>
      </c>
      <c r="C1329" s="105" t="s">
        <v>105</v>
      </c>
      <c r="D1329" s="105" t="s">
        <v>129</v>
      </c>
      <c r="E1329" s="711">
        <v>46171</v>
      </c>
      <c r="G1329" s="834"/>
      <c r="H1329" s="120" t="s">
        <v>17</v>
      </c>
      <c r="I1329" s="120" t="s">
        <v>18</v>
      </c>
      <c r="J1329" s="106">
        <f>SUM(K1329:P1329)</f>
        <v>115</v>
      </c>
      <c r="K1329" s="106">
        <v>83</v>
      </c>
      <c r="L1329" s="106">
        <v>31</v>
      </c>
      <c r="M1329" s="106">
        <v>0</v>
      </c>
      <c r="N1329" s="106">
        <v>0</v>
      </c>
      <c r="O1329" s="106">
        <v>0</v>
      </c>
      <c r="P1329" s="106">
        <v>1</v>
      </c>
      <c r="Q1329" s="108">
        <f t="shared" si="1430"/>
        <v>0.99130434782608701</v>
      </c>
      <c r="R1329" s="109">
        <f t="shared" si="1425"/>
        <v>0</v>
      </c>
      <c r="S1329" s="109">
        <f t="shared" si="1426"/>
        <v>8.6956521739130436E-3</v>
      </c>
      <c r="T1329" s="109">
        <f t="shared" si="1427"/>
        <v>0</v>
      </c>
      <c r="U1329" s="110">
        <f t="shared" si="1428"/>
        <v>1</v>
      </c>
      <c r="V1329" s="136"/>
    </row>
    <row r="1330" spans="2:25" ht="15.75" hidden="1" x14ac:dyDescent="0.2">
      <c r="B1330" s="711">
        <v>46171</v>
      </c>
      <c r="C1330" s="105" t="s">
        <v>105</v>
      </c>
      <c r="D1330" s="105" t="s">
        <v>129</v>
      </c>
      <c r="E1330" s="711">
        <v>46171</v>
      </c>
      <c r="G1330" s="835"/>
      <c r="H1330" s="120" t="s">
        <v>25</v>
      </c>
      <c r="I1330" s="120" t="s">
        <v>18</v>
      </c>
      <c r="J1330" s="106">
        <f>SUM(K1330:P1330)</f>
        <v>12</v>
      </c>
      <c r="K1330" s="106">
        <v>7</v>
      </c>
      <c r="L1330" s="106">
        <v>3</v>
      </c>
      <c r="M1330" s="106">
        <v>0</v>
      </c>
      <c r="N1330" s="106">
        <v>0</v>
      </c>
      <c r="O1330" s="106">
        <v>0</v>
      </c>
      <c r="P1330" s="106">
        <v>2</v>
      </c>
      <c r="Q1330" s="108">
        <f t="shared" si="1430"/>
        <v>0.83333333333333337</v>
      </c>
      <c r="R1330" s="109">
        <f t="shared" si="1425"/>
        <v>0</v>
      </c>
      <c r="S1330" s="109">
        <f t="shared" si="1426"/>
        <v>0.16666666666666666</v>
      </c>
      <c r="T1330" s="109">
        <f t="shared" si="1427"/>
        <v>0</v>
      </c>
      <c r="U1330" s="110">
        <f t="shared" si="1428"/>
        <v>1</v>
      </c>
      <c r="V1330" s="136"/>
    </row>
    <row r="1331" spans="2:25" ht="15.75" hidden="1" x14ac:dyDescent="0.2">
      <c r="B1331" s="711">
        <v>46171</v>
      </c>
      <c r="C1331" s="105" t="s">
        <v>105</v>
      </c>
      <c r="D1331" s="105" t="s">
        <v>129</v>
      </c>
      <c r="E1331" s="711">
        <v>46172</v>
      </c>
      <c r="G1331" s="830">
        <v>46172</v>
      </c>
      <c r="H1331" s="120" t="s">
        <v>75</v>
      </c>
      <c r="I1331" s="120" t="s">
        <v>112</v>
      </c>
      <c r="J1331" s="106">
        <v>182</v>
      </c>
      <c r="K1331" s="106">
        <v>113</v>
      </c>
      <c r="L1331" s="106">
        <v>41</v>
      </c>
      <c r="M1331" s="106">
        <v>1</v>
      </c>
      <c r="N1331" s="106">
        <v>1</v>
      </c>
      <c r="O1331" s="106">
        <v>20</v>
      </c>
      <c r="P1331" s="106">
        <v>7</v>
      </c>
      <c r="Q1331" s="108">
        <f t="shared" si="1430"/>
        <v>0.84615384615384615</v>
      </c>
      <c r="R1331" s="109">
        <f t="shared" si="1425"/>
        <v>5.4945054945054949E-3</v>
      </c>
      <c r="S1331" s="109">
        <f t="shared" si="1426"/>
        <v>3.8461538461538464E-2</v>
      </c>
      <c r="T1331" s="109">
        <f t="shared" si="1427"/>
        <v>0.10989010989010989</v>
      </c>
      <c r="U1331" s="110">
        <f t="shared" si="1428"/>
        <v>1</v>
      </c>
      <c r="V1331" s="136"/>
    </row>
    <row r="1332" spans="2:25" ht="15.75" hidden="1" x14ac:dyDescent="0.2">
      <c r="B1332" s="711">
        <v>46171</v>
      </c>
      <c r="C1332" s="105" t="s">
        <v>105</v>
      </c>
      <c r="D1332" s="105" t="s">
        <v>129</v>
      </c>
      <c r="E1332" s="711">
        <v>46172</v>
      </c>
      <c r="G1332" s="831"/>
      <c r="H1332" s="120" t="s">
        <v>14</v>
      </c>
      <c r="I1332" s="120" t="s">
        <v>22</v>
      </c>
      <c r="J1332" s="106">
        <v>163</v>
      </c>
      <c r="K1332" s="106">
        <v>56</v>
      </c>
      <c r="L1332" s="106">
        <v>12</v>
      </c>
      <c r="M1332" s="106">
        <v>73</v>
      </c>
      <c r="N1332" s="106">
        <v>5</v>
      </c>
      <c r="O1332" s="106">
        <v>11</v>
      </c>
      <c r="P1332" s="106">
        <v>6</v>
      </c>
      <c r="Q1332" s="108">
        <f t="shared" si="1430"/>
        <v>0.41717791411042943</v>
      </c>
      <c r="R1332" s="109">
        <f t="shared" si="1425"/>
        <v>3.0674846625766871E-2</v>
      </c>
      <c r="S1332" s="109">
        <f t="shared" si="1426"/>
        <v>3.6809815950920248E-2</v>
      </c>
      <c r="T1332" s="109">
        <f t="shared" si="1427"/>
        <v>6.7484662576687116E-2</v>
      </c>
      <c r="U1332" s="110">
        <f t="shared" si="1428"/>
        <v>0.5521472392638036</v>
      </c>
      <c r="V1332" s="136"/>
    </row>
    <row r="1333" spans="2:25" ht="15.75" hidden="1" x14ac:dyDescent="0.2">
      <c r="B1333" s="711">
        <v>46171</v>
      </c>
      <c r="C1333" s="105" t="s">
        <v>105</v>
      </c>
      <c r="D1333" s="105" t="s">
        <v>129</v>
      </c>
      <c r="E1333" s="711">
        <v>46172</v>
      </c>
      <c r="G1333" s="832"/>
      <c r="H1333" s="120" t="s">
        <v>17</v>
      </c>
      <c r="I1333" s="120" t="s">
        <v>18</v>
      </c>
      <c r="J1333" s="106">
        <v>162</v>
      </c>
      <c r="K1333" s="106">
        <v>0</v>
      </c>
      <c r="L1333" s="106">
        <v>0</v>
      </c>
      <c r="M1333" s="106">
        <f>162-31</f>
        <v>131</v>
      </c>
      <c r="N1333" s="106">
        <v>0</v>
      </c>
      <c r="O1333" s="106">
        <v>27</v>
      </c>
      <c r="P1333" s="106">
        <v>4</v>
      </c>
      <c r="Q1333" s="108">
        <f t="shared" si="1430"/>
        <v>0</v>
      </c>
      <c r="R1333" s="109">
        <f t="shared" si="1425"/>
        <v>0</v>
      </c>
      <c r="S1333" s="109">
        <f t="shared" si="1426"/>
        <v>2.4691358024691357E-2</v>
      </c>
      <c r="T1333" s="109">
        <f t="shared" si="1427"/>
        <v>0.16666666666666666</v>
      </c>
      <c r="U1333" s="110">
        <f t="shared" si="1428"/>
        <v>0.19135802469135801</v>
      </c>
      <c r="V1333"/>
    </row>
    <row r="1334" spans="2:25" s="97" customFormat="1" ht="16.5" hidden="1" customHeight="1" x14ac:dyDescent="0.2">
      <c r="B1334" s="711">
        <v>46171</v>
      </c>
      <c r="C1334" s="105" t="s">
        <v>105</v>
      </c>
      <c r="D1334" s="105" t="s">
        <v>129</v>
      </c>
      <c r="E1334" s="711">
        <v>46172</v>
      </c>
      <c r="F1334" s="89"/>
      <c r="G1334" s="113"/>
      <c r="H1334" s="113" t="s">
        <v>19</v>
      </c>
      <c r="I1334" s="113"/>
      <c r="J1334" s="113">
        <f t="shared" ref="J1334:P1334" si="1431">SUM(J1328:J1333)</f>
        <v>664</v>
      </c>
      <c r="K1334" s="113">
        <f t="shared" si="1431"/>
        <v>269</v>
      </c>
      <c r="L1334" s="113">
        <f t="shared" si="1431"/>
        <v>100</v>
      </c>
      <c r="M1334" s="113">
        <f t="shared" si="1431"/>
        <v>205</v>
      </c>
      <c r="N1334" s="113">
        <f t="shared" si="1431"/>
        <v>8</v>
      </c>
      <c r="O1334" s="113">
        <f t="shared" si="1431"/>
        <v>58</v>
      </c>
      <c r="P1334" s="113">
        <f t="shared" si="1431"/>
        <v>25</v>
      </c>
      <c r="Q1334" s="115">
        <f>(K1334+L1334)/J1334</f>
        <v>0.55572289156626509</v>
      </c>
      <c r="R1334" s="116">
        <f t="shared" si="1425"/>
        <v>1.2048192771084338E-2</v>
      </c>
      <c r="S1334" s="116">
        <f t="shared" si="1426"/>
        <v>3.7650602409638557E-2</v>
      </c>
      <c r="T1334" s="116">
        <f t="shared" si="1427"/>
        <v>8.7349397590361449E-2</v>
      </c>
      <c r="U1334" s="117">
        <f t="shared" si="1428"/>
        <v>0.69277108433734935</v>
      </c>
      <c r="V1334" s="127"/>
      <c r="W1334" s="88"/>
      <c r="X1334" s="88"/>
      <c r="Y1334" s="118"/>
    </row>
    <row r="1335" spans="2:25" ht="15.75" hidden="1" x14ac:dyDescent="0.2">
      <c r="B1335" s="711">
        <v>46172</v>
      </c>
      <c r="C1335" s="105" t="s">
        <v>106</v>
      </c>
      <c r="D1335" s="105" t="s">
        <v>134</v>
      </c>
      <c r="E1335" s="711">
        <v>46172</v>
      </c>
      <c r="G1335" s="833">
        <v>46172</v>
      </c>
      <c r="H1335" s="120" t="s">
        <v>75</v>
      </c>
      <c r="I1335" s="120" t="s">
        <v>112</v>
      </c>
      <c r="J1335" s="106">
        <v>41</v>
      </c>
      <c r="K1335" s="106">
        <f t="shared" ref="K1335:K1337" si="1432">J1335-L1335-M1335-N1335-O1335-P1335</f>
        <v>11</v>
      </c>
      <c r="L1335" s="106">
        <v>10</v>
      </c>
      <c r="M1335" s="106">
        <v>0</v>
      </c>
      <c r="N1335" s="106">
        <v>0</v>
      </c>
      <c r="O1335" s="106">
        <v>12</v>
      </c>
      <c r="P1335" s="106">
        <v>8</v>
      </c>
      <c r="Q1335" s="108">
        <f t="shared" ref="Q1335:Q1337" si="1433">(K1335+L1335)/J1335</f>
        <v>0.51219512195121952</v>
      </c>
      <c r="R1335" s="109">
        <f t="shared" ref="R1335:R1338" si="1434">N1335/J1335</f>
        <v>0</v>
      </c>
      <c r="S1335" s="109">
        <f t="shared" ref="S1335:S1338" si="1435">P1335/J1335</f>
        <v>0.1951219512195122</v>
      </c>
      <c r="T1335" s="109">
        <f t="shared" ref="T1335:T1338" si="1436">O1335/J1335</f>
        <v>0.29268292682926828</v>
      </c>
      <c r="U1335" s="110">
        <f t="shared" ref="U1335:U1338" si="1437">S1335+R1335+Q1335+T1335</f>
        <v>1</v>
      </c>
      <c r="V1335" s="136"/>
    </row>
    <row r="1336" spans="2:25" ht="15.75" hidden="1" x14ac:dyDescent="0.2">
      <c r="B1336" s="711">
        <v>46172</v>
      </c>
      <c r="C1336" s="105" t="s">
        <v>106</v>
      </c>
      <c r="D1336" s="105" t="s">
        <v>134</v>
      </c>
      <c r="E1336" s="711">
        <v>46172</v>
      </c>
      <c r="G1336" s="834"/>
      <c r="H1336" s="120" t="s">
        <v>14</v>
      </c>
      <c r="I1336" s="120" t="s">
        <v>22</v>
      </c>
      <c r="J1336" s="106">
        <v>218</v>
      </c>
      <c r="K1336" s="106">
        <f t="shared" si="1432"/>
        <v>205</v>
      </c>
      <c r="L1336" s="106">
        <v>0</v>
      </c>
      <c r="M1336" s="106">
        <v>0</v>
      </c>
      <c r="N1336" s="106">
        <v>13</v>
      </c>
      <c r="O1336" s="106">
        <v>0</v>
      </c>
      <c r="P1336" s="106">
        <v>0</v>
      </c>
      <c r="Q1336" s="108">
        <f t="shared" si="1433"/>
        <v>0.94036697247706424</v>
      </c>
      <c r="R1336" s="109">
        <f t="shared" si="1434"/>
        <v>5.9633027522935783E-2</v>
      </c>
      <c r="S1336" s="109">
        <f t="shared" si="1435"/>
        <v>0</v>
      </c>
      <c r="T1336" s="109">
        <f t="shared" si="1436"/>
        <v>0</v>
      </c>
      <c r="U1336" s="110">
        <f t="shared" si="1437"/>
        <v>1</v>
      </c>
      <c r="V1336" s="136"/>
    </row>
    <row r="1337" spans="2:25" ht="15.75" hidden="1" x14ac:dyDescent="0.2">
      <c r="B1337" s="711">
        <v>46172</v>
      </c>
      <c r="C1337" s="105" t="s">
        <v>106</v>
      </c>
      <c r="D1337" s="105" t="s">
        <v>134</v>
      </c>
      <c r="E1337" s="711">
        <v>46172</v>
      </c>
      <c r="G1337" s="835"/>
      <c r="H1337" s="120" t="s">
        <v>17</v>
      </c>
      <c r="I1337" s="120" t="s">
        <v>18</v>
      </c>
      <c r="J1337" s="106">
        <v>206</v>
      </c>
      <c r="K1337" s="106">
        <f t="shared" si="1432"/>
        <v>96</v>
      </c>
      <c r="L1337" s="106">
        <v>23</v>
      </c>
      <c r="M1337" s="106">
        <v>33</v>
      </c>
      <c r="N1337" s="106">
        <v>50</v>
      </c>
      <c r="O1337" s="106">
        <v>0</v>
      </c>
      <c r="P1337" s="106">
        <v>4</v>
      </c>
      <c r="Q1337" s="108">
        <f t="shared" si="1433"/>
        <v>0.57766990291262132</v>
      </c>
      <c r="R1337" s="109">
        <f t="shared" si="1434"/>
        <v>0.24271844660194175</v>
      </c>
      <c r="S1337" s="109">
        <f t="shared" si="1435"/>
        <v>1.9417475728155338E-2</v>
      </c>
      <c r="T1337" s="109">
        <f t="shared" si="1436"/>
        <v>0</v>
      </c>
      <c r="U1337" s="110">
        <f t="shared" si="1437"/>
        <v>0.83980582524271841</v>
      </c>
      <c r="V1337" t="s">
        <v>143</v>
      </c>
    </row>
    <row r="1338" spans="2:25" ht="15.75" hidden="1" x14ac:dyDescent="0.2">
      <c r="B1338" s="711">
        <v>46172</v>
      </c>
      <c r="C1338" s="105" t="s">
        <v>106</v>
      </c>
      <c r="D1338" s="105" t="s">
        <v>134</v>
      </c>
      <c r="E1338" s="711">
        <v>46172</v>
      </c>
      <c r="G1338" s="113"/>
      <c r="H1338" s="113" t="s">
        <v>19</v>
      </c>
      <c r="I1338" s="113"/>
      <c r="J1338" s="113">
        <f t="shared" ref="J1338" si="1438">SUM(J1332:J1337)</f>
        <v>1454</v>
      </c>
      <c r="K1338" s="113">
        <f t="shared" ref="K1338" si="1439">SUM(K1332:K1337)</f>
        <v>637</v>
      </c>
      <c r="L1338" s="113">
        <f t="shared" ref="L1338" si="1440">SUM(L1332:L1337)</f>
        <v>145</v>
      </c>
      <c r="M1338" s="113">
        <f t="shared" ref="M1338" si="1441">SUM(M1332:M1337)</f>
        <v>442</v>
      </c>
      <c r="N1338" s="113">
        <f t="shared" ref="N1338" si="1442">SUM(N1332:N1337)</f>
        <v>76</v>
      </c>
      <c r="O1338" s="113">
        <f t="shared" ref="O1338" si="1443">SUM(O1332:O1337)</f>
        <v>108</v>
      </c>
      <c r="P1338" s="113">
        <f t="shared" ref="P1338" si="1444">SUM(P1332:P1337)</f>
        <v>47</v>
      </c>
      <c r="Q1338" s="115">
        <f>(K1338+L1338)/J1338</f>
        <v>0.53782668500687758</v>
      </c>
      <c r="R1338" s="116">
        <f t="shared" si="1434"/>
        <v>5.2269601100412656E-2</v>
      </c>
      <c r="S1338" s="116">
        <f t="shared" si="1435"/>
        <v>3.2324621733149934E-2</v>
      </c>
      <c r="T1338" s="116">
        <f t="shared" si="1436"/>
        <v>7.4277854195323248E-2</v>
      </c>
      <c r="U1338" s="117">
        <f t="shared" si="1437"/>
        <v>0.69669876203576342</v>
      </c>
      <c r="V1338" s="127"/>
    </row>
    <row r="1339" spans="2:25" ht="15.75" hidden="1" x14ac:dyDescent="0.2">
      <c r="B1339" s="711">
        <v>46172</v>
      </c>
      <c r="C1339" s="105" t="s">
        <v>106</v>
      </c>
      <c r="D1339" s="105" t="s">
        <v>134</v>
      </c>
      <c r="E1339" s="711">
        <v>46175</v>
      </c>
      <c r="G1339" s="833">
        <v>46175</v>
      </c>
      <c r="H1339" s="120" t="s">
        <v>75</v>
      </c>
      <c r="I1339" s="120" t="s">
        <v>112</v>
      </c>
      <c r="J1339" s="106">
        <v>215</v>
      </c>
      <c r="K1339" s="106">
        <f t="shared" ref="K1339:K1342" si="1445">J1339-L1339-M1339-N1339-O1339-P1339</f>
        <v>0</v>
      </c>
      <c r="L1339" s="106">
        <v>0</v>
      </c>
      <c r="M1339" s="106">
        <v>151</v>
      </c>
      <c r="N1339" s="106">
        <v>64</v>
      </c>
      <c r="O1339" s="106">
        <v>0</v>
      </c>
      <c r="P1339" s="106">
        <v>0</v>
      </c>
      <c r="Q1339" s="108">
        <f t="shared" ref="Q1339:Q1342" si="1446">(K1339+L1339)/J1339</f>
        <v>0</v>
      </c>
      <c r="R1339" s="109">
        <f t="shared" ref="R1339:R1352" si="1447">N1339/J1339</f>
        <v>0.29767441860465116</v>
      </c>
      <c r="S1339" s="109">
        <f t="shared" ref="S1339:S1352" si="1448">P1339/J1339</f>
        <v>0</v>
      </c>
      <c r="T1339" s="109">
        <f t="shared" ref="T1339:T1352" si="1449">O1339/J1339</f>
        <v>0</v>
      </c>
      <c r="U1339" s="110">
        <f t="shared" ref="U1339:U1352" si="1450">S1339+R1339+Q1339+T1339</f>
        <v>0.29767441860465116</v>
      </c>
      <c r="V1339" s="136"/>
    </row>
    <row r="1340" spans="2:25" ht="15.75" hidden="1" x14ac:dyDescent="0.2">
      <c r="B1340" s="711">
        <v>46172</v>
      </c>
      <c r="C1340" s="105" t="s">
        <v>106</v>
      </c>
      <c r="D1340" s="105" t="s">
        <v>134</v>
      </c>
      <c r="E1340" s="711">
        <v>46175</v>
      </c>
      <c r="G1340" s="834"/>
      <c r="H1340" s="120" t="s">
        <v>14</v>
      </c>
      <c r="I1340" s="120" t="s">
        <v>106</v>
      </c>
      <c r="J1340" s="106">
        <v>149</v>
      </c>
      <c r="K1340" s="106">
        <v>216</v>
      </c>
      <c r="L1340" s="106">
        <v>0</v>
      </c>
      <c r="M1340" s="106">
        <v>216</v>
      </c>
      <c r="N1340" s="106">
        <v>0</v>
      </c>
      <c r="O1340" s="106">
        <v>0</v>
      </c>
      <c r="P1340" s="106">
        <v>0</v>
      </c>
      <c r="Q1340" s="108">
        <f t="shared" si="1446"/>
        <v>1.4496644295302012</v>
      </c>
      <c r="R1340" s="109">
        <f t="shared" si="1447"/>
        <v>0</v>
      </c>
      <c r="S1340" s="109">
        <f t="shared" si="1448"/>
        <v>0</v>
      </c>
      <c r="T1340" s="109">
        <f t="shared" si="1449"/>
        <v>0</v>
      </c>
      <c r="U1340" s="110">
        <f t="shared" si="1450"/>
        <v>1.4496644295302012</v>
      </c>
      <c r="V1340" s="136"/>
    </row>
    <row r="1341" spans="2:25" ht="15.75" hidden="1" x14ac:dyDescent="0.2">
      <c r="B1341" s="711">
        <v>46172</v>
      </c>
      <c r="C1341" s="105" t="s">
        <v>106</v>
      </c>
      <c r="D1341" s="105" t="s">
        <v>134</v>
      </c>
      <c r="E1341" s="711">
        <v>46175</v>
      </c>
      <c r="G1341" s="834"/>
      <c r="H1341" s="120" t="s">
        <v>84</v>
      </c>
      <c r="I1341" s="120" t="s">
        <v>22</v>
      </c>
      <c r="J1341" s="106">
        <v>268</v>
      </c>
      <c r="K1341" s="106">
        <f t="shared" si="1445"/>
        <v>0</v>
      </c>
      <c r="L1341" s="106">
        <v>0</v>
      </c>
      <c r="M1341" s="106">
        <v>268</v>
      </c>
      <c r="N1341" s="106">
        <v>0</v>
      </c>
      <c r="O1341" s="106">
        <v>0</v>
      </c>
      <c r="P1341" s="106">
        <v>0</v>
      </c>
      <c r="Q1341" s="108">
        <f t="shared" ref="Q1341" si="1451">(K1341+L1341)/J1341</f>
        <v>0</v>
      </c>
      <c r="R1341" s="109">
        <f t="shared" ref="R1341" si="1452">N1341/J1341</f>
        <v>0</v>
      </c>
      <c r="S1341" s="109">
        <f t="shared" ref="S1341" si="1453">P1341/J1341</f>
        <v>0</v>
      </c>
      <c r="T1341" s="109">
        <f t="shared" ref="T1341" si="1454">O1341/J1341</f>
        <v>0</v>
      </c>
      <c r="U1341" s="110">
        <f t="shared" ref="U1341" si="1455">S1341+R1341+Q1341+T1341</f>
        <v>0</v>
      </c>
      <c r="V1341" s="296"/>
    </row>
    <row r="1342" spans="2:25" ht="15.75" hidden="1" x14ac:dyDescent="0.2">
      <c r="B1342" s="711">
        <v>46172</v>
      </c>
      <c r="C1342" s="105" t="s">
        <v>106</v>
      </c>
      <c r="D1342" s="105" t="s">
        <v>134</v>
      </c>
      <c r="E1342" s="711">
        <v>46175</v>
      </c>
      <c r="G1342" s="835"/>
      <c r="H1342" s="120" t="s">
        <v>25</v>
      </c>
      <c r="I1342" s="120" t="s">
        <v>105</v>
      </c>
      <c r="J1342" s="106">
        <v>225</v>
      </c>
      <c r="K1342" s="106">
        <f t="shared" si="1445"/>
        <v>0</v>
      </c>
      <c r="L1342" s="106">
        <v>0</v>
      </c>
      <c r="M1342" s="106">
        <v>225</v>
      </c>
      <c r="N1342" s="106">
        <v>0</v>
      </c>
      <c r="O1342" s="106">
        <v>0</v>
      </c>
      <c r="P1342" s="106">
        <v>0</v>
      </c>
      <c r="Q1342" s="108">
        <f t="shared" si="1446"/>
        <v>0</v>
      </c>
      <c r="R1342" s="109">
        <f t="shared" si="1447"/>
        <v>0</v>
      </c>
      <c r="S1342" s="109">
        <f t="shared" si="1448"/>
        <v>0</v>
      </c>
      <c r="T1342" s="109">
        <f t="shared" si="1449"/>
        <v>0</v>
      </c>
      <c r="U1342" s="110">
        <f t="shared" si="1450"/>
        <v>0</v>
      </c>
      <c r="V1342"/>
    </row>
    <row r="1343" spans="2:25" ht="15.75" hidden="1" x14ac:dyDescent="0.2">
      <c r="B1343" s="711">
        <v>46172</v>
      </c>
      <c r="C1343" s="105" t="s">
        <v>106</v>
      </c>
      <c r="D1343" s="105" t="s">
        <v>134</v>
      </c>
      <c r="E1343" s="711">
        <v>46175</v>
      </c>
      <c r="G1343" s="113"/>
      <c r="H1343" s="113" t="s">
        <v>19</v>
      </c>
      <c r="I1343" s="113"/>
      <c r="J1343" s="113">
        <f>SUM(J1339:J1342)</f>
        <v>857</v>
      </c>
      <c r="K1343" s="113">
        <f t="shared" ref="K1343:P1343" si="1456">SUM(K1339:K1342)</f>
        <v>216</v>
      </c>
      <c r="L1343" s="113">
        <f t="shared" si="1456"/>
        <v>0</v>
      </c>
      <c r="M1343" s="113">
        <f t="shared" si="1456"/>
        <v>860</v>
      </c>
      <c r="N1343" s="113">
        <f t="shared" si="1456"/>
        <v>64</v>
      </c>
      <c r="O1343" s="113">
        <f t="shared" si="1456"/>
        <v>0</v>
      </c>
      <c r="P1343" s="113">
        <f t="shared" si="1456"/>
        <v>0</v>
      </c>
      <c r="Q1343" s="115">
        <f>(K1343+L1343)/J1343</f>
        <v>0.25204200700116686</v>
      </c>
      <c r="R1343" s="116">
        <f t="shared" si="1447"/>
        <v>7.4679113185530915E-2</v>
      </c>
      <c r="S1343" s="116">
        <f t="shared" si="1448"/>
        <v>0</v>
      </c>
      <c r="T1343" s="116">
        <f t="shared" si="1449"/>
        <v>0</v>
      </c>
      <c r="U1343" s="117">
        <f t="shared" si="1450"/>
        <v>0.32672112018669774</v>
      </c>
      <c r="V1343" s="127"/>
    </row>
    <row r="1344" spans="2:25" ht="15.75" hidden="1" x14ac:dyDescent="0.2">
      <c r="B1344" s="711">
        <v>46172</v>
      </c>
      <c r="C1344" s="105" t="s">
        <v>105</v>
      </c>
      <c r="D1344" s="105" t="s">
        <v>129</v>
      </c>
      <c r="E1344" s="711">
        <v>46172</v>
      </c>
      <c r="G1344" s="833">
        <v>46172</v>
      </c>
      <c r="H1344" s="120" t="s">
        <v>75</v>
      </c>
      <c r="I1344" s="120" t="s">
        <v>112</v>
      </c>
      <c r="J1344" s="106">
        <f>SUM(K1344:P1344)</f>
        <v>30</v>
      </c>
      <c r="K1344" s="106">
        <v>12</v>
      </c>
      <c r="L1344" s="106">
        <v>10</v>
      </c>
      <c r="M1344" s="106">
        <v>0</v>
      </c>
      <c r="N1344" s="106">
        <v>0</v>
      </c>
      <c r="O1344" s="106">
        <v>0</v>
      </c>
      <c r="P1344" s="106">
        <v>8</v>
      </c>
      <c r="Q1344" s="108">
        <f t="shared" ref="Q1344:Q1351" si="1457">(K1344+L1344)/J1344</f>
        <v>0.73333333333333328</v>
      </c>
      <c r="R1344" s="109">
        <f t="shared" si="1447"/>
        <v>0</v>
      </c>
      <c r="S1344" s="109">
        <f t="shared" si="1448"/>
        <v>0.26666666666666666</v>
      </c>
      <c r="T1344" s="109">
        <f t="shared" si="1449"/>
        <v>0</v>
      </c>
      <c r="U1344" s="110">
        <f t="shared" si="1450"/>
        <v>1</v>
      </c>
      <c r="V1344" s="136"/>
    </row>
    <row r="1345" spans="2:25" ht="15.75" hidden="1" x14ac:dyDescent="0.2">
      <c r="B1345" s="711">
        <v>46172</v>
      </c>
      <c r="C1345" s="105" t="s">
        <v>105</v>
      </c>
      <c r="D1345" s="105" t="s">
        <v>129</v>
      </c>
      <c r="E1345" s="711">
        <v>46172</v>
      </c>
      <c r="G1345" s="834"/>
      <c r="H1345" s="120" t="s">
        <v>17</v>
      </c>
      <c r="I1345" s="120" t="s">
        <v>18</v>
      </c>
      <c r="J1345" s="106">
        <f>SUM(K1345:P1345)</f>
        <v>79</v>
      </c>
      <c r="K1345" s="106">
        <v>50</v>
      </c>
      <c r="L1345" s="106">
        <v>27</v>
      </c>
      <c r="M1345" s="106">
        <v>0</v>
      </c>
      <c r="N1345" s="106">
        <v>0</v>
      </c>
      <c r="O1345" s="106">
        <v>0</v>
      </c>
      <c r="P1345" s="106">
        <v>2</v>
      </c>
      <c r="Q1345" s="108">
        <f t="shared" si="1457"/>
        <v>0.97468354430379744</v>
      </c>
      <c r="R1345" s="109">
        <f t="shared" si="1447"/>
        <v>0</v>
      </c>
      <c r="S1345" s="109">
        <f t="shared" si="1448"/>
        <v>2.5316455696202531E-2</v>
      </c>
      <c r="T1345" s="109">
        <f t="shared" si="1449"/>
        <v>0</v>
      </c>
      <c r="U1345" s="110">
        <f t="shared" si="1450"/>
        <v>1</v>
      </c>
      <c r="V1345" s="136"/>
    </row>
    <row r="1346" spans="2:25" ht="15.75" hidden="1" x14ac:dyDescent="0.2">
      <c r="B1346" s="711">
        <v>46172</v>
      </c>
      <c r="C1346" s="105" t="s">
        <v>105</v>
      </c>
      <c r="D1346" s="105" t="s">
        <v>129</v>
      </c>
      <c r="E1346" s="711">
        <v>46172</v>
      </c>
      <c r="G1346" s="834"/>
      <c r="H1346" s="120" t="s">
        <v>14</v>
      </c>
      <c r="I1346" s="120" t="s">
        <v>18</v>
      </c>
      <c r="J1346" s="106">
        <f>SUM(K1346:P1346)</f>
        <v>11</v>
      </c>
      <c r="K1346" s="106">
        <v>5</v>
      </c>
      <c r="L1346" s="106">
        <v>6</v>
      </c>
      <c r="M1346" s="106">
        <v>0</v>
      </c>
      <c r="N1346" s="106">
        <v>0</v>
      </c>
      <c r="O1346" s="106">
        <v>0</v>
      </c>
      <c r="P1346" s="106">
        <v>0</v>
      </c>
      <c r="Q1346" s="108">
        <f t="shared" ref="Q1346" si="1458">(K1346+L1346)/J1346</f>
        <v>1</v>
      </c>
      <c r="R1346" s="109">
        <f t="shared" ref="R1346" si="1459">N1346/J1346</f>
        <v>0</v>
      </c>
      <c r="S1346" s="109">
        <f t="shared" ref="S1346" si="1460">P1346/J1346</f>
        <v>0</v>
      </c>
      <c r="T1346" s="109">
        <f t="shared" ref="T1346" si="1461">O1346/J1346</f>
        <v>0</v>
      </c>
      <c r="U1346" s="110">
        <f t="shared" ref="U1346" si="1462">S1346+R1346+Q1346+T1346</f>
        <v>1</v>
      </c>
      <c r="V1346" s="136"/>
    </row>
    <row r="1347" spans="2:25" ht="15.75" hidden="1" x14ac:dyDescent="0.2">
      <c r="B1347" s="711">
        <v>46172</v>
      </c>
      <c r="C1347" s="105" t="s">
        <v>105</v>
      </c>
      <c r="D1347" s="105" t="s">
        <v>129</v>
      </c>
      <c r="E1347" s="711">
        <v>46172</v>
      </c>
      <c r="G1347" s="835"/>
      <c r="H1347" s="120" t="s">
        <v>25</v>
      </c>
      <c r="I1347" s="120" t="s">
        <v>18</v>
      </c>
      <c r="J1347" s="106">
        <f>SUM(K1347:P1347)</f>
        <v>10</v>
      </c>
      <c r="K1347" s="106">
        <v>10</v>
      </c>
      <c r="L1347" s="106">
        <v>0</v>
      </c>
      <c r="M1347" s="106">
        <v>0</v>
      </c>
      <c r="N1347" s="106">
        <v>0</v>
      </c>
      <c r="O1347" s="106">
        <v>0</v>
      </c>
      <c r="P1347" s="106">
        <v>0</v>
      </c>
      <c r="Q1347" s="108">
        <f t="shared" si="1457"/>
        <v>1</v>
      </c>
      <c r="R1347" s="109">
        <f t="shared" si="1447"/>
        <v>0</v>
      </c>
      <c r="S1347" s="109">
        <f t="shared" si="1448"/>
        <v>0</v>
      </c>
      <c r="T1347" s="109">
        <f t="shared" si="1449"/>
        <v>0</v>
      </c>
      <c r="U1347" s="110">
        <f t="shared" si="1450"/>
        <v>1</v>
      </c>
      <c r="V1347" s="136"/>
    </row>
    <row r="1348" spans="2:25" ht="15.75" hidden="1" x14ac:dyDescent="0.2">
      <c r="B1348" s="711">
        <v>46172</v>
      </c>
      <c r="C1348" s="105" t="s">
        <v>105</v>
      </c>
      <c r="D1348" s="105" t="s">
        <v>129</v>
      </c>
      <c r="E1348" s="711">
        <v>46175</v>
      </c>
      <c r="G1348" s="830">
        <v>46175</v>
      </c>
      <c r="H1348" s="120" t="s">
        <v>75</v>
      </c>
      <c r="I1348" s="120" t="s">
        <v>112</v>
      </c>
      <c r="J1348" s="106">
        <v>215</v>
      </c>
      <c r="K1348" s="106">
        <v>17</v>
      </c>
      <c r="L1348" s="106">
        <v>17</v>
      </c>
      <c r="M1348" s="106">
        <v>131</v>
      </c>
      <c r="N1348" s="106">
        <v>30</v>
      </c>
      <c r="O1348" s="106">
        <v>20</v>
      </c>
      <c r="P1348" s="106">
        <v>0</v>
      </c>
      <c r="Q1348" s="108">
        <f t="shared" si="1457"/>
        <v>0.15813953488372093</v>
      </c>
      <c r="R1348" s="109">
        <f t="shared" si="1447"/>
        <v>0.13953488372093023</v>
      </c>
      <c r="S1348" s="109">
        <f t="shared" si="1448"/>
        <v>0</v>
      </c>
      <c r="T1348" s="109">
        <f t="shared" si="1449"/>
        <v>9.3023255813953487E-2</v>
      </c>
      <c r="U1348" s="110">
        <f t="shared" si="1450"/>
        <v>0.39069767441860465</v>
      </c>
      <c r="V1348" s="136"/>
    </row>
    <row r="1349" spans="2:25" ht="15.75" hidden="1" x14ac:dyDescent="0.2">
      <c r="B1349" s="711">
        <v>46172</v>
      </c>
      <c r="C1349" s="105" t="s">
        <v>105</v>
      </c>
      <c r="D1349" s="105" t="s">
        <v>129</v>
      </c>
      <c r="E1349" s="711">
        <v>46175</v>
      </c>
      <c r="G1349" s="831"/>
      <c r="H1349" s="120" t="s">
        <v>14</v>
      </c>
      <c r="I1349" s="120" t="s">
        <v>22</v>
      </c>
      <c r="J1349" s="106">
        <v>149</v>
      </c>
      <c r="K1349" s="106">
        <v>0</v>
      </c>
      <c r="L1349" s="106">
        <v>0</v>
      </c>
      <c r="M1349" s="106">
        <v>200</v>
      </c>
      <c r="N1349" s="106">
        <v>0</v>
      </c>
      <c r="O1349" s="106">
        <v>13</v>
      </c>
      <c r="P1349" s="106">
        <v>3</v>
      </c>
      <c r="Q1349" s="108">
        <f t="shared" si="1457"/>
        <v>0</v>
      </c>
      <c r="R1349" s="109">
        <f t="shared" si="1447"/>
        <v>0</v>
      </c>
      <c r="S1349" s="109">
        <f t="shared" si="1448"/>
        <v>2.0134228187919462E-2</v>
      </c>
      <c r="T1349" s="109">
        <f t="shared" si="1449"/>
        <v>8.7248322147651006E-2</v>
      </c>
      <c r="U1349" s="110">
        <f t="shared" si="1450"/>
        <v>0.10738255033557047</v>
      </c>
      <c r="V1349" s="136"/>
    </row>
    <row r="1350" spans="2:25" ht="15.75" hidden="1" x14ac:dyDescent="0.2">
      <c r="B1350" s="711">
        <v>46172</v>
      </c>
      <c r="C1350" s="105" t="s">
        <v>105</v>
      </c>
      <c r="D1350" s="105" t="s">
        <v>129</v>
      </c>
      <c r="E1350" s="711">
        <v>46175</v>
      </c>
      <c r="G1350" s="831"/>
      <c r="H1350" s="120" t="s">
        <v>84</v>
      </c>
      <c r="I1350" s="120" t="s">
        <v>22</v>
      </c>
      <c r="J1350" s="106">
        <v>268</v>
      </c>
      <c r="K1350" s="106">
        <v>0</v>
      </c>
      <c r="L1350" s="106">
        <v>0</v>
      </c>
      <c r="M1350" s="106">
        <v>268</v>
      </c>
      <c r="N1350" s="106">
        <v>0</v>
      </c>
      <c r="O1350" s="106">
        <v>0</v>
      </c>
      <c r="P1350" s="106">
        <v>0</v>
      </c>
      <c r="Q1350" s="108">
        <f t="shared" ref="Q1350" si="1463">(K1350+L1350)/J1350</f>
        <v>0</v>
      </c>
      <c r="R1350" s="109">
        <f t="shared" ref="R1350" si="1464">N1350/J1350</f>
        <v>0</v>
      </c>
      <c r="S1350" s="109">
        <f t="shared" ref="S1350" si="1465">P1350/J1350</f>
        <v>0</v>
      </c>
      <c r="T1350" s="109">
        <f t="shared" ref="T1350" si="1466">O1350/J1350</f>
        <v>0</v>
      </c>
      <c r="U1350" s="110">
        <f t="shared" ref="U1350" si="1467">S1350+R1350+Q1350+T1350</f>
        <v>0</v>
      </c>
      <c r="V1350" s="296"/>
    </row>
    <row r="1351" spans="2:25" ht="15.75" hidden="1" x14ac:dyDescent="0.2">
      <c r="B1351" s="711">
        <v>46172</v>
      </c>
      <c r="C1351" s="105" t="s">
        <v>105</v>
      </c>
      <c r="D1351" s="105" t="s">
        <v>129</v>
      </c>
      <c r="E1351" s="711">
        <v>46175</v>
      </c>
      <c r="G1351" s="832"/>
      <c r="H1351" s="120" t="s">
        <v>17</v>
      </c>
      <c r="I1351" s="120" t="s">
        <v>18</v>
      </c>
      <c r="J1351" s="106">
        <v>225</v>
      </c>
      <c r="K1351" s="106">
        <v>0</v>
      </c>
      <c r="L1351" s="106">
        <v>0</v>
      </c>
      <c r="M1351" s="106">
        <v>176</v>
      </c>
      <c r="N1351" s="106">
        <v>0</v>
      </c>
      <c r="O1351" s="106">
        <v>0</v>
      </c>
      <c r="P1351" s="106">
        <v>0</v>
      </c>
      <c r="Q1351" s="108">
        <f t="shared" si="1457"/>
        <v>0</v>
      </c>
      <c r="R1351" s="109">
        <f t="shared" si="1447"/>
        <v>0</v>
      </c>
      <c r="S1351" s="109">
        <f t="shared" si="1448"/>
        <v>0</v>
      </c>
      <c r="T1351" s="109">
        <f t="shared" si="1449"/>
        <v>0</v>
      </c>
      <c r="U1351" s="110">
        <f t="shared" si="1450"/>
        <v>0</v>
      </c>
      <c r="V1351"/>
    </row>
    <row r="1352" spans="2:25" s="97" customFormat="1" ht="16.5" hidden="1" customHeight="1" x14ac:dyDescent="0.2">
      <c r="B1352" s="711">
        <v>46172</v>
      </c>
      <c r="C1352" s="105" t="s">
        <v>105</v>
      </c>
      <c r="D1352" s="105" t="s">
        <v>129</v>
      </c>
      <c r="E1352" s="711">
        <v>46175</v>
      </c>
      <c r="F1352" s="89"/>
      <c r="G1352" s="113"/>
      <c r="H1352" s="113" t="s">
        <v>19</v>
      </c>
      <c r="I1352" s="113"/>
      <c r="J1352" s="113">
        <f t="shared" ref="J1352:P1352" si="1468">SUM(J1344:J1351)</f>
        <v>987</v>
      </c>
      <c r="K1352" s="113">
        <f t="shared" si="1468"/>
        <v>94</v>
      </c>
      <c r="L1352" s="113">
        <f t="shared" si="1468"/>
        <v>60</v>
      </c>
      <c r="M1352" s="113">
        <f t="shared" si="1468"/>
        <v>775</v>
      </c>
      <c r="N1352" s="113">
        <f t="shared" si="1468"/>
        <v>30</v>
      </c>
      <c r="O1352" s="113">
        <f t="shared" si="1468"/>
        <v>33</v>
      </c>
      <c r="P1352" s="113">
        <f t="shared" si="1468"/>
        <v>13</v>
      </c>
      <c r="Q1352" s="115">
        <f>(K1352+L1352)/J1352</f>
        <v>0.15602836879432624</v>
      </c>
      <c r="R1352" s="116">
        <f t="shared" si="1447"/>
        <v>3.0395136778115502E-2</v>
      </c>
      <c r="S1352" s="116">
        <f t="shared" si="1448"/>
        <v>1.3171225937183385E-2</v>
      </c>
      <c r="T1352" s="116">
        <f t="shared" si="1449"/>
        <v>3.3434650455927049E-2</v>
      </c>
      <c r="U1352" s="117">
        <f t="shared" si="1450"/>
        <v>0.2330293819655522</v>
      </c>
      <c r="V1352" s="127"/>
      <c r="W1352" s="88"/>
      <c r="X1352" s="88"/>
      <c r="Y1352" s="118"/>
    </row>
    <row r="1353" spans="2:25" ht="15.75" hidden="1" x14ac:dyDescent="0.2">
      <c r="B1353" s="711">
        <v>46174</v>
      </c>
      <c r="C1353" s="105" t="s">
        <v>105</v>
      </c>
      <c r="D1353" s="105" t="s">
        <v>129</v>
      </c>
      <c r="E1353" s="711">
        <v>46175</v>
      </c>
      <c r="G1353" s="830">
        <v>46175</v>
      </c>
      <c r="H1353" s="120" t="s">
        <v>75</v>
      </c>
      <c r="I1353" s="120" t="s">
        <v>112</v>
      </c>
      <c r="J1353" s="106">
        <v>215</v>
      </c>
      <c r="K1353" s="106">
        <f>215-16-20-50</f>
        <v>129</v>
      </c>
      <c r="L1353" s="106">
        <v>50</v>
      </c>
      <c r="M1353" s="106">
        <v>16</v>
      </c>
      <c r="N1353" s="106">
        <v>19</v>
      </c>
      <c r="O1353" s="106">
        <v>20</v>
      </c>
      <c r="P1353" s="106">
        <v>0</v>
      </c>
      <c r="Q1353" s="108">
        <f t="shared" ref="Q1353:Q1356" si="1469">(K1353+L1353)/J1353</f>
        <v>0.83255813953488367</v>
      </c>
      <c r="R1353" s="109">
        <f t="shared" ref="R1353:R1357" si="1470">N1353/J1353</f>
        <v>8.8372093023255813E-2</v>
      </c>
      <c r="S1353" s="109">
        <f t="shared" ref="S1353:S1357" si="1471">P1353/J1353</f>
        <v>0</v>
      </c>
      <c r="T1353" s="109">
        <f t="shared" ref="T1353:T1357" si="1472">O1353/J1353</f>
        <v>9.3023255813953487E-2</v>
      </c>
      <c r="U1353" s="110">
        <f t="shared" ref="U1353:U1357" si="1473">S1353+R1353+Q1353+T1353</f>
        <v>1.0139534883720929</v>
      </c>
      <c r="V1353" s="136"/>
    </row>
    <row r="1354" spans="2:25" ht="15.75" hidden="1" x14ac:dyDescent="0.2">
      <c r="B1354" s="711">
        <v>46174</v>
      </c>
      <c r="C1354" s="105" t="s">
        <v>105</v>
      </c>
      <c r="D1354" s="105" t="s">
        <v>129</v>
      </c>
      <c r="E1354" s="711">
        <v>46175</v>
      </c>
      <c r="G1354" s="831"/>
      <c r="H1354" s="120" t="s">
        <v>14</v>
      </c>
      <c r="I1354" s="120" t="s">
        <v>106</v>
      </c>
      <c r="J1354" s="106">
        <v>149</v>
      </c>
      <c r="K1354" s="106">
        <v>148</v>
      </c>
      <c r="L1354" s="106">
        <v>47</v>
      </c>
      <c r="M1354" s="106">
        <v>5</v>
      </c>
      <c r="N1354" s="106">
        <v>0</v>
      </c>
      <c r="O1354" s="106">
        <v>12</v>
      </c>
      <c r="P1354" s="106">
        <v>2</v>
      </c>
      <c r="Q1354" s="108">
        <f t="shared" si="1469"/>
        <v>1.3087248322147651</v>
      </c>
      <c r="R1354" s="109">
        <f t="shared" si="1470"/>
        <v>0</v>
      </c>
      <c r="S1354" s="109">
        <f t="shared" si="1471"/>
        <v>1.3422818791946308E-2</v>
      </c>
      <c r="T1354" s="109">
        <f t="shared" si="1472"/>
        <v>8.0536912751677847E-2</v>
      </c>
      <c r="U1354" s="110">
        <f t="shared" si="1473"/>
        <v>1.4026845637583891</v>
      </c>
      <c r="V1354" s="136"/>
    </row>
    <row r="1355" spans="2:25" ht="15.75" hidden="1" x14ac:dyDescent="0.2">
      <c r="B1355" s="711">
        <v>46174</v>
      </c>
      <c r="C1355" s="105" t="s">
        <v>105</v>
      </c>
      <c r="D1355" s="105" t="s">
        <v>129</v>
      </c>
      <c r="E1355" s="711">
        <v>46175</v>
      </c>
      <c r="G1355" s="831"/>
      <c r="H1355" s="120" t="s">
        <v>84</v>
      </c>
      <c r="I1355" s="120" t="s">
        <v>106</v>
      </c>
      <c r="J1355" s="106">
        <v>268</v>
      </c>
      <c r="K1355" s="106">
        <v>48</v>
      </c>
      <c r="L1355" s="106">
        <v>7</v>
      </c>
      <c r="M1355" s="106">
        <v>124</v>
      </c>
      <c r="N1355" s="106">
        <v>65</v>
      </c>
      <c r="O1355" s="106">
        <v>9</v>
      </c>
      <c r="P1355" s="106">
        <v>15</v>
      </c>
      <c r="Q1355" s="108">
        <f t="shared" si="1469"/>
        <v>0.20522388059701493</v>
      </c>
      <c r="R1355" s="109">
        <f t="shared" si="1470"/>
        <v>0.24253731343283583</v>
      </c>
      <c r="S1355" s="109">
        <f t="shared" si="1471"/>
        <v>5.5970149253731345E-2</v>
      </c>
      <c r="T1355" s="109">
        <f t="shared" si="1472"/>
        <v>3.3582089552238806E-2</v>
      </c>
      <c r="U1355" s="110">
        <f t="shared" si="1473"/>
        <v>0.537313432835821</v>
      </c>
      <c r="V1355" s="296"/>
    </row>
    <row r="1356" spans="2:25" ht="15.75" hidden="1" x14ac:dyDescent="0.2">
      <c r="B1356" s="711">
        <v>46174</v>
      </c>
      <c r="C1356" s="105" t="s">
        <v>105</v>
      </c>
      <c r="D1356" s="105" t="s">
        <v>129</v>
      </c>
      <c r="E1356" s="711">
        <v>46175</v>
      </c>
      <c r="G1356" s="832"/>
      <c r="H1356" s="120" t="s">
        <v>25</v>
      </c>
      <c r="I1356" s="120" t="s">
        <v>105</v>
      </c>
      <c r="J1356" s="106">
        <v>251</v>
      </c>
      <c r="K1356" s="106">
        <v>0</v>
      </c>
      <c r="L1356" s="106">
        <v>0</v>
      </c>
      <c r="M1356" s="106">
        <f>251-17</f>
        <v>234</v>
      </c>
      <c r="N1356" s="106">
        <v>0</v>
      </c>
      <c r="O1356" s="106">
        <v>15</v>
      </c>
      <c r="P1356" s="106">
        <v>2</v>
      </c>
      <c r="Q1356" s="108">
        <f t="shared" si="1469"/>
        <v>0</v>
      </c>
      <c r="R1356" s="109">
        <f t="shared" si="1470"/>
        <v>0</v>
      </c>
      <c r="S1356" s="109">
        <f t="shared" si="1471"/>
        <v>7.9681274900398405E-3</v>
      </c>
      <c r="T1356" s="109">
        <f t="shared" si="1472"/>
        <v>5.9760956175298807E-2</v>
      </c>
      <c r="U1356" s="110">
        <f t="shared" si="1473"/>
        <v>6.7729083665338641E-2</v>
      </c>
      <c r="V1356"/>
    </row>
    <row r="1357" spans="2:25" s="97" customFormat="1" ht="16.5" hidden="1" customHeight="1" x14ac:dyDescent="0.2">
      <c r="B1357" s="711">
        <v>46174</v>
      </c>
      <c r="C1357" s="105" t="s">
        <v>105</v>
      </c>
      <c r="D1357" s="105" t="s">
        <v>129</v>
      </c>
      <c r="E1357" s="711">
        <v>46175</v>
      </c>
      <c r="F1357" s="89"/>
      <c r="G1357" s="113"/>
      <c r="H1357" s="113" t="s">
        <v>19</v>
      </c>
      <c r="I1357" s="113"/>
      <c r="J1357" s="113">
        <f t="shared" ref="J1357:P1357" si="1474">SUM(J1349:J1356)</f>
        <v>2512</v>
      </c>
      <c r="K1357" s="113">
        <f t="shared" si="1474"/>
        <v>419</v>
      </c>
      <c r="L1357" s="113">
        <f t="shared" si="1474"/>
        <v>164</v>
      </c>
      <c r="M1357" s="113">
        <f t="shared" si="1474"/>
        <v>1798</v>
      </c>
      <c r="N1357" s="113">
        <f t="shared" si="1474"/>
        <v>114</v>
      </c>
      <c r="O1357" s="113">
        <f t="shared" si="1474"/>
        <v>102</v>
      </c>
      <c r="P1357" s="113">
        <f t="shared" si="1474"/>
        <v>35</v>
      </c>
      <c r="Q1357" s="115">
        <f>(K1357+L1357)/J1357</f>
        <v>0.23208598726114649</v>
      </c>
      <c r="R1357" s="116">
        <f t="shared" si="1470"/>
        <v>4.5382165605095538E-2</v>
      </c>
      <c r="S1357" s="116">
        <f t="shared" si="1471"/>
        <v>1.3933121019108281E-2</v>
      </c>
      <c r="T1357" s="116">
        <f t="shared" si="1472"/>
        <v>4.0605095541401272E-2</v>
      </c>
      <c r="U1357" s="117">
        <f t="shared" si="1473"/>
        <v>0.3320063694267516</v>
      </c>
      <c r="V1357" s="127"/>
      <c r="W1357" s="88"/>
      <c r="X1357" s="88"/>
      <c r="Y1357" s="118"/>
    </row>
    <row r="1358" spans="2:25" ht="15.75" hidden="1" x14ac:dyDescent="0.2">
      <c r="B1358" s="711">
        <v>46175</v>
      </c>
      <c r="C1358" s="105" t="s">
        <v>106</v>
      </c>
      <c r="D1358" s="105" t="s">
        <v>134</v>
      </c>
      <c r="E1358" s="711">
        <v>46175</v>
      </c>
      <c r="G1358" s="833">
        <v>46175</v>
      </c>
      <c r="H1358" s="120" t="s">
        <v>75</v>
      </c>
      <c r="I1358" s="120" t="s">
        <v>112</v>
      </c>
      <c r="J1358" s="106">
        <v>69</v>
      </c>
      <c r="K1358" s="106">
        <f>J1358-M1358-L1358-N1358-O1358-P1358</f>
        <v>25</v>
      </c>
      <c r="L1358" s="106">
        <v>20</v>
      </c>
      <c r="M1358" s="106">
        <v>9</v>
      </c>
      <c r="N1358" s="106">
        <v>0</v>
      </c>
      <c r="O1358" s="106">
        <v>12</v>
      </c>
      <c r="P1358" s="106">
        <v>3</v>
      </c>
      <c r="Q1358" s="108">
        <f t="shared" ref="Q1358:Q1362" si="1475">(K1358+L1358)/J1358</f>
        <v>0.65217391304347827</v>
      </c>
      <c r="R1358" s="109">
        <f t="shared" ref="R1358:R1377" si="1476">N1358/J1358</f>
        <v>0</v>
      </c>
      <c r="S1358" s="109">
        <f t="shared" ref="S1358:S1377" si="1477">P1358/J1358</f>
        <v>4.3478260869565216E-2</v>
      </c>
      <c r="T1358" s="109">
        <f t="shared" ref="T1358:T1377" si="1478">O1358/J1358</f>
        <v>0.17391304347826086</v>
      </c>
      <c r="U1358" s="110">
        <f t="shared" ref="U1358:U1377" si="1479">S1358+R1358+Q1358+T1358</f>
        <v>0.86956521739130432</v>
      </c>
      <c r="V1358" s="136"/>
    </row>
    <row r="1359" spans="2:25" ht="15.75" hidden="1" x14ac:dyDescent="0.2">
      <c r="B1359" s="711">
        <v>46175</v>
      </c>
      <c r="C1359" s="105" t="s">
        <v>106</v>
      </c>
      <c r="D1359" s="105" t="s">
        <v>134</v>
      </c>
      <c r="E1359" s="711">
        <v>46175</v>
      </c>
      <c r="G1359" s="834"/>
      <c r="H1359" s="120" t="s">
        <v>14</v>
      </c>
      <c r="I1359" s="120" t="s">
        <v>106</v>
      </c>
      <c r="J1359" s="106">
        <v>26</v>
      </c>
      <c r="K1359" s="106">
        <f t="shared" ref="K1359:K1362" si="1480">J1359-M1359-L1359-N1359-O1359-P1359</f>
        <v>8</v>
      </c>
      <c r="L1359" s="106">
        <v>8</v>
      </c>
      <c r="M1359" s="106">
        <v>0</v>
      </c>
      <c r="N1359" s="106">
        <v>0</v>
      </c>
      <c r="O1359" s="106">
        <v>10</v>
      </c>
      <c r="P1359" s="106">
        <v>0</v>
      </c>
      <c r="Q1359" s="108">
        <f t="shared" si="1475"/>
        <v>0.61538461538461542</v>
      </c>
      <c r="R1359" s="109">
        <f t="shared" si="1476"/>
        <v>0</v>
      </c>
      <c r="S1359" s="109">
        <f t="shared" si="1477"/>
        <v>0</v>
      </c>
      <c r="T1359" s="109">
        <f t="shared" si="1478"/>
        <v>0.38461538461538464</v>
      </c>
      <c r="U1359" s="110">
        <f t="shared" si="1479"/>
        <v>1</v>
      </c>
      <c r="V1359" s="136"/>
    </row>
    <row r="1360" spans="2:25" ht="15.75" hidden="1" x14ac:dyDescent="0.2">
      <c r="B1360" s="711">
        <v>46175</v>
      </c>
      <c r="C1360" s="105" t="s">
        <v>106</v>
      </c>
      <c r="D1360" s="105" t="s">
        <v>134</v>
      </c>
      <c r="E1360" s="711">
        <v>46175</v>
      </c>
      <c r="G1360" s="834"/>
      <c r="H1360" s="120" t="s">
        <v>84</v>
      </c>
      <c r="I1360" s="120" t="s">
        <v>106</v>
      </c>
      <c r="J1360" s="106">
        <v>215</v>
      </c>
      <c r="K1360" s="106">
        <f t="shared" si="1480"/>
        <v>112</v>
      </c>
      <c r="L1360" s="106">
        <v>32</v>
      </c>
      <c r="M1360" s="106">
        <v>56</v>
      </c>
      <c r="N1360" s="106">
        <v>0</v>
      </c>
      <c r="O1360" s="106">
        <v>0</v>
      </c>
      <c r="P1360" s="106">
        <v>15</v>
      </c>
      <c r="Q1360" s="108">
        <f t="shared" si="1475"/>
        <v>0.66976744186046511</v>
      </c>
      <c r="R1360" s="109">
        <f t="shared" si="1476"/>
        <v>0</v>
      </c>
      <c r="S1360" s="109">
        <f t="shared" si="1477"/>
        <v>6.9767441860465115E-2</v>
      </c>
      <c r="T1360" s="109">
        <f t="shared" si="1478"/>
        <v>0</v>
      </c>
      <c r="U1360" s="110">
        <f t="shared" si="1479"/>
        <v>0.73953488372093024</v>
      </c>
      <c r="V1360" s="296"/>
    </row>
    <row r="1361" spans="2:22" ht="15.75" hidden="1" x14ac:dyDescent="0.2">
      <c r="B1361" s="711">
        <v>46175</v>
      </c>
      <c r="C1361" s="105" t="s">
        <v>106</v>
      </c>
      <c r="D1361" s="105" t="s">
        <v>134</v>
      </c>
      <c r="E1361" s="711">
        <v>46175</v>
      </c>
      <c r="G1361" s="834"/>
      <c r="H1361" s="120" t="s">
        <v>120</v>
      </c>
      <c r="I1361" s="120" t="s">
        <v>106</v>
      </c>
      <c r="J1361" s="106">
        <v>70</v>
      </c>
      <c r="K1361" s="106">
        <f t="shared" si="1480"/>
        <v>57</v>
      </c>
      <c r="L1361" s="106">
        <v>13</v>
      </c>
      <c r="M1361" s="106">
        <v>0</v>
      </c>
      <c r="N1361" s="106">
        <v>0</v>
      </c>
      <c r="O1361" s="106">
        <v>0</v>
      </c>
      <c r="P1361" s="106">
        <v>0</v>
      </c>
      <c r="Q1361" s="108">
        <f t="shared" ref="Q1361" si="1481">(K1361+L1361)/J1361</f>
        <v>1</v>
      </c>
      <c r="R1361" s="109">
        <f t="shared" ref="R1361" si="1482">N1361/J1361</f>
        <v>0</v>
      </c>
      <c r="S1361" s="109">
        <f t="shared" ref="S1361" si="1483">P1361/J1361</f>
        <v>0</v>
      </c>
      <c r="T1361" s="109">
        <f t="shared" ref="T1361" si="1484">O1361/J1361</f>
        <v>0</v>
      </c>
      <c r="U1361" s="110">
        <f t="shared" ref="U1361" si="1485">S1361+R1361+Q1361+T1361</f>
        <v>1</v>
      </c>
      <c r="V1361" s="296"/>
    </row>
    <row r="1362" spans="2:22" ht="15.75" hidden="1" x14ac:dyDescent="0.2">
      <c r="B1362" s="711">
        <v>46175</v>
      </c>
      <c r="C1362" s="105" t="s">
        <v>106</v>
      </c>
      <c r="D1362" s="105" t="s">
        <v>134</v>
      </c>
      <c r="E1362" s="711">
        <v>46175</v>
      </c>
      <c r="G1362" s="835"/>
      <c r="H1362" s="120" t="s">
        <v>25</v>
      </c>
      <c r="I1362" s="120" t="s">
        <v>105</v>
      </c>
      <c r="J1362" s="106">
        <v>222</v>
      </c>
      <c r="K1362" s="106">
        <f t="shared" si="1480"/>
        <v>51</v>
      </c>
      <c r="L1362" s="106">
        <v>41</v>
      </c>
      <c r="M1362" s="106">
        <v>64</v>
      </c>
      <c r="N1362" s="106">
        <v>64</v>
      </c>
      <c r="O1362" s="106">
        <v>0</v>
      </c>
      <c r="P1362" s="106">
        <v>2</v>
      </c>
      <c r="Q1362" s="108">
        <f t="shared" si="1475"/>
        <v>0.4144144144144144</v>
      </c>
      <c r="R1362" s="109">
        <f t="shared" si="1476"/>
        <v>0.28828828828828829</v>
      </c>
      <c r="S1362" s="109">
        <f t="shared" si="1477"/>
        <v>9.0090090090090089E-3</v>
      </c>
      <c r="T1362" s="109">
        <f t="shared" si="1478"/>
        <v>0</v>
      </c>
      <c r="U1362" s="110">
        <f t="shared" si="1479"/>
        <v>0.71171171171171177</v>
      </c>
      <c r="V1362" t="s">
        <v>144</v>
      </c>
    </row>
    <row r="1363" spans="2:22" ht="15.75" hidden="1" x14ac:dyDescent="0.2">
      <c r="B1363" s="711">
        <v>46175</v>
      </c>
      <c r="C1363" s="105" t="s">
        <v>106</v>
      </c>
      <c r="D1363" s="105" t="s">
        <v>134</v>
      </c>
      <c r="E1363" s="711">
        <v>46175</v>
      </c>
      <c r="G1363" s="113"/>
      <c r="H1363" s="113" t="s">
        <v>19</v>
      </c>
      <c r="I1363" s="113"/>
      <c r="J1363" s="113">
        <f>SUM(J1358:J1362)</f>
        <v>602</v>
      </c>
      <c r="K1363" s="113">
        <f t="shared" ref="K1363:P1363" si="1486">SUM(K1358:K1362)</f>
        <v>253</v>
      </c>
      <c r="L1363" s="113">
        <f t="shared" si="1486"/>
        <v>114</v>
      </c>
      <c r="M1363" s="113">
        <f t="shared" si="1486"/>
        <v>129</v>
      </c>
      <c r="N1363" s="113">
        <f t="shared" si="1486"/>
        <v>64</v>
      </c>
      <c r="O1363" s="113">
        <f t="shared" si="1486"/>
        <v>22</v>
      </c>
      <c r="P1363" s="113">
        <f t="shared" si="1486"/>
        <v>20</v>
      </c>
      <c r="Q1363" s="115">
        <f>(K1363+L1363)/J1363</f>
        <v>0.60963455149501666</v>
      </c>
      <c r="R1363" s="116">
        <f t="shared" si="1476"/>
        <v>0.10631229235880399</v>
      </c>
      <c r="S1363" s="116">
        <f t="shared" si="1477"/>
        <v>3.3222591362126248E-2</v>
      </c>
      <c r="T1363" s="116">
        <f t="shared" si="1478"/>
        <v>3.6544850498338874E-2</v>
      </c>
      <c r="U1363" s="117">
        <f t="shared" si="1479"/>
        <v>0.78571428571428581</v>
      </c>
      <c r="V1363" s="127"/>
    </row>
    <row r="1364" spans="2:22" ht="15.75" hidden="1" x14ac:dyDescent="0.2">
      <c r="B1364" s="711">
        <v>46175</v>
      </c>
      <c r="C1364" s="105" t="s">
        <v>106</v>
      </c>
      <c r="D1364" s="105" t="s">
        <v>134</v>
      </c>
      <c r="E1364" s="711">
        <v>46176</v>
      </c>
      <c r="G1364" s="833">
        <v>46176</v>
      </c>
      <c r="H1364" s="120" t="s">
        <v>75</v>
      </c>
      <c r="I1364" s="120" t="s">
        <v>112</v>
      </c>
      <c r="J1364" s="106">
        <v>233</v>
      </c>
      <c r="K1364" s="106">
        <f>J1364-M1364-L1364-N1364-O1364-P1364</f>
        <v>0</v>
      </c>
      <c r="L1364" s="106">
        <v>0</v>
      </c>
      <c r="M1364" s="106">
        <v>233</v>
      </c>
      <c r="N1364" s="106">
        <v>0</v>
      </c>
      <c r="O1364" s="106">
        <v>0</v>
      </c>
      <c r="P1364" s="106">
        <v>0</v>
      </c>
      <c r="Q1364" s="108">
        <f t="shared" ref="Q1364:Q1368" si="1487">(K1364+L1364)/J1364</f>
        <v>0</v>
      </c>
      <c r="R1364" s="109">
        <f t="shared" si="1476"/>
        <v>0</v>
      </c>
      <c r="S1364" s="109">
        <f t="shared" si="1477"/>
        <v>0</v>
      </c>
      <c r="T1364" s="109">
        <f t="shared" si="1478"/>
        <v>0</v>
      </c>
      <c r="U1364" s="110">
        <f t="shared" si="1479"/>
        <v>0</v>
      </c>
      <c r="V1364" s="136"/>
    </row>
    <row r="1365" spans="2:22" ht="15.75" hidden="1" x14ac:dyDescent="0.2">
      <c r="B1365" s="711">
        <v>46175</v>
      </c>
      <c r="C1365" s="105" t="s">
        <v>106</v>
      </c>
      <c r="D1365" s="105" t="s">
        <v>134</v>
      </c>
      <c r="E1365" s="711">
        <v>46176</v>
      </c>
      <c r="G1365" s="834"/>
      <c r="H1365" s="120" t="s">
        <v>120</v>
      </c>
      <c r="I1365" s="120" t="s">
        <v>106</v>
      </c>
      <c r="J1365" s="106">
        <v>65</v>
      </c>
      <c r="K1365" s="106">
        <f>J1365-M1365-L1365-N1365-O1365-P1365</f>
        <v>0</v>
      </c>
      <c r="L1365" s="106">
        <v>0</v>
      </c>
      <c r="M1365" s="106">
        <v>65</v>
      </c>
      <c r="N1365" s="106">
        <v>0</v>
      </c>
      <c r="O1365" s="106">
        <v>0</v>
      </c>
      <c r="P1365" s="106">
        <v>0</v>
      </c>
      <c r="Q1365" s="108">
        <f t="shared" ref="Q1365:Q1366" si="1488">(K1365+L1365)/J1365</f>
        <v>0</v>
      </c>
      <c r="R1365" s="109">
        <f t="shared" ref="R1365:R1366" si="1489">N1365/J1365</f>
        <v>0</v>
      </c>
      <c r="S1365" s="109">
        <f t="shared" ref="S1365:S1366" si="1490">P1365/J1365</f>
        <v>0</v>
      </c>
      <c r="T1365" s="109">
        <f t="shared" ref="T1365:T1366" si="1491">O1365/J1365</f>
        <v>0</v>
      </c>
      <c r="U1365" s="110">
        <f t="shared" ref="U1365:U1366" si="1492">S1365+R1365+Q1365+T1365</f>
        <v>0</v>
      </c>
      <c r="V1365" s="136"/>
    </row>
    <row r="1366" spans="2:22" ht="15.75" hidden="1" x14ac:dyDescent="0.2">
      <c r="B1366" s="711">
        <v>46175</v>
      </c>
      <c r="C1366" s="105" t="s">
        <v>106</v>
      </c>
      <c r="D1366" s="105" t="s">
        <v>134</v>
      </c>
      <c r="E1366" s="711">
        <v>46176</v>
      </c>
      <c r="G1366" s="834"/>
      <c r="H1366" s="120" t="s">
        <v>14</v>
      </c>
      <c r="I1366" s="120" t="s">
        <v>106</v>
      </c>
      <c r="J1366" s="106">
        <v>205</v>
      </c>
      <c r="K1366" s="106">
        <f t="shared" ref="K1366:K1368" si="1493">J1366-M1366-L1366-N1366-O1366-P1366</f>
        <v>0</v>
      </c>
      <c r="L1366" s="106">
        <v>0</v>
      </c>
      <c r="M1366" s="106">
        <v>205</v>
      </c>
      <c r="N1366" s="106">
        <v>0</v>
      </c>
      <c r="O1366" s="106">
        <v>0</v>
      </c>
      <c r="P1366" s="106">
        <v>0</v>
      </c>
      <c r="Q1366" s="108">
        <f t="shared" si="1488"/>
        <v>0</v>
      </c>
      <c r="R1366" s="109">
        <f t="shared" si="1489"/>
        <v>0</v>
      </c>
      <c r="S1366" s="109">
        <f t="shared" si="1490"/>
        <v>0</v>
      </c>
      <c r="T1366" s="109">
        <f t="shared" si="1491"/>
        <v>0</v>
      </c>
      <c r="U1366" s="110">
        <f t="shared" si="1492"/>
        <v>0</v>
      </c>
      <c r="V1366" s="136"/>
    </row>
    <row r="1367" spans="2:22" ht="15.75" hidden="1" x14ac:dyDescent="0.2">
      <c r="B1367" s="711">
        <v>46175</v>
      </c>
      <c r="C1367" s="105" t="s">
        <v>106</v>
      </c>
      <c r="D1367" s="105" t="s">
        <v>134</v>
      </c>
      <c r="E1367" s="711">
        <v>46176</v>
      </c>
      <c r="G1367" s="834"/>
      <c r="H1367" s="120" t="s">
        <v>84</v>
      </c>
      <c r="I1367" s="120" t="s">
        <v>106</v>
      </c>
      <c r="J1367" s="106">
        <v>24</v>
      </c>
      <c r="K1367" s="106">
        <f t="shared" si="1493"/>
        <v>0</v>
      </c>
      <c r="L1367" s="106">
        <v>0</v>
      </c>
      <c r="M1367" s="106">
        <v>24</v>
      </c>
      <c r="N1367" s="106">
        <v>0</v>
      </c>
      <c r="O1367" s="106">
        <v>0</v>
      </c>
      <c r="P1367" s="106">
        <v>0</v>
      </c>
      <c r="Q1367" s="108">
        <f t="shared" si="1487"/>
        <v>0</v>
      </c>
      <c r="R1367" s="109">
        <f t="shared" si="1476"/>
        <v>0</v>
      </c>
      <c r="S1367" s="109">
        <f t="shared" si="1477"/>
        <v>0</v>
      </c>
      <c r="T1367" s="109">
        <f t="shared" si="1478"/>
        <v>0</v>
      </c>
      <c r="U1367" s="110">
        <f t="shared" si="1479"/>
        <v>0</v>
      </c>
      <c r="V1367" s="296"/>
    </row>
    <row r="1368" spans="2:22" ht="15.75" hidden="1" x14ac:dyDescent="0.2">
      <c r="B1368" s="711">
        <v>46175</v>
      </c>
      <c r="C1368" s="105" t="s">
        <v>106</v>
      </c>
      <c r="D1368" s="105" t="s">
        <v>134</v>
      </c>
      <c r="E1368" s="711">
        <v>46176</v>
      </c>
      <c r="G1368" s="835"/>
      <c r="H1368" s="120" t="s">
        <v>25</v>
      </c>
      <c r="I1368" s="120" t="s">
        <v>105</v>
      </c>
      <c r="J1368" s="106">
        <v>189</v>
      </c>
      <c r="K1368" s="106">
        <f t="shared" si="1493"/>
        <v>0</v>
      </c>
      <c r="L1368" s="106">
        <v>0</v>
      </c>
      <c r="M1368" s="106">
        <v>189</v>
      </c>
      <c r="N1368" s="106">
        <v>0</v>
      </c>
      <c r="O1368" s="106">
        <v>0</v>
      </c>
      <c r="P1368" s="106">
        <v>0</v>
      </c>
      <c r="Q1368" s="108">
        <f t="shared" si="1487"/>
        <v>0</v>
      </c>
      <c r="R1368" s="109">
        <f t="shared" si="1476"/>
        <v>0</v>
      </c>
      <c r="S1368" s="109">
        <f t="shared" si="1477"/>
        <v>0</v>
      </c>
      <c r="T1368" s="109">
        <f t="shared" si="1478"/>
        <v>0</v>
      </c>
      <c r="U1368" s="110">
        <f t="shared" si="1479"/>
        <v>0</v>
      </c>
      <c r="V1368"/>
    </row>
    <row r="1369" spans="2:22" ht="15.75" hidden="1" x14ac:dyDescent="0.2">
      <c r="B1369" s="711">
        <v>46175</v>
      </c>
      <c r="C1369" s="105" t="s">
        <v>106</v>
      </c>
      <c r="D1369" s="105" t="s">
        <v>134</v>
      </c>
      <c r="E1369" s="711">
        <v>46176</v>
      </c>
      <c r="G1369" s="113"/>
      <c r="H1369" s="113" t="s">
        <v>19</v>
      </c>
      <c r="I1369" s="113"/>
      <c r="J1369" s="113">
        <f>SUM(J1364:J1368)</f>
        <v>716</v>
      </c>
      <c r="K1369" s="113">
        <f t="shared" ref="K1369:P1369" si="1494">SUM(K1364:K1368)</f>
        <v>0</v>
      </c>
      <c r="L1369" s="113">
        <f t="shared" si="1494"/>
        <v>0</v>
      </c>
      <c r="M1369" s="113">
        <f t="shared" si="1494"/>
        <v>716</v>
      </c>
      <c r="N1369" s="113">
        <f t="shared" si="1494"/>
        <v>0</v>
      </c>
      <c r="O1369" s="113">
        <f t="shared" si="1494"/>
        <v>0</v>
      </c>
      <c r="P1369" s="113">
        <f t="shared" si="1494"/>
        <v>0</v>
      </c>
      <c r="Q1369" s="115">
        <f>(K1369+L1369)/J1369</f>
        <v>0</v>
      </c>
      <c r="R1369" s="116">
        <f t="shared" si="1476"/>
        <v>0</v>
      </c>
      <c r="S1369" s="116">
        <f t="shared" si="1477"/>
        <v>0</v>
      </c>
      <c r="T1369" s="116">
        <f t="shared" si="1478"/>
        <v>0</v>
      </c>
      <c r="U1369" s="117">
        <f t="shared" si="1479"/>
        <v>0</v>
      </c>
      <c r="V1369" s="127"/>
    </row>
    <row r="1370" spans="2:22" ht="15.75" hidden="1" x14ac:dyDescent="0.2">
      <c r="B1370" s="711">
        <v>46175</v>
      </c>
      <c r="C1370" s="105" t="s">
        <v>105</v>
      </c>
      <c r="D1370" s="105" t="s">
        <v>129</v>
      </c>
      <c r="E1370" s="711">
        <v>46175</v>
      </c>
      <c r="G1370" s="833">
        <v>46175</v>
      </c>
      <c r="H1370" s="120" t="s">
        <v>75</v>
      </c>
      <c r="I1370" s="120" t="s">
        <v>100</v>
      </c>
      <c r="J1370" s="106">
        <f>SUM(K1370:P1370)</f>
        <v>36</v>
      </c>
      <c r="K1370" s="106">
        <f>125-102</f>
        <v>23</v>
      </c>
      <c r="L1370" s="106">
        <f>89-76</f>
        <v>13</v>
      </c>
      <c r="M1370" s="106">
        <v>0</v>
      </c>
      <c r="N1370" s="106">
        <v>0</v>
      </c>
      <c r="O1370" s="106">
        <v>0</v>
      </c>
      <c r="P1370" s="106">
        <v>0</v>
      </c>
      <c r="Q1370" s="108">
        <f t="shared" ref="Q1370:Q1376" si="1495">(K1370+L1370)/J1370</f>
        <v>1</v>
      </c>
      <c r="R1370" s="109">
        <f t="shared" si="1476"/>
        <v>0</v>
      </c>
      <c r="S1370" s="109">
        <f t="shared" si="1477"/>
        <v>0</v>
      </c>
      <c r="T1370" s="109">
        <f t="shared" si="1478"/>
        <v>0</v>
      </c>
      <c r="U1370" s="110">
        <f t="shared" si="1479"/>
        <v>1</v>
      </c>
      <c r="V1370" s="136"/>
    </row>
    <row r="1371" spans="2:22" ht="15.75" hidden="1" x14ac:dyDescent="0.2">
      <c r="B1371" s="711">
        <v>46175</v>
      </c>
      <c r="C1371" s="105" t="s">
        <v>105</v>
      </c>
      <c r="D1371" s="105" t="s">
        <v>129</v>
      </c>
      <c r="E1371" s="711">
        <v>46175</v>
      </c>
      <c r="G1371" s="834"/>
      <c r="H1371" s="120" t="s">
        <v>17</v>
      </c>
      <c r="I1371" s="120" t="s">
        <v>18</v>
      </c>
      <c r="J1371" s="106">
        <f>SUM(K1371:P1371)</f>
        <v>8</v>
      </c>
      <c r="K1371" s="106">
        <v>5</v>
      </c>
      <c r="L1371" s="106">
        <v>3</v>
      </c>
      <c r="M1371" s="106">
        <v>0</v>
      </c>
      <c r="N1371" s="106">
        <v>0</v>
      </c>
      <c r="O1371" s="106">
        <v>0</v>
      </c>
      <c r="P1371" s="106">
        <v>0</v>
      </c>
      <c r="Q1371" s="108">
        <f t="shared" si="1495"/>
        <v>1</v>
      </c>
      <c r="R1371" s="109">
        <f t="shared" si="1476"/>
        <v>0</v>
      </c>
      <c r="S1371" s="109">
        <f t="shared" si="1477"/>
        <v>0</v>
      </c>
      <c r="T1371" s="109">
        <f t="shared" si="1478"/>
        <v>0</v>
      </c>
      <c r="U1371" s="110">
        <f t="shared" si="1479"/>
        <v>1</v>
      </c>
      <c r="V1371" s="136"/>
    </row>
    <row r="1372" spans="2:22" ht="15.75" hidden="1" x14ac:dyDescent="0.2">
      <c r="B1372" s="711">
        <v>46175</v>
      </c>
      <c r="C1372" s="105" t="s">
        <v>105</v>
      </c>
      <c r="D1372" s="105" t="s">
        <v>129</v>
      </c>
      <c r="E1372" s="711">
        <v>46175</v>
      </c>
      <c r="G1372" s="835"/>
      <c r="H1372" s="120" t="s">
        <v>25</v>
      </c>
      <c r="I1372" s="120" t="s">
        <v>18</v>
      </c>
      <c r="J1372" s="106">
        <v>222</v>
      </c>
      <c r="K1372" s="106">
        <f>222-34</f>
        <v>188</v>
      </c>
      <c r="L1372" s="106">
        <v>32</v>
      </c>
      <c r="M1372" s="106">
        <v>0</v>
      </c>
      <c r="N1372" s="106">
        <v>0</v>
      </c>
      <c r="O1372" s="106">
        <v>0</v>
      </c>
      <c r="P1372" s="106">
        <v>2</v>
      </c>
      <c r="Q1372" s="108">
        <f t="shared" si="1495"/>
        <v>0.99099099099099097</v>
      </c>
      <c r="R1372" s="109">
        <f t="shared" si="1476"/>
        <v>0</v>
      </c>
      <c r="S1372" s="109">
        <f t="shared" si="1477"/>
        <v>9.0090090090090089E-3</v>
      </c>
      <c r="T1372" s="109">
        <f t="shared" si="1478"/>
        <v>0</v>
      </c>
      <c r="U1372" s="110">
        <f t="shared" si="1479"/>
        <v>1</v>
      </c>
      <c r="V1372" s="136"/>
    </row>
    <row r="1373" spans="2:22" ht="12.75" hidden="1" customHeight="1" x14ac:dyDescent="0.2">
      <c r="B1373" s="711">
        <v>46175</v>
      </c>
      <c r="C1373" s="105" t="s">
        <v>105</v>
      </c>
      <c r="D1373" s="105" t="s">
        <v>129</v>
      </c>
      <c r="E1373" s="711">
        <v>46176</v>
      </c>
      <c r="G1373" s="830">
        <v>46176</v>
      </c>
      <c r="H1373" s="120" t="s">
        <v>75</v>
      </c>
      <c r="I1373" s="120" t="s">
        <v>112</v>
      </c>
      <c r="J1373" s="106">
        <v>232</v>
      </c>
      <c r="K1373" s="106">
        <v>113</v>
      </c>
      <c r="L1373" s="106">
        <v>76</v>
      </c>
      <c r="M1373" s="106">
        <v>22</v>
      </c>
      <c r="N1373" s="106">
        <v>0</v>
      </c>
      <c r="O1373" s="106">
        <v>20</v>
      </c>
      <c r="P1373" s="106">
        <v>1</v>
      </c>
      <c r="Q1373" s="108">
        <f t="shared" si="1495"/>
        <v>0.81465517241379315</v>
      </c>
      <c r="R1373" s="109">
        <f t="shared" si="1476"/>
        <v>0</v>
      </c>
      <c r="S1373" s="109">
        <f t="shared" si="1477"/>
        <v>4.3103448275862068E-3</v>
      </c>
      <c r="T1373" s="109">
        <f t="shared" si="1478"/>
        <v>8.6206896551724144E-2</v>
      </c>
      <c r="U1373" s="110">
        <f t="shared" si="1479"/>
        <v>0.90517241379310343</v>
      </c>
      <c r="V1373" s="136"/>
    </row>
    <row r="1374" spans="2:22" ht="15.75" hidden="1" x14ac:dyDescent="0.2">
      <c r="B1374" s="711">
        <v>46175</v>
      </c>
      <c r="C1374" s="105" t="s">
        <v>105</v>
      </c>
      <c r="D1374" s="105" t="s">
        <v>129</v>
      </c>
      <c r="E1374" s="711">
        <v>46176</v>
      </c>
      <c r="G1374" s="831"/>
      <c r="H1374" s="120" t="s">
        <v>14</v>
      </c>
      <c r="I1374" s="120" t="s">
        <v>106</v>
      </c>
      <c r="J1374" s="106">
        <v>205</v>
      </c>
      <c r="K1374" s="106">
        <v>27</v>
      </c>
      <c r="L1374" s="106">
        <v>20</v>
      </c>
      <c r="M1374" s="106">
        <f>137-16</f>
        <v>121</v>
      </c>
      <c r="N1374" s="106">
        <v>29</v>
      </c>
      <c r="O1374" s="106">
        <v>12</v>
      </c>
      <c r="P1374" s="106">
        <v>4</v>
      </c>
      <c r="Q1374" s="108">
        <f t="shared" si="1495"/>
        <v>0.22926829268292684</v>
      </c>
      <c r="R1374" s="109">
        <f t="shared" si="1476"/>
        <v>0.14146341463414633</v>
      </c>
      <c r="S1374" s="109">
        <f t="shared" si="1477"/>
        <v>1.9512195121951219E-2</v>
      </c>
      <c r="T1374" s="109">
        <f t="shared" si="1478"/>
        <v>5.8536585365853662E-2</v>
      </c>
      <c r="U1374" s="110">
        <f t="shared" si="1479"/>
        <v>0.44878048780487806</v>
      </c>
      <c r="V1374" s="136"/>
    </row>
    <row r="1375" spans="2:22" ht="15.75" hidden="1" x14ac:dyDescent="0.2">
      <c r="B1375" s="711">
        <v>46175</v>
      </c>
      <c r="C1375" s="105" t="s">
        <v>105</v>
      </c>
      <c r="D1375" s="105" t="s">
        <v>129</v>
      </c>
      <c r="E1375" s="711">
        <v>46176</v>
      </c>
      <c r="G1375" s="831"/>
      <c r="H1375" s="120" t="s">
        <v>84</v>
      </c>
      <c r="I1375" s="120" t="s">
        <v>22</v>
      </c>
      <c r="J1375" s="106">
        <v>24</v>
      </c>
      <c r="K1375" s="106">
        <v>0</v>
      </c>
      <c r="L1375" s="106">
        <v>0</v>
      </c>
      <c r="M1375" s="106">
        <v>22</v>
      </c>
      <c r="N1375" s="106">
        <v>2</v>
      </c>
      <c r="O1375" s="106">
        <v>2</v>
      </c>
      <c r="P1375" s="106">
        <v>0</v>
      </c>
      <c r="Q1375" s="108">
        <f t="shared" si="1495"/>
        <v>0</v>
      </c>
      <c r="R1375" s="109">
        <f t="shared" si="1476"/>
        <v>8.3333333333333329E-2</v>
      </c>
      <c r="S1375" s="109">
        <f t="shared" si="1477"/>
        <v>0</v>
      </c>
      <c r="T1375" s="109">
        <f t="shared" si="1478"/>
        <v>8.3333333333333329E-2</v>
      </c>
      <c r="U1375" s="110">
        <f t="shared" si="1479"/>
        <v>0.16666666666666666</v>
      </c>
      <c r="V1375" s="296"/>
    </row>
    <row r="1376" spans="2:22" ht="15.75" hidden="1" x14ac:dyDescent="0.2">
      <c r="B1376" s="711">
        <v>46175</v>
      </c>
      <c r="C1376" s="105" t="s">
        <v>105</v>
      </c>
      <c r="D1376" s="105" t="s">
        <v>129</v>
      </c>
      <c r="E1376" s="711">
        <v>46176</v>
      </c>
      <c r="G1376" s="832"/>
      <c r="H1376" s="120" t="s">
        <v>17</v>
      </c>
      <c r="I1376" s="120" t="s">
        <v>105</v>
      </c>
      <c r="J1376" s="106">
        <v>189</v>
      </c>
      <c r="K1376" s="106">
        <v>0</v>
      </c>
      <c r="L1376" s="106">
        <v>0</v>
      </c>
      <c r="M1376" s="106">
        <v>189</v>
      </c>
      <c r="N1376" s="106">
        <v>0</v>
      </c>
      <c r="O1376" s="106">
        <v>0</v>
      </c>
      <c r="P1376" s="106">
        <v>7</v>
      </c>
      <c r="Q1376" s="108">
        <f t="shared" si="1495"/>
        <v>0</v>
      </c>
      <c r="R1376" s="109">
        <f t="shared" si="1476"/>
        <v>0</v>
      </c>
      <c r="S1376" s="109">
        <f t="shared" si="1477"/>
        <v>3.7037037037037035E-2</v>
      </c>
      <c r="T1376" s="109">
        <f t="shared" si="1478"/>
        <v>0</v>
      </c>
      <c r="U1376" s="110">
        <f t="shared" si="1479"/>
        <v>3.7037037037037035E-2</v>
      </c>
      <c r="V1376"/>
    </row>
    <row r="1377" spans="2:25" s="97" customFormat="1" ht="16.5" hidden="1" customHeight="1" x14ac:dyDescent="0.2">
      <c r="B1377" s="711">
        <v>46175</v>
      </c>
      <c r="C1377" s="105" t="s">
        <v>105</v>
      </c>
      <c r="D1377" s="105" t="s">
        <v>129</v>
      </c>
      <c r="E1377" s="711">
        <v>46176</v>
      </c>
      <c r="F1377" s="89"/>
      <c r="G1377" s="113"/>
      <c r="H1377" s="113" t="s">
        <v>19</v>
      </c>
      <c r="I1377" s="113"/>
      <c r="J1377" s="113">
        <f t="shared" ref="J1377:P1377" si="1496">SUM(J1370:J1376)</f>
        <v>916</v>
      </c>
      <c r="K1377" s="113">
        <f t="shared" si="1496"/>
        <v>356</v>
      </c>
      <c r="L1377" s="113">
        <f t="shared" si="1496"/>
        <v>144</v>
      </c>
      <c r="M1377" s="113">
        <f t="shared" si="1496"/>
        <v>354</v>
      </c>
      <c r="N1377" s="113">
        <f t="shared" si="1496"/>
        <v>31</v>
      </c>
      <c r="O1377" s="113">
        <f t="shared" si="1496"/>
        <v>34</v>
      </c>
      <c r="P1377" s="113">
        <f t="shared" si="1496"/>
        <v>14</v>
      </c>
      <c r="Q1377" s="115">
        <f>(K1377+L1377)/J1377</f>
        <v>0.54585152838427953</v>
      </c>
      <c r="R1377" s="116">
        <f t="shared" si="1476"/>
        <v>3.384279475982533E-2</v>
      </c>
      <c r="S1377" s="116">
        <f t="shared" si="1477"/>
        <v>1.5283842794759825E-2</v>
      </c>
      <c r="T1377" s="116">
        <f t="shared" si="1478"/>
        <v>3.7117903930131008E-2</v>
      </c>
      <c r="U1377" s="117">
        <f t="shared" si="1479"/>
        <v>0.63209606986899569</v>
      </c>
      <c r="V1377" s="127"/>
      <c r="W1377" s="88"/>
      <c r="X1377" s="88"/>
      <c r="Y1377" s="118"/>
    </row>
    <row r="1378" spans="2:25" ht="15.75" hidden="1" x14ac:dyDescent="0.2">
      <c r="B1378" s="711">
        <v>46176</v>
      </c>
      <c r="C1378" s="105" t="s">
        <v>106</v>
      </c>
      <c r="D1378" s="105" t="s">
        <v>134</v>
      </c>
      <c r="E1378" s="711">
        <v>46176</v>
      </c>
      <c r="G1378" s="833">
        <v>46176</v>
      </c>
      <c r="H1378" s="120" t="s">
        <v>75</v>
      </c>
      <c r="I1378" s="120" t="s">
        <v>112</v>
      </c>
      <c r="J1378" s="106">
        <v>44</v>
      </c>
      <c r="K1378" s="106">
        <f>J1378-M1378-L1378-N1378-O1378-P1378</f>
        <v>19</v>
      </c>
      <c r="L1378" s="106">
        <v>10</v>
      </c>
      <c r="M1378" s="106">
        <v>0</v>
      </c>
      <c r="N1378" s="106">
        <v>0</v>
      </c>
      <c r="O1378" s="106">
        <v>15</v>
      </c>
      <c r="P1378" s="106">
        <v>0</v>
      </c>
      <c r="Q1378" s="108">
        <f t="shared" ref="Q1378:Q1382" si="1497">(K1378+L1378)/J1378</f>
        <v>0.65909090909090906</v>
      </c>
      <c r="R1378" s="109">
        <f t="shared" ref="R1378:R1391" si="1498">N1378/J1378</f>
        <v>0</v>
      </c>
      <c r="S1378" s="109">
        <f t="shared" ref="S1378:S1391" si="1499">P1378/J1378</f>
        <v>0</v>
      </c>
      <c r="T1378" s="109">
        <f t="shared" ref="T1378:T1391" si="1500">O1378/J1378</f>
        <v>0.34090909090909088</v>
      </c>
      <c r="U1378" s="110">
        <f t="shared" ref="U1378:U1391" si="1501">S1378+R1378+Q1378+T1378</f>
        <v>1</v>
      </c>
      <c r="V1378" s="136"/>
    </row>
    <row r="1379" spans="2:25" ht="15.75" hidden="1" x14ac:dyDescent="0.2">
      <c r="B1379" s="711">
        <v>46176</v>
      </c>
      <c r="C1379" s="105" t="s">
        <v>106</v>
      </c>
      <c r="D1379" s="105" t="s">
        <v>134</v>
      </c>
      <c r="E1379" s="711">
        <v>46176</v>
      </c>
      <c r="G1379" s="834"/>
      <c r="H1379" s="120" t="s">
        <v>14</v>
      </c>
      <c r="I1379" s="120" t="s">
        <v>106</v>
      </c>
      <c r="J1379" s="106">
        <v>205</v>
      </c>
      <c r="K1379" s="106">
        <f t="shared" ref="K1379:K1382" si="1502">J1379-M1379-L1379-N1379-O1379-P1379</f>
        <v>134</v>
      </c>
      <c r="L1379" s="106">
        <v>43</v>
      </c>
      <c r="M1379" s="106">
        <v>26</v>
      </c>
      <c r="N1379" s="106">
        <v>0</v>
      </c>
      <c r="O1379" s="106">
        <v>0</v>
      </c>
      <c r="P1379" s="106">
        <v>2</v>
      </c>
      <c r="Q1379" s="108">
        <f t="shared" si="1497"/>
        <v>0.86341463414634145</v>
      </c>
      <c r="R1379" s="109">
        <f t="shared" si="1498"/>
        <v>0</v>
      </c>
      <c r="S1379" s="109">
        <f t="shared" si="1499"/>
        <v>9.7560975609756097E-3</v>
      </c>
      <c r="T1379" s="109">
        <f t="shared" si="1500"/>
        <v>0</v>
      </c>
      <c r="U1379" s="110">
        <f t="shared" si="1501"/>
        <v>0.87317073170731707</v>
      </c>
      <c r="V1379" s="136"/>
    </row>
    <row r="1380" spans="2:25" ht="15.75" hidden="1" x14ac:dyDescent="0.2">
      <c r="B1380" s="711">
        <v>46176</v>
      </c>
      <c r="C1380" s="105" t="s">
        <v>106</v>
      </c>
      <c r="D1380" s="105" t="s">
        <v>134</v>
      </c>
      <c r="E1380" s="711">
        <v>46176</v>
      </c>
      <c r="G1380" s="834"/>
      <c r="H1380" s="120" t="s">
        <v>120</v>
      </c>
      <c r="I1380" s="120" t="s">
        <v>106</v>
      </c>
      <c r="J1380" s="106">
        <v>70</v>
      </c>
      <c r="K1380" s="106">
        <f t="shared" ref="K1380" si="1503">J1380-M1380-L1380-N1380-O1380-P1380</f>
        <v>9</v>
      </c>
      <c r="L1380" s="106">
        <v>2</v>
      </c>
      <c r="M1380" s="106">
        <v>0</v>
      </c>
      <c r="N1380" s="106">
        <v>59</v>
      </c>
      <c r="O1380" s="106">
        <v>0</v>
      </c>
      <c r="P1380" s="106">
        <v>0</v>
      </c>
      <c r="Q1380" s="108">
        <f t="shared" ref="Q1380" si="1504">(K1380+L1380)/J1380</f>
        <v>0.15714285714285714</v>
      </c>
      <c r="R1380" s="109">
        <f t="shared" ref="R1380" si="1505">N1380/J1380</f>
        <v>0.84285714285714286</v>
      </c>
      <c r="S1380" s="109">
        <f t="shared" ref="S1380" si="1506">P1380/J1380</f>
        <v>0</v>
      </c>
      <c r="T1380" s="109">
        <f t="shared" ref="T1380" si="1507">O1380/J1380</f>
        <v>0</v>
      </c>
      <c r="U1380" s="110">
        <f t="shared" ref="U1380" si="1508">S1380+R1380+Q1380+T1380</f>
        <v>1</v>
      </c>
      <c r="V1380" s="296"/>
    </row>
    <row r="1381" spans="2:25" ht="15.75" hidden="1" x14ac:dyDescent="0.2">
      <c r="B1381" s="711">
        <v>46176</v>
      </c>
      <c r="C1381" s="105" t="s">
        <v>106</v>
      </c>
      <c r="D1381" s="105" t="s">
        <v>134</v>
      </c>
      <c r="E1381" s="711">
        <v>46176</v>
      </c>
      <c r="G1381" s="834"/>
      <c r="H1381" s="120" t="s">
        <v>84</v>
      </c>
      <c r="I1381" s="120" t="s">
        <v>22</v>
      </c>
      <c r="J1381" s="106">
        <v>55</v>
      </c>
      <c r="K1381" s="106">
        <f t="shared" si="1502"/>
        <v>32</v>
      </c>
      <c r="L1381" s="106">
        <v>9</v>
      </c>
      <c r="M1381" s="106">
        <v>10</v>
      </c>
      <c r="N1381" s="106">
        <v>4</v>
      </c>
      <c r="O1381" s="106">
        <v>0</v>
      </c>
      <c r="P1381" s="106">
        <v>0</v>
      </c>
      <c r="Q1381" s="108">
        <f t="shared" si="1497"/>
        <v>0.74545454545454548</v>
      </c>
      <c r="R1381" s="109">
        <f t="shared" si="1498"/>
        <v>7.2727272727272724E-2</v>
      </c>
      <c r="S1381" s="109">
        <f t="shared" si="1499"/>
        <v>0</v>
      </c>
      <c r="T1381" s="109">
        <f t="shared" si="1500"/>
        <v>0</v>
      </c>
      <c r="U1381" s="110">
        <f t="shared" si="1501"/>
        <v>0.81818181818181823</v>
      </c>
      <c r="V1381" s="296"/>
    </row>
    <row r="1382" spans="2:25" ht="15.75" hidden="1" x14ac:dyDescent="0.2">
      <c r="B1382" s="711">
        <v>46176</v>
      </c>
      <c r="C1382" s="105" t="s">
        <v>106</v>
      </c>
      <c r="D1382" s="105" t="s">
        <v>134</v>
      </c>
      <c r="E1382" s="711">
        <v>46176</v>
      </c>
      <c r="G1382" s="835"/>
      <c r="H1382" s="120" t="s">
        <v>17</v>
      </c>
      <c r="I1382" s="120" t="s">
        <v>105</v>
      </c>
      <c r="J1382" s="106">
        <v>188</v>
      </c>
      <c r="K1382" s="106">
        <f t="shared" si="1502"/>
        <v>74</v>
      </c>
      <c r="L1382" s="106">
        <v>32</v>
      </c>
      <c r="M1382" s="106">
        <v>58</v>
      </c>
      <c r="N1382" s="106">
        <v>18</v>
      </c>
      <c r="O1382" s="106">
        <v>0</v>
      </c>
      <c r="P1382" s="106">
        <v>6</v>
      </c>
      <c r="Q1382" s="108">
        <f t="shared" si="1497"/>
        <v>0.56382978723404253</v>
      </c>
      <c r="R1382" s="109">
        <f t="shared" si="1498"/>
        <v>9.5744680851063829E-2</v>
      </c>
      <c r="S1382" s="109">
        <f t="shared" si="1499"/>
        <v>3.1914893617021274E-2</v>
      </c>
      <c r="T1382" s="109">
        <f t="shared" si="1500"/>
        <v>0</v>
      </c>
      <c r="U1382" s="110">
        <f t="shared" si="1501"/>
        <v>0.6914893617021276</v>
      </c>
      <c r="V1382"/>
    </row>
    <row r="1383" spans="2:25" ht="15.75" hidden="1" x14ac:dyDescent="0.2">
      <c r="B1383" s="711">
        <v>46176</v>
      </c>
      <c r="C1383" s="105" t="s">
        <v>106</v>
      </c>
      <c r="D1383" s="105" t="s">
        <v>134</v>
      </c>
      <c r="E1383" s="711">
        <v>46176</v>
      </c>
      <c r="G1383" s="113"/>
      <c r="H1383" s="113" t="s">
        <v>19</v>
      </c>
      <c r="I1383" s="113"/>
      <c r="J1383" s="113">
        <f>SUM(J1378:J1382)</f>
        <v>562</v>
      </c>
      <c r="K1383" s="113">
        <f t="shared" ref="K1383:P1383" si="1509">SUM(K1378:K1382)</f>
        <v>268</v>
      </c>
      <c r="L1383" s="113">
        <f t="shared" si="1509"/>
        <v>96</v>
      </c>
      <c r="M1383" s="113">
        <f t="shared" si="1509"/>
        <v>94</v>
      </c>
      <c r="N1383" s="113">
        <f t="shared" si="1509"/>
        <v>81</v>
      </c>
      <c r="O1383" s="113">
        <f t="shared" si="1509"/>
        <v>15</v>
      </c>
      <c r="P1383" s="113">
        <f t="shared" si="1509"/>
        <v>8</v>
      </c>
      <c r="Q1383" s="115">
        <f>(K1383+L1383)/J1383</f>
        <v>0.64768683274021355</v>
      </c>
      <c r="R1383" s="116">
        <f t="shared" si="1498"/>
        <v>0.14412811387900357</v>
      </c>
      <c r="S1383" s="116">
        <f t="shared" si="1499"/>
        <v>1.4234875444839857E-2</v>
      </c>
      <c r="T1383" s="116">
        <f t="shared" si="1500"/>
        <v>2.6690391459074734E-2</v>
      </c>
      <c r="U1383" s="117">
        <f t="shared" si="1501"/>
        <v>0.83274021352313166</v>
      </c>
      <c r="V1383" s="127"/>
    </row>
    <row r="1384" spans="2:25" ht="15.75" hidden="1" x14ac:dyDescent="0.2">
      <c r="B1384" s="711">
        <v>46176</v>
      </c>
      <c r="C1384" s="105" t="s">
        <v>105</v>
      </c>
      <c r="D1384" s="105" t="s">
        <v>129</v>
      </c>
      <c r="E1384" s="711">
        <v>46175</v>
      </c>
      <c r="G1384" s="833">
        <v>46176</v>
      </c>
      <c r="H1384" s="120" t="s">
        <v>75</v>
      </c>
      <c r="I1384" s="120" t="s">
        <v>112</v>
      </c>
      <c r="J1384" s="106">
        <f>SUM(K1384:P1384)</f>
        <v>27</v>
      </c>
      <c r="K1384" s="106">
        <f>115-103</f>
        <v>12</v>
      </c>
      <c r="L1384" s="106">
        <f>53-39</f>
        <v>14</v>
      </c>
      <c r="M1384" s="106">
        <v>0</v>
      </c>
      <c r="N1384" s="106">
        <v>0</v>
      </c>
      <c r="O1384" s="106">
        <v>0</v>
      </c>
      <c r="P1384" s="106">
        <v>1</v>
      </c>
      <c r="Q1384" s="108">
        <f t="shared" ref="Q1384:Q1390" si="1510">(K1384+L1384)/J1384</f>
        <v>0.96296296296296291</v>
      </c>
      <c r="R1384" s="109">
        <f t="shared" si="1498"/>
        <v>0</v>
      </c>
      <c r="S1384" s="109">
        <f t="shared" si="1499"/>
        <v>3.7037037037037035E-2</v>
      </c>
      <c r="T1384" s="109">
        <f t="shared" si="1500"/>
        <v>0</v>
      </c>
      <c r="U1384" s="110">
        <f t="shared" si="1501"/>
        <v>1</v>
      </c>
      <c r="V1384" s="136"/>
    </row>
    <row r="1385" spans="2:25" ht="15.75" hidden="1" x14ac:dyDescent="0.2">
      <c r="B1385" s="711">
        <v>46176</v>
      </c>
      <c r="C1385" s="105" t="s">
        <v>105</v>
      </c>
      <c r="D1385" s="105" t="s">
        <v>129</v>
      </c>
      <c r="E1385" s="711">
        <v>46175</v>
      </c>
      <c r="G1385" s="834"/>
      <c r="H1385" s="120" t="s">
        <v>17</v>
      </c>
      <c r="I1385" s="120" t="s">
        <v>18</v>
      </c>
      <c r="J1385" s="106">
        <f>SUM(K1385:P1385)</f>
        <v>79</v>
      </c>
      <c r="K1385" s="106">
        <v>50</v>
      </c>
      <c r="L1385" s="106">
        <v>23</v>
      </c>
      <c r="M1385" s="106">
        <v>0</v>
      </c>
      <c r="N1385" s="106">
        <v>0</v>
      </c>
      <c r="O1385" s="106">
        <v>0</v>
      </c>
      <c r="P1385" s="106">
        <v>6</v>
      </c>
      <c r="Q1385" s="108">
        <f t="shared" si="1510"/>
        <v>0.92405063291139244</v>
      </c>
      <c r="R1385" s="109">
        <f t="shared" si="1498"/>
        <v>0</v>
      </c>
      <c r="S1385" s="109">
        <f t="shared" si="1499"/>
        <v>7.5949367088607597E-2</v>
      </c>
      <c r="T1385" s="109">
        <f t="shared" si="1500"/>
        <v>0</v>
      </c>
      <c r="U1385" s="110">
        <f t="shared" si="1501"/>
        <v>1</v>
      </c>
      <c r="V1385" s="136"/>
    </row>
    <row r="1386" spans="2:25" ht="15.75" hidden="1" x14ac:dyDescent="0.2">
      <c r="B1386" s="711">
        <v>46176</v>
      </c>
      <c r="C1386" s="105" t="s">
        <v>105</v>
      </c>
      <c r="D1386" s="105" t="s">
        <v>129</v>
      </c>
      <c r="E1386" s="711">
        <v>46175</v>
      </c>
      <c r="G1386" s="835"/>
      <c r="H1386" s="120" t="s">
        <v>25</v>
      </c>
      <c r="I1386" s="120" t="s">
        <v>18</v>
      </c>
      <c r="J1386" s="106">
        <f>SUM(K1386:P1386)</f>
        <v>7</v>
      </c>
      <c r="K1386" s="106">
        <v>7</v>
      </c>
      <c r="L1386" s="106">
        <v>0</v>
      </c>
      <c r="M1386" s="106">
        <v>0</v>
      </c>
      <c r="N1386" s="106">
        <v>0</v>
      </c>
      <c r="O1386" s="106">
        <v>0</v>
      </c>
      <c r="P1386" s="106">
        <v>0</v>
      </c>
      <c r="Q1386" s="108">
        <f t="shared" si="1510"/>
        <v>1</v>
      </c>
      <c r="R1386" s="109">
        <f t="shared" si="1498"/>
        <v>0</v>
      </c>
      <c r="S1386" s="109">
        <f t="shared" si="1499"/>
        <v>0</v>
      </c>
      <c r="T1386" s="109">
        <f t="shared" si="1500"/>
        <v>0</v>
      </c>
      <c r="U1386" s="110">
        <f t="shared" si="1501"/>
        <v>1</v>
      </c>
      <c r="V1386" s="136"/>
    </row>
    <row r="1387" spans="2:25" ht="12.75" hidden="1" customHeight="1" x14ac:dyDescent="0.2">
      <c r="B1387" s="711">
        <v>46176</v>
      </c>
      <c r="C1387" s="105" t="s">
        <v>105</v>
      </c>
      <c r="D1387" s="105" t="s">
        <v>129</v>
      </c>
      <c r="E1387" s="711">
        <v>46176</v>
      </c>
      <c r="G1387" s="830">
        <v>46177</v>
      </c>
      <c r="H1387" s="120" t="s">
        <v>75</v>
      </c>
      <c r="I1387" s="120" t="s">
        <v>100</v>
      </c>
      <c r="J1387" s="106">
        <v>232</v>
      </c>
      <c r="K1387" s="106">
        <v>103</v>
      </c>
      <c r="L1387" s="106">
        <v>39</v>
      </c>
      <c r="M1387" s="106">
        <v>32</v>
      </c>
      <c r="N1387" s="106">
        <v>31</v>
      </c>
      <c r="O1387" s="106">
        <v>20</v>
      </c>
      <c r="P1387" s="106">
        <v>8</v>
      </c>
      <c r="Q1387" s="108">
        <f t="shared" si="1510"/>
        <v>0.61206896551724133</v>
      </c>
      <c r="R1387" s="109">
        <f t="shared" si="1498"/>
        <v>0.1336206896551724</v>
      </c>
      <c r="S1387" s="109">
        <f t="shared" si="1499"/>
        <v>3.4482758620689655E-2</v>
      </c>
      <c r="T1387" s="109">
        <f t="shared" si="1500"/>
        <v>8.6206896551724144E-2</v>
      </c>
      <c r="U1387" s="110">
        <f t="shared" si="1501"/>
        <v>0.86637931034482762</v>
      </c>
      <c r="V1387" s="136"/>
    </row>
    <row r="1388" spans="2:25" ht="15.75" hidden="1" x14ac:dyDescent="0.2">
      <c r="B1388" s="711">
        <v>46176</v>
      </c>
      <c r="C1388" s="105" t="s">
        <v>105</v>
      </c>
      <c r="D1388" s="105" t="s">
        <v>129</v>
      </c>
      <c r="E1388" s="711">
        <v>46176</v>
      </c>
      <c r="G1388" s="831"/>
      <c r="H1388" s="120" t="s">
        <v>14</v>
      </c>
      <c r="I1388" s="120" t="s">
        <v>22</v>
      </c>
      <c r="J1388" s="106">
        <v>185</v>
      </c>
      <c r="K1388" s="106">
        <v>29</v>
      </c>
      <c r="L1388" s="106">
        <v>2</v>
      </c>
      <c r="M1388" s="106">
        <f>85-8</f>
        <v>77</v>
      </c>
      <c r="N1388" s="106">
        <v>74</v>
      </c>
      <c r="O1388" s="106">
        <v>8</v>
      </c>
      <c r="P1388" s="106">
        <v>0</v>
      </c>
      <c r="Q1388" s="108">
        <f t="shared" si="1510"/>
        <v>0.16756756756756758</v>
      </c>
      <c r="R1388" s="109">
        <f t="shared" si="1498"/>
        <v>0.4</v>
      </c>
      <c r="S1388" s="109">
        <f t="shared" si="1499"/>
        <v>0</v>
      </c>
      <c r="T1388" s="109">
        <f t="shared" si="1500"/>
        <v>4.3243243243243246E-2</v>
      </c>
      <c r="U1388" s="110">
        <f t="shared" si="1501"/>
        <v>0.61081081081081079</v>
      </c>
      <c r="V1388" s="136"/>
    </row>
    <row r="1389" spans="2:25" ht="15.75" hidden="1" x14ac:dyDescent="0.2">
      <c r="B1389" s="711">
        <v>46176</v>
      </c>
      <c r="C1389" s="105" t="s">
        <v>105</v>
      </c>
      <c r="D1389" s="105" t="s">
        <v>129</v>
      </c>
      <c r="E1389" s="711">
        <v>46176</v>
      </c>
      <c r="G1389" s="831"/>
      <c r="H1389" s="120" t="s">
        <v>84</v>
      </c>
      <c r="I1389" s="120" t="s">
        <v>22</v>
      </c>
      <c r="J1389" s="106">
        <v>31</v>
      </c>
      <c r="K1389" s="106">
        <v>0</v>
      </c>
      <c r="L1389" s="106">
        <v>0</v>
      </c>
      <c r="M1389" s="106">
        <v>31</v>
      </c>
      <c r="N1389" s="106">
        <v>0</v>
      </c>
      <c r="O1389" s="106">
        <v>0</v>
      </c>
      <c r="P1389" s="106">
        <v>0</v>
      </c>
      <c r="Q1389" s="108">
        <f t="shared" si="1510"/>
        <v>0</v>
      </c>
      <c r="R1389" s="109">
        <f t="shared" si="1498"/>
        <v>0</v>
      </c>
      <c r="S1389" s="109">
        <f t="shared" si="1499"/>
        <v>0</v>
      </c>
      <c r="T1389" s="109">
        <f t="shared" si="1500"/>
        <v>0</v>
      </c>
      <c r="U1389" s="110">
        <f t="shared" si="1501"/>
        <v>0</v>
      </c>
      <c r="V1389" s="296"/>
    </row>
    <row r="1390" spans="2:25" ht="15.75" hidden="1" x14ac:dyDescent="0.2">
      <c r="B1390" s="711">
        <v>46176</v>
      </c>
      <c r="C1390" s="105" t="s">
        <v>105</v>
      </c>
      <c r="D1390" s="105" t="s">
        <v>129</v>
      </c>
      <c r="E1390" s="711">
        <v>46176</v>
      </c>
      <c r="G1390" s="832"/>
      <c r="H1390" s="120" t="s">
        <v>17</v>
      </c>
      <c r="I1390" s="120" t="s">
        <v>105</v>
      </c>
      <c r="J1390" s="106">
        <v>194</v>
      </c>
      <c r="K1390" s="106">
        <v>0</v>
      </c>
      <c r="L1390" s="106">
        <v>0</v>
      </c>
      <c r="M1390" s="106">
        <v>194</v>
      </c>
      <c r="N1390" s="106">
        <v>0</v>
      </c>
      <c r="O1390" s="106">
        <v>0</v>
      </c>
      <c r="P1390" s="106">
        <v>3</v>
      </c>
      <c r="Q1390" s="108">
        <f t="shared" si="1510"/>
        <v>0</v>
      </c>
      <c r="R1390" s="109">
        <f t="shared" si="1498"/>
        <v>0</v>
      </c>
      <c r="S1390" s="109">
        <f t="shared" si="1499"/>
        <v>1.5463917525773196E-2</v>
      </c>
      <c r="T1390" s="109">
        <f t="shared" si="1500"/>
        <v>0</v>
      </c>
      <c r="U1390" s="110">
        <f t="shared" si="1501"/>
        <v>1.5463917525773196E-2</v>
      </c>
      <c r="V1390"/>
    </row>
    <row r="1391" spans="2:25" s="97" customFormat="1" ht="16.5" hidden="1" customHeight="1" x14ac:dyDescent="0.2">
      <c r="B1391" s="711">
        <v>46176</v>
      </c>
      <c r="C1391" s="105" t="s">
        <v>105</v>
      </c>
      <c r="D1391" s="105" t="s">
        <v>129</v>
      </c>
      <c r="E1391" s="711">
        <v>46176</v>
      </c>
      <c r="F1391" s="89"/>
      <c r="G1391" s="113"/>
      <c r="H1391" s="113" t="s">
        <v>19</v>
      </c>
      <c r="I1391" s="113"/>
      <c r="J1391" s="113">
        <f t="shared" ref="J1391:P1391" si="1511">SUM(J1384:J1390)</f>
        <v>755</v>
      </c>
      <c r="K1391" s="113">
        <f t="shared" si="1511"/>
        <v>201</v>
      </c>
      <c r="L1391" s="113">
        <f t="shared" si="1511"/>
        <v>78</v>
      </c>
      <c r="M1391" s="113">
        <f t="shared" si="1511"/>
        <v>334</v>
      </c>
      <c r="N1391" s="113">
        <f t="shared" si="1511"/>
        <v>105</v>
      </c>
      <c r="O1391" s="113">
        <f t="shared" si="1511"/>
        <v>28</v>
      </c>
      <c r="P1391" s="113">
        <f t="shared" si="1511"/>
        <v>18</v>
      </c>
      <c r="Q1391" s="115">
        <f>(K1391+L1391)/J1391</f>
        <v>0.36953642384105961</v>
      </c>
      <c r="R1391" s="116">
        <f t="shared" si="1498"/>
        <v>0.13907284768211919</v>
      </c>
      <c r="S1391" s="116">
        <f t="shared" si="1499"/>
        <v>2.3841059602649008E-2</v>
      </c>
      <c r="T1391" s="116">
        <f t="shared" si="1500"/>
        <v>3.7086092715231792E-2</v>
      </c>
      <c r="U1391" s="117">
        <f t="shared" si="1501"/>
        <v>0.56953642384105962</v>
      </c>
      <c r="V1391" s="127"/>
      <c r="W1391" s="88"/>
      <c r="X1391" s="88"/>
      <c r="Y1391" s="118"/>
    </row>
    <row r="1392" spans="2:25" ht="15.75" hidden="1" x14ac:dyDescent="0.2">
      <c r="B1392" s="711">
        <v>46177</v>
      </c>
      <c r="C1392" s="105" t="s">
        <v>106</v>
      </c>
      <c r="D1392" s="105" t="s">
        <v>137</v>
      </c>
      <c r="E1392" s="711">
        <v>46177</v>
      </c>
      <c r="G1392" s="833">
        <v>46177</v>
      </c>
      <c r="H1392" s="120" t="s">
        <v>75</v>
      </c>
      <c r="I1392" s="120" t="s">
        <v>100</v>
      </c>
      <c r="J1392" s="106">
        <v>90</v>
      </c>
      <c r="K1392" s="106">
        <f>J1392-M1392-L1392-N1392-O1392-P1392</f>
        <v>36</v>
      </c>
      <c r="L1392" s="106">
        <v>35</v>
      </c>
      <c r="M1392" s="106">
        <v>0</v>
      </c>
      <c r="N1392" s="106">
        <v>0</v>
      </c>
      <c r="O1392" s="106">
        <v>15</v>
      </c>
      <c r="P1392" s="106">
        <v>4</v>
      </c>
      <c r="Q1392" s="108">
        <f t="shared" ref="Q1392:Q1397" si="1512">(K1392+L1392)/J1392</f>
        <v>0.78888888888888886</v>
      </c>
      <c r="R1392" s="109">
        <f t="shared" ref="R1392:R1407" si="1513">N1392/J1392</f>
        <v>0</v>
      </c>
      <c r="S1392" s="109">
        <f t="shared" ref="S1392:S1407" si="1514">P1392/J1392</f>
        <v>4.4444444444444446E-2</v>
      </c>
      <c r="T1392" s="109">
        <f t="shared" ref="T1392:T1407" si="1515">O1392/J1392</f>
        <v>0.16666666666666666</v>
      </c>
      <c r="U1392" s="110">
        <f t="shared" ref="U1392:U1407" si="1516">S1392+R1392+Q1392+T1392</f>
        <v>0.99999999999999989</v>
      </c>
      <c r="V1392" s="136" t="s">
        <v>21</v>
      </c>
    </row>
    <row r="1393" spans="2:25" ht="15.75" hidden="1" x14ac:dyDescent="0.2">
      <c r="B1393" s="711">
        <v>46177</v>
      </c>
      <c r="C1393" s="105" t="s">
        <v>106</v>
      </c>
      <c r="D1393" s="105" t="s">
        <v>137</v>
      </c>
      <c r="E1393" s="711">
        <v>46177</v>
      </c>
      <c r="G1393" s="834"/>
      <c r="H1393" s="120" t="s">
        <v>14</v>
      </c>
      <c r="I1393" s="120" t="s">
        <v>22</v>
      </c>
      <c r="J1393" s="106">
        <v>161</v>
      </c>
      <c r="K1393" s="106">
        <f t="shared" ref="K1393:K1397" si="1517">J1393-M1393-L1393-N1393-O1393-P1393</f>
        <v>108</v>
      </c>
      <c r="L1393" s="106">
        <v>41</v>
      </c>
      <c r="M1393" s="106">
        <v>0</v>
      </c>
      <c r="N1393" s="106">
        <v>0</v>
      </c>
      <c r="O1393" s="106">
        <v>12</v>
      </c>
      <c r="P1393" s="106">
        <v>0</v>
      </c>
      <c r="Q1393" s="108">
        <f t="shared" si="1512"/>
        <v>0.92546583850931674</v>
      </c>
      <c r="R1393" s="109">
        <f t="shared" si="1513"/>
        <v>0</v>
      </c>
      <c r="S1393" s="109">
        <f t="shared" si="1514"/>
        <v>0</v>
      </c>
      <c r="T1393" s="109">
        <f t="shared" si="1515"/>
        <v>7.4534161490683232E-2</v>
      </c>
      <c r="U1393" s="110">
        <f t="shared" si="1516"/>
        <v>1</v>
      </c>
      <c r="V1393" s="136"/>
    </row>
    <row r="1394" spans="2:25" ht="15.75" hidden="1" x14ac:dyDescent="0.2">
      <c r="B1394" s="711">
        <v>46177</v>
      </c>
      <c r="C1394" s="105" t="s">
        <v>106</v>
      </c>
      <c r="D1394" s="105" t="s">
        <v>137</v>
      </c>
      <c r="E1394" s="711">
        <v>46177</v>
      </c>
      <c r="G1394" s="834"/>
      <c r="H1394" s="120" t="s">
        <v>130</v>
      </c>
      <c r="I1394" s="120" t="s">
        <v>22</v>
      </c>
      <c r="J1394" s="106">
        <v>56</v>
      </c>
      <c r="K1394" s="106">
        <f t="shared" si="1517"/>
        <v>0</v>
      </c>
      <c r="L1394" s="106">
        <v>0</v>
      </c>
      <c r="M1394" s="106">
        <v>0</v>
      </c>
      <c r="N1394" s="106">
        <v>56</v>
      </c>
      <c r="O1394" s="106">
        <v>0</v>
      </c>
      <c r="P1394" s="106">
        <v>0</v>
      </c>
      <c r="Q1394" s="108">
        <f t="shared" si="1512"/>
        <v>0</v>
      </c>
      <c r="R1394" s="109">
        <f t="shared" si="1513"/>
        <v>1</v>
      </c>
      <c r="S1394" s="109">
        <f t="shared" si="1514"/>
        <v>0</v>
      </c>
      <c r="T1394" s="109">
        <f t="shared" si="1515"/>
        <v>0</v>
      </c>
      <c r="U1394" s="110">
        <f t="shared" si="1516"/>
        <v>1</v>
      </c>
      <c r="V1394" s="296"/>
    </row>
    <row r="1395" spans="2:25" ht="15.75" hidden="1" x14ac:dyDescent="0.2">
      <c r="B1395" s="711">
        <v>46177</v>
      </c>
      <c r="C1395" s="105" t="s">
        <v>106</v>
      </c>
      <c r="D1395" s="105" t="s">
        <v>137</v>
      </c>
      <c r="E1395" s="711">
        <v>46177</v>
      </c>
      <c r="G1395" s="834"/>
      <c r="H1395" s="120" t="s">
        <v>120</v>
      </c>
      <c r="I1395" s="120" t="s">
        <v>106</v>
      </c>
      <c r="J1395" s="106">
        <v>74</v>
      </c>
      <c r="K1395" s="106">
        <f t="shared" si="1517"/>
        <v>69</v>
      </c>
      <c r="L1395" s="106">
        <v>5</v>
      </c>
      <c r="M1395" s="106">
        <v>0</v>
      </c>
      <c r="N1395" s="106">
        <v>0</v>
      </c>
      <c r="O1395" s="106">
        <v>0</v>
      </c>
      <c r="P1395" s="106">
        <v>0</v>
      </c>
      <c r="Q1395" s="108">
        <f t="shared" si="1512"/>
        <v>1</v>
      </c>
      <c r="R1395" s="109">
        <f t="shared" si="1513"/>
        <v>0</v>
      </c>
      <c r="S1395" s="109">
        <f t="shared" si="1514"/>
        <v>0</v>
      </c>
      <c r="T1395" s="109">
        <f t="shared" si="1515"/>
        <v>0</v>
      </c>
      <c r="U1395" s="110">
        <f t="shared" si="1516"/>
        <v>1</v>
      </c>
      <c r="V1395" s="296"/>
    </row>
    <row r="1396" spans="2:25" ht="15.75" hidden="1" x14ac:dyDescent="0.2">
      <c r="B1396" s="711">
        <v>46177</v>
      </c>
      <c r="C1396" s="105" t="s">
        <v>106</v>
      </c>
      <c r="D1396" s="105" t="s">
        <v>137</v>
      </c>
      <c r="E1396" s="711">
        <v>46177</v>
      </c>
      <c r="G1396" s="834"/>
      <c r="H1396" s="120" t="s">
        <v>84</v>
      </c>
      <c r="I1396" s="120" t="s">
        <v>22</v>
      </c>
      <c r="J1396" s="106">
        <v>58</v>
      </c>
      <c r="K1396" s="106">
        <f t="shared" si="1517"/>
        <v>45</v>
      </c>
      <c r="L1396" s="106">
        <v>12</v>
      </c>
      <c r="M1396" s="106">
        <v>0</v>
      </c>
      <c r="N1396" s="106">
        <v>0</v>
      </c>
      <c r="O1396" s="106">
        <v>0</v>
      </c>
      <c r="P1396" s="106">
        <v>1</v>
      </c>
      <c r="Q1396" s="108">
        <f t="shared" si="1512"/>
        <v>0.98275862068965514</v>
      </c>
      <c r="R1396" s="109">
        <f t="shared" si="1513"/>
        <v>0</v>
      </c>
      <c r="S1396" s="109">
        <f t="shared" si="1514"/>
        <v>1.7241379310344827E-2</v>
      </c>
      <c r="T1396" s="109">
        <f t="shared" si="1515"/>
        <v>0</v>
      </c>
      <c r="U1396" s="110">
        <f t="shared" si="1516"/>
        <v>1</v>
      </c>
      <c r="V1396" s="296"/>
    </row>
    <row r="1397" spans="2:25" ht="15.75" hidden="1" x14ac:dyDescent="0.2">
      <c r="B1397" s="711">
        <v>46177</v>
      </c>
      <c r="C1397" s="105" t="s">
        <v>106</v>
      </c>
      <c r="D1397" s="105" t="s">
        <v>137</v>
      </c>
      <c r="E1397" s="711">
        <v>46177</v>
      </c>
      <c r="G1397" s="835"/>
      <c r="H1397" s="120" t="s">
        <v>17</v>
      </c>
      <c r="I1397" s="120" t="s">
        <v>105</v>
      </c>
      <c r="J1397" s="106">
        <v>205</v>
      </c>
      <c r="K1397" s="106">
        <f t="shared" si="1517"/>
        <v>51</v>
      </c>
      <c r="L1397" s="106">
        <v>10</v>
      </c>
      <c r="M1397" s="106">
        <v>55</v>
      </c>
      <c r="N1397" s="106">
        <v>86</v>
      </c>
      <c r="O1397" s="106">
        <v>0</v>
      </c>
      <c r="P1397" s="106">
        <v>3</v>
      </c>
      <c r="Q1397" s="108">
        <f t="shared" si="1512"/>
        <v>0.29756097560975608</v>
      </c>
      <c r="R1397" s="109">
        <f t="shared" si="1513"/>
        <v>0.4195121951219512</v>
      </c>
      <c r="S1397" s="109">
        <f t="shared" si="1514"/>
        <v>1.4634146341463415E-2</v>
      </c>
      <c r="T1397" s="109">
        <f t="shared" si="1515"/>
        <v>0</v>
      </c>
      <c r="U1397" s="110">
        <f t="shared" si="1516"/>
        <v>0.73170731707317072</v>
      </c>
      <c r="V1397"/>
    </row>
    <row r="1398" spans="2:25" ht="15.75" hidden="1" x14ac:dyDescent="0.2">
      <c r="B1398" s="711">
        <v>46177</v>
      </c>
      <c r="C1398" s="105" t="s">
        <v>106</v>
      </c>
      <c r="D1398" s="105" t="s">
        <v>137</v>
      </c>
      <c r="E1398" s="711">
        <v>46177</v>
      </c>
      <c r="G1398" s="113"/>
      <c r="H1398" s="113" t="s">
        <v>19</v>
      </c>
      <c r="I1398" s="113"/>
      <c r="J1398" s="113">
        <f>SUM(J1392:J1397)</f>
        <v>644</v>
      </c>
      <c r="K1398" s="113">
        <f t="shared" ref="K1398:P1398" si="1518">SUM(K1392:K1397)</f>
        <v>309</v>
      </c>
      <c r="L1398" s="113">
        <f t="shared" si="1518"/>
        <v>103</v>
      </c>
      <c r="M1398" s="113">
        <f t="shared" si="1518"/>
        <v>55</v>
      </c>
      <c r="N1398" s="113">
        <f t="shared" si="1518"/>
        <v>142</v>
      </c>
      <c r="O1398" s="113">
        <f t="shared" si="1518"/>
        <v>27</v>
      </c>
      <c r="P1398" s="113">
        <f t="shared" si="1518"/>
        <v>8</v>
      </c>
      <c r="Q1398" s="115">
        <f>(K1398+L1398)/J1398</f>
        <v>0.63975155279503104</v>
      </c>
      <c r="R1398" s="116">
        <f t="shared" si="1513"/>
        <v>0.22049689440993789</v>
      </c>
      <c r="S1398" s="116">
        <f t="shared" si="1514"/>
        <v>1.2422360248447204E-2</v>
      </c>
      <c r="T1398" s="116">
        <f t="shared" si="1515"/>
        <v>4.192546583850932E-2</v>
      </c>
      <c r="U1398" s="117">
        <f t="shared" si="1516"/>
        <v>0.9145962732919255</v>
      </c>
      <c r="V1398" s="127"/>
    </row>
    <row r="1399" spans="2:25" ht="15.75" hidden="1" x14ac:dyDescent="0.2">
      <c r="B1399" s="711">
        <v>46177</v>
      </c>
      <c r="C1399" s="105" t="s">
        <v>105</v>
      </c>
      <c r="D1399" s="105" t="s">
        <v>129</v>
      </c>
      <c r="E1399" s="711">
        <v>46177</v>
      </c>
      <c r="G1399" s="833">
        <v>46176</v>
      </c>
      <c r="H1399" s="120" t="s">
        <v>75</v>
      </c>
      <c r="I1399" s="120" t="s">
        <v>100</v>
      </c>
      <c r="J1399" s="106">
        <f>SUM(K1399:P1399)</f>
        <v>24</v>
      </c>
      <c r="K1399" s="106">
        <f>124-118</f>
        <v>6</v>
      </c>
      <c r="L1399" s="106">
        <f>71-57</f>
        <v>14</v>
      </c>
      <c r="M1399" s="106">
        <v>0</v>
      </c>
      <c r="N1399" s="106">
        <v>0</v>
      </c>
      <c r="O1399" s="106">
        <v>0</v>
      </c>
      <c r="P1399" s="106">
        <v>4</v>
      </c>
      <c r="Q1399" s="108">
        <f t="shared" ref="Q1399:Q1406" si="1519">(K1399+L1399)/J1399</f>
        <v>0.83333333333333337</v>
      </c>
      <c r="R1399" s="109">
        <f t="shared" si="1513"/>
        <v>0</v>
      </c>
      <c r="S1399" s="109">
        <f t="shared" si="1514"/>
        <v>0.16666666666666666</v>
      </c>
      <c r="T1399" s="109">
        <f t="shared" si="1515"/>
        <v>0</v>
      </c>
      <c r="U1399" s="110">
        <f t="shared" si="1516"/>
        <v>1</v>
      </c>
      <c r="V1399" s="136"/>
    </row>
    <row r="1400" spans="2:25" ht="15.75" hidden="1" x14ac:dyDescent="0.2">
      <c r="B1400" s="711">
        <v>46177</v>
      </c>
      <c r="C1400" s="105" t="s">
        <v>105</v>
      </c>
      <c r="D1400" s="105" t="s">
        <v>129</v>
      </c>
      <c r="E1400" s="711">
        <v>46177</v>
      </c>
      <c r="G1400" s="834"/>
      <c r="H1400" s="120" t="s">
        <v>17</v>
      </c>
      <c r="I1400" s="120" t="s">
        <v>18</v>
      </c>
      <c r="J1400" s="106">
        <f>SUM(K1400:P1400)</f>
        <v>149</v>
      </c>
      <c r="K1400" s="106">
        <v>96</v>
      </c>
      <c r="L1400" s="106">
        <v>52</v>
      </c>
      <c r="M1400" s="106">
        <v>0</v>
      </c>
      <c r="N1400" s="106">
        <v>0</v>
      </c>
      <c r="O1400" s="106">
        <v>0</v>
      </c>
      <c r="P1400" s="106">
        <v>1</v>
      </c>
      <c r="Q1400" s="108">
        <f t="shared" si="1519"/>
        <v>0.99328859060402686</v>
      </c>
      <c r="R1400" s="109">
        <f t="shared" si="1513"/>
        <v>0</v>
      </c>
      <c r="S1400" s="109">
        <f t="shared" si="1514"/>
        <v>6.7114093959731542E-3</v>
      </c>
      <c r="T1400" s="109">
        <f t="shared" si="1515"/>
        <v>0</v>
      </c>
      <c r="U1400" s="110">
        <f t="shared" si="1516"/>
        <v>1</v>
      </c>
      <c r="V1400" s="136"/>
    </row>
    <row r="1401" spans="2:25" ht="15.75" hidden="1" x14ac:dyDescent="0.2">
      <c r="B1401" s="711">
        <v>46177</v>
      </c>
      <c r="C1401" s="105" t="s">
        <v>105</v>
      </c>
      <c r="D1401" s="105" t="s">
        <v>129</v>
      </c>
      <c r="E1401" s="711">
        <v>46177</v>
      </c>
      <c r="G1401" s="834"/>
      <c r="H1401" s="120" t="s">
        <v>145</v>
      </c>
      <c r="I1401" s="120" t="s">
        <v>18</v>
      </c>
      <c r="J1401" s="106">
        <f>SUM(K1401:P1401)</f>
        <v>4</v>
      </c>
      <c r="K1401" s="106">
        <v>4</v>
      </c>
      <c r="L1401" s="106">
        <v>0</v>
      </c>
      <c r="M1401" s="106">
        <v>0</v>
      </c>
      <c r="N1401" s="106">
        <v>0</v>
      </c>
      <c r="O1401" s="106">
        <v>0</v>
      </c>
      <c r="P1401" s="106">
        <v>0</v>
      </c>
      <c r="Q1401" s="108">
        <f t="shared" ref="Q1401" si="1520">(K1401+L1401)/J1401</f>
        <v>1</v>
      </c>
      <c r="R1401" s="109">
        <f t="shared" ref="R1401" si="1521">N1401/J1401</f>
        <v>0</v>
      </c>
      <c r="S1401" s="109">
        <f t="shared" ref="S1401" si="1522">P1401/J1401</f>
        <v>0</v>
      </c>
      <c r="T1401" s="109">
        <f t="shared" ref="T1401" si="1523">O1401/J1401</f>
        <v>0</v>
      </c>
      <c r="U1401" s="110">
        <f t="shared" ref="U1401" si="1524">S1401+R1401+Q1401+T1401</f>
        <v>1</v>
      </c>
      <c r="V1401" s="136"/>
    </row>
    <row r="1402" spans="2:25" ht="15.75" hidden="1" x14ac:dyDescent="0.2">
      <c r="B1402" s="711">
        <v>46177</v>
      </c>
      <c r="C1402" s="105" t="s">
        <v>105</v>
      </c>
      <c r="D1402" s="105" t="s">
        <v>129</v>
      </c>
      <c r="E1402" s="711">
        <v>46177</v>
      </c>
      <c r="G1402" s="835"/>
      <c r="H1402" s="120" t="s">
        <v>25</v>
      </c>
      <c r="I1402" s="120" t="s">
        <v>18</v>
      </c>
      <c r="J1402" s="106">
        <f>SUM(K1402:P1402)</f>
        <v>8</v>
      </c>
      <c r="K1402" s="106">
        <v>8</v>
      </c>
      <c r="L1402" s="106">
        <v>0</v>
      </c>
      <c r="M1402" s="106">
        <v>0</v>
      </c>
      <c r="N1402" s="106">
        <v>0</v>
      </c>
      <c r="O1402" s="106">
        <v>0</v>
      </c>
      <c r="P1402" s="106">
        <v>0</v>
      </c>
      <c r="Q1402" s="108">
        <f t="shared" si="1519"/>
        <v>1</v>
      </c>
      <c r="R1402" s="109">
        <f t="shared" si="1513"/>
        <v>0</v>
      </c>
      <c r="S1402" s="109">
        <f t="shared" si="1514"/>
        <v>0</v>
      </c>
      <c r="T1402" s="109">
        <f t="shared" si="1515"/>
        <v>0</v>
      </c>
      <c r="U1402" s="110">
        <f t="shared" si="1516"/>
        <v>1</v>
      </c>
      <c r="V1402" s="136"/>
    </row>
    <row r="1403" spans="2:25" ht="12.75" hidden="1" customHeight="1" x14ac:dyDescent="0.2">
      <c r="B1403" s="711">
        <v>46177</v>
      </c>
      <c r="C1403" s="105" t="s">
        <v>105</v>
      </c>
      <c r="D1403" s="105" t="s">
        <v>129</v>
      </c>
      <c r="E1403" s="711">
        <v>46178</v>
      </c>
      <c r="G1403" s="830">
        <v>46177</v>
      </c>
      <c r="H1403" s="120" t="s">
        <v>75</v>
      </c>
      <c r="I1403" s="120" t="s">
        <v>100</v>
      </c>
      <c r="J1403" s="106">
        <v>232</v>
      </c>
      <c r="K1403" s="106">
        <v>121</v>
      </c>
      <c r="L1403" s="106">
        <v>57</v>
      </c>
      <c r="M1403" s="106">
        <v>26</v>
      </c>
      <c r="N1403" s="106">
        <v>6</v>
      </c>
      <c r="O1403" s="106">
        <v>20</v>
      </c>
      <c r="P1403" s="106">
        <v>3</v>
      </c>
      <c r="Q1403" s="108">
        <f t="shared" si="1519"/>
        <v>0.76724137931034486</v>
      </c>
      <c r="R1403" s="109">
        <f t="shared" si="1513"/>
        <v>2.5862068965517241E-2</v>
      </c>
      <c r="S1403" s="109">
        <f t="shared" si="1514"/>
        <v>1.2931034482758621E-2</v>
      </c>
      <c r="T1403" s="109">
        <f t="shared" si="1515"/>
        <v>8.6206896551724144E-2</v>
      </c>
      <c r="U1403" s="110">
        <f t="shared" si="1516"/>
        <v>0.89224137931034497</v>
      </c>
      <c r="V1403" s="136"/>
    </row>
    <row r="1404" spans="2:25" ht="15.75" hidden="1" x14ac:dyDescent="0.2">
      <c r="B1404" s="711">
        <v>46177</v>
      </c>
      <c r="C1404" s="105" t="s">
        <v>105</v>
      </c>
      <c r="D1404" s="105" t="s">
        <v>129</v>
      </c>
      <c r="E1404" s="711">
        <v>46178</v>
      </c>
      <c r="G1404" s="831"/>
      <c r="H1404" s="120" t="s">
        <v>14</v>
      </c>
      <c r="I1404" s="120" t="s">
        <v>22</v>
      </c>
      <c r="J1404" s="106">
        <v>185</v>
      </c>
      <c r="K1404" s="106">
        <v>103</v>
      </c>
      <c r="L1404" s="106">
        <v>13</v>
      </c>
      <c r="M1404" s="106">
        <v>56</v>
      </c>
      <c r="N1404" s="106">
        <v>11</v>
      </c>
      <c r="O1404" s="106">
        <v>9</v>
      </c>
      <c r="P1404" s="106">
        <v>0</v>
      </c>
      <c r="Q1404" s="108">
        <f t="shared" si="1519"/>
        <v>0.62702702702702706</v>
      </c>
      <c r="R1404" s="109">
        <f t="shared" si="1513"/>
        <v>5.9459459459459463E-2</v>
      </c>
      <c r="S1404" s="109">
        <f t="shared" si="1514"/>
        <v>0</v>
      </c>
      <c r="T1404" s="109">
        <f t="shared" si="1515"/>
        <v>4.8648648648648651E-2</v>
      </c>
      <c r="U1404" s="110">
        <f t="shared" si="1516"/>
        <v>0.73513513513513518</v>
      </c>
      <c r="V1404" s="136"/>
    </row>
    <row r="1405" spans="2:25" ht="15.75" hidden="1" x14ac:dyDescent="0.2">
      <c r="B1405" s="711">
        <v>46177</v>
      </c>
      <c r="C1405" s="105" t="s">
        <v>105</v>
      </c>
      <c r="D1405" s="105" t="s">
        <v>129</v>
      </c>
      <c r="E1405" s="711">
        <v>46178</v>
      </c>
      <c r="G1405" s="831"/>
      <c r="H1405" s="120" t="s">
        <v>84</v>
      </c>
      <c r="I1405" s="120" t="s">
        <v>22</v>
      </c>
      <c r="J1405" s="106">
        <v>31</v>
      </c>
      <c r="K1405" s="106">
        <v>0</v>
      </c>
      <c r="L1405" s="106">
        <v>31</v>
      </c>
      <c r="M1405" s="106">
        <v>0</v>
      </c>
      <c r="N1405" s="106">
        <v>0</v>
      </c>
      <c r="O1405" s="106">
        <v>0</v>
      </c>
      <c r="P1405" s="106">
        <v>0</v>
      </c>
      <c r="Q1405" s="108">
        <f t="shared" si="1519"/>
        <v>1</v>
      </c>
      <c r="R1405" s="109">
        <f t="shared" si="1513"/>
        <v>0</v>
      </c>
      <c r="S1405" s="109">
        <f t="shared" si="1514"/>
        <v>0</v>
      </c>
      <c r="T1405" s="109">
        <f t="shared" si="1515"/>
        <v>0</v>
      </c>
      <c r="U1405" s="110">
        <f t="shared" si="1516"/>
        <v>1</v>
      </c>
      <c r="V1405" s="296"/>
    </row>
    <row r="1406" spans="2:25" ht="15.75" hidden="1" x14ac:dyDescent="0.2">
      <c r="B1406" s="711">
        <v>46177</v>
      </c>
      <c r="C1406" s="105" t="s">
        <v>105</v>
      </c>
      <c r="D1406" s="105" t="s">
        <v>129</v>
      </c>
      <c r="E1406" s="711">
        <v>46178</v>
      </c>
      <c r="G1406" s="832"/>
      <c r="H1406" s="120" t="s">
        <v>17</v>
      </c>
      <c r="I1406" s="120" t="s">
        <v>18</v>
      </c>
      <c r="J1406" s="106">
        <v>194</v>
      </c>
      <c r="K1406" s="106">
        <v>0</v>
      </c>
      <c r="L1406" s="106">
        <f>194-8</f>
        <v>186</v>
      </c>
      <c r="M1406" s="106">
        <v>0</v>
      </c>
      <c r="N1406" s="106">
        <v>0</v>
      </c>
      <c r="O1406" s="106">
        <v>0</v>
      </c>
      <c r="P1406" s="106">
        <v>8</v>
      </c>
      <c r="Q1406" s="108">
        <f t="shared" si="1519"/>
        <v>0.95876288659793818</v>
      </c>
      <c r="R1406" s="109">
        <f t="shared" si="1513"/>
        <v>0</v>
      </c>
      <c r="S1406" s="109">
        <f t="shared" si="1514"/>
        <v>4.1237113402061855E-2</v>
      </c>
      <c r="T1406" s="109">
        <f t="shared" si="1515"/>
        <v>0</v>
      </c>
      <c r="U1406" s="110">
        <f t="shared" si="1516"/>
        <v>1</v>
      </c>
      <c r="V1406"/>
    </row>
    <row r="1407" spans="2:25" s="97" customFormat="1" ht="16.5" hidden="1" customHeight="1" x14ac:dyDescent="0.2">
      <c r="B1407" s="711">
        <v>46177</v>
      </c>
      <c r="C1407" s="105" t="s">
        <v>105</v>
      </c>
      <c r="D1407" s="105" t="s">
        <v>129</v>
      </c>
      <c r="E1407" s="711">
        <v>46178</v>
      </c>
      <c r="F1407" s="89"/>
      <c r="G1407" s="113"/>
      <c r="H1407" s="113" t="s">
        <v>19</v>
      </c>
      <c r="I1407" s="113"/>
      <c r="J1407" s="113">
        <f t="shared" ref="J1407:P1407" si="1525">SUM(J1399:J1406)</f>
        <v>827</v>
      </c>
      <c r="K1407" s="113">
        <f t="shared" si="1525"/>
        <v>338</v>
      </c>
      <c r="L1407" s="113">
        <f t="shared" si="1525"/>
        <v>353</v>
      </c>
      <c r="M1407" s="113">
        <f t="shared" si="1525"/>
        <v>82</v>
      </c>
      <c r="N1407" s="113">
        <f t="shared" si="1525"/>
        <v>17</v>
      </c>
      <c r="O1407" s="113">
        <f t="shared" si="1525"/>
        <v>29</v>
      </c>
      <c r="P1407" s="113">
        <f t="shared" si="1525"/>
        <v>16</v>
      </c>
      <c r="Q1407" s="115">
        <f>(K1407+L1407)/J1407</f>
        <v>0.83555018137847648</v>
      </c>
      <c r="R1407" s="116">
        <f t="shared" si="1513"/>
        <v>2.0556227327690448E-2</v>
      </c>
      <c r="S1407" s="116">
        <f t="shared" si="1514"/>
        <v>1.9347037484885126E-2</v>
      </c>
      <c r="T1407" s="116">
        <f t="shared" si="1515"/>
        <v>3.5066505441354291E-2</v>
      </c>
      <c r="U1407" s="117">
        <f t="shared" si="1516"/>
        <v>0.91051995163240629</v>
      </c>
      <c r="V1407" s="127"/>
      <c r="W1407" s="88"/>
      <c r="X1407" s="88"/>
      <c r="Y1407" s="118"/>
    </row>
    <row r="1408" spans="2:25" ht="15.75" hidden="1" x14ac:dyDescent="0.2">
      <c r="B1408" s="711">
        <v>46178</v>
      </c>
      <c r="C1408" s="105" t="s">
        <v>106</v>
      </c>
      <c r="D1408" s="105" t="s">
        <v>137</v>
      </c>
      <c r="E1408" s="711">
        <v>46178</v>
      </c>
      <c r="G1408" s="830">
        <v>46178</v>
      </c>
      <c r="H1408" s="120" t="s">
        <v>75</v>
      </c>
      <c r="I1408" s="120" t="s">
        <v>100</v>
      </c>
      <c r="J1408" s="106">
        <v>53</v>
      </c>
      <c r="K1408" s="106">
        <f>J1408-L1408-M1408-N1408-O1408-P1408</f>
        <v>18</v>
      </c>
      <c r="L1408" s="106">
        <v>18</v>
      </c>
      <c r="M1408" s="106">
        <v>0</v>
      </c>
      <c r="N1408" s="106">
        <v>0</v>
      </c>
      <c r="O1408" s="106">
        <v>15</v>
      </c>
      <c r="P1408" s="106">
        <v>2</v>
      </c>
      <c r="Q1408" s="108">
        <f t="shared" ref="Q1408:Q1413" si="1526">(K1408+L1408)/J1408</f>
        <v>0.67924528301886788</v>
      </c>
      <c r="R1408" s="109">
        <f t="shared" ref="R1408:R1414" si="1527">N1408/J1408</f>
        <v>0</v>
      </c>
      <c r="S1408" s="109">
        <f t="shared" ref="S1408:S1414" si="1528">P1408/J1408</f>
        <v>3.7735849056603772E-2</v>
      </c>
      <c r="T1408" s="109">
        <f t="shared" ref="T1408:T1414" si="1529">O1408/J1408</f>
        <v>0.28301886792452829</v>
      </c>
      <c r="U1408" s="110">
        <f t="shared" ref="U1408:U1414" si="1530">S1408+R1408+Q1408+T1408</f>
        <v>1</v>
      </c>
      <c r="V1408" s="136"/>
    </row>
    <row r="1409" spans="2:22" ht="15.75" hidden="1" x14ac:dyDescent="0.2">
      <c r="B1409" s="711">
        <v>46178</v>
      </c>
      <c r="C1409" s="105" t="s">
        <v>106</v>
      </c>
      <c r="D1409" s="105" t="s">
        <v>137</v>
      </c>
      <c r="E1409" s="711">
        <v>46178</v>
      </c>
      <c r="G1409" s="831"/>
      <c r="H1409" s="120" t="s">
        <v>14</v>
      </c>
      <c r="I1409" s="120" t="s">
        <v>22</v>
      </c>
      <c r="J1409" s="106">
        <v>78</v>
      </c>
      <c r="K1409" s="106">
        <f t="shared" ref="K1409:K1413" si="1531">J1409-L1409-M1409-N1409-O1409-P1409</f>
        <v>53</v>
      </c>
      <c r="L1409" s="106">
        <v>6</v>
      </c>
      <c r="M1409" s="106">
        <v>0</v>
      </c>
      <c r="N1409" s="106">
        <v>9</v>
      </c>
      <c r="O1409" s="106">
        <v>10</v>
      </c>
      <c r="P1409" s="106">
        <v>0</v>
      </c>
      <c r="Q1409" s="108">
        <f t="shared" si="1526"/>
        <v>0.75641025641025639</v>
      </c>
      <c r="R1409" s="109">
        <f t="shared" si="1527"/>
        <v>0.11538461538461539</v>
      </c>
      <c r="S1409" s="109">
        <f t="shared" si="1528"/>
        <v>0</v>
      </c>
      <c r="T1409" s="109">
        <f t="shared" si="1529"/>
        <v>0.12820512820512819</v>
      </c>
      <c r="U1409" s="110">
        <f t="shared" si="1530"/>
        <v>1</v>
      </c>
      <c r="V1409" s="136"/>
    </row>
    <row r="1410" spans="2:22" ht="15.75" hidden="1" x14ac:dyDescent="0.2">
      <c r="B1410" s="711">
        <v>46178</v>
      </c>
      <c r="C1410" s="105" t="s">
        <v>106</v>
      </c>
      <c r="D1410" s="105" t="s">
        <v>137</v>
      </c>
      <c r="E1410" s="711">
        <v>46178</v>
      </c>
      <c r="G1410" s="831"/>
      <c r="H1410" s="120" t="s">
        <v>130</v>
      </c>
      <c r="I1410" s="120" t="s">
        <v>22</v>
      </c>
      <c r="J1410" s="106">
        <v>56</v>
      </c>
      <c r="K1410" s="106">
        <f t="shared" si="1531"/>
        <v>55</v>
      </c>
      <c r="L1410" s="106">
        <v>1</v>
      </c>
      <c r="M1410" s="106">
        <v>0</v>
      </c>
      <c r="N1410" s="106">
        <v>0</v>
      </c>
      <c r="O1410" s="106">
        <v>0</v>
      </c>
      <c r="P1410" s="106">
        <v>0</v>
      </c>
      <c r="Q1410" s="108">
        <f t="shared" ref="Q1410" si="1532">(K1410+L1410)/J1410</f>
        <v>1</v>
      </c>
      <c r="R1410" s="109">
        <f t="shared" ref="R1410" si="1533">N1410/J1410</f>
        <v>0</v>
      </c>
      <c r="S1410" s="109">
        <f t="shared" ref="S1410" si="1534">P1410/J1410</f>
        <v>0</v>
      </c>
      <c r="T1410" s="109">
        <f t="shared" ref="T1410" si="1535">O1410/J1410</f>
        <v>0</v>
      </c>
      <c r="U1410" s="110">
        <f t="shared" ref="U1410" si="1536">S1410+R1410+Q1410+T1410</f>
        <v>1</v>
      </c>
      <c r="V1410" s="296"/>
    </row>
    <row r="1411" spans="2:22" ht="15.75" hidden="1" x14ac:dyDescent="0.2">
      <c r="B1411" s="711">
        <v>46178</v>
      </c>
      <c r="C1411" s="105" t="s">
        <v>106</v>
      </c>
      <c r="D1411" s="105" t="s">
        <v>137</v>
      </c>
      <c r="E1411" s="711">
        <v>46178</v>
      </c>
      <c r="G1411" s="831"/>
      <c r="H1411" s="120" t="s">
        <v>120</v>
      </c>
      <c r="I1411" s="120" t="s">
        <v>106</v>
      </c>
      <c r="J1411" s="106">
        <v>82</v>
      </c>
      <c r="K1411" s="106">
        <f t="shared" si="1531"/>
        <v>62</v>
      </c>
      <c r="L1411" s="106">
        <v>9</v>
      </c>
      <c r="M1411" s="106">
        <v>0</v>
      </c>
      <c r="N1411" s="106">
        <v>0</v>
      </c>
      <c r="O1411" s="106">
        <v>0</v>
      </c>
      <c r="P1411" s="106">
        <v>11</v>
      </c>
      <c r="Q1411" s="108">
        <f t="shared" ref="Q1411" si="1537">(K1411+L1411)/J1411</f>
        <v>0.86585365853658536</v>
      </c>
      <c r="R1411" s="109">
        <f t="shared" ref="R1411" si="1538">N1411/J1411</f>
        <v>0</v>
      </c>
      <c r="S1411" s="109">
        <f t="shared" ref="S1411" si="1539">P1411/J1411</f>
        <v>0.13414634146341464</v>
      </c>
      <c r="T1411" s="109">
        <f t="shared" ref="T1411" si="1540">O1411/J1411</f>
        <v>0</v>
      </c>
      <c r="U1411" s="110">
        <f t="shared" ref="U1411" si="1541">S1411+R1411+Q1411+T1411</f>
        <v>1</v>
      </c>
      <c r="V1411" s="296"/>
    </row>
    <row r="1412" spans="2:22" ht="15.75" hidden="1" x14ac:dyDescent="0.2">
      <c r="B1412" s="711">
        <v>46178</v>
      </c>
      <c r="C1412" s="105" t="s">
        <v>106</v>
      </c>
      <c r="D1412" s="105" t="s">
        <v>137</v>
      </c>
      <c r="E1412" s="711">
        <v>46178</v>
      </c>
      <c r="G1412" s="831"/>
      <c r="H1412" s="120" t="s">
        <v>84</v>
      </c>
      <c r="I1412" s="120" t="s">
        <v>22</v>
      </c>
      <c r="J1412" s="106">
        <v>19</v>
      </c>
      <c r="K1412" s="106">
        <f t="shared" si="1531"/>
        <v>7</v>
      </c>
      <c r="L1412" s="106">
        <v>6</v>
      </c>
      <c r="M1412" s="106">
        <v>6</v>
      </c>
      <c r="N1412" s="106">
        <v>0</v>
      </c>
      <c r="O1412" s="106">
        <v>0</v>
      </c>
      <c r="P1412" s="106">
        <v>0</v>
      </c>
      <c r="Q1412" s="108">
        <f t="shared" si="1526"/>
        <v>0.68421052631578949</v>
      </c>
      <c r="R1412" s="109">
        <f t="shared" si="1527"/>
        <v>0</v>
      </c>
      <c r="S1412" s="109">
        <f t="shared" si="1528"/>
        <v>0</v>
      </c>
      <c r="T1412" s="109">
        <f t="shared" si="1529"/>
        <v>0</v>
      </c>
      <c r="U1412" s="110">
        <f t="shared" si="1530"/>
        <v>0.68421052631578949</v>
      </c>
      <c r="V1412" s="296"/>
    </row>
    <row r="1413" spans="2:22" ht="15.75" hidden="1" x14ac:dyDescent="0.2">
      <c r="B1413" s="711">
        <v>46178</v>
      </c>
      <c r="C1413" s="105" t="s">
        <v>106</v>
      </c>
      <c r="D1413" s="105" t="s">
        <v>137</v>
      </c>
      <c r="E1413" s="711">
        <v>46178</v>
      </c>
      <c r="G1413" s="832"/>
      <c r="H1413" s="120" t="s">
        <v>17</v>
      </c>
      <c r="I1413" s="120" t="s">
        <v>18</v>
      </c>
      <c r="J1413" s="106">
        <v>194</v>
      </c>
      <c r="K1413" s="106">
        <f t="shared" si="1531"/>
        <v>49</v>
      </c>
      <c r="L1413" s="106">
        <v>37</v>
      </c>
      <c r="M1413" s="106">
        <v>40</v>
      </c>
      <c r="N1413" s="106">
        <v>60</v>
      </c>
      <c r="O1413" s="106">
        <v>0</v>
      </c>
      <c r="P1413" s="106">
        <v>8</v>
      </c>
      <c r="Q1413" s="108">
        <f t="shared" si="1526"/>
        <v>0.44329896907216493</v>
      </c>
      <c r="R1413" s="109">
        <f t="shared" si="1527"/>
        <v>0.30927835051546393</v>
      </c>
      <c r="S1413" s="109">
        <f t="shared" si="1528"/>
        <v>4.1237113402061855E-2</v>
      </c>
      <c r="T1413" s="109">
        <f t="shared" si="1529"/>
        <v>0</v>
      </c>
      <c r="U1413" s="110">
        <f t="shared" si="1530"/>
        <v>0.79381443298969079</v>
      </c>
      <c r="V1413"/>
    </row>
    <row r="1414" spans="2:22" ht="15.75" hidden="1" x14ac:dyDescent="0.2">
      <c r="B1414" s="711">
        <v>46178</v>
      </c>
      <c r="C1414" s="105" t="s">
        <v>106</v>
      </c>
      <c r="D1414" s="105" t="s">
        <v>137</v>
      </c>
      <c r="E1414" s="711">
        <v>46178</v>
      </c>
      <c r="G1414" s="113"/>
      <c r="H1414" s="113" t="s">
        <v>19</v>
      </c>
      <c r="I1414" s="113"/>
      <c r="J1414" s="113">
        <f>SUM(J1408:J1413)</f>
        <v>482</v>
      </c>
      <c r="K1414" s="113">
        <f t="shared" ref="K1414:P1414" si="1542">SUM(K1408:K1413)</f>
        <v>244</v>
      </c>
      <c r="L1414" s="113">
        <f t="shared" si="1542"/>
        <v>77</v>
      </c>
      <c r="M1414" s="113">
        <f t="shared" si="1542"/>
        <v>46</v>
      </c>
      <c r="N1414" s="113">
        <f t="shared" si="1542"/>
        <v>69</v>
      </c>
      <c r="O1414" s="113">
        <f t="shared" si="1542"/>
        <v>25</v>
      </c>
      <c r="P1414" s="113">
        <f t="shared" si="1542"/>
        <v>21</v>
      </c>
      <c r="Q1414" s="115">
        <f>(K1414+L1414)/J1414</f>
        <v>0.6659751037344398</v>
      </c>
      <c r="R1414" s="116">
        <f t="shared" si="1527"/>
        <v>0.14315352697095435</v>
      </c>
      <c r="S1414" s="116">
        <f t="shared" si="1528"/>
        <v>4.3568464730290454E-2</v>
      </c>
      <c r="T1414" s="116">
        <f t="shared" si="1529"/>
        <v>5.1867219917012451E-2</v>
      </c>
      <c r="U1414" s="117">
        <f t="shared" si="1530"/>
        <v>0.9045643153526971</v>
      </c>
      <c r="V1414" s="127"/>
    </row>
    <row r="1415" spans="2:22" ht="15.75" hidden="1" x14ac:dyDescent="0.2">
      <c r="B1415" s="711">
        <v>46178</v>
      </c>
      <c r="C1415" s="105" t="s">
        <v>106</v>
      </c>
      <c r="D1415" s="105" t="s">
        <v>137</v>
      </c>
      <c r="E1415" s="711">
        <v>46179</v>
      </c>
      <c r="G1415" s="830">
        <v>46178</v>
      </c>
      <c r="H1415" s="120" t="s">
        <v>75</v>
      </c>
      <c r="I1415" s="120" t="s">
        <v>100</v>
      </c>
      <c r="J1415" s="106">
        <v>214</v>
      </c>
      <c r="K1415" s="106">
        <f>J1415-L1415-M1415-N1415-O1415-P1415</f>
        <v>0</v>
      </c>
      <c r="L1415" s="106">
        <v>0</v>
      </c>
      <c r="M1415" s="106">
        <v>172</v>
      </c>
      <c r="N1415" s="106">
        <v>41</v>
      </c>
      <c r="O1415" s="106">
        <v>0</v>
      </c>
      <c r="P1415" s="106">
        <v>1</v>
      </c>
      <c r="Q1415" s="108">
        <f t="shared" ref="Q1415:Q1417" si="1543">(K1415+L1415)/J1415</f>
        <v>0</v>
      </c>
      <c r="R1415" s="109">
        <f t="shared" ref="R1415:R1424" si="1544">N1415/J1415</f>
        <v>0.19158878504672897</v>
      </c>
      <c r="S1415" s="109">
        <f t="shared" ref="S1415:S1424" si="1545">P1415/J1415</f>
        <v>4.6728971962616819E-3</v>
      </c>
      <c r="T1415" s="109">
        <f t="shared" ref="T1415:T1424" si="1546">O1415/J1415</f>
        <v>0</v>
      </c>
      <c r="U1415" s="110">
        <f t="shared" ref="U1415:U1424" si="1547">S1415+R1415+Q1415+T1415</f>
        <v>0.19626168224299065</v>
      </c>
      <c r="V1415" s="136"/>
    </row>
    <row r="1416" spans="2:22" ht="15.75" hidden="1" x14ac:dyDescent="0.2">
      <c r="B1416" s="711">
        <v>46178</v>
      </c>
      <c r="C1416" s="105" t="s">
        <v>106</v>
      </c>
      <c r="D1416" s="105" t="s">
        <v>137</v>
      </c>
      <c r="E1416" s="711">
        <v>46179</v>
      </c>
      <c r="G1416" s="831"/>
      <c r="H1416" s="120" t="s">
        <v>14</v>
      </c>
      <c r="I1416" s="120" t="s">
        <v>22</v>
      </c>
      <c r="J1416" s="106">
        <v>190</v>
      </c>
      <c r="K1416" s="106">
        <f t="shared" ref="K1416:K1417" si="1548">J1416-L1416-M1416-N1416-O1416-P1416</f>
        <v>0</v>
      </c>
      <c r="L1416" s="106">
        <v>0</v>
      </c>
      <c r="M1416" s="106">
        <v>190</v>
      </c>
      <c r="N1416" s="106">
        <v>0</v>
      </c>
      <c r="O1416" s="106">
        <v>0</v>
      </c>
      <c r="P1416" s="106">
        <v>0</v>
      </c>
      <c r="Q1416" s="108">
        <f t="shared" si="1543"/>
        <v>0</v>
      </c>
      <c r="R1416" s="109">
        <f t="shared" si="1544"/>
        <v>0</v>
      </c>
      <c r="S1416" s="109">
        <f t="shared" si="1545"/>
        <v>0</v>
      </c>
      <c r="T1416" s="109">
        <f t="shared" si="1546"/>
        <v>0</v>
      </c>
      <c r="U1416" s="110">
        <f t="shared" si="1547"/>
        <v>0</v>
      </c>
      <c r="V1416" s="136"/>
    </row>
    <row r="1417" spans="2:22" ht="15.75" hidden="1" x14ac:dyDescent="0.2">
      <c r="B1417" s="711">
        <v>46178</v>
      </c>
      <c r="C1417" s="105" t="s">
        <v>106</v>
      </c>
      <c r="D1417" s="105" t="s">
        <v>137</v>
      </c>
      <c r="E1417" s="711">
        <v>46179</v>
      </c>
      <c r="G1417" s="832"/>
      <c r="H1417" s="120" t="s">
        <v>17</v>
      </c>
      <c r="I1417" s="120" t="s">
        <v>18</v>
      </c>
      <c r="J1417" s="106">
        <v>156</v>
      </c>
      <c r="K1417" s="106">
        <f t="shared" si="1548"/>
        <v>0</v>
      </c>
      <c r="L1417" s="106">
        <v>0</v>
      </c>
      <c r="M1417" s="106">
        <v>156</v>
      </c>
      <c r="N1417" s="106">
        <v>0</v>
      </c>
      <c r="O1417" s="106">
        <v>0</v>
      </c>
      <c r="P1417" s="106">
        <v>0</v>
      </c>
      <c r="Q1417" s="108">
        <f t="shared" si="1543"/>
        <v>0</v>
      </c>
      <c r="R1417" s="109">
        <f t="shared" si="1544"/>
        <v>0</v>
      </c>
      <c r="S1417" s="109">
        <f t="shared" si="1545"/>
        <v>0</v>
      </c>
      <c r="T1417" s="109">
        <f t="shared" si="1546"/>
        <v>0</v>
      </c>
      <c r="U1417" s="110">
        <f t="shared" si="1547"/>
        <v>0</v>
      </c>
      <c r="V1417"/>
    </row>
    <row r="1418" spans="2:22" ht="15.75" hidden="1" x14ac:dyDescent="0.2">
      <c r="B1418" s="711">
        <v>46178</v>
      </c>
      <c r="C1418" s="105" t="s">
        <v>106</v>
      </c>
      <c r="D1418" s="105" t="s">
        <v>137</v>
      </c>
      <c r="E1418" s="711">
        <v>46179</v>
      </c>
      <c r="G1418" s="113"/>
      <c r="H1418" s="113" t="s">
        <v>19</v>
      </c>
      <c r="I1418" s="113"/>
      <c r="J1418" s="113">
        <f t="shared" ref="J1418:P1418" si="1549">SUM(J1415:J1417)</f>
        <v>560</v>
      </c>
      <c r="K1418" s="113">
        <f t="shared" si="1549"/>
        <v>0</v>
      </c>
      <c r="L1418" s="113">
        <f t="shared" si="1549"/>
        <v>0</v>
      </c>
      <c r="M1418" s="113">
        <f t="shared" si="1549"/>
        <v>518</v>
      </c>
      <c r="N1418" s="113">
        <f t="shared" si="1549"/>
        <v>41</v>
      </c>
      <c r="O1418" s="113">
        <f t="shared" si="1549"/>
        <v>0</v>
      </c>
      <c r="P1418" s="113">
        <f t="shared" si="1549"/>
        <v>1</v>
      </c>
      <c r="Q1418" s="115">
        <f>(K1418+L1418)/J1418</f>
        <v>0</v>
      </c>
      <c r="R1418" s="116">
        <f t="shared" si="1544"/>
        <v>7.3214285714285718E-2</v>
      </c>
      <c r="S1418" s="116">
        <f t="shared" si="1545"/>
        <v>1.7857142857142857E-3</v>
      </c>
      <c r="T1418" s="116">
        <f t="shared" si="1546"/>
        <v>0</v>
      </c>
      <c r="U1418" s="117">
        <f t="shared" si="1547"/>
        <v>7.4999999999999997E-2</v>
      </c>
      <c r="V1418" s="127"/>
    </row>
    <row r="1419" spans="2:22" ht="15.75" hidden="1" x14ac:dyDescent="0.2">
      <c r="B1419" s="711">
        <v>46178</v>
      </c>
      <c r="C1419" s="105" t="s">
        <v>105</v>
      </c>
      <c r="D1419" s="105" t="s">
        <v>129</v>
      </c>
      <c r="E1419" s="711">
        <v>46178</v>
      </c>
      <c r="G1419" s="833">
        <v>46178</v>
      </c>
      <c r="H1419" s="120" t="s">
        <v>75</v>
      </c>
      <c r="I1419" s="120" t="s">
        <v>100</v>
      </c>
      <c r="J1419" s="106">
        <f>SUM(K1419:P1419)</f>
        <v>24</v>
      </c>
      <c r="K1419" s="106">
        <f>114-109</f>
        <v>5</v>
      </c>
      <c r="L1419" s="106">
        <f>56-39</f>
        <v>17</v>
      </c>
      <c r="M1419" s="106">
        <v>0</v>
      </c>
      <c r="N1419" s="106">
        <v>0</v>
      </c>
      <c r="O1419" s="106">
        <v>0</v>
      </c>
      <c r="P1419" s="106">
        <v>2</v>
      </c>
      <c r="Q1419" s="108">
        <f t="shared" ref="Q1419:Q1424" si="1550">(K1419+L1419)/J1419</f>
        <v>0.91666666666666663</v>
      </c>
      <c r="R1419" s="109">
        <f t="shared" si="1544"/>
        <v>0</v>
      </c>
      <c r="S1419" s="109">
        <f t="shared" si="1545"/>
        <v>8.3333333333333329E-2</v>
      </c>
      <c r="T1419" s="109">
        <f t="shared" si="1546"/>
        <v>0</v>
      </c>
      <c r="U1419" s="110">
        <f t="shared" si="1547"/>
        <v>1</v>
      </c>
      <c r="V1419" s="136"/>
    </row>
    <row r="1420" spans="2:22" ht="15.75" hidden="1" x14ac:dyDescent="0.2">
      <c r="B1420" s="711">
        <v>46178</v>
      </c>
      <c r="C1420" s="105" t="s">
        <v>105</v>
      </c>
      <c r="D1420" s="105" t="s">
        <v>129</v>
      </c>
      <c r="E1420" s="711">
        <v>46178</v>
      </c>
      <c r="G1420" s="834"/>
      <c r="H1420" s="120" t="s">
        <v>17</v>
      </c>
      <c r="I1420" s="120" t="s">
        <v>18</v>
      </c>
      <c r="J1420" s="106">
        <f>SUM(K1420:P1420)</f>
        <v>107</v>
      </c>
      <c r="K1420" s="106">
        <v>63</v>
      </c>
      <c r="L1420" s="106">
        <v>36</v>
      </c>
      <c r="M1420" s="106">
        <v>0</v>
      </c>
      <c r="N1420" s="106">
        <v>0</v>
      </c>
      <c r="O1420" s="106">
        <v>0</v>
      </c>
      <c r="P1420" s="106">
        <v>8</v>
      </c>
      <c r="Q1420" s="108">
        <f t="shared" si="1550"/>
        <v>0.92523364485981308</v>
      </c>
      <c r="R1420" s="109">
        <f t="shared" si="1544"/>
        <v>0</v>
      </c>
      <c r="S1420" s="109">
        <f t="shared" si="1545"/>
        <v>7.476635514018691E-2</v>
      </c>
      <c r="T1420" s="109">
        <f t="shared" si="1546"/>
        <v>0</v>
      </c>
      <c r="U1420" s="110">
        <f t="shared" si="1547"/>
        <v>1</v>
      </c>
      <c r="V1420" s="136"/>
    </row>
    <row r="1421" spans="2:22" ht="15.75" hidden="1" x14ac:dyDescent="0.2">
      <c r="B1421" s="711">
        <v>46178</v>
      </c>
      <c r="C1421" s="105" t="s">
        <v>105</v>
      </c>
      <c r="D1421" s="105" t="s">
        <v>129</v>
      </c>
      <c r="E1421" s="711">
        <v>46178</v>
      </c>
      <c r="G1421" s="835"/>
      <c r="H1421" s="120" t="s">
        <v>120</v>
      </c>
      <c r="I1421" s="120" t="s">
        <v>18</v>
      </c>
      <c r="J1421" s="106">
        <f>SUM(K1421:P1421)</f>
        <v>1</v>
      </c>
      <c r="K1421" s="106">
        <v>1</v>
      </c>
      <c r="L1421" s="106">
        <v>0</v>
      </c>
      <c r="M1421" s="106">
        <v>0</v>
      </c>
      <c r="N1421" s="106">
        <v>0</v>
      </c>
      <c r="O1421" s="106">
        <v>0</v>
      </c>
      <c r="P1421" s="106">
        <v>0</v>
      </c>
      <c r="Q1421" s="108">
        <f t="shared" si="1550"/>
        <v>1</v>
      </c>
      <c r="R1421" s="109">
        <f t="shared" si="1544"/>
        <v>0</v>
      </c>
      <c r="S1421" s="109">
        <f t="shared" si="1545"/>
        <v>0</v>
      </c>
      <c r="T1421" s="109">
        <f t="shared" si="1546"/>
        <v>0</v>
      </c>
      <c r="U1421" s="110">
        <f t="shared" si="1547"/>
        <v>1</v>
      </c>
      <c r="V1421" s="136"/>
    </row>
    <row r="1422" spans="2:22" ht="12.75" hidden="1" customHeight="1" x14ac:dyDescent="0.2">
      <c r="B1422" s="711">
        <v>46178</v>
      </c>
      <c r="C1422" s="105" t="s">
        <v>105</v>
      </c>
      <c r="D1422" s="105" t="s">
        <v>129</v>
      </c>
      <c r="E1422" s="711">
        <v>46179</v>
      </c>
      <c r="G1422" s="830">
        <v>46179</v>
      </c>
      <c r="H1422" s="120" t="s">
        <v>75</v>
      </c>
      <c r="I1422" s="120" t="s">
        <v>100</v>
      </c>
      <c r="J1422" s="106">
        <v>214</v>
      </c>
      <c r="K1422" s="106">
        <v>109</v>
      </c>
      <c r="L1422" s="106">
        <v>39</v>
      </c>
      <c r="M1422" s="106">
        <v>30</v>
      </c>
      <c r="N1422" s="106">
        <v>27</v>
      </c>
      <c r="O1422" s="106">
        <v>20</v>
      </c>
      <c r="P1422" s="106">
        <v>1</v>
      </c>
      <c r="Q1422" s="108">
        <f t="shared" si="1550"/>
        <v>0.69158878504672894</v>
      </c>
      <c r="R1422" s="109">
        <f t="shared" si="1544"/>
        <v>0.12616822429906541</v>
      </c>
      <c r="S1422" s="109">
        <f t="shared" si="1545"/>
        <v>4.6728971962616819E-3</v>
      </c>
      <c r="T1422" s="109">
        <f t="shared" si="1546"/>
        <v>9.3457943925233641E-2</v>
      </c>
      <c r="U1422" s="110">
        <f t="shared" si="1547"/>
        <v>0.91588785046728971</v>
      </c>
      <c r="V1422" s="136"/>
    </row>
    <row r="1423" spans="2:22" ht="15.75" hidden="1" x14ac:dyDescent="0.2">
      <c r="B1423" s="711">
        <v>46178</v>
      </c>
      <c r="C1423" s="105" t="s">
        <v>105</v>
      </c>
      <c r="D1423" s="105" t="s">
        <v>129</v>
      </c>
      <c r="E1423" s="711">
        <v>46179</v>
      </c>
      <c r="G1423" s="831"/>
      <c r="H1423" s="120" t="s">
        <v>14</v>
      </c>
      <c r="I1423" s="120" t="s">
        <v>22</v>
      </c>
      <c r="J1423" s="106">
        <v>190</v>
      </c>
      <c r="K1423" s="106">
        <v>99</v>
      </c>
      <c r="L1423" s="106">
        <v>15</v>
      </c>
      <c r="M1423" s="106">
        <v>36</v>
      </c>
      <c r="N1423" s="106">
        <v>32</v>
      </c>
      <c r="O1423" s="106">
        <v>12</v>
      </c>
      <c r="P1423" s="106">
        <v>3</v>
      </c>
      <c r="Q1423" s="108">
        <f t="shared" si="1550"/>
        <v>0.6</v>
      </c>
      <c r="R1423" s="109">
        <f t="shared" si="1544"/>
        <v>0.16842105263157894</v>
      </c>
      <c r="S1423" s="109">
        <f t="shared" si="1545"/>
        <v>1.5789473684210527E-2</v>
      </c>
      <c r="T1423" s="109">
        <f t="shared" si="1546"/>
        <v>6.3157894736842107E-2</v>
      </c>
      <c r="U1423" s="110">
        <f t="shared" si="1547"/>
        <v>0.84736842105263155</v>
      </c>
      <c r="V1423" s="136"/>
    </row>
    <row r="1424" spans="2:22" ht="15.75" hidden="1" x14ac:dyDescent="0.2">
      <c r="B1424" s="711">
        <v>46178</v>
      </c>
      <c r="C1424" s="105" t="s">
        <v>105</v>
      </c>
      <c r="D1424" s="105" t="s">
        <v>129</v>
      </c>
      <c r="E1424" s="711">
        <v>46179</v>
      </c>
      <c r="G1424" s="832"/>
      <c r="H1424" s="120" t="s">
        <v>17</v>
      </c>
      <c r="I1424" s="120" t="s">
        <v>18</v>
      </c>
      <c r="J1424" s="106">
        <v>156</v>
      </c>
      <c r="K1424" s="106">
        <v>0</v>
      </c>
      <c r="L1424" s="106">
        <v>0</v>
      </c>
      <c r="M1424" s="106">
        <v>146</v>
      </c>
      <c r="N1424" s="106">
        <v>10</v>
      </c>
      <c r="O1424" s="106">
        <v>0</v>
      </c>
      <c r="P1424" s="106">
        <v>8</v>
      </c>
      <c r="Q1424" s="108">
        <f t="shared" si="1550"/>
        <v>0</v>
      </c>
      <c r="R1424" s="109">
        <f t="shared" si="1544"/>
        <v>6.4102564102564097E-2</v>
      </c>
      <c r="S1424" s="109">
        <f t="shared" si="1545"/>
        <v>5.128205128205128E-2</v>
      </c>
      <c r="T1424" s="109">
        <f t="shared" si="1546"/>
        <v>0</v>
      </c>
      <c r="U1424" s="110">
        <f t="shared" si="1547"/>
        <v>0.11538461538461538</v>
      </c>
      <c r="V1424"/>
    </row>
    <row r="1425" spans="2:25" s="97" customFormat="1" ht="16.5" hidden="1" customHeight="1" x14ac:dyDescent="0.2">
      <c r="B1425" s="711">
        <v>46178</v>
      </c>
      <c r="C1425" s="105" t="s">
        <v>105</v>
      </c>
      <c r="D1425" s="105" t="s">
        <v>129</v>
      </c>
      <c r="E1425" s="711">
        <v>46178</v>
      </c>
      <c r="F1425" s="89"/>
      <c r="G1425" s="113"/>
      <c r="H1425" s="840" t="s">
        <v>19</v>
      </c>
      <c r="I1425" s="841"/>
      <c r="J1425" s="113">
        <f t="shared" ref="J1425:P1425" si="1551">SUM(J1419:J1424)</f>
        <v>692</v>
      </c>
      <c r="K1425" s="113">
        <f t="shared" si="1551"/>
        <v>277</v>
      </c>
      <c r="L1425" s="113">
        <f t="shared" si="1551"/>
        <v>107</v>
      </c>
      <c r="M1425" s="113">
        <f t="shared" si="1551"/>
        <v>212</v>
      </c>
      <c r="N1425" s="113">
        <f t="shared" si="1551"/>
        <v>69</v>
      </c>
      <c r="O1425" s="113">
        <f t="shared" si="1551"/>
        <v>32</v>
      </c>
      <c r="P1425" s="113">
        <f t="shared" si="1551"/>
        <v>22</v>
      </c>
      <c r="Q1425" s="115">
        <f>(K1425+L1425)/J1425</f>
        <v>0.55491329479768781</v>
      </c>
      <c r="R1425" s="115">
        <f t="shared" ref="R1425:U1425" si="1552">(L1425+M1425)/K1425</f>
        <v>1.151624548736462</v>
      </c>
      <c r="S1425" s="115">
        <f t="shared" si="1552"/>
        <v>2.6261682242990654</v>
      </c>
      <c r="T1425" s="115">
        <f t="shared" si="1552"/>
        <v>0.47641509433962265</v>
      </c>
      <c r="U1425" s="115">
        <f t="shared" si="1552"/>
        <v>0.78260869565217395</v>
      </c>
      <c r="V1425" s="127"/>
      <c r="W1425" s="88"/>
      <c r="X1425" s="88"/>
      <c r="Y1425" s="118"/>
    </row>
    <row r="1426" spans="2:25" ht="15.75" hidden="1" x14ac:dyDescent="0.2">
      <c r="B1426" s="711">
        <v>46179</v>
      </c>
      <c r="C1426" s="105" t="s">
        <v>106</v>
      </c>
      <c r="D1426" s="105" t="s">
        <v>134</v>
      </c>
      <c r="E1426" s="711">
        <v>46179</v>
      </c>
      <c r="G1426" s="830">
        <v>46179</v>
      </c>
      <c r="H1426" s="120" t="s">
        <v>75</v>
      </c>
      <c r="I1426" s="120" t="s">
        <v>100</v>
      </c>
      <c r="J1426" s="106">
        <v>214</v>
      </c>
      <c r="K1426" s="106">
        <f>+J1426-L1426-M1426-N1426</f>
        <v>171</v>
      </c>
      <c r="L1426" s="106">
        <v>19</v>
      </c>
      <c r="M1426" s="106">
        <v>23</v>
      </c>
      <c r="N1426" s="106">
        <v>1</v>
      </c>
      <c r="O1426" s="106">
        <v>20</v>
      </c>
      <c r="P1426" s="106">
        <v>1</v>
      </c>
      <c r="Q1426" s="108">
        <f t="shared" ref="Q1426:Q1433" si="1553">(K1426+L1426)/J1426</f>
        <v>0.88785046728971961</v>
      </c>
      <c r="R1426" s="109">
        <f t="shared" ref="R1426:R1433" si="1554">N1426/J1426</f>
        <v>4.6728971962616819E-3</v>
      </c>
      <c r="S1426" s="109">
        <f t="shared" ref="S1426:S1433" si="1555">P1426/J1426</f>
        <v>4.6728971962616819E-3</v>
      </c>
      <c r="T1426" s="109">
        <f t="shared" ref="T1426:T1433" si="1556">O1426/J1426</f>
        <v>9.3457943925233641E-2</v>
      </c>
      <c r="U1426" s="110">
        <f t="shared" ref="U1426:U1433" si="1557">S1426+R1426+Q1426+T1426</f>
        <v>0.99065420560747663</v>
      </c>
    </row>
    <row r="1427" spans="2:25" ht="15.75" hidden="1" x14ac:dyDescent="0.2">
      <c r="B1427" s="711">
        <v>46179</v>
      </c>
      <c r="C1427" s="105" t="s">
        <v>106</v>
      </c>
      <c r="D1427" s="105" t="s">
        <v>134</v>
      </c>
      <c r="E1427" s="711">
        <v>46179</v>
      </c>
      <c r="G1427" s="831"/>
      <c r="H1427" s="120" t="s">
        <v>14</v>
      </c>
      <c r="I1427" s="120" t="s">
        <v>22</v>
      </c>
      <c r="J1427" s="106">
        <v>190</v>
      </c>
      <c r="K1427" s="106">
        <f>+J1427-L1427-O1427-P1427</f>
        <v>168</v>
      </c>
      <c r="L1427" s="106">
        <v>4</v>
      </c>
      <c r="M1427" s="106">
        <v>0</v>
      </c>
      <c r="N1427" s="106">
        <v>0</v>
      </c>
      <c r="O1427" s="106">
        <v>15</v>
      </c>
      <c r="P1427" s="106">
        <v>3</v>
      </c>
      <c r="Q1427" s="108">
        <f t="shared" si="1553"/>
        <v>0.90526315789473688</v>
      </c>
      <c r="R1427" s="109">
        <f t="shared" si="1554"/>
        <v>0</v>
      </c>
      <c r="S1427" s="109">
        <f t="shared" si="1555"/>
        <v>1.5789473684210527E-2</v>
      </c>
      <c r="T1427" s="109">
        <f t="shared" si="1556"/>
        <v>7.8947368421052627E-2</v>
      </c>
      <c r="U1427" s="110">
        <f t="shared" si="1557"/>
        <v>1</v>
      </c>
    </row>
    <row r="1428" spans="2:25" ht="15.75" hidden="1" x14ac:dyDescent="0.2">
      <c r="B1428" s="711">
        <v>46179</v>
      </c>
      <c r="C1428" s="105" t="s">
        <v>106</v>
      </c>
      <c r="D1428" s="105" t="s">
        <v>134</v>
      </c>
      <c r="E1428" s="711">
        <v>46179</v>
      </c>
      <c r="G1428" s="831"/>
      <c r="H1428" s="120" t="s">
        <v>139</v>
      </c>
      <c r="I1428" s="120" t="s">
        <v>22</v>
      </c>
      <c r="J1428" s="106">
        <f>7+12+2</f>
        <v>21</v>
      </c>
      <c r="K1428" s="106">
        <v>12</v>
      </c>
      <c r="L1428" s="106">
        <v>2</v>
      </c>
      <c r="M1428" s="106">
        <v>0</v>
      </c>
      <c r="N1428" s="106">
        <v>0</v>
      </c>
      <c r="O1428" s="106">
        <v>0</v>
      </c>
      <c r="P1428" s="106">
        <v>0</v>
      </c>
      <c r="Q1428" s="108">
        <f t="shared" si="1553"/>
        <v>0.66666666666666663</v>
      </c>
      <c r="R1428" s="109">
        <f t="shared" si="1554"/>
        <v>0</v>
      </c>
      <c r="S1428" s="109">
        <f t="shared" si="1555"/>
        <v>0</v>
      </c>
      <c r="T1428" s="109">
        <f t="shared" si="1556"/>
        <v>0</v>
      </c>
      <c r="U1428" s="110">
        <f t="shared" si="1557"/>
        <v>0.66666666666666663</v>
      </c>
    </row>
    <row r="1429" spans="2:25" ht="15.75" hidden="1" x14ac:dyDescent="0.2">
      <c r="B1429" s="711">
        <v>46179</v>
      </c>
      <c r="C1429" s="105" t="s">
        <v>106</v>
      </c>
      <c r="D1429" s="105" t="s">
        <v>134</v>
      </c>
      <c r="E1429" s="711">
        <v>46179</v>
      </c>
      <c r="G1429" s="831"/>
      <c r="H1429" s="120" t="s">
        <v>84</v>
      </c>
      <c r="I1429" s="120" t="s">
        <v>22</v>
      </c>
      <c r="J1429" s="106">
        <v>4</v>
      </c>
      <c r="K1429" s="106">
        <v>3</v>
      </c>
      <c r="L1429" s="106">
        <v>1</v>
      </c>
      <c r="M1429" s="106">
        <v>0</v>
      </c>
      <c r="N1429" s="106">
        <v>0</v>
      </c>
      <c r="O1429" s="106">
        <v>0</v>
      </c>
      <c r="P1429" s="106">
        <v>0</v>
      </c>
      <c r="Q1429" s="108">
        <f t="shared" ref="Q1429" si="1558">(K1429+L1429)/J1429</f>
        <v>1</v>
      </c>
      <c r="R1429" s="109">
        <f t="shared" ref="R1429" si="1559">N1429/J1429</f>
        <v>0</v>
      </c>
      <c r="S1429" s="109">
        <f t="shared" ref="S1429" si="1560">P1429/J1429</f>
        <v>0</v>
      </c>
      <c r="T1429" s="109">
        <f>O1429/J1429</f>
        <v>0</v>
      </c>
      <c r="U1429" s="110">
        <f t="shared" ref="U1429" si="1561">S1429+R1429+Q1429+T1429</f>
        <v>1</v>
      </c>
    </row>
    <row r="1430" spans="2:25" ht="15.75" hidden="1" x14ac:dyDescent="0.2">
      <c r="B1430" s="711">
        <v>46179</v>
      </c>
      <c r="C1430" s="105" t="s">
        <v>106</v>
      </c>
      <c r="D1430" s="105" t="s">
        <v>134</v>
      </c>
      <c r="E1430" s="711">
        <v>46179</v>
      </c>
      <c r="G1430" s="832"/>
      <c r="H1430" s="120" t="s">
        <v>17</v>
      </c>
      <c r="I1430" s="120" t="s">
        <v>18</v>
      </c>
      <c r="J1430" s="106">
        <v>156</v>
      </c>
      <c r="K1430" s="106">
        <f>+J1430-SUM(L1430:P1430)</f>
        <v>97</v>
      </c>
      <c r="L1430" s="106">
        <v>18</v>
      </c>
      <c r="M1430" s="106">
        <v>4</v>
      </c>
      <c r="N1430" s="106">
        <v>0</v>
      </c>
      <c r="O1430" s="106">
        <v>29</v>
      </c>
      <c r="P1430" s="106">
        <v>8</v>
      </c>
      <c r="Q1430" s="108">
        <f t="shared" si="1553"/>
        <v>0.73717948717948723</v>
      </c>
      <c r="R1430" s="109">
        <f t="shared" si="1554"/>
        <v>0</v>
      </c>
      <c r="S1430" s="109">
        <f t="shared" si="1555"/>
        <v>5.128205128205128E-2</v>
      </c>
      <c r="T1430" s="109">
        <f t="shared" si="1556"/>
        <v>0.1858974358974359</v>
      </c>
      <c r="U1430" s="110">
        <f t="shared" si="1557"/>
        <v>0.97435897435897445</v>
      </c>
    </row>
    <row r="1431" spans="2:25" ht="15.75" hidden="1" x14ac:dyDescent="0.2">
      <c r="B1431" s="711">
        <v>46179</v>
      </c>
      <c r="C1431" s="105" t="s">
        <v>106</v>
      </c>
      <c r="D1431" s="105" t="s">
        <v>134</v>
      </c>
      <c r="E1431" s="711">
        <v>46181</v>
      </c>
      <c r="G1431" s="830">
        <v>46181</v>
      </c>
      <c r="H1431" s="120" t="s">
        <v>75</v>
      </c>
      <c r="I1431" s="120" t="s">
        <v>106</v>
      </c>
      <c r="J1431" s="106">
        <v>214</v>
      </c>
      <c r="K1431" s="106">
        <v>33</v>
      </c>
      <c r="L1431" s="106">
        <v>16</v>
      </c>
      <c r="M1431" s="106">
        <v>0</v>
      </c>
      <c r="N1431" s="106">
        <v>101</v>
      </c>
      <c r="O1431" s="106">
        <v>0</v>
      </c>
      <c r="P1431" s="106">
        <v>0</v>
      </c>
      <c r="Q1431" s="108">
        <f t="shared" si="1553"/>
        <v>0.22897196261682243</v>
      </c>
      <c r="R1431" s="109">
        <f t="shared" si="1554"/>
        <v>0.4719626168224299</v>
      </c>
      <c r="S1431" s="109">
        <f t="shared" si="1555"/>
        <v>0</v>
      </c>
      <c r="T1431" s="109">
        <f t="shared" si="1556"/>
        <v>0</v>
      </c>
      <c r="U1431" s="110">
        <f t="shared" si="1557"/>
        <v>0.7009345794392523</v>
      </c>
    </row>
    <row r="1432" spans="2:25" ht="15.75" hidden="1" x14ac:dyDescent="0.2">
      <c r="B1432" s="711">
        <v>46179</v>
      </c>
      <c r="C1432" s="105" t="s">
        <v>106</v>
      </c>
      <c r="D1432" s="105" t="s">
        <v>134</v>
      </c>
      <c r="E1432" s="711">
        <v>46181</v>
      </c>
      <c r="G1432" s="831"/>
      <c r="H1432" s="120" t="s">
        <v>25</v>
      </c>
      <c r="I1432" s="120" t="s">
        <v>106</v>
      </c>
      <c r="J1432" s="106">
        <v>190</v>
      </c>
      <c r="K1432" s="106">
        <v>1</v>
      </c>
      <c r="L1432" s="106">
        <v>0</v>
      </c>
      <c r="M1432" s="106">
        <v>0</v>
      </c>
      <c r="N1432" s="106">
        <v>0</v>
      </c>
      <c r="O1432" s="106">
        <v>0</v>
      </c>
      <c r="P1432" s="106">
        <v>2</v>
      </c>
      <c r="Q1432" s="108">
        <f t="shared" si="1553"/>
        <v>5.263157894736842E-3</v>
      </c>
      <c r="R1432" s="109">
        <f t="shared" si="1554"/>
        <v>0</v>
      </c>
      <c r="S1432" s="109">
        <f t="shared" si="1555"/>
        <v>1.0526315789473684E-2</v>
      </c>
      <c r="T1432" s="109">
        <f t="shared" si="1556"/>
        <v>0</v>
      </c>
      <c r="U1432" s="110">
        <f t="shared" si="1557"/>
        <v>1.5789473684210527E-2</v>
      </c>
    </row>
    <row r="1433" spans="2:25" ht="15.75" hidden="1" x14ac:dyDescent="0.2">
      <c r="B1433" s="711">
        <v>46179</v>
      </c>
      <c r="C1433" s="105" t="s">
        <v>106</v>
      </c>
      <c r="D1433" s="105" t="s">
        <v>134</v>
      </c>
      <c r="E1433" s="711">
        <v>46181</v>
      </c>
      <c r="G1433" s="832"/>
      <c r="H1433" s="120" t="s">
        <v>14</v>
      </c>
      <c r="I1433" s="120" t="s">
        <v>18</v>
      </c>
      <c r="J1433" s="106">
        <v>156</v>
      </c>
      <c r="K1433" s="106">
        <v>2</v>
      </c>
      <c r="L1433" s="106">
        <v>0</v>
      </c>
      <c r="M1433" s="106">
        <v>0</v>
      </c>
      <c r="N1433" s="106">
        <v>0</v>
      </c>
      <c r="O1433" s="106">
        <v>0</v>
      </c>
      <c r="P1433" s="106">
        <v>0</v>
      </c>
      <c r="Q1433" s="108">
        <f t="shared" si="1553"/>
        <v>1.282051282051282E-2</v>
      </c>
      <c r="R1433" s="109">
        <f t="shared" si="1554"/>
        <v>0</v>
      </c>
      <c r="S1433" s="109">
        <f t="shared" si="1555"/>
        <v>0</v>
      </c>
      <c r="T1433" s="109">
        <f t="shared" si="1556"/>
        <v>0</v>
      </c>
      <c r="U1433" s="110">
        <f t="shared" si="1557"/>
        <v>1.282051282051282E-2</v>
      </c>
    </row>
    <row r="1434" spans="2:25" ht="15.75" hidden="1" x14ac:dyDescent="0.2">
      <c r="B1434" s="711">
        <v>46179</v>
      </c>
      <c r="C1434" s="105" t="s">
        <v>106</v>
      </c>
      <c r="D1434" s="105" t="s">
        <v>134</v>
      </c>
      <c r="E1434" s="711">
        <v>46181</v>
      </c>
      <c r="G1434" s="113"/>
      <c r="H1434" s="840" t="s">
        <v>19</v>
      </c>
      <c r="I1434" s="841"/>
      <c r="J1434" s="113">
        <f t="shared" ref="J1434:P1434" si="1562">SUM(J1426:J1433)</f>
        <v>1145</v>
      </c>
      <c r="K1434" s="113">
        <f t="shared" si="1562"/>
        <v>487</v>
      </c>
      <c r="L1434" s="113">
        <f t="shared" si="1562"/>
        <v>60</v>
      </c>
      <c r="M1434" s="113">
        <f t="shared" si="1562"/>
        <v>27</v>
      </c>
      <c r="N1434" s="113">
        <f t="shared" si="1562"/>
        <v>102</v>
      </c>
      <c r="O1434" s="113">
        <f t="shared" si="1562"/>
        <v>64</v>
      </c>
      <c r="P1434" s="113">
        <f t="shared" si="1562"/>
        <v>14</v>
      </c>
      <c r="Q1434" s="115">
        <f>(K1434+L1434)/J1434</f>
        <v>0.47772925764192142</v>
      </c>
      <c r="R1434" s="115">
        <f t="shared" ref="R1434:U1434" si="1563">(L1434+M1434)/K1434</f>
        <v>0.17864476386036962</v>
      </c>
      <c r="S1434" s="115">
        <f t="shared" si="1563"/>
        <v>2.15</v>
      </c>
      <c r="T1434" s="115">
        <f t="shared" si="1563"/>
        <v>6.1481481481481479</v>
      </c>
      <c r="U1434" s="115">
        <f t="shared" si="1563"/>
        <v>0.76470588235294112</v>
      </c>
    </row>
    <row r="1435" spans="2:25" ht="15.75" hidden="1" x14ac:dyDescent="0.2">
      <c r="B1435" s="711">
        <v>46179</v>
      </c>
      <c r="C1435" s="105" t="s">
        <v>105</v>
      </c>
      <c r="D1435" s="105" t="s">
        <v>129</v>
      </c>
      <c r="E1435" s="711">
        <v>46179</v>
      </c>
      <c r="G1435" s="833">
        <v>46179</v>
      </c>
      <c r="H1435" s="120" t="s">
        <v>75</v>
      </c>
      <c r="I1435" s="120" t="s">
        <v>100</v>
      </c>
      <c r="J1435" s="106">
        <f>SUM(K1435:P1435)</f>
        <v>32</v>
      </c>
      <c r="K1435" s="106">
        <f>87-76</f>
        <v>11</v>
      </c>
      <c r="L1435" s="106">
        <v>20</v>
      </c>
      <c r="M1435" s="106">
        <v>0</v>
      </c>
      <c r="N1435" s="106">
        <v>0</v>
      </c>
      <c r="O1435" s="106">
        <v>0</v>
      </c>
      <c r="P1435" s="106">
        <v>1</v>
      </c>
      <c r="Q1435" s="108">
        <f t="shared" ref="Q1435:Q1439" si="1564">(K1435+L1435)/J1435</f>
        <v>0.96875</v>
      </c>
      <c r="R1435" s="109">
        <f t="shared" ref="R1435:R1440" si="1565">N1435/J1435</f>
        <v>0</v>
      </c>
      <c r="S1435" s="109">
        <f t="shared" ref="S1435:S1440" si="1566">P1435/J1435</f>
        <v>3.125E-2</v>
      </c>
      <c r="T1435" s="109">
        <f t="shared" ref="T1435:T1440" si="1567">O1435/J1435</f>
        <v>0</v>
      </c>
      <c r="U1435" s="110">
        <f t="shared" ref="U1435:U1440" si="1568">S1435+R1435+Q1435+T1435</f>
        <v>1</v>
      </c>
      <c r="V1435" s="136"/>
    </row>
    <row r="1436" spans="2:25" ht="15.75" hidden="1" x14ac:dyDescent="0.2">
      <c r="B1436" s="711">
        <v>46179</v>
      </c>
      <c r="C1436" s="105" t="s">
        <v>105</v>
      </c>
      <c r="D1436" s="105" t="s">
        <v>129</v>
      </c>
      <c r="E1436" s="711">
        <v>46179</v>
      </c>
      <c r="G1436" s="835"/>
      <c r="H1436" s="120" t="s">
        <v>17</v>
      </c>
      <c r="I1436" s="120" t="s">
        <v>18</v>
      </c>
      <c r="J1436" s="106">
        <f>SUM(K1436:P1436)</f>
        <v>35</v>
      </c>
      <c r="K1436" s="106">
        <v>11</v>
      </c>
      <c r="L1436" s="106">
        <v>16</v>
      </c>
      <c r="M1436" s="106">
        <v>0</v>
      </c>
      <c r="N1436" s="106">
        <v>0</v>
      </c>
      <c r="O1436" s="106">
        <v>0</v>
      </c>
      <c r="P1436" s="106">
        <v>8</v>
      </c>
      <c r="Q1436" s="108">
        <f t="shared" si="1564"/>
        <v>0.77142857142857146</v>
      </c>
      <c r="R1436" s="109">
        <f t="shared" si="1565"/>
        <v>0</v>
      </c>
      <c r="S1436" s="109">
        <f t="shared" si="1566"/>
        <v>0.22857142857142856</v>
      </c>
      <c r="T1436" s="109">
        <f t="shared" si="1567"/>
        <v>0</v>
      </c>
      <c r="U1436" s="110">
        <f t="shared" si="1568"/>
        <v>1</v>
      </c>
      <c r="V1436" s="136"/>
    </row>
    <row r="1437" spans="2:25" ht="12.75" hidden="1" customHeight="1" x14ac:dyDescent="0.2">
      <c r="B1437" s="711">
        <v>46179</v>
      </c>
      <c r="C1437" s="105" t="s">
        <v>105</v>
      </c>
      <c r="D1437" s="105" t="s">
        <v>129</v>
      </c>
      <c r="E1437" s="711">
        <v>46181</v>
      </c>
      <c r="G1437" s="830">
        <v>46181</v>
      </c>
      <c r="H1437" s="120" t="s">
        <v>75</v>
      </c>
      <c r="I1437" s="120" t="s">
        <v>127</v>
      </c>
      <c r="J1437" s="106">
        <v>214</v>
      </c>
      <c r="K1437" s="106">
        <v>96</v>
      </c>
      <c r="L1437" s="106">
        <v>29</v>
      </c>
      <c r="M1437" s="106">
        <v>5</v>
      </c>
      <c r="N1437" s="106">
        <v>0</v>
      </c>
      <c r="O1437" s="106">
        <v>20</v>
      </c>
      <c r="P1437" s="106">
        <v>0</v>
      </c>
      <c r="Q1437" s="108">
        <f t="shared" si="1564"/>
        <v>0.58411214953271029</v>
      </c>
      <c r="R1437" s="109">
        <f t="shared" si="1565"/>
        <v>0</v>
      </c>
      <c r="S1437" s="109">
        <f t="shared" si="1566"/>
        <v>0</v>
      </c>
      <c r="T1437" s="109">
        <f t="shared" si="1567"/>
        <v>9.3457943925233641E-2</v>
      </c>
      <c r="U1437" s="110">
        <f t="shared" si="1568"/>
        <v>0.67757009345794394</v>
      </c>
      <c r="V1437" s="136"/>
    </row>
    <row r="1438" spans="2:25" ht="15.75" hidden="1" x14ac:dyDescent="0.2">
      <c r="B1438" s="711">
        <v>46179</v>
      </c>
      <c r="C1438" s="105" t="s">
        <v>105</v>
      </c>
      <c r="D1438" s="105" t="s">
        <v>129</v>
      </c>
      <c r="E1438" s="711">
        <v>46181</v>
      </c>
      <c r="G1438" s="831"/>
      <c r="H1438" s="120" t="s">
        <v>25</v>
      </c>
      <c r="I1438" s="120" t="s">
        <v>106</v>
      </c>
      <c r="J1438" s="106">
        <f>219+69</f>
        <v>288</v>
      </c>
      <c r="K1438" s="106">
        <v>175</v>
      </c>
      <c r="L1438" s="106">
        <v>61</v>
      </c>
      <c r="M1438" s="106">
        <v>12</v>
      </c>
      <c r="N1438" s="106">
        <v>2</v>
      </c>
      <c r="O1438" s="106">
        <v>28</v>
      </c>
      <c r="P1438" s="106">
        <v>8</v>
      </c>
      <c r="Q1438" s="108">
        <f t="shared" si="1564"/>
        <v>0.81944444444444442</v>
      </c>
      <c r="R1438" s="109">
        <f t="shared" si="1565"/>
        <v>6.9444444444444441E-3</v>
      </c>
      <c r="S1438" s="109">
        <f t="shared" si="1566"/>
        <v>2.7777777777777776E-2</v>
      </c>
      <c r="T1438" s="109">
        <f t="shared" si="1567"/>
        <v>9.7222222222222224E-2</v>
      </c>
      <c r="U1438" s="110">
        <f t="shared" si="1568"/>
        <v>0.95138888888888884</v>
      </c>
      <c r="V1438" s="136"/>
    </row>
    <row r="1439" spans="2:25" ht="15.75" hidden="1" x14ac:dyDescent="0.2">
      <c r="B1439" s="711">
        <v>46179</v>
      </c>
      <c r="C1439" s="105" t="s">
        <v>105</v>
      </c>
      <c r="D1439" s="105" t="s">
        <v>129</v>
      </c>
      <c r="E1439" s="711">
        <v>46181</v>
      </c>
      <c r="G1439" s="832"/>
      <c r="H1439" s="120" t="s">
        <v>14</v>
      </c>
      <c r="I1439" s="120" t="s">
        <v>18</v>
      </c>
      <c r="J1439" s="106">
        <v>168</v>
      </c>
      <c r="K1439" s="106">
        <v>4</v>
      </c>
      <c r="L1439" s="106">
        <v>0</v>
      </c>
      <c r="M1439" s="106">
        <v>93</v>
      </c>
      <c r="N1439" s="106">
        <v>63</v>
      </c>
      <c r="O1439" s="106">
        <v>10</v>
      </c>
      <c r="P1439" s="106">
        <v>0</v>
      </c>
      <c r="Q1439" s="108">
        <f t="shared" si="1564"/>
        <v>2.3809523809523808E-2</v>
      </c>
      <c r="R1439" s="109">
        <f t="shared" si="1565"/>
        <v>0.375</v>
      </c>
      <c r="S1439" s="109">
        <f t="shared" si="1566"/>
        <v>0</v>
      </c>
      <c r="T1439" s="109">
        <f t="shared" si="1567"/>
        <v>5.9523809523809521E-2</v>
      </c>
      <c r="U1439" s="110">
        <f t="shared" si="1568"/>
        <v>0.45833333333333337</v>
      </c>
      <c r="V1439"/>
    </row>
    <row r="1440" spans="2:25" s="97" customFormat="1" ht="16.5" hidden="1" customHeight="1" x14ac:dyDescent="0.2">
      <c r="B1440" s="711">
        <v>46179</v>
      </c>
      <c r="C1440" s="105" t="s">
        <v>105</v>
      </c>
      <c r="D1440" s="105" t="s">
        <v>129</v>
      </c>
      <c r="E1440" s="711">
        <v>46179</v>
      </c>
      <c r="F1440" s="89"/>
      <c r="G1440" s="113"/>
      <c r="H1440" s="840" t="s">
        <v>19</v>
      </c>
      <c r="I1440" s="841"/>
      <c r="J1440" s="113">
        <f t="shared" ref="J1440:P1440" si="1569">SUM(J1435:J1439)</f>
        <v>737</v>
      </c>
      <c r="K1440" s="113">
        <f t="shared" si="1569"/>
        <v>297</v>
      </c>
      <c r="L1440" s="113">
        <f t="shared" si="1569"/>
        <v>126</v>
      </c>
      <c r="M1440" s="113">
        <f t="shared" si="1569"/>
        <v>110</v>
      </c>
      <c r="N1440" s="113">
        <f t="shared" si="1569"/>
        <v>65</v>
      </c>
      <c r="O1440" s="113">
        <f t="shared" si="1569"/>
        <v>58</v>
      </c>
      <c r="P1440" s="113">
        <f t="shared" si="1569"/>
        <v>17</v>
      </c>
      <c r="Q1440" s="115">
        <f>(K1440+L1440)/J1440</f>
        <v>0.57394843962008146</v>
      </c>
      <c r="R1440" s="116">
        <f t="shared" si="1565"/>
        <v>8.819538670284939E-2</v>
      </c>
      <c r="S1440" s="116">
        <f t="shared" si="1566"/>
        <v>2.3066485753052916E-2</v>
      </c>
      <c r="T1440" s="116">
        <f t="shared" si="1567"/>
        <v>7.8697421981004073E-2</v>
      </c>
      <c r="U1440" s="117">
        <f t="shared" si="1568"/>
        <v>0.76390773405698786</v>
      </c>
      <c r="V1440" s="127"/>
      <c r="W1440" s="88"/>
      <c r="X1440" s="88"/>
      <c r="Y1440" s="118"/>
    </row>
    <row r="1441" spans="2:25" ht="15.75" hidden="1" x14ac:dyDescent="0.2">
      <c r="B1441" s="711">
        <v>46181</v>
      </c>
      <c r="C1441" s="105" t="s">
        <v>105</v>
      </c>
      <c r="D1441" s="105" t="s">
        <v>129</v>
      </c>
      <c r="E1441" s="711">
        <v>46181</v>
      </c>
      <c r="G1441" s="833">
        <v>46181</v>
      </c>
      <c r="H1441" s="120" t="s">
        <v>75</v>
      </c>
      <c r="I1441" s="120" t="s">
        <v>127</v>
      </c>
      <c r="J1441" s="106">
        <f>SUM(K1441:P1441)</f>
        <v>37</v>
      </c>
      <c r="K1441" s="106">
        <v>13</v>
      </c>
      <c r="L1441" s="106">
        <v>19</v>
      </c>
      <c r="M1441" s="106">
        <v>0</v>
      </c>
      <c r="N1441" s="106">
        <v>0</v>
      </c>
      <c r="O1441" s="106">
        <v>5</v>
      </c>
      <c r="P1441" s="106">
        <v>0</v>
      </c>
      <c r="Q1441" s="108">
        <f t="shared" ref="Q1441:Q1444" si="1570">(K1441+L1441)/J1441</f>
        <v>0.86486486486486491</v>
      </c>
      <c r="R1441" s="109">
        <f t="shared" ref="R1441:R1444" si="1571">N1441/J1441</f>
        <v>0</v>
      </c>
      <c r="S1441" s="109">
        <f t="shared" ref="S1441:S1444" si="1572">P1441/J1441</f>
        <v>0</v>
      </c>
      <c r="T1441" s="109">
        <f t="shared" ref="T1441:T1444" si="1573">O1441/J1441</f>
        <v>0.13513513513513514</v>
      </c>
      <c r="U1441" s="110">
        <f t="shared" ref="U1441:U1444" si="1574">S1441+R1441+Q1441+T1441</f>
        <v>1</v>
      </c>
      <c r="V1441" s="136"/>
    </row>
    <row r="1442" spans="2:25" ht="15.75" hidden="1" x14ac:dyDescent="0.2">
      <c r="B1442" s="711">
        <v>46181</v>
      </c>
      <c r="C1442" s="105" t="s">
        <v>105</v>
      </c>
      <c r="D1442" s="105" t="s">
        <v>129</v>
      </c>
      <c r="E1442" s="711">
        <v>46181</v>
      </c>
      <c r="G1442" s="834"/>
      <c r="H1442" s="120" t="s">
        <v>25</v>
      </c>
      <c r="I1442" s="120" t="s">
        <v>106</v>
      </c>
      <c r="J1442" s="106">
        <f>SUM(K1442:P1442)</f>
        <v>50</v>
      </c>
      <c r="K1442" s="106">
        <v>29</v>
      </c>
      <c r="L1442" s="106">
        <v>12</v>
      </c>
      <c r="M1442" s="106">
        <v>0</v>
      </c>
      <c r="N1442" s="106">
        <v>0</v>
      </c>
      <c r="O1442" s="106">
        <v>0</v>
      </c>
      <c r="P1442" s="106">
        <v>9</v>
      </c>
      <c r="Q1442" s="108">
        <f t="shared" si="1570"/>
        <v>0.82</v>
      </c>
      <c r="R1442" s="109">
        <f t="shared" si="1571"/>
        <v>0</v>
      </c>
      <c r="S1442" s="109">
        <f t="shared" si="1572"/>
        <v>0.18</v>
      </c>
      <c r="T1442" s="109">
        <f t="shared" si="1573"/>
        <v>0</v>
      </c>
      <c r="U1442" s="110">
        <f t="shared" si="1574"/>
        <v>1</v>
      </c>
      <c r="V1442" s="136"/>
    </row>
    <row r="1443" spans="2:25" ht="12.75" hidden="1" customHeight="1" x14ac:dyDescent="0.2">
      <c r="B1443" s="711">
        <v>46181</v>
      </c>
      <c r="C1443" s="105" t="s">
        <v>105</v>
      </c>
      <c r="D1443" s="105" t="s">
        <v>129</v>
      </c>
      <c r="E1443" s="711">
        <v>46181</v>
      </c>
      <c r="G1443" s="834"/>
      <c r="H1443" s="120" t="s">
        <v>84</v>
      </c>
      <c r="I1443" s="120" t="s">
        <v>22</v>
      </c>
      <c r="J1443" s="106">
        <f>SUM(K1443:P1443)</f>
        <v>8</v>
      </c>
      <c r="K1443" s="106">
        <v>7</v>
      </c>
      <c r="L1443" s="106">
        <v>1</v>
      </c>
      <c r="M1443" s="106">
        <v>0</v>
      </c>
      <c r="N1443" s="106">
        <v>0</v>
      </c>
      <c r="O1443" s="106">
        <v>0</v>
      </c>
      <c r="P1443" s="106">
        <v>0</v>
      </c>
      <c r="Q1443" s="108">
        <f t="shared" si="1570"/>
        <v>1</v>
      </c>
      <c r="R1443" s="109">
        <f t="shared" si="1571"/>
        <v>0</v>
      </c>
      <c r="S1443" s="109">
        <f t="shared" si="1572"/>
        <v>0</v>
      </c>
      <c r="T1443" s="109">
        <f t="shared" si="1573"/>
        <v>0</v>
      </c>
      <c r="U1443" s="110">
        <f t="shared" si="1574"/>
        <v>1</v>
      </c>
      <c r="V1443" s="136"/>
    </row>
    <row r="1444" spans="2:25" ht="15.75" hidden="1" x14ac:dyDescent="0.2">
      <c r="B1444" s="711">
        <v>46181</v>
      </c>
      <c r="C1444" s="105" t="s">
        <v>105</v>
      </c>
      <c r="D1444" s="105" t="s">
        <v>129</v>
      </c>
      <c r="E1444" s="711">
        <v>46181</v>
      </c>
      <c r="G1444" s="835"/>
      <c r="H1444" s="120" t="s">
        <v>14</v>
      </c>
      <c r="I1444" s="120" t="s">
        <v>22</v>
      </c>
      <c r="J1444" s="106">
        <v>168</v>
      </c>
      <c r="K1444" s="106">
        <v>138</v>
      </c>
      <c r="L1444" s="106">
        <v>13</v>
      </c>
      <c r="M1444" s="106">
        <v>5</v>
      </c>
      <c r="N1444" s="106">
        <v>0</v>
      </c>
      <c r="O1444" s="106">
        <v>10</v>
      </c>
      <c r="P1444" s="106">
        <v>0</v>
      </c>
      <c r="Q1444" s="108">
        <f t="shared" si="1570"/>
        <v>0.89880952380952384</v>
      </c>
      <c r="R1444" s="109">
        <f t="shared" si="1571"/>
        <v>0</v>
      </c>
      <c r="S1444" s="109">
        <f t="shared" si="1572"/>
        <v>0</v>
      </c>
      <c r="T1444" s="109">
        <f t="shared" si="1573"/>
        <v>5.9523809523809521E-2</v>
      </c>
      <c r="U1444" s="110">
        <f t="shared" si="1574"/>
        <v>0.95833333333333337</v>
      </c>
      <c r="V1444" s="136"/>
    </row>
    <row r="1445" spans="2:25" ht="15.75" hidden="1" x14ac:dyDescent="0.2">
      <c r="B1445" s="711">
        <v>46181</v>
      </c>
      <c r="C1445" s="105" t="s">
        <v>105</v>
      </c>
      <c r="D1445" s="105" t="s">
        <v>129</v>
      </c>
      <c r="E1445" s="711">
        <v>46181</v>
      </c>
      <c r="G1445" s="830">
        <v>46182</v>
      </c>
      <c r="H1445" s="120" t="s">
        <v>75</v>
      </c>
      <c r="I1445" s="120" t="s">
        <v>127</v>
      </c>
      <c r="J1445" s="106">
        <v>224</v>
      </c>
      <c r="K1445" s="106">
        <v>23</v>
      </c>
      <c r="L1445" s="106">
        <v>10</v>
      </c>
      <c r="M1445" s="106">
        <v>80</v>
      </c>
      <c r="N1445" s="106">
        <v>90</v>
      </c>
      <c r="O1445" s="106">
        <v>20</v>
      </c>
      <c r="P1445" s="106">
        <v>0</v>
      </c>
      <c r="Q1445" s="108">
        <f t="shared" ref="Q1445:Q1448" si="1575">(K1445+L1445)/J1445</f>
        <v>0.14732142857142858</v>
      </c>
      <c r="R1445" s="109">
        <f t="shared" ref="R1445:R1449" si="1576">N1445/J1445</f>
        <v>0.4017857142857143</v>
      </c>
      <c r="S1445" s="109">
        <f t="shared" ref="S1445:S1449" si="1577">P1445/J1445</f>
        <v>0</v>
      </c>
      <c r="T1445" s="109">
        <f t="shared" ref="T1445:T1449" si="1578">O1445/J1445</f>
        <v>8.9285714285714288E-2</v>
      </c>
      <c r="U1445" s="110">
        <f t="shared" ref="U1445:U1449" si="1579">S1445+R1445+Q1445+T1445</f>
        <v>0.63839285714285721</v>
      </c>
      <c r="V1445" s="296"/>
    </row>
    <row r="1446" spans="2:25" ht="15.75" hidden="1" x14ac:dyDescent="0.2">
      <c r="B1446" s="711">
        <v>46181</v>
      </c>
      <c r="C1446" s="105" t="s">
        <v>105</v>
      </c>
      <c r="D1446" s="105" t="s">
        <v>129</v>
      </c>
      <c r="E1446" s="711">
        <v>46181</v>
      </c>
      <c r="G1446" s="831"/>
      <c r="H1446" s="120" t="s">
        <v>17</v>
      </c>
      <c r="I1446" s="120" t="s">
        <v>106</v>
      </c>
      <c r="J1446" s="106">
        <v>214</v>
      </c>
      <c r="K1446" s="106">
        <v>6</v>
      </c>
      <c r="L1446" s="106">
        <v>5</v>
      </c>
      <c r="M1446" s="106">
        <v>173</v>
      </c>
      <c r="N1446" s="106">
        <v>0</v>
      </c>
      <c r="O1446" s="106">
        <v>27</v>
      </c>
      <c r="P1446" s="106">
        <v>5</v>
      </c>
      <c r="Q1446" s="108">
        <f t="shared" si="1575"/>
        <v>5.1401869158878503E-2</v>
      </c>
      <c r="R1446" s="109">
        <f t="shared" si="1576"/>
        <v>0</v>
      </c>
      <c r="S1446" s="109">
        <f t="shared" si="1577"/>
        <v>2.336448598130841E-2</v>
      </c>
      <c r="T1446" s="109">
        <f t="shared" si="1578"/>
        <v>0.12616822429906541</v>
      </c>
      <c r="U1446" s="110">
        <f t="shared" si="1579"/>
        <v>0.2009345794392523</v>
      </c>
      <c r="V1446" s="296"/>
    </row>
    <row r="1447" spans="2:25" ht="15.75" hidden="1" x14ac:dyDescent="0.2">
      <c r="B1447" s="711">
        <v>46181</v>
      </c>
      <c r="C1447" s="105" t="s">
        <v>105</v>
      </c>
      <c r="D1447" s="105" t="s">
        <v>129</v>
      </c>
      <c r="E1447" s="711">
        <v>46181</v>
      </c>
      <c r="G1447" s="831"/>
      <c r="H1447" s="120" t="s">
        <v>123</v>
      </c>
      <c r="I1447" s="120" t="s">
        <v>22</v>
      </c>
      <c r="J1447" s="106">
        <v>56</v>
      </c>
      <c r="K1447" s="106">
        <v>35</v>
      </c>
      <c r="L1447" s="106">
        <v>21</v>
      </c>
      <c r="M1447" s="106">
        <v>0</v>
      </c>
      <c r="N1447" s="106">
        <v>0</v>
      </c>
      <c r="O1447" s="106">
        <v>0</v>
      </c>
      <c r="P1447" s="106">
        <v>0</v>
      </c>
      <c r="Q1447" s="108">
        <f t="shared" si="1575"/>
        <v>1</v>
      </c>
      <c r="R1447" s="109">
        <f t="shared" si="1576"/>
        <v>0</v>
      </c>
      <c r="S1447" s="109">
        <f t="shared" si="1577"/>
        <v>0</v>
      </c>
      <c r="T1447" s="109">
        <f t="shared" si="1578"/>
        <v>0</v>
      </c>
      <c r="U1447" s="110">
        <f t="shared" si="1579"/>
        <v>1</v>
      </c>
      <c r="V1447" s="296"/>
    </row>
    <row r="1448" spans="2:25" ht="15.75" hidden="1" x14ac:dyDescent="0.2">
      <c r="B1448" s="711">
        <v>46181</v>
      </c>
      <c r="C1448" s="105" t="s">
        <v>105</v>
      </c>
      <c r="D1448" s="105" t="s">
        <v>129</v>
      </c>
      <c r="E1448" s="711">
        <v>46181</v>
      </c>
      <c r="G1448" s="832"/>
      <c r="H1448" s="120" t="s">
        <v>14</v>
      </c>
      <c r="I1448" s="120" t="s">
        <v>105</v>
      </c>
      <c r="J1448" s="106">
        <v>204</v>
      </c>
      <c r="K1448" s="106">
        <v>0</v>
      </c>
      <c r="L1448" s="106">
        <v>0</v>
      </c>
      <c r="M1448" s="106">
        <v>204</v>
      </c>
      <c r="N1448" s="106">
        <v>0</v>
      </c>
      <c r="O1448" s="106">
        <v>10</v>
      </c>
      <c r="P1448" s="106">
        <v>0</v>
      </c>
      <c r="Q1448" s="108">
        <f t="shared" si="1575"/>
        <v>0</v>
      </c>
      <c r="R1448" s="109">
        <f t="shared" si="1576"/>
        <v>0</v>
      </c>
      <c r="S1448" s="109">
        <f t="shared" si="1577"/>
        <v>0</v>
      </c>
      <c r="T1448" s="109">
        <f t="shared" si="1578"/>
        <v>4.9019607843137254E-2</v>
      </c>
      <c r="U1448" s="110">
        <f t="shared" si="1579"/>
        <v>4.9019607843137254E-2</v>
      </c>
      <c r="V1448" s="296"/>
    </row>
    <row r="1449" spans="2:25" s="97" customFormat="1" ht="16.5" hidden="1" customHeight="1" x14ac:dyDescent="0.2">
      <c r="B1449" s="711">
        <v>46181</v>
      </c>
      <c r="C1449" s="105" t="s">
        <v>105</v>
      </c>
      <c r="D1449" s="105" t="s">
        <v>129</v>
      </c>
      <c r="E1449" s="711">
        <v>46181</v>
      </c>
      <c r="F1449" s="89"/>
      <c r="G1449" s="190"/>
      <c r="H1449" s="840" t="s">
        <v>19</v>
      </c>
      <c r="I1449" s="841"/>
      <c r="J1449" s="113">
        <f t="shared" ref="J1449:P1449" si="1580">SUM(J1441:J1448)</f>
        <v>961</v>
      </c>
      <c r="K1449" s="113">
        <f t="shared" si="1580"/>
        <v>251</v>
      </c>
      <c r="L1449" s="113">
        <f t="shared" si="1580"/>
        <v>81</v>
      </c>
      <c r="M1449" s="113">
        <f t="shared" si="1580"/>
        <v>462</v>
      </c>
      <c r="N1449" s="113">
        <f t="shared" si="1580"/>
        <v>90</v>
      </c>
      <c r="O1449" s="113">
        <f t="shared" si="1580"/>
        <v>72</v>
      </c>
      <c r="P1449" s="113">
        <f t="shared" si="1580"/>
        <v>14</v>
      </c>
      <c r="Q1449" s="115">
        <f>(K1449+L1449)/J1449</f>
        <v>0.34547346514047866</v>
      </c>
      <c r="R1449" s="116">
        <f t="shared" si="1576"/>
        <v>9.3652445369406867E-2</v>
      </c>
      <c r="S1449" s="116">
        <f t="shared" si="1577"/>
        <v>1.4568158168574402E-2</v>
      </c>
      <c r="T1449" s="116">
        <f t="shared" si="1578"/>
        <v>7.4921956295525491E-2</v>
      </c>
      <c r="U1449" s="117">
        <f t="shared" si="1579"/>
        <v>0.52861602497398541</v>
      </c>
      <c r="V1449" s="127"/>
      <c r="W1449" s="88"/>
      <c r="X1449" s="88"/>
      <c r="Y1449" s="118"/>
    </row>
    <row r="1450" spans="2:25" ht="15.75" hidden="1" x14ac:dyDescent="0.2">
      <c r="B1450" s="711">
        <v>46181</v>
      </c>
      <c r="C1450" s="105" t="s">
        <v>18</v>
      </c>
      <c r="D1450" s="105" t="s">
        <v>133</v>
      </c>
      <c r="E1450" s="711">
        <v>46182</v>
      </c>
      <c r="G1450" s="833">
        <v>46182</v>
      </c>
      <c r="H1450" s="120" t="s">
        <v>75</v>
      </c>
      <c r="I1450" s="120" t="s">
        <v>127</v>
      </c>
      <c r="J1450" s="106">
        <v>208</v>
      </c>
      <c r="K1450" s="106">
        <f>J1450-L1450-M1450-N1450-O1450-P1450</f>
        <v>104</v>
      </c>
      <c r="L1450" s="106">
        <v>62</v>
      </c>
      <c r="M1450" s="106">
        <v>41</v>
      </c>
      <c r="N1450" s="106">
        <v>0</v>
      </c>
      <c r="O1450" s="106">
        <v>0</v>
      </c>
      <c r="P1450" s="106">
        <v>1</v>
      </c>
      <c r="Q1450" s="108">
        <f t="shared" ref="Q1450:Q1452" si="1581">(K1450+L1450)/J1450</f>
        <v>0.79807692307692313</v>
      </c>
      <c r="R1450" s="109">
        <f t="shared" ref="R1450:R1460" si="1582">N1450/J1450</f>
        <v>0</v>
      </c>
      <c r="S1450" s="109">
        <f t="shared" ref="S1450:S1460" si="1583">P1450/J1450</f>
        <v>4.807692307692308E-3</v>
      </c>
      <c r="T1450" s="109">
        <f t="shared" ref="T1450:T1460" si="1584">O1450/J1450</f>
        <v>0</v>
      </c>
      <c r="U1450" s="110">
        <f t="shared" ref="U1450:U1460" si="1585">S1450+R1450+Q1450+T1450</f>
        <v>0.80288461538461542</v>
      </c>
      <c r="V1450" s="296"/>
    </row>
    <row r="1451" spans="2:25" ht="15.75" hidden="1" x14ac:dyDescent="0.2">
      <c r="B1451" s="711">
        <v>46181</v>
      </c>
      <c r="C1451" s="105" t="s">
        <v>18</v>
      </c>
      <c r="D1451" s="105" t="s">
        <v>133</v>
      </c>
      <c r="E1451" s="711">
        <v>46182</v>
      </c>
      <c r="G1451" s="834"/>
      <c r="H1451" s="120" t="s">
        <v>17</v>
      </c>
      <c r="I1451" s="120" t="s">
        <v>106</v>
      </c>
      <c r="J1451" s="106">
        <v>205</v>
      </c>
      <c r="K1451" s="106">
        <f t="shared" ref="K1451:K1452" si="1586">J1451-L1451-M1451-N1451-O1451-P1451</f>
        <v>83</v>
      </c>
      <c r="L1451" s="106">
        <v>35</v>
      </c>
      <c r="M1451" s="106">
        <v>82</v>
      </c>
      <c r="N1451" s="106">
        <v>0</v>
      </c>
      <c r="O1451" s="106">
        <v>0</v>
      </c>
      <c r="P1451" s="106">
        <v>5</v>
      </c>
      <c r="Q1451" s="108">
        <f t="shared" si="1581"/>
        <v>0.57560975609756093</v>
      </c>
      <c r="R1451" s="109">
        <f t="shared" si="1582"/>
        <v>0</v>
      </c>
      <c r="S1451" s="109">
        <f t="shared" si="1583"/>
        <v>2.4390243902439025E-2</v>
      </c>
      <c r="T1451" s="109">
        <f t="shared" si="1584"/>
        <v>0</v>
      </c>
      <c r="U1451" s="110">
        <f t="shared" si="1585"/>
        <v>0.6</v>
      </c>
      <c r="V1451" s="296"/>
    </row>
    <row r="1452" spans="2:25" ht="15.75" hidden="1" x14ac:dyDescent="0.2">
      <c r="B1452" s="711">
        <v>46181</v>
      </c>
      <c r="C1452" s="105" t="s">
        <v>18</v>
      </c>
      <c r="D1452" s="105" t="s">
        <v>133</v>
      </c>
      <c r="E1452" s="711">
        <v>46182</v>
      </c>
      <c r="G1452" s="835"/>
      <c r="H1452" s="120" t="s">
        <v>14</v>
      </c>
      <c r="I1452" s="120" t="s">
        <v>105</v>
      </c>
      <c r="J1452" s="106">
        <v>204</v>
      </c>
      <c r="K1452" s="106">
        <f t="shared" si="1586"/>
        <v>0</v>
      </c>
      <c r="L1452" s="106">
        <v>0</v>
      </c>
      <c r="M1452" s="106">
        <v>204</v>
      </c>
      <c r="N1452" s="106">
        <v>0</v>
      </c>
      <c r="O1452" s="106">
        <v>0</v>
      </c>
      <c r="P1452" s="106">
        <v>0</v>
      </c>
      <c r="Q1452" s="108">
        <f t="shared" si="1581"/>
        <v>0</v>
      </c>
      <c r="R1452" s="109">
        <f t="shared" si="1582"/>
        <v>0</v>
      </c>
      <c r="S1452" s="109">
        <f t="shared" si="1583"/>
        <v>0</v>
      </c>
      <c r="T1452" s="109">
        <f t="shared" si="1584"/>
        <v>0</v>
      </c>
      <c r="U1452" s="110">
        <f t="shared" si="1585"/>
        <v>0</v>
      </c>
      <c r="V1452" s="296"/>
    </row>
    <row r="1453" spans="2:25" ht="15.75" hidden="1" x14ac:dyDescent="0.2">
      <c r="B1453" s="711">
        <v>46181</v>
      </c>
      <c r="C1453" s="105" t="s">
        <v>18</v>
      </c>
      <c r="D1453" s="105" t="s">
        <v>133</v>
      </c>
      <c r="E1453" s="711">
        <v>46182</v>
      </c>
      <c r="G1453" s="190"/>
      <c r="H1453" s="840" t="s">
        <v>19</v>
      </c>
      <c r="I1453" s="841"/>
      <c r="J1453" s="113">
        <f>SUM(J1450:J1452)</f>
        <v>617</v>
      </c>
      <c r="K1453" s="113">
        <f t="shared" ref="K1453:P1453" si="1587">SUM(K1450:K1452)</f>
        <v>187</v>
      </c>
      <c r="L1453" s="113">
        <f t="shared" si="1587"/>
        <v>97</v>
      </c>
      <c r="M1453" s="113">
        <f t="shared" si="1587"/>
        <v>327</v>
      </c>
      <c r="N1453" s="113">
        <f t="shared" si="1587"/>
        <v>0</v>
      </c>
      <c r="O1453" s="113">
        <f t="shared" si="1587"/>
        <v>0</v>
      </c>
      <c r="P1453" s="113">
        <f t="shared" si="1587"/>
        <v>6</v>
      </c>
      <c r="Q1453" s="115">
        <f>(K1453+L1453)/J1453</f>
        <v>0.46029173419773095</v>
      </c>
      <c r="R1453" s="116">
        <f t="shared" si="1582"/>
        <v>0</v>
      </c>
      <c r="S1453" s="116">
        <f t="shared" si="1583"/>
        <v>9.7244732576985422E-3</v>
      </c>
      <c r="T1453" s="116">
        <f t="shared" si="1584"/>
        <v>0</v>
      </c>
      <c r="U1453" s="117">
        <f t="shared" si="1585"/>
        <v>0.47001620745542949</v>
      </c>
      <c r="V1453" s="127"/>
    </row>
    <row r="1454" spans="2:25" ht="15.75" hidden="1" x14ac:dyDescent="0.2">
      <c r="B1454" s="711">
        <v>46182</v>
      </c>
      <c r="C1454" s="105" t="s">
        <v>105</v>
      </c>
      <c r="D1454" s="105" t="s">
        <v>129</v>
      </c>
      <c r="E1454" s="711">
        <v>46181</v>
      </c>
      <c r="G1454" s="833">
        <v>46182</v>
      </c>
      <c r="H1454" s="120" t="s">
        <v>75</v>
      </c>
      <c r="I1454" s="120" t="s">
        <v>127</v>
      </c>
      <c r="J1454" s="106">
        <f>SUM(K1454:P1454)</f>
        <v>47</v>
      </c>
      <c r="K1454" s="106">
        <v>21</v>
      </c>
      <c r="L1454" s="106">
        <v>22</v>
      </c>
      <c r="M1454" s="106">
        <v>0</v>
      </c>
      <c r="N1454" s="106">
        <v>0</v>
      </c>
      <c r="O1454" s="106">
        <v>4</v>
      </c>
      <c r="P1454" s="106">
        <v>0</v>
      </c>
      <c r="Q1454" s="108">
        <f t="shared" ref="Q1454:Q1459" si="1588">(K1454+L1454)/J1454</f>
        <v>0.91489361702127658</v>
      </c>
      <c r="R1454" s="109">
        <f t="shared" si="1582"/>
        <v>0</v>
      </c>
      <c r="S1454" s="109">
        <f t="shared" si="1583"/>
        <v>0</v>
      </c>
      <c r="T1454" s="109">
        <f t="shared" si="1584"/>
        <v>8.5106382978723402E-2</v>
      </c>
      <c r="U1454" s="110">
        <f t="shared" si="1585"/>
        <v>1</v>
      </c>
      <c r="V1454" s="136"/>
    </row>
    <row r="1455" spans="2:25" ht="15.75" hidden="1" x14ac:dyDescent="0.2">
      <c r="B1455" s="711">
        <v>46182</v>
      </c>
      <c r="C1455" s="105" t="s">
        <v>105</v>
      </c>
      <c r="D1455" s="105" t="s">
        <v>129</v>
      </c>
      <c r="E1455" s="711">
        <v>46181</v>
      </c>
      <c r="G1455" s="834"/>
      <c r="H1455" s="120" t="s">
        <v>17</v>
      </c>
      <c r="I1455" s="120" t="s">
        <v>106</v>
      </c>
      <c r="J1455" s="106">
        <f>SUM(K1455:P1455)</f>
        <v>96</v>
      </c>
      <c r="K1455" s="106">
        <f>52+19+6</f>
        <v>77</v>
      </c>
      <c r="L1455" s="106">
        <f>12+7</f>
        <v>19</v>
      </c>
      <c r="M1455" s="106">
        <v>0</v>
      </c>
      <c r="N1455" s="106">
        <v>0</v>
      </c>
      <c r="O1455" s="106">
        <v>0</v>
      </c>
      <c r="P1455" s="106">
        <v>0</v>
      </c>
      <c r="Q1455" s="108">
        <f t="shared" si="1588"/>
        <v>1</v>
      </c>
      <c r="R1455" s="109">
        <f t="shared" si="1582"/>
        <v>0</v>
      </c>
      <c r="S1455" s="109">
        <f t="shared" si="1583"/>
        <v>0</v>
      </c>
      <c r="T1455" s="109">
        <f t="shared" si="1584"/>
        <v>0</v>
      </c>
      <c r="U1455" s="110">
        <f t="shared" si="1585"/>
        <v>1</v>
      </c>
      <c r="V1455" s="136"/>
    </row>
    <row r="1456" spans="2:25" ht="15.75" hidden="1" x14ac:dyDescent="0.2">
      <c r="B1456" s="711">
        <v>46182</v>
      </c>
      <c r="C1456" s="105" t="s">
        <v>105</v>
      </c>
      <c r="D1456" s="105" t="s">
        <v>129</v>
      </c>
      <c r="E1456" s="711">
        <v>46181</v>
      </c>
      <c r="G1456" s="835"/>
      <c r="H1456" s="120" t="s">
        <v>14</v>
      </c>
      <c r="I1456" s="120" t="s">
        <v>105</v>
      </c>
      <c r="J1456" s="106">
        <v>204</v>
      </c>
      <c r="K1456" s="106">
        <v>134</v>
      </c>
      <c r="L1456" s="106">
        <v>35</v>
      </c>
      <c r="M1456" s="106">
        <v>15</v>
      </c>
      <c r="N1456" s="106">
        <v>0</v>
      </c>
      <c r="O1456" s="106">
        <v>13</v>
      </c>
      <c r="P1456" s="106">
        <v>2</v>
      </c>
      <c r="Q1456" s="108">
        <f t="shared" si="1588"/>
        <v>0.82843137254901966</v>
      </c>
      <c r="R1456" s="109">
        <f t="shared" si="1582"/>
        <v>0</v>
      </c>
      <c r="S1456" s="109">
        <f t="shared" si="1583"/>
        <v>9.8039215686274508E-3</v>
      </c>
      <c r="T1456" s="109">
        <f t="shared" si="1584"/>
        <v>6.3725490196078427E-2</v>
      </c>
      <c r="U1456" s="110">
        <f t="shared" si="1585"/>
        <v>0.90196078431372551</v>
      </c>
      <c r="V1456" s="136"/>
    </row>
    <row r="1457" spans="2:25" ht="15.75" hidden="1" x14ac:dyDescent="0.2">
      <c r="B1457" s="711">
        <v>46182</v>
      </c>
      <c r="C1457" s="105" t="s">
        <v>105</v>
      </c>
      <c r="D1457" s="105" t="s">
        <v>129</v>
      </c>
      <c r="E1457" s="711">
        <v>46181</v>
      </c>
      <c r="G1457" s="830">
        <v>46183</v>
      </c>
      <c r="H1457" s="120" t="s">
        <v>75</v>
      </c>
      <c r="I1457" s="120" t="s">
        <v>127</v>
      </c>
      <c r="J1457" s="106">
        <v>248</v>
      </c>
      <c r="K1457" s="106">
        <v>0</v>
      </c>
      <c r="L1457" s="106">
        <v>0</v>
      </c>
      <c r="M1457" s="106">
        <f>242-13</f>
        <v>229</v>
      </c>
      <c r="N1457" s="106">
        <v>13</v>
      </c>
      <c r="O1457" s="106">
        <v>20</v>
      </c>
      <c r="P1457" s="106">
        <v>0</v>
      </c>
      <c r="Q1457" s="108">
        <f t="shared" si="1588"/>
        <v>0</v>
      </c>
      <c r="R1457" s="109">
        <f t="shared" si="1582"/>
        <v>5.2419354838709679E-2</v>
      </c>
      <c r="S1457" s="109">
        <f t="shared" si="1583"/>
        <v>0</v>
      </c>
      <c r="T1457" s="109">
        <f t="shared" si="1584"/>
        <v>8.0645161290322578E-2</v>
      </c>
      <c r="U1457" s="110">
        <f t="shared" si="1585"/>
        <v>0.13306451612903225</v>
      </c>
      <c r="V1457" s="296"/>
    </row>
    <row r="1458" spans="2:25" ht="15.75" hidden="1" x14ac:dyDescent="0.2">
      <c r="B1458" s="711">
        <v>46182</v>
      </c>
      <c r="C1458" s="105" t="s">
        <v>105</v>
      </c>
      <c r="D1458" s="105" t="s">
        <v>129</v>
      </c>
      <c r="E1458" s="711">
        <v>46181</v>
      </c>
      <c r="G1458" s="831"/>
      <c r="H1458" s="120" t="s">
        <v>17</v>
      </c>
      <c r="I1458" s="120" t="s">
        <v>106</v>
      </c>
      <c r="J1458" s="106">
        <v>213</v>
      </c>
      <c r="K1458" s="106">
        <v>0</v>
      </c>
      <c r="L1458" s="106">
        <v>0</v>
      </c>
      <c r="M1458" s="106">
        <v>213</v>
      </c>
      <c r="N1458" s="106">
        <v>0</v>
      </c>
      <c r="O1458" s="106">
        <v>0</v>
      </c>
      <c r="P1458" s="106">
        <v>3</v>
      </c>
      <c r="Q1458" s="108">
        <f t="shared" si="1588"/>
        <v>0</v>
      </c>
      <c r="R1458" s="109">
        <f t="shared" si="1582"/>
        <v>0</v>
      </c>
      <c r="S1458" s="109">
        <f t="shared" si="1583"/>
        <v>1.4084507042253521E-2</v>
      </c>
      <c r="T1458" s="109">
        <f t="shared" si="1584"/>
        <v>0</v>
      </c>
      <c r="U1458" s="110">
        <f t="shared" si="1585"/>
        <v>1.4084507042253521E-2</v>
      </c>
      <c r="V1458" s="296"/>
    </row>
    <row r="1459" spans="2:25" ht="15.75" hidden="1" x14ac:dyDescent="0.2">
      <c r="B1459" s="711">
        <v>46182</v>
      </c>
      <c r="C1459" s="105" t="s">
        <v>105</v>
      </c>
      <c r="D1459" s="105" t="s">
        <v>129</v>
      </c>
      <c r="E1459" s="711">
        <v>46181</v>
      </c>
      <c r="G1459" s="832"/>
      <c r="H1459" s="120" t="s">
        <v>14</v>
      </c>
      <c r="I1459" s="120" t="s">
        <v>105</v>
      </c>
      <c r="J1459" s="106">
        <v>167</v>
      </c>
      <c r="K1459" s="106">
        <v>0</v>
      </c>
      <c r="L1459" s="106">
        <v>0</v>
      </c>
      <c r="M1459" s="106">
        <v>167</v>
      </c>
      <c r="N1459" s="106">
        <v>0</v>
      </c>
      <c r="O1459" s="106">
        <v>0</v>
      </c>
      <c r="P1459" s="106">
        <v>0</v>
      </c>
      <c r="Q1459" s="108">
        <f t="shared" si="1588"/>
        <v>0</v>
      </c>
      <c r="R1459" s="109">
        <f t="shared" si="1582"/>
        <v>0</v>
      </c>
      <c r="S1459" s="109">
        <f t="shared" si="1583"/>
        <v>0</v>
      </c>
      <c r="T1459" s="109">
        <f t="shared" si="1584"/>
        <v>0</v>
      </c>
      <c r="U1459" s="110">
        <f t="shared" si="1585"/>
        <v>0</v>
      </c>
      <c r="V1459" s="296"/>
    </row>
    <row r="1460" spans="2:25" s="97" customFormat="1" ht="16.5" hidden="1" customHeight="1" x14ac:dyDescent="0.2">
      <c r="B1460" s="711">
        <v>46182</v>
      </c>
      <c r="C1460" s="105" t="s">
        <v>105</v>
      </c>
      <c r="D1460" s="105" t="s">
        <v>129</v>
      </c>
      <c r="E1460" s="711">
        <v>46181</v>
      </c>
      <c r="F1460" s="89"/>
      <c r="G1460" s="190"/>
      <c r="H1460" s="840" t="s">
        <v>19</v>
      </c>
      <c r="I1460" s="841"/>
      <c r="J1460" s="113">
        <f t="shared" ref="J1460:P1460" si="1589">SUM(J1454:J1459)</f>
        <v>975</v>
      </c>
      <c r="K1460" s="113">
        <f t="shared" si="1589"/>
        <v>232</v>
      </c>
      <c r="L1460" s="113">
        <f t="shared" si="1589"/>
        <v>76</v>
      </c>
      <c r="M1460" s="113">
        <f t="shared" si="1589"/>
        <v>624</v>
      </c>
      <c r="N1460" s="113">
        <f t="shared" si="1589"/>
        <v>13</v>
      </c>
      <c r="O1460" s="113">
        <f t="shared" si="1589"/>
        <v>37</v>
      </c>
      <c r="P1460" s="113">
        <f t="shared" si="1589"/>
        <v>5</v>
      </c>
      <c r="Q1460" s="115">
        <f>(K1460+L1460)/J1460</f>
        <v>0.31589743589743591</v>
      </c>
      <c r="R1460" s="116">
        <f t="shared" si="1582"/>
        <v>1.3333333333333334E-2</v>
      </c>
      <c r="S1460" s="116">
        <f t="shared" si="1583"/>
        <v>5.1282051282051282E-3</v>
      </c>
      <c r="T1460" s="116">
        <f t="shared" si="1584"/>
        <v>3.7948717948717951E-2</v>
      </c>
      <c r="U1460" s="117">
        <f t="shared" si="1585"/>
        <v>0.37230769230769234</v>
      </c>
      <c r="V1460" s="127"/>
      <c r="W1460" s="88"/>
      <c r="X1460" s="88"/>
      <c r="Y1460" s="118"/>
    </row>
    <row r="1461" spans="2:25" ht="15.75" hidden="1" x14ac:dyDescent="0.2">
      <c r="B1461" s="711">
        <v>46182</v>
      </c>
      <c r="C1461" s="105" t="s">
        <v>12</v>
      </c>
      <c r="D1461" s="105" t="s">
        <v>133</v>
      </c>
      <c r="E1461" s="711">
        <v>46182</v>
      </c>
      <c r="G1461" s="833">
        <v>46182</v>
      </c>
      <c r="H1461" s="120" t="s">
        <v>75</v>
      </c>
      <c r="I1461" s="120" t="s">
        <v>127</v>
      </c>
      <c r="J1461" s="106">
        <v>208</v>
      </c>
      <c r="K1461" s="106">
        <f>208-95</f>
        <v>113</v>
      </c>
      <c r="L1461" s="106">
        <v>71</v>
      </c>
      <c r="M1461" s="106">
        <v>4</v>
      </c>
      <c r="N1461" s="106">
        <v>0</v>
      </c>
      <c r="O1461" s="106">
        <v>20</v>
      </c>
      <c r="P1461" s="106">
        <v>0</v>
      </c>
      <c r="Q1461" s="108">
        <f t="shared" ref="Q1461:Q1463" si="1590">(K1461+L1461)/J1461</f>
        <v>0.88461538461538458</v>
      </c>
      <c r="R1461" s="109">
        <f t="shared" ref="R1461:R1463" si="1591">N1461/J1461</f>
        <v>0</v>
      </c>
      <c r="S1461" s="109">
        <f t="shared" ref="S1461:S1464" si="1592">P1461/J1461</f>
        <v>0</v>
      </c>
      <c r="T1461" s="109">
        <f t="shared" ref="T1461:T1464" si="1593">O1461/J1461</f>
        <v>9.6153846153846159E-2</v>
      </c>
      <c r="U1461" s="110">
        <f t="shared" ref="U1461:U1464" si="1594">S1461+R1461+Q1461+T1461</f>
        <v>0.98076923076923073</v>
      </c>
      <c r="V1461" s="136"/>
    </row>
    <row r="1462" spans="2:25" ht="15.75" hidden="1" x14ac:dyDescent="0.2">
      <c r="B1462" s="711">
        <v>46182</v>
      </c>
      <c r="C1462" s="105" t="s">
        <v>12</v>
      </c>
      <c r="D1462" s="105" t="s">
        <v>133</v>
      </c>
      <c r="E1462" s="711">
        <v>46182</v>
      </c>
      <c r="G1462" s="834"/>
      <c r="H1462" s="120" t="s">
        <v>17</v>
      </c>
      <c r="I1462" s="120" t="s">
        <v>106</v>
      </c>
      <c r="J1462" s="106">
        <v>205</v>
      </c>
      <c r="K1462" s="106">
        <f>205-58</f>
        <v>147</v>
      </c>
      <c r="L1462" s="106">
        <v>26</v>
      </c>
      <c r="M1462" s="106">
        <v>3</v>
      </c>
      <c r="N1462" s="106">
        <v>0</v>
      </c>
      <c r="O1462" s="106">
        <v>25</v>
      </c>
      <c r="P1462" s="106">
        <v>4</v>
      </c>
      <c r="Q1462" s="108">
        <f t="shared" si="1590"/>
        <v>0.84390243902439022</v>
      </c>
      <c r="R1462" s="109">
        <f t="shared" si="1591"/>
        <v>0</v>
      </c>
      <c r="S1462" s="109">
        <f t="shared" si="1592"/>
        <v>1.9512195121951219E-2</v>
      </c>
      <c r="T1462" s="109">
        <f t="shared" si="1593"/>
        <v>0.12195121951219512</v>
      </c>
      <c r="U1462" s="110">
        <f t="shared" si="1594"/>
        <v>0.98536585365853657</v>
      </c>
      <c r="V1462" s="136"/>
    </row>
    <row r="1463" spans="2:25" ht="15.75" hidden="1" x14ac:dyDescent="0.2">
      <c r="B1463" s="711">
        <v>46182</v>
      </c>
      <c r="C1463" s="105" t="s">
        <v>12</v>
      </c>
      <c r="D1463" s="105" t="s">
        <v>133</v>
      </c>
      <c r="E1463" s="711">
        <v>46182</v>
      </c>
      <c r="G1463" s="834"/>
      <c r="H1463" s="120" t="s">
        <v>14</v>
      </c>
      <c r="I1463" s="120" t="s">
        <v>105</v>
      </c>
      <c r="J1463" s="106">
        <v>204</v>
      </c>
      <c r="K1463" s="106">
        <f>204-56</f>
        <v>148</v>
      </c>
      <c r="L1463" s="106">
        <v>39</v>
      </c>
      <c r="M1463" s="106">
        <v>2</v>
      </c>
      <c r="N1463" s="106">
        <v>0</v>
      </c>
      <c r="O1463" s="106">
        <v>13</v>
      </c>
      <c r="P1463" s="106">
        <v>2</v>
      </c>
      <c r="Q1463" s="108">
        <f t="shared" si="1590"/>
        <v>0.91666666666666663</v>
      </c>
      <c r="R1463" s="109">
        <f t="shared" si="1591"/>
        <v>0</v>
      </c>
      <c r="S1463" s="109">
        <f t="shared" si="1592"/>
        <v>9.8039215686274508E-3</v>
      </c>
      <c r="T1463" s="109">
        <f t="shared" si="1593"/>
        <v>6.3725490196078427E-2</v>
      </c>
      <c r="U1463" s="110">
        <f t="shared" si="1594"/>
        <v>0.99019607843137247</v>
      </c>
      <c r="V1463" s="136"/>
    </row>
    <row r="1464" spans="2:25" s="97" customFormat="1" ht="16.5" hidden="1" customHeight="1" x14ac:dyDescent="0.2">
      <c r="B1464" s="711">
        <v>46182</v>
      </c>
      <c r="C1464" s="105" t="s">
        <v>12</v>
      </c>
      <c r="D1464" s="105" t="s">
        <v>133</v>
      </c>
      <c r="E1464" s="711">
        <v>46182</v>
      </c>
      <c r="F1464" s="89"/>
      <c r="G1464" s="190"/>
      <c r="H1464" s="840" t="s">
        <v>19</v>
      </c>
      <c r="I1464" s="841"/>
      <c r="J1464" s="113">
        <f>SUM(J1461:J1463)</f>
        <v>617</v>
      </c>
      <c r="K1464" s="113">
        <f t="shared" ref="K1464:P1464" si="1595">SUM(K1461:K1463)</f>
        <v>408</v>
      </c>
      <c r="L1464" s="113">
        <f t="shared" si="1595"/>
        <v>136</v>
      </c>
      <c r="M1464" s="113">
        <f t="shared" si="1595"/>
        <v>9</v>
      </c>
      <c r="N1464" s="113">
        <f t="shared" si="1595"/>
        <v>0</v>
      </c>
      <c r="O1464" s="113">
        <f t="shared" si="1595"/>
        <v>58</v>
      </c>
      <c r="P1464" s="113">
        <f t="shared" si="1595"/>
        <v>6</v>
      </c>
      <c r="Q1464" s="115">
        <f>(K1464+L1464)/J1464</f>
        <v>0.88168557536466774</v>
      </c>
      <c r="R1464" s="116">
        <f>N1464/J1464</f>
        <v>0</v>
      </c>
      <c r="S1464" s="116">
        <f t="shared" si="1592"/>
        <v>9.7244732576985422E-3</v>
      </c>
      <c r="T1464" s="116">
        <f t="shared" si="1593"/>
        <v>9.4003241491085895E-2</v>
      </c>
      <c r="U1464" s="117">
        <f t="shared" si="1594"/>
        <v>0.98541329011345213</v>
      </c>
      <c r="V1464" s="127"/>
      <c r="W1464" s="88"/>
      <c r="X1464" s="88"/>
      <c r="Y1464" s="118"/>
    </row>
    <row r="1465" spans="2:25" ht="15.75" hidden="1" x14ac:dyDescent="0.2">
      <c r="B1465" s="711">
        <v>46182</v>
      </c>
      <c r="C1465" s="105" t="s">
        <v>12</v>
      </c>
      <c r="D1465" s="105" t="s">
        <v>133</v>
      </c>
      <c r="E1465" s="711">
        <v>46183</v>
      </c>
      <c r="G1465" s="830">
        <v>46183</v>
      </c>
      <c r="H1465" s="120" t="s">
        <v>75</v>
      </c>
      <c r="I1465" s="120" t="s">
        <v>83</v>
      </c>
      <c r="J1465" s="106">
        <v>248</v>
      </c>
      <c r="K1465" s="106">
        <v>0</v>
      </c>
      <c r="L1465" s="106">
        <v>0</v>
      </c>
      <c r="M1465" s="106">
        <v>202</v>
      </c>
      <c r="N1465" s="106">
        <v>46</v>
      </c>
      <c r="O1465" s="106">
        <v>0</v>
      </c>
      <c r="P1465" s="106">
        <v>0</v>
      </c>
      <c r="Q1465" s="108">
        <f t="shared" ref="Q1465:Q1467" si="1596">(K1465+L1465)/J1465</f>
        <v>0</v>
      </c>
      <c r="R1465" s="109">
        <f t="shared" ref="R1465:R1468" si="1597">N1465/J1465</f>
        <v>0.18548387096774194</v>
      </c>
      <c r="S1465" s="109">
        <f t="shared" ref="S1465:S1468" si="1598">P1465/J1465</f>
        <v>0</v>
      </c>
      <c r="T1465" s="109">
        <f t="shared" ref="T1465:T1468" si="1599">O1465/J1465</f>
        <v>0</v>
      </c>
      <c r="U1465" s="110">
        <f t="shared" ref="U1465:U1468" si="1600">S1465+R1465+Q1465+T1465</f>
        <v>0.18548387096774194</v>
      </c>
      <c r="V1465" s="136"/>
    </row>
    <row r="1466" spans="2:25" ht="15.75" hidden="1" x14ac:dyDescent="0.2">
      <c r="B1466" s="711">
        <v>46182</v>
      </c>
      <c r="C1466" s="105" t="s">
        <v>12</v>
      </c>
      <c r="D1466" s="105" t="s">
        <v>133</v>
      </c>
      <c r="E1466" s="711">
        <v>46183</v>
      </c>
      <c r="G1466" s="831"/>
      <c r="H1466" s="120" t="s">
        <v>17</v>
      </c>
      <c r="I1466" s="120" t="s">
        <v>106</v>
      </c>
      <c r="J1466" s="106">
        <v>218</v>
      </c>
      <c r="K1466" s="106">
        <v>40</v>
      </c>
      <c r="L1466" s="106">
        <v>7</v>
      </c>
      <c r="M1466" s="106">
        <v>168</v>
      </c>
      <c r="N1466" s="106">
        <v>0</v>
      </c>
      <c r="O1466" s="106">
        <v>0</v>
      </c>
      <c r="P1466" s="106">
        <v>3</v>
      </c>
      <c r="Q1466" s="108">
        <f t="shared" si="1596"/>
        <v>0.21559633027522937</v>
      </c>
      <c r="R1466" s="109">
        <f t="shared" si="1597"/>
        <v>0</v>
      </c>
      <c r="S1466" s="109">
        <f t="shared" si="1598"/>
        <v>1.3761467889908258E-2</v>
      </c>
      <c r="T1466" s="109">
        <f t="shared" si="1599"/>
        <v>0</v>
      </c>
      <c r="U1466" s="110">
        <f t="shared" si="1600"/>
        <v>0.22935779816513763</v>
      </c>
      <c r="V1466" s="136"/>
    </row>
    <row r="1467" spans="2:25" ht="15.75" hidden="1" x14ac:dyDescent="0.2">
      <c r="B1467" s="711">
        <v>46182</v>
      </c>
      <c r="C1467" s="105" t="s">
        <v>12</v>
      </c>
      <c r="D1467" s="105" t="s">
        <v>133</v>
      </c>
      <c r="E1467" s="711">
        <v>46183</v>
      </c>
      <c r="G1467" s="831"/>
      <c r="H1467" s="120" t="s">
        <v>14</v>
      </c>
      <c r="I1467" s="120" t="s">
        <v>105</v>
      </c>
      <c r="J1467" s="106">
        <v>166</v>
      </c>
      <c r="K1467" s="106">
        <v>0</v>
      </c>
      <c r="L1467" s="106">
        <v>0</v>
      </c>
      <c r="M1467" s="106">
        <v>164</v>
      </c>
      <c r="N1467" s="106">
        <v>0</v>
      </c>
      <c r="O1467" s="106">
        <v>0</v>
      </c>
      <c r="P1467" s="106">
        <v>2</v>
      </c>
      <c r="Q1467" s="108">
        <f t="shared" si="1596"/>
        <v>0</v>
      </c>
      <c r="R1467" s="109">
        <f t="shared" si="1597"/>
        <v>0</v>
      </c>
      <c r="S1467" s="109">
        <f t="shared" si="1598"/>
        <v>1.2048192771084338E-2</v>
      </c>
      <c r="T1467" s="109">
        <f t="shared" si="1599"/>
        <v>0</v>
      </c>
      <c r="U1467" s="110">
        <f t="shared" si="1600"/>
        <v>1.2048192771084338E-2</v>
      </c>
      <c r="V1467" s="136"/>
    </row>
    <row r="1468" spans="2:25" s="97" customFormat="1" ht="16.5" hidden="1" customHeight="1" x14ac:dyDescent="0.2">
      <c r="B1468" s="711">
        <v>46182</v>
      </c>
      <c r="C1468" s="105" t="s">
        <v>12</v>
      </c>
      <c r="D1468" s="105" t="s">
        <v>133</v>
      </c>
      <c r="E1468" s="711">
        <v>46183</v>
      </c>
      <c r="F1468" s="89"/>
      <c r="G1468" s="190"/>
      <c r="H1468" s="840" t="s">
        <v>19</v>
      </c>
      <c r="I1468" s="841"/>
      <c r="J1468" s="113">
        <f>SUM(J1465:J1467)</f>
        <v>632</v>
      </c>
      <c r="K1468" s="113">
        <f t="shared" ref="K1468:P1468" si="1601">SUM(K1465:K1467)</f>
        <v>40</v>
      </c>
      <c r="L1468" s="113">
        <f t="shared" si="1601"/>
        <v>7</v>
      </c>
      <c r="M1468" s="113">
        <f t="shared" si="1601"/>
        <v>534</v>
      </c>
      <c r="N1468" s="113">
        <f t="shared" si="1601"/>
        <v>46</v>
      </c>
      <c r="O1468" s="113">
        <f t="shared" si="1601"/>
        <v>0</v>
      </c>
      <c r="P1468" s="113">
        <f t="shared" si="1601"/>
        <v>5</v>
      </c>
      <c r="Q1468" s="115">
        <f>(K1468+L1468)/J1468</f>
        <v>7.4367088607594931E-2</v>
      </c>
      <c r="R1468" s="116">
        <f t="shared" si="1597"/>
        <v>7.2784810126582278E-2</v>
      </c>
      <c r="S1468" s="116">
        <f t="shared" si="1598"/>
        <v>7.9113924050632917E-3</v>
      </c>
      <c r="T1468" s="116">
        <f t="shared" si="1599"/>
        <v>0</v>
      </c>
      <c r="U1468" s="117">
        <f t="shared" si="1600"/>
        <v>0.1550632911392405</v>
      </c>
      <c r="V1468" s="127"/>
      <c r="W1468" s="88"/>
      <c r="X1468" s="88"/>
      <c r="Y1468" s="118"/>
    </row>
    <row r="1469" spans="2:25" ht="15.75" hidden="1" x14ac:dyDescent="0.2">
      <c r="B1469" s="711">
        <v>46182</v>
      </c>
      <c r="C1469" s="105" t="s">
        <v>18</v>
      </c>
      <c r="D1469" s="105" t="s">
        <v>133</v>
      </c>
      <c r="E1469" s="711">
        <v>46183</v>
      </c>
      <c r="G1469" s="833">
        <v>46183</v>
      </c>
      <c r="H1469" s="120" t="s">
        <v>75</v>
      </c>
      <c r="I1469" s="120" t="s">
        <v>83</v>
      </c>
      <c r="J1469" s="106">
        <v>248</v>
      </c>
      <c r="K1469" s="106">
        <f>J1469-L1469-M1469-N1469-O1469-P1469</f>
        <v>98</v>
      </c>
      <c r="L1469" s="106">
        <v>28</v>
      </c>
      <c r="M1469" s="106">
        <f>119+2</f>
        <v>121</v>
      </c>
      <c r="N1469" s="106">
        <v>0</v>
      </c>
      <c r="O1469" s="106">
        <v>0</v>
      </c>
      <c r="P1469" s="106">
        <v>1</v>
      </c>
      <c r="Q1469" s="108">
        <f t="shared" ref="Q1469:Q1471" si="1602">(K1469+L1469)/J1469</f>
        <v>0.50806451612903225</v>
      </c>
      <c r="R1469" s="109">
        <f t="shared" ref="R1469:R1479" si="1603">N1469/J1469</f>
        <v>0</v>
      </c>
      <c r="S1469" s="109">
        <f t="shared" ref="S1469:S1479" si="1604">P1469/J1469</f>
        <v>4.0322580645161289E-3</v>
      </c>
      <c r="T1469" s="109">
        <f t="shared" ref="T1469:T1479" si="1605">O1469/J1469</f>
        <v>0</v>
      </c>
      <c r="U1469" s="110">
        <f t="shared" ref="U1469:U1479" si="1606">S1469+R1469+Q1469+T1469</f>
        <v>0.51209677419354838</v>
      </c>
      <c r="V1469" s="136"/>
    </row>
    <row r="1470" spans="2:25" ht="15.75" hidden="1" x14ac:dyDescent="0.2">
      <c r="B1470" s="711">
        <v>46182</v>
      </c>
      <c r="C1470" s="105" t="s">
        <v>18</v>
      </c>
      <c r="D1470" s="105" t="s">
        <v>133</v>
      </c>
      <c r="E1470" s="711">
        <v>46183</v>
      </c>
      <c r="G1470" s="834"/>
      <c r="H1470" s="120" t="s">
        <v>17</v>
      </c>
      <c r="I1470" s="120" t="s">
        <v>106</v>
      </c>
      <c r="J1470" s="106">
        <v>218</v>
      </c>
      <c r="K1470" s="106">
        <f t="shared" ref="K1470:K1471" si="1607">J1470-L1470-M1470-N1470-O1470-P1470</f>
        <v>112</v>
      </c>
      <c r="L1470" s="106">
        <v>23</v>
      </c>
      <c r="M1470" s="106">
        <v>68</v>
      </c>
      <c r="N1470" s="106">
        <v>0</v>
      </c>
      <c r="O1470" s="106">
        <v>0</v>
      </c>
      <c r="P1470" s="106">
        <v>15</v>
      </c>
      <c r="Q1470" s="108">
        <f t="shared" si="1602"/>
        <v>0.61926605504587151</v>
      </c>
      <c r="R1470" s="109">
        <f t="shared" si="1603"/>
        <v>0</v>
      </c>
      <c r="S1470" s="109">
        <f t="shared" si="1604"/>
        <v>6.8807339449541288E-2</v>
      </c>
      <c r="T1470" s="109">
        <f t="shared" si="1605"/>
        <v>0</v>
      </c>
      <c r="U1470" s="110">
        <f t="shared" si="1606"/>
        <v>0.68807339449541283</v>
      </c>
      <c r="V1470" s="136"/>
    </row>
    <row r="1471" spans="2:25" ht="15.75" hidden="1" x14ac:dyDescent="0.2">
      <c r="B1471" s="711">
        <v>46182</v>
      </c>
      <c r="C1471" s="105" t="s">
        <v>18</v>
      </c>
      <c r="D1471" s="105" t="s">
        <v>133</v>
      </c>
      <c r="E1471" s="711">
        <v>46183</v>
      </c>
      <c r="G1471" s="834"/>
      <c r="H1471" s="120" t="s">
        <v>14</v>
      </c>
      <c r="I1471" s="120" t="s">
        <v>105</v>
      </c>
      <c r="J1471" s="106">
        <v>166</v>
      </c>
      <c r="K1471" s="106">
        <f t="shared" si="1607"/>
        <v>0</v>
      </c>
      <c r="L1471" s="106">
        <v>0</v>
      </c>
      <c r="M1471" s="106">
        <v>166</v>
      </c>
      <c r="N1471" s="106">
        <v>0</v>
      </c>
      <c r="O1471" s="106">
        <v>0</v>
      </c>
      <c r="P1471" s="106">
        <v>0</v>
      </c>
      <c r="Q1471" s="108">
        <f t="shared" si="1602"/>
        <v>0</v>
      </c>
      <c r="R1471" s="109">
        <f t="shared" si="1603"/>
        <v>0</v>
      </c>
      <c r="S1471" s="109">
        <f t="shared" si="1604"/>
        <v>0</v>
      </c>
      <c r="T1471" s="109">
        <f t="shared" si="1605"/>
        <v>0</v>
      </c>
      <c r="U1471" s="110">
        <f t="shared" si="1606"/>
        <v>0</v>
      </c>
      <c r="V1471" s="136"/>
    </row>
    <row r="1472" spans="2:25" ht="15.75" hidden="1" x14ac:dyDescent="0.2">
      <c r="B1472" s="711">
        <v>46182</v>
      </c>
      <c r="C1472" s="105" t="s">
        <v>18</v>
      </c>
      <c r="D1472" s="105" t="s">
        <v>133</v>
      </c>
      <c r="E1472" s="711">
        <v>46183</v>
      </c>
      <c r="G1472" s="190"/>
      <c r="H1472" s="840" t="s">
        <v>19</v>
      </c>
      <c r="I1472" s="841"/>
      <c r="J1472" s="113">
        <f>SUM(J1469:J1471)</f>
        <v>632</v>
      </c>
      <c r="K1472" s="113">
        <f t="shared" ref="K1472:P1472" si="1608">SUM(K1469:K1471)</f>
        <v>210</v>
      </c>
      <c r="L1472" s="113">
        <f t="shared" si="1608"/>
        <v>51</v>
      </c>
      <c r="M1472" s="113">
        <f t="shared" si="1608"/>
        <v>355</v>
      </c>
      <c r="N1472" s="113">
        <f t="shared" si="1608"/>
        <v>0</v>
      </c>
      <c r="O1472" s="113">
        <f t="shared" si="1608"/>
        <v>0</v>
      </c>
      <c r="P1472" s="113">
        <f t="shared" si="1608"/>
        <v>16</v>
      </c>
      <c r="Q1472" s="115">
        <f>(K1472+L1472)/J1472</f>
        <v>0.41297468354430378</v>
      </c>
      <c r="R1472" s="116">
        <f t="shared" si="1603"/>
        <v>0</v>
      </c>
      <c r="S1472" s="116">
        <f t="shared" si="1604"/>
        <v>2.5316455696202531E-2</v>
      </c>
      <c r="T1472" s="116">
        <f t="shared" si="1605"/>
        <v>0</v>
      </c>
      <c r="U1472" s="117">
        <f t="shared" si="1606"/>
        <v>0.43829113924050633</v>
      </c>
      <c r="V1472" s="127"/>
    </row>
    <row r="1473" spans="2:25" ht="15.75" hidden="1" x14ac:dyDescent="0.2">
      <c r="B1473" s="711">
        <v>46183</v>
      </c>
      <c r="C1473" s="105" t="s">
        <v>105</v>
      </c>
      <c r="D1473" s="105" t="s">
        <v>129</v>
      </c>
      <c r="E1473" s="711">
        <v>46183</v>
      </c>
      <c r="G1473" s="833">
        <v>46182</v>
      </c>
      <c r="H1473" s="120" t="s">
        <v>75</v>
      </c>
      <c r="I1473" s="120" t="s">
        <v>83</v>
      </c>
      <c r="J1473" s="106">
        <f>SUM(K1473:P1473)</f>
        <v>120</v>
      </c>
      <c r="K1473" s="106">
        <v>57</v>
      </c>
      <c r="L1473" s="106">
        <v>36</v>
      </c>
      <c r="M1473" s="106">
        <v>7</v>
      </c>
      <c r="N1473" s="106">
        <v>0</v>
      </c>
      <c r="O1473" s="106">
        <v>20</v>
      </c>
      <c r="P1473" s="106">
        <v>0</v>
      </c>
      <c r="Q1473" s="108">
        <f t="shared" ref="Q1473:Q1478" si="1609">(K1473+L1473)/J1473</f>
        <v>0.77500000000000002</v>
      </c>
      <c r="R1473" s="109">
        <f t="shared" si="1603"/>
        <v>0</v>
      </c>
      <c r="S1473" s="109">
        <f t="shared" si="1604"/>
        <v>0</v>
      </c>
      <c r="T1473" s="109">
        <f t="shared" si="1605"/>
        <v>0.16666666666666666</v>
      </c>
      <c r="U1473" s="110">
        <f t="shared" si="1606"/>
        <v>0.94166666666666665</v>
      </c>
      <c r="V1473" s="136"/>
    </row>
    <row r="1474" spans="2:25" ht="15.75" hidden="1" x14ac:dyDescent="0.2">
      <c r="B1474" s="711">
        <v>46183</v>
      </c>
      <c r="C1474" s="105" t="s">
        <v>105</v>
      </c>
      <c r="D1474" s="105" t="s">
        <v>129</v>
      </c>
      <c r="E1474" s="711">
        <v>46183</v>
      </c>
      <c r="G1474" s="834"/>
      <c r="H1474" s="120" t="s">
        <v>17</v>
      </c>
      <c r="I1474" s="120" t="s">
        <v>106</v>
      </c>
      <c r="J1474" s="106">
        <f>SUM(K1474:P1474)</f>
        <v>97</v>
      </c>
      <c r="K1474" s="106">
        <v>39</v>
      </c>
      <c r="L1474" s="106">
        <v>25</v>
      </c>
      <c r="M1474" s="106">
        <v>0</v>
      </c>
      <c r="N1474" s="106">
        <v>0</v>
      </c>
      <c r="O1474" s="106">
        <v>30</v>
      </c>
      <c r="P1474" s="106">
        <v>3</v>
      </c>
      <c r="Q1474" s="108">
        <f t="shared" si="1609"/>
        <v>0.65979381443298968</v>
      </c>
      <c r="R1474" s="109">
        <f t="shared" si="1603"/>
        <v>0</v>
      </c>
      <c r="S1474" s="109">
        <f t="shared" si="1604"/>
        <v>3.0927835051546393E-2</v>
      </c>
      <c r="T1474" s="109">
        <f t="shared" si="1605"/>
        <v>0.30927835051546393</v>
      </c>
      <c r="U1474" s="110">
        <f t="shared" si="1606"/>
        <v>1</v>
      </c>
      <c r="V1474" s="136"/>
    </row>
    <row r="1475" spans="2:25" ht="15.75" hidden="1" x14ac:dyDescent="0.2">
      <c r="B1475" s="711">
        <v>46183</v>
      </c>
      <c r="C1475" s="105" t="s">
        <v>105</v>
      </c>
      <c r="D1475" s="105" t="s">
        <v>129</v>
      </c>
      <c r="E1475" s="711">
        <v>46183</v>
      </c>
      <c r="G1475" s="835"/>
      <c r="H1475" s="120" t="s">
        <v>14</v>
      </c>
      <c r="I1475" s="120" t="s">
        <v>105</v>
      </c>
      <c r="J1475" s="106">
        <v>166</v>
      </c>
      <c r="K1475" s="106">
        <v>107</v>
      </c>
      <c r="L1475" s="106">
        <v>24</v>
      </c>
      <c r="M1475" s="106">
        <v>20</v>
      </c>
      <c r="N1475" s="106">
        <v>0</v>
      </c>
      <c r="O1475" s="106">
        <v>12</v>
      </c>
      <c r="P1475" s="106">
        <v>2</v>
      </c>
      <c r="Q1475" s="108">
        <f t="shared" si="1609"/>
        <v>0.78915662650602414</v>
      </c>
      <c r="R1475" s="109">
        <f t="shared" si="1603"/>
        <v>0</v>
      </c>
      <c r="S1475" s="109">
        <f t="shared" si="1604"/>
        <v>1.2048192771084338E-2</v>
      </c>
      <c r="T1475" s="109">
        <f t="shared" si="1605"/>
        <v>7.2289156626506021E-2</v>
      </c>
      <c r="U1475" s="110">
        <f t="shared" si="1606"/>
        <v>0.87349397590361455</v>
      </c>
      <c r="V1475" s="136"/>
    </row>
    <row r="1476" spans="2:25" ht="15.75" hidden="1" x14ac:dyDescent="0.2">
      <c r="B1476" s="711">
        <v>46183</v>
      </c>
      <c r="C1476" s="105" t="s">
        <v>105</v>
      </c>
      <c r="D1476" s="105" t="s">
        <v>129</v>
      </c>
      <c r="E1476" s="711">
        <v>46184</v>
      </c>
      <c r="G1476" s="830">
        <v>46183</v>
      </c>
      <c r="H1476" s="120" t="s">
        <v>75</v>
      </c>
      <c r="I1476" s="120" t="s">
        <v>83</v>
      </c>
      <c r="J1476" s="106">
        <v>233</v>
      </c>
      <c r="K1476" s="106">
        <v>0</v>
      </c>
      <c r="L1476" s="106">
        <v>0</v>
      </c>
      <c r="M1476" s="106">
        <v>202</v>
      </c>
      <c r="N1476" s="106">
        <v>0</v>
      </c>
      <c r="O1476" s="106">
        <v>20</v>
      </c>
      <c r="P1476" s="106">
        <v>1</v>
      </c>
      <c r="Q1476" s="108">
        <f t="shared" si="1609"/>
        <v>0</v>
      </c>
      <c r="R1476" s="109">
        <f t="shared" si="1603"/>
        <v>0</v>
      </c>
      <c r="S1476" s="109">
        <f t="shared" si="1604"/>
        <v>4.2918454935622317E-3</v>
      </c>
      <c r="T1476" s="109">
        <f t="shared" si="1605"/>
        <v>8.5836909871244635E-2</v>
      </c>
      <c r="U1476" s="110">
        <f t="shared" si="1606"/>
        <v>9.012875536480687E-2</v>
      </c>
      <c r="V1476" s="296"/>
    </row>
    <row r="1477" spans="2:25" ht="15.75" hidden="1" x14ac:dyDescent="0.2">
      <c r="B1477" s="711">
        <v>46183</v>
      </c>
      <c r="C1477" s="105" t="s">
        <v>105</v>
      </c>
      <c r="D1477" s="105" t="s">
        <v>129</v>
      </c>
      <c r="E1477" s="711">
        <v>46184</v>
      </c>
      <c r="G1477" s="831"/>
      <c r="H1477" s="120" t="s">
        <v>17</v>
      </c>
      <c r="I1477" s="120" t="s">
        <v>106</v>
      </c>
      <c r="J1477" s="106">
        <v>215</v>
      </c>
      <c r="K1477" s="106">
        <v>0</v>
      </c>
      <c r="L1477" s="106">
        <v>0</v>
      </c>
      <c r="M1477" s="106">
        <f>215-33</f>
        <v>182</v>
      </c>
      <c r="N1477" s="106">
        <v>0</v>
      </c>
      <c r="O1477" s="106">
        <v>30</v>
      </c>
      <c r="P1477" s="106">
        <v>3</v>
      </c>
      <c r="Q1477" s="108">
        <f t="shared" si="1609"/>
        <v>0</v>
      </c>
      <c r="R1477" s="109">
        <f t="shared" si="1603"/>
        <v>0</v>
      </c>
      <c r="S1477" s="109">
        <f t="shared" si="1604"/>
        <v>1.3953488372093023E-2</v>
      </c>
      <c r="T1477" s="109">
        <f t="shared" si="1605"/>
        <v>0.13953488372093023</v>
      </c>
      <c r="U1477" s="110">
        <f t="shared" si="1606"/>
        <v>0.15348837209302324</v>
      </c>
      <c r="V1477" s="296"/>
    </row>
    <row r="1478" spans="2:25" ht="15.75" hidden="1" x14ac:dyDescent="0.2">
      <c r="B1478" s="711">
        <v>46183</v>
      </c>
      <c r="C1478" s="105" t="s">
        <v>105</v>
      </c>
      <c r="D1478" s="105" t="s">
        <v>129</v>
      </c>
      <c r="E1478" s="711">
        <v>46184</v>
      </c>
      <c r="G1478" s="832"/>
      <c r="H1478" s="120" t="s">
        <v>14</v>
      </c>
      <c r="I1478" s="120" t="s">
        <v>105</v>
      </c>
      <c r="J1478" s="106">
        <v>192</v>
      </c>
      <c r="K1478" s="106">
        <v>0</v>
      </c>
      <c r="L1478" s="106">
        <v>0</v>
      </c>
      <c r="M1478" s="106">
        <f>192-12</f>
        <v>180</v>
      </c>
      <c r="N1478" s="106">
        <v>0</v>
      </c>
      <c r="O1478" s="106">
        <v>12</v>
      </c>
      <c r="P1478" s="106">
        <v>0</v>
      </c>
      <c r="Q1478" s="108">
        <f t="shared" si="1609"/>
        <v>0</v>
      </c>
      <c r="R1478" s="109">
        <f t="shared" si="1603"/>
        <v>0</v>
      </c>
      <c r="S1478" s="109">
        <f t="shared" si="1604"/>
        <v>0</v>
      </c>
      <c r="T1478" s="109">
        <f t="shared" si="1605"/>
        <v>6.25E-2</v>
      </c>
      <c r="U1478" s="110">
        <f t="shared" si="1606"/>
        <v>6.25E-2</v>
      </c>
      <c r="V1478" s="296"/>
    </row>
    <row r="1479" spans="2:25" s="97" customFormat="1" ht="16.5" hidden="1" customHeight="1" x14ac:dyDescent="0.2">
      <c r="B1479" s="711">
        <v>46183</v>
      </c>
      <c r="C1479" s="105" t="s">
        <v>105</v>
      </c>
      <c r="D1479" s="105" t="s">
        <v>129</v>
      </c>
      <c r="E1479" s="711">
        <v>46183</v>
      </c>
      <c r="F1479" s="89"/>
      <c r="G1479" s="190"/>
      <c r="H1479" s="840" t="s">
        <v>19</v>
      </c>
      <c r="I1479" s="841"/>
      <c r="J1479" s="113">
        <f t="shared" ref="J1479:P1479" si="1610">SUM(J1473:J1478)</f>
        <v>1023</v>
      </c>
      <c r="K1479" s="113">
        <f t="shared" si="1610"/>
        <v>203</v>
      </c>
      <c r="L1479" s="113">
        <f t="shared" si="1610"/>
        <v>85</v>
      </c>
      <c r="M1479" s="113">
        <f t="shared" si="1610"/>
        <v>591</v>
      </c>
      <c r="N1479" s="113">
        <f t="shared" si="1610"/>
        <v>0</v>
      </c>
      <c r="O1479" s="113">
        <f t="shared" si="1610"/>
        <v>124</v>
      </c>
      <c r="P1479" s="113">
        <f t="shared" si="1610"/>
        <v>9</v>
      </c>
      <c r="Q1479" s="115">
        <f>(K1479+L1479)/J1479</f>
        <v>0.28152492668621704</v>
      </c>
      <c r="R1479" s="116">
        <f t="shared" si="1603"/>
        <v>0</v>
      </c>
      <c r="S1479" s="116">
        <f t="shared" si="1604"/>
        <v>8.7976539589442824E-3</v>
      </c>
      <c r="T1479" s="116">
        <f t="shared" si="1605"/>
        <v>0.12121212121212122</v>
      </c>
      <c r="U1479" s="117">
        <f t="shared" si="1606"/>
        <v>0.41153470185728253</v>
      </c>
      <c r="V1479" s="127"/>
      <c r="W1479" s="88"/>
      <c r="X1479" s="88"/>
      <c r="Y1479" s="118"/>
    </row>
    <row r="1480" spans="2:25" ht="15.75" hidden="1" x14ac:dyDescent="0.2">
      <c r="B1480" s="711">
        <v>46183</v>
      </c>
      <c r="C1480" s="105" t="s">
        <v>12</v>
      </c>
      <c r="D1480" s="105" t="s">
        <v>133</v>
      </c>
      <c r="E1480" s="711">
        <v>46183</v>
      </c>
      <c r="G1480" s="833">
        <v>46183</v>
      </c>
      <c r="H1480" s="120" t="s">
        <v>75</v>
      </c>
      <c r="I1480" s="120" t="s">
        <v>83</v>
      </c>
      <c r="J1480" s="106">
        <v>233</v>
      </c>
      <c r="K1480" s="106">
        <f>233-98</f>
        <v>135</v>
      </c>
      <c r="L1480" s="106">
        <v>75</v>
      </c>
      <c r="M1480" s="106">
        <v>3</v>
      </c>
      <c r="N1480" s="106">
        <v>0</v>
      </c>
      <c r="O1480" s="106">
        <v>20</v>
      </c>
      <c r="P1480" s="106">
        <v>0</v>
      </c>
      <c r="Q1480" s="108">
        <f t="shared" ref="Q1480:Q1482" si="1611">(K1480+L1480)/J1480</f>
        <v>0.90128755364806867</v>
      </c>
      <c r="R1480" s="109">
        <f t="shared" ref="R1480:R1483" si="1612">N1480/J1480</f>
        <v>0</v>
      </c>
      <c r="S1480" s="109">
        <f t="shared" ref="S1480:S1483" si="1613">P1480/J1480</f>
        <v>0</v>
      </c>
      <c r="T1480" s="109">
        <f t="shared" ref="T1480:T1483" si="1614">O1480/J1480</f>
        <v>8.5836909871244635E-2</v>
      </c>
      <c r="U1480" s="110">
        <f t="shared" ref="U1480:U1483" si="1615">S1480+R1480+Q1480+T1480</f>
        <v>0.98712446351931327</v>
      </c>
      <c r="V1480" s="136"/>
    </row>
    <row r="1481" spans="2:25" ht="15.75" hidden="1" x14ac:dyDescent="0.2">
      <c r="B1481" s="711">
        <v>46183</v>
      </c>
      <c r="C1481" s="105" t="s">
        <v>12</v>
      </c>
      <c r="D1481" s="105" t="s">
        <v>133</v>
      </c>
      <c r="E1481" s="711">
        <v>46183</v>
      </c>
      <c r="G1481" s="834"/>
      <c r="H1481" s="120" t="s">
        <v>17</v>
      </c>
      <c r="I1481" s="120" t="s">
        <v>106</v>
      </c>
      <c r="J1481" s="106">
        <v>215</v>
      </c>
      <c r="K1481" s="106">
        <f>215-68</f>
        <v>147</v>
      </c>
      <c r="L1481" s="106">
        <v>34</v>
      </c>
      <c r="M1481" s="106">
        <v>6</v>
      </c>
      <c r="N1481" s="106">
        <v>0</v>
      </c>
      <c r="O1481" s="106">
        <v>25</v>
      </c>
      <c r="P1481" s="106">
        <v>3</v>
      </c>
      <c r="Q1481" s="108">
        <f t="shared" si="1611"/>
        <v>0.8418604651162791</v>
      </c>
      <c r="R1481" s="109">
        <f t="shared" si="1612"/>
        <v>0</v>
      </c>
      <c r="S1481" s="109">
        <f t="shared" si="1613"/>
        <v>1.3953488372093023E-2</v>
      </c>
      <c r="T1481" s="109">
        <f t="shared" si="1614"/>
        <v>0.11627906976744186</v>
      </c>
      <c r="U1481" s="110">
        <f t="shared" si="1615"/>
        <v>0.97209302325581393</v>
      </c>
      <c r="V1481" s="136"/>
    </row>
    <row r="1482" spans="2:25" ht="15.75" hidden="1" x14ac:dyDescent="0.2">
      <c r="B1482" s="711">
        <v>46183</v>
      </c>
      <c r="C1482" s="105" t="s">
        <v>12</v>
      </c>
      <c r="D1482" s="105" t="s">
        <v>133</v>
      </c>
      <c r="E1482" s="711">
        <v>46183</v>
      </c>
      <c r="G1482" s="834"/>
      <c r="H1482" s="120" t="s">
        <v>14</v>
      </c>
      <c r="I1482" s="120" t="s">
        <v>105</v>
      </c>
      <c r="J1482" s="106">
        <v>192</v>
      </c>
      <c r="K1482" s="106">
        <f>192-35</f>
        <v>157</v>
      </c>
      <c r="L1482" s="106">
        <v>21</v>
      </c>
      <c r="M1482" s="106">
        <v>4</v>
      </c>
      <c r="N1482" s="106">
        <v>0</v>
      </c>
      <c r="O1482" s="106">
        <v>10</v>
      </c>
      <c r="P1482" s="106">
        <v>0</v>
      </c>
      <c r="Q1482" s="108">
        <f t="shared" si="1611"/>
        <v>0.92708333333333337</v>
      </c>
      <c r="R1482" s="109">
        <f t="shared" si="1612"/>
        <v>0</v>
      </c>
      <c r="S1482" s="109">
        <f t="shared" si="1613"/>
        <v>0</v>
      </c>
      <c r="T1482" s="109">
        <f t="shared" si="1614"/>
        <v>5.2083333333333336E-2</v>
      </c>
      <c r="U1482" s="110">
        <f t="shared" si="1615"/>
        <v>0.97916666666666674</v>
      </c>
      <c r="V1482" s="136"/>
    </row>
    <row r="1483" spans="2:25" s="97" customFormat="1" ht="16.5" hidden="1" customHeight="1" x14ac:dyDescent="0.2">
      <c r="B1483" s="711">
        <v>46183</v>
      </c>
      <c r="C1483" s="105" t="s">
        <v>12</v>
      </c>
      <c r="D1483" s="105" t="s">
        <v>133</v>
      </c>
      <c r="E1483" s="711">
        <v>46183</v>
      </c>
      <c r="F1483" s="89"/>
      <c r="G1483" s="190"/>
      <c r="H1483" s="840" t="s">
        <v>19</v>
      </c>
      <c r="I1483" s="841"/>
      <c r="J1483" s="113">
        <f t="shared" ref="J1483:P1483" si="1616">SUM(J1480:J1482)</f>
        <v>640</v>
      </c>
      <c r="K1483" s="113">
        <f t="shared" si="1616"/>
        <v>439</v>
      </c>
      <c r="L1483" s="113">
        <f t="shared" si="1616"/>
        <v>130</v>
      </c>
      <c r="M1483" s="113">
        <f t="shared" si="1616"/>
        <v>13</v>
      </c>
      <c r="N1483" s="113">
        <f t="shared" si="1616"/>
        <v>0</v>
      </c>
      <c r="O1483" s="113">
        <f t="shared" si="1616"/>
        <v>55</v>
      </c>
      <c r="P1483" s="113">
        <f t="shared" si="1616"/>
        <v>3</v>
      </c>
      <c r="Q1483" s="115">
        <f>(K1483+L1483)/J1483</f>
        <v>0.88906249999999998</v>
      </c>
      <c r="R1483" s="116">
        <f t="shared" si="1612"/>
        <v>0</v>
      </c>
      <c r="S1483" s="116">
        <f t="shared" si="1613"/>
        <v>4.6874999999999998E-3</v>
      </c>
      <c r="T1483" s="116">
        <f t="shared" si="1614"/>
        <v>8.59375E-2</v>
      </c>
      <c r="U1483" s="117">
        <f t="shared" si="1615"/>
        <v>0.97968749999999993</v>
      </c>
      <c r="V1483" s="127"/>
      <c r="W1483" s="88"/>
      <c r="X1483" s="88"/>
      <c r="Y1483" s="118"/>
    </row>
    <row r="1484" spans="2:25" ht="15.75" hidden="1" x14ac:dyDescent="0.2">
      <c r="B1484" s="711">
        <v>46183</v>
      </c>
      <c r="C1484" s="105" t="s">
        <v>12</v>
      </c>
      <c r="D1484" s="105" t="s">
        <v>133</v>
      </c>
      <c r="E1484" s="711">
        <v>46184</v>
      </c>
      <c r="G1484" s="833">
        <v>46184</v>
      </c>
      <c r="H1484" s="120" t="s">
        <v>75</v>
      </c>
      <c r="I1484" s="120" t="s">
        <v>83</v>
      </c>
      <c r="J1484" s="106">
        <v>233</v>
      </c>
      <c r="K1484" s="106">
        <v>0</v>
      </c>
      <c r="L1484" s="106">
        <v>0</v>
      </c>
      <c r="M1484" s="106">
        <v>232</v>
      </c>
      <c r="N1484" s="106">
        <v>0</v>
      </c>
      <c r="O1484" s="106">
        <v>0</v>
      </c>
      <c r="P1484" s="106">
        <v>1</v>
      </c>
      <c r="Q1484" s="108">
        <f t="shared" ref="Q1484:Q1486" si="1617">(K1484+L1484)/J1484</f>
        <v>0</v>
      </c>
      <c r="R1484" s="109">
        <f t="shared" ref="R1484:R1487" si="1618">N1484/J1484</f>
        <v>0</v>
      </c>
      <c r="S1484" s="109">
        <f t="shared" ref="S1484:S1487" si="1619">P1484/J1484</f>
        <v>4.2918454935622317E-3</v>
      </c>
      <c r="T1484" s="109">
        <f t="shared" ref="T1484:T1487" si="1620">O1484/J1484</f>
        <v>0</v>
      </c>
      <c r="U1484" s="110">
        <f t="shared" ref="U1484:U1487" si="1621">S1484+R1484+Q1484+T1484</f>
        <v>4.2918454935622317E-3</v>
      </c>
      <c r="V1484" s="136"/>
    </row>
    <row r="1485" spans="2:25" ht="15.75" hidden="1" x14ac:dyDescent="0.2">
      <c r="B1485" s="711">
        <v>46183</v>
      </c>
      <c r="C1485" s="105" t="s">
        <v>12</v>
      </c>
      <c r="D1485" s="105" t="s">
        <v>133</v>
      </c>
      <c r="E1485" s="711">
        <v>46184</v>
      </c>
      <c r="G1485" s="834"/>
      <c r="H1485" s="120" t="s">
        <v>17</v>
      </c>
      <c r="I1485" s="120" t="s">
        <v>106</v>
      </c>
      <c r="J1485" s="106">
        <v>214</v>
      </c>
      <c r="K1485" s="106">
        <v>59</v>
      </c>
      <c r="L1485" s="106">
        <v>10</v>
      </c>
      <c r="M1485" s="106">
        <v>116</v>
      </c>
      <c r="N1485" s="106">
        <v>0</v>
      </c>
      <c r="O1485" s="106">
        <v>26</v>
      </c>
      <c r="P1485" s="106">
        <v>3</v>
      </c>
      <c r="Q1485" s="108">
        <f t="shared" si="1617"/>
        <v>0.32242990654205606</v>
      </c>
      <c r="R1485" s="109">
        <f t="shared" si="1618"/>
        <v>0</v>
      </c>
      <c r="S1485" s="109">
        <f t="shared" si="1619"/>
        <v>1.4018691588785047E-2</v>
      </c>
      <c r="T1485" s="109">
        <f t="shared" si="1620"/>
        <v>0.12149532710280374</v>
      </c>
      <c r="U1485" s="110">
        <f t="shared" si="1621"/>
        <v>0.45794392523364486</v>
      </c>
      <c r="V1485" s="136"/>
    </row>
    <row r="1486" spans="2:25" ht="15.75" hidden="1" x14ac:dyDescent="0.2">
      <c r="B1486" s="711">
        <v>46183</v>
      </c>
      <c r="C1486" s="105" t="s">
        <v>12</v>
      </c>
      <c r="D1486" s="105" t="s">
        <v>133</v>
      </c>
      <c r="E1486" s="711">
        <v>46184</v>
      </c>
      <c r="G1486" s="834"/>
      <c r="H1486" s="120" t="s">
        <v>14</v>
      </c>
      <c r="I1486" s="120" t="s">
        <v>105</v>
      </c>
      <c r="J1486" s="106">
        <v>192</v>
      </c>
      <c r="K1486" s="106">
        <v>0</v>
      </c>
      <c r="L1486" s="106">
        <v>0</v>
      </c>
      <c r="M1486" s="106">
        <v>192</v>
      </c>
      <c r="N1486" s="106">
        <v>0</v>
      </c>
      <c r="O1486" s="106">
        <v>10</v>
      </c>
      <c r="P1486" s="106">
        <v>1</v>
      </c>
      <c r="Q1486" s="108">
        <f t="shared" si="1617"/>
        <v>0</v>
      </c>
      <c r="R1486" s="109">
        <f t="shared" si="1618"/>
        <v>0</v>
      </c>
      <c r="S1486" s="109">
        <f t="shared" si="1619"/>
        <v>5.208333333333333E-3</v>
      </c>
      <c r="T1486" s="109">
        <f t="shared" si="1620"/>
        <v>5.2083333333333336E-2</v>
      </c>
      <c r="U1486" s="110">
        <f t="shared" si="1621"/>
        <v>5.7291666666666671E-2</v>
      </c>
      <c r="V1486" s="136"/>
    </row>
    <row r="1487" spans="2:25" s="97" customFormat="1" ht="16.5" hidden="1" customHeight="1" x14ac:dyDescent="0.2">
      <c r="B1487" s="711">
        <v>46183</v>
      </c>
      <c r="C1487" s="105" t="s">
        <v>12</v>
      </c>
      <c r="D1487" s="105" t="s">
        <v>133</v>
      </c>
      <c r="E1487" s="711">
        <v>46184</v>
      </c>
      <c r="F1487" s="89"/>
      <c r="G1487" s="190"/>
      <c r="H1487" s="840" t="s">
        <v>19</v>
      </c>
      <c r="I1487" s="841"/>
      <c r="J1487" s="113">
        <f t="shared" ref="J1487:P1487" si="1622">SUM(J1484:J1486)</f>
        <v>639</v>
      </c>
      <c r="K1487" s="113">
        <f t="shared" si="1622"/>
        <v>59</v>
      </c>
      <c r="L1487" s="113">
        <f t="shared" si="1622"/>
        <v>10</v>
      </c>
      <c r="M1487" s="113">
        <f t="shared" si="1622"/>
        <v>540</v>
      </c>
      <c r="N1487" s="113">
        <f t="shared" si="1622"/>
        <v>0</v>
      </c>
      <c r="O1487" s="113">
        <f t="shared" si="1622"/>
        <v>36</v>
      </c>
      <c r="P1487" s="113">
        <f t="shared" si="1622"/>
        <v>5</v>
      </c>
      <c r="Q1487" s="115">
        <f>(K1487+L1487)/J1487</f>
        <v>0.107981220657277</v>
      </c>
      <c r="R1487" s="116">
        <f t="shared" si="1618"/>
        <v>0</v>
      </c>
      <c r="S1487" s="116">
        <f t="shared" si="1619"/>
        <v>7.8247261345852897E-3</v>
      </c>
      <c r="T1487" s="116">
        <f t="shared" si="1620"/>
        <v>5.6338028169014086E-2</v>
      </c>
      <c r="U1487" s="117">
        <f t="shared" si="1621"/>
        <v>0.17214397496087638</v>
      </c>
      <c r="V1487" s="127"/>
      <c r="W1487" s="88"/>
      <c r="X1487" s="88"/>
      <c r="Y1487" s="118"/>
    </row>
    <row r="1488" spans="2:25" ht="15.75" hidden="1" x14ac:dyDescent="0.2">
      <c r="B1488" s="711">
        <v>46183</v>
      </c>
      <c r="C1488" s="105" t="s">
        <v>18</v>
      </c>
      <c r="D1488" s="105" t="s">
        <v>133</v>
      </c>
      <c r="E1488" s="711">
        <v>46184</v>
      </c>
      <c r="G1488" s="833">
        <v>46184</v>
      </c>
      <c r="H1488" s="120" t="s">
        <v>75</v>
      </c>
      <c r="I1488" s="120" t="s">
        <v>83</v>
      </c>
      <c r="J1488" s="106">
        <v>233</v>
      </c>
      <c r="K1488" s="106">
        <f>J1488-L1488-M1488-N1488-O1488-P1488</f>
        <v>159</v>
      </c>
      <c r="L1488" s="106">
        <v>0</v>
      </c>
      <c r="M1488" s="106">
        <v>73</v>
      </c>
      <c r="N1488" s="106">
        <v>0</v>
      </c>
      <c r="O1488" s="106">
        <v>0</v>
      </c>
      <c r="P1488" s="106">
        <v>1</v>
      </c>
      <c r="Q1488" s="108">
        <f t="shared" ref="Q1488:Q1490" si="1623">(K1488+L1488)/J1488</f>
        <v>0.68240343347639487</v>
      </c>
      <c r="R1488" s="109">
        <f t="shared" ref="R1488:R1496" si="1624">N1488/J1488</f>
        <v>0</v>
      </c>
      <c r="S1488" s="109">
        <f t="shared" ref="S1488:S1496" si="1625">P1488/J1488</f>
        <v>4.2918454935622317E-3</v>
      </c>
      <c r="T1488" s="109">
        <f t="shared" ref="T1488:T1496" si="1626">O1488/J1488</f>
        <v>0</v>
      </c>
      <c r="U1488" s="110">
        <f t="shared" ref="U1488:U1496" si="1627">S1488+R1488+Q1488+T1488</f>
        <v>0.68669527896995708</v>
      </c>
      <c r="V1488" s="136"/>
    </row>
    <row r="1489" spans="2:25" ht="15.75" hidden="1" x14ac:dyDescent="0.2">
      <c r="B1489" s="711">
        <v>46183</v>
      </c>
      <c r="C1489" s="105" t="s">
        <v>18</v>
      </c>
      <c r="D1489" s="105" t="s">
        <v>133</v>
      </c>
      <c r="E1489" s="711">
        <v>46184</v>
      </c>
      <c r="G1489" s="834"/>
      <c r="H1489" s="120" t="s">
        <v>17</v>
      </c>
      <c r="I1489" s="120" t="s">
        <v>106</v>
      </c>
      <c r="J1489" s="106">
        <v>214</v>
      </c>
      <c r="K1489" s="106">
        <f t="shared" ref="K1489:K1490" si="1628">J1489-L1489-M1489-N1489-O1489-P1489</f>
        <v>139</v>
      </c>
      <c r="L1489" s="106">
        <v>36</v>
      </c>
      <c r="M1489" s="106">
        <v>36</v>
      </c>
      <c r="N1489" s="106">
        <v>0</v>
      </c>
      <c r="O1489" s="106">
        <v>0</v>
      </c>
      <c r="P1489" s="106">
        <v>3</v>
      </c>
      <c r="Q1489" s="108">
        <f t="shared" si="1623"/>
        <v>0.81775700934579443</v>
      </c>
      <c r="R1489" s="109">
        <f t="shared" si="1624"/>
        <v>0</v>
      </c>
      <c r="S1489" s="109">
        <f t="shared" si="1625"/>
        <v>1.4018691588785047E-2</v>
      </c>
      <c r="T1489" s="109">
        <f t="shared" si="1626"/>
        <v>0</v>
      </c>
      <c r="U1489" s="110">
        <f t="shared" si="1627"/>
        <v>0.83177570093457942</v>
      </c>
      <c r="V1489" s="136"/>
    </row>
    <row r="1490" spans="2:25" ht="15.75" hidden="1" x14ac:dyDescent="0.2">
      <c r="B1490" s="711">
        <v>46183</v>
      </c>
      <c r="C1490" s="105" t="s">
        <v>18</v>
      </c>
      <c r="D1490" s="105" t="s">
        <v>133</v>
      </c>
      <c r="E1490" s="711">
        <v>46184</v>
      </c>
      <c r="G1490" s="834"/>
      <c r="H1490" s="120" t="s">
        <v>14</v>
      </c>
      <c r="I1490" s="120" t="s">
        <v>105</v>
      </c>
      <c r="J1490" s="106">
        <v>192</v>
      </c>
      <c r="K1490" s="106">
        <f t="shared" si="1628"/>
        <v>0</v>
      </c>
      <c r="L1490" s="106">
        <v>0</v>
      </c>
      <c r="M1490" s="106">
        <v>191</v>
      </c>
      <c r="N1490" s="106">
        <v>0</v>
      </c>
      <c r="O1490" s="106">
        <v>0</v>
      </c>
      <c r="P1490" s="106">
        <v>1</v>
      </c>
      <c r="Q1490" s="108">
        <f t="shared" si="1623"/>
        <v>0</v>
      </c>
      <c r="R1490" s="109">
        <f t="shared" si="1624"/>
        <v>0</v>
      </c>
      <c r="S1490" s="109">
        <f t="shared" si="1625"/>
        <v>5.208333333333333E-3</v>
      </c>
      <c r="T1490" s="109">
        <f t="shared" si="1626"/>
        <v>0</v>
      </c>
      <c r="U1490" s="110">
        <f t="shared" si="1627"/>
        <v>5.208333333333333E-3</v>
      </c>
      <c r="V1490" s="136"/>
    </row>
    <row r="1491" spans="2:25" ht="15.75" hidden="1" x14ac:dyDescent="0.2">
      <c r="B1491" s="711">
        <v>46183</v>
      </c>
      <c r="C1491" s="105" t="s">
        <v>18</v>
      </c>
      <c r="D1491" s="105" t="s">
        <v>133</v>
      </c>
      <c r="E1491" s="711">
        <v>46184</v>
      </c>
      <c r="G1491" s="190"/>
      <c r="H1491" s="840" t="s">
        <v>19</v>
      </c>
      <c r="I1491" s="841"/>
      <c r="J1491" s="113">
        <f t="shared" ref="J1491" si="1629">SUM(J1488:J1490)</f>
        <v>639</v>
      </c>
      <c r="K1491" s="113">
        <f t="shared" ref="K1491" si="1630">SUM(K1488:K1490)</f>
        <v>298</v>
      </c>
      <c r="L1491" s="113">
        <f t="shared" ref="L1491" si="1631">SUM(L1488:L1490)</f>
        <v>36</v>
      </c>
      <c r="M1491" s="113">
        <f t="shared" ref="M1491" si="1632">SUM(M1488:M1490)</f>
        <v>300</v>
      </c>
      <c r="N1491" s="113">
        <f t="shared" ref="N1491" si="1633">SUM(N1488:N1490)</f>
        <v>0</v>
      </c>
      <c r="O1491" s="113">
        <f t="shared" ref="O1491" si="1634">SUM(O1488:O1490)</f>
        <v>0</v>
      </c>
      <c r="P1491" s="113">
        <f t="shared" ref="P1491" si="1635">SUM(P1488:P1490)</f>
        <v>5</v>
      </c>
      <c r="Q1491" s="115">
        <f>(K1491+L1491)/J1491</f>
        <v>0.52269170579029733</v>
      </c>
      <c r="R1491" s="116">
        <f t="shared" si="1624"/>
        <v>0</v>
      </c>
      <c r="S1491" s="116">
        <f t="shared" si="1625"/>
        <v>7.8247261345852897E-3</v>
      </c>
      <c r="T1491" s="116">
        <f t="shared" si="1626"/>
        <v>0</v>
      </c>
      <c r="U1491" s="117">
        <f t="shared" si="1627"/>
        <v>0.53051643192488263</v>
      </c>
      <c r="V1491" s="127"/>
    </row>
    <row r="1492" spans="2:25" ht="15.75" hidden="1" x14ac:dyDescent="0.2">
      <c r="B1492" s="711">
        <v>46184</v>
      </c>
      <c r="C1492" s="105" t="s">
        <v>22</v>
      </c>
      <c r="D1492" s="105" t="s">
        <v>129</v>
      </c>
      <c r="E1492" s="711">
        <v>46184</v>
      </c>
      <c r="G1492" s="833">
        <v>46184</v>
      </c>
      <c r="H1492" s="120" t="s">
        <v>75</v>
      </c>
      <c r="I1492" s="120" t="s">
        <v>83</v>
      </c>
      <c r="J1492" s="106">
        <f>SUM(K1492:P1492)</f>
        <v>76</v>
      </c>
      <c r="K1492" s="106">
        <v>35</v>
      </c>
      <c r="L1492" s="106">
        <v>34</v>
      </c>
      <c r="M1492" s="106">
        <v>0</v>
      </c>
      <c r="N1492" s="106">
        <v>0</v>
      </c>
      <c r="O1492" s="106">
        <v>6</v>
      </c>
      <c r="P1492" s="106">
        <v>1</v>
      </c>
      <c r="Q1492" s="108">
        <f t="shared" ref="Q1492:Q1495" si="1636">(K1492+L1492)/J1492</f>
        <v>0.90789473684210531</v>
      </c>
      <c r="R1492" s="109">
        <f t="shared" si="1624"/>
        <v>0</v>
      </c>
      <c r="S1492" s="109">
        <f t="shared" si="1625"/>
        <v>1.3157894736842105E-2</v>
      </c>
      <c r="T1492" s="109">
        <f t="shared" si="1626"/>
        <v>7.8947368421052627E-2</v>
      </c>
      <c r="U1492" s="110">
        <f t="shared" si="1627"/>
        <v>1</v>
      </c>
      <c r="V1492" s="136"/>
    </row>
    <row r="1493" spans="2:25" ht="15.75" hidden="1" x14ac:dyDescent="0.2">
      <c r="B1493" s="711">
        <v>46184</v>
      </c>
      <c r="C1493" s="105" t="s">
        <v>22</v>
      </c>
      <c r="D1493" s="105" t="s">
        <v>129</v>
      </c>
      <c r="E1493" s="711">
        <v>46184</v>
      </c>
      <c r="G1493" s="834"/>
      <c r="H1493" s="120" t="s">
        <v>17</v>
      </c>
      <c r="I1493" s="120" t="s">
        <v>106</v>
      </c>
      <c r="J1493" s="106">
        <f>SUM(K1493:P1493)</f>
        <v>56</v>
      </c>
      <c r="K1493" s="106">
        <v>31</v>
      </c>
      <c r="L1493" s="106">
        <v>15</v>
      </c>
      <c r="M1493" s="106">
        <v>0</v>
      </c>
      <c r="N1493" s="106">
        <v>0</v>
      </c>
      <c r="O1493" s="106">
        <v>7</v>
      </c>
      <c r="P1493" s="106">
        <v>3</v>
      </c>
      <c r="Q1493" s="108">
        <f t="shared" si="1636"/>
        <v>0.8214285714285714</v>
      </c>
      <c r="R1493" s="109">
        <f t="shared" si="1624"/>
        <v>0</v>
      </c>
      <c r="S1493" s="109">
        <f t="shared" si="1625"/>
        <v>5.3571428571428568E-2</v>
      </c>
      <c r="T1493" s="109">
        <f t="shared" si="1626"/>
        <v>0.125</v>
      </c>
      <c r="U1493" s="110">
        <f t="shared" si="1627"/>
        <v>1</v>
      </c>
      <c r="V1493" s="136"/>
    </row>
    <row r="1494" spans="2:25" ht="15.75" hidden="1" x14ac:dyDescent="0.2">
      <c r="B1494" s="711">
        <v>46184</v>
      </c>
      <c r="C1494" s="105" t="s">
        <v>22</v>
      </c>
      <c r="D1494" s="105" t="s">
        <v>129</v>
      </c>
      <c r="E1494" s="711">
        <v>46184</v>
      </c>
      <c r="G1494" s="835"/>
      <c r="H1494" s="120" t="s">
        <v>14</v>
      </c>
      <c r="I1494" s="120" t="s">
        <v>105</v>
      </c>
      <c r="J1494" s="106">
        <v>193</v>
      </c>
      <c r="K1494" s="106">
        <v>87</v>
      </c>
      <c r="L1494" s="106">
        <v>33</v>
      </c>
      <c r="M1494" s="106">
        <v>37</v>
      </c>
      <c r="N1494" s="106">
        <v>27</v>
      </c>
      <c r="O1494" s="106">
        <v>12</v>
      </c>
      <c r="P1494" s="106">
        <v>1</v>
      </c>
      <c r="Q1494" s="108">
        <f t="shared" ref="Q1494" si="1637">(K1494+L1494)/J1494</f>
        <v>0.62176165803108807</v>
      </c>
      <c r="R1494" s="109">
        <f t="shared" ref="R1494" si="1638">N1494/J1494</f>
        <v>0.13989637305699482</v>
      </c>
      <c r="S1494" s="109">
        <f t="shared" ref="S1494" si="1639">P1494/J1494</f>
        <v>5.1813471502590676E-3</v>
      </c>
      <c r="T1494" s="109">
        <f t="shared" ref="T1494" si="1640">O1494/J1494</f>
        <v>6.2176165803108807E-2</v>
      </c>
      <c r="U1494" s="110">
        <f t="shared" ref="U1494" si="1641">S1494+R1494+Q1494+T1494</f>
        <v>0.82901554404145072</v>
      </c>
      <c r="V1494" s="136"/>
    </row>
    <row r="1495" spans="2:25" ht="15.75" hidden="1" x14ac:dyDescent="0.2">
      <c r="B1495" s="711">
        <v>46184</v>
      </c>
      <c r="C1495" s="105" t="s">
        <v>22</v>
      </c>
      <c r="D1495" s="105" t="s">
        <v>129</v>
      </c>
      <c r="E1495" s="711">
        <v>46184</v>
      </c>
      <c r="G1495" s="713">
        <v>46185</v>
      </c>
      <c r="H1495" s="120" t="s">
        <v>25</v>
      </c>
      <c r="I1495" s="120" t="s">
        <v>106</v>
      </c>
      <c r="J1495" s="106">
        <v>234</v>
      </c>
      <c r="K1495" s="106">
        <v>3</v>
      </c>
      <c r="L1495" s="106">
        <v>2</v>
      </c>
      <c r="M1495" s="106">
        <v>189</v>
      </c>
      <c r="N1495" s="106">
        <v>14</v>
      </c>
      <c r="O1495" s="106">
        <v>23</v>
      </c>
      <c r="P1495" s="106">
        <v>3</v>
      </c>
      <c r="Q1495" s="108">
        <f t="shared" si="1636"/>
        <v>2.1367521367521368E-2</v>
      </c>
      <c r="R1495" s="109">
        <f t="shared" si="1624"/>
        <v>5.9829059829059832E-2</v>
      </c>
      <c r="S1495" s="109">
        <f t="shared" si="1625"/>
        <v>1.282051282051282E-2</v>
      </c>
      <c r="T1495" s="109">
        <f t="shared" si="1626"/>
        <v>9.8290598290598288E-2</v>
      </c>
      <c r="U1495" s="110">
        <f t="shared" si="1627"/>
        <v>0.19230769230769229</v>
      </c>
      <c r="V1495" s="136"/>
    </row>
    <row r="1496" spans="2:25" s="97" customFormat="1" ht="16.5" hidden="1" customHeight="1" x14ac:dyDescent="0.2">
      <c r="B1496" s="711">
        <v>46184</v>
      </c>
      <c r="C1496" s="105" t="s">
        <v>22</v>
      </c>
      <c r="D1496" s="105" t="s">
        <v>129</v>
      </c>
      <c r="E1496" s="711">
        <v>46184</v>
      </c>
      <c r="F1496" s="89"/>
      <c r="G1496" s="190"/>
      <c r="H1496" s="840" t="s">
        <v>19</v>
      </c>
      <c r="I1496" s="841"/>
      <c r="J1496" s="113">
        <f t="shared" ref="J1496:P1496" si="1642">SUM(J1492:J1495)</f>
        <v>559</v>
      </c>
      <c r="K1496" s="113">
        <f t="shared" si="1642"/>
        <v>156</v>
      </c>
      <c r="L1496" s="113">
        <f t="shared" si="1642"/>
        <v>84</v>
      </c>
      <c r="M1496" s="113">
        <f t="shared" si="1642"/>
        <v>226</v>
      </c>
      <c r="N1496" s="113">
        <f t="shared" si="1642"/>
        <v>41</v>
      </c>
      <c r="O1496" s="113">
        <f t="shared" si="1642"/>
        <v>48</v>
      </c>
      <c r="P1496" s="113">
        <f t="shared" si="1642"/>
        <v>8</v>
      </c>
      <c r="Q1496" s="115">
        <f>(K1496+L1496)/J1496</f>
        <v>0.42933810375670839</v>
      </c>
      <c r="R1496" s="116">
        <f t="shared" si="1624"/>
        <v>7.3345259391771014E-2</v>
      </c>
      <c r="S1496" s="116">
        <f t="shared" si="1625"/>
        <v>1.4311270125223614E-2</v>
      </c>
      <c r="T1496" s="116">
        <f t="shared" si="1626"/>
        <v>8.5867620751341675E-2</v>
      </c>
      <c r="U1496" s="117">
        <f t="shared" si="1627"/>
        <v>0.60286225402504467</v>
      </c>
      <c r="V1496" s="127"/>
      <c r="W1496" s="88"/>
      <c r="X1496" s="88"/>
      <c r="Y1496" s="118"/>
    </row>
    <row r="1497" spans="2:25" ht="15.75" hidden="1" x14ac:dyDescent="0.2">
      <c r="B1497" s="711">
        <v>46184</v>
      </c>
      <c r="C1497" s="105" t="s">
        <v>12</v>
      </c>
      <c r="D1497" s="105" t="s">
        <v>133</v>
      </c>
      <c r="E1497" s="711">
        <v>46184</v>
      </c>
      <c r="G1497" s="833">
        <v>46184</v>
      </c>
      <c r="H1497" s="120" t="s">
        <v>75</v>
      </c>
      <c r="I1497" s="120" t="s">
        <v>83</v>
      </c>
      <c r="J1497" s="106">
        <v>233</v>
      </c>
      <c r="K1497" s="106">
        <f>233-85</f>
        <v>148</v>
      </c>
      <c r="L1497" s="106">
        <v>61</v>
      </c>
      <c r="M1497" s="106">
        <v>3</v>
      </c>
      <c r="N1497" s="106">
        <v>0</v>
      </c>
      <c r="O1497" s="106">
        <v>20</v>
      </c>
      <c r="P1497" s="106">
        <v>1</v>
      </c>
      <c r="Q1497" s="108">
        <f t="shared" ref="Q1497:Q1499" si="1643">(K1497+L1497)/J1497</f>
        <v>0.89699570815450647</v>
      </c>
      <c r="R1497" s="109">
        <f t="shared" ref="R1497:R1500" si="1644">N1497/J1497</f>
        <v>0</v>
      </c>
      <c r="S1497" s="109">
        <f t="shared" ref="S1497:S1500" si="1645">P1497/J1497</f>
        <v>4.2918454935622317E-3</v>
      </c>
      <c r="T1497" s="109">
        <f t="shared" ref="T1497:T1500" si="1646">O1497/J1497</f>
        <v>8.5836909871244635E-2</v>
      </c>
      <c r="U1497" s="110">
        <f t="shared" ref="U1497:U1500" si="1647">S1497+R1497+Q1497+T1497</f>
        <v>0.98712446351931327</v>
      </c>
      <c r="V1497" s="136"/>
    </row>
    <row r="1498" spans="2:25" ht="15.75" hidden="1" x14ac:dyDescent="0.2">
      <c r="B1498" s="711">
        <v>46184</v>
      </c>
      <c r="C1498" s="105" t="s">
        <v>12</v>
      </c>
      <c r="D1498" s="105" t="s">
        <v>133</v>
      </c>
      <c r="E1498" s="711">
        <v>46184</v>
      </c>
      <c r="G1498" s="834"/>
      <c r="H1498" s="120" t="s">
        <v>17</v>
      </c>
      <c r="I1498" s="120" t="s">
        <v>106</v>
      </c>
      <c r="J1498" s="106">
        <v>214</v>
      </c>
      <c r="K1498" s="106">
        <f>214-69</f>
        <v>145</v>
      </c>
      <c r="L1498" s="106">
        <v>35</v>
      </c>
      <c r="M1498" s="106">
        <v>6</v>
      </c>
      <c r="N1498" s="106">
        <v>0</v>
      </c>
      <c r="O1498" s="106">
        <v>25</v>
      </c>
      <c r="P1498" s="106">
        <v>3</v>
      </c>
      <c r="Q1498" s="108">
        <f t="shared" si="1643"/>
        <v>0.84112149532710279</v>
      </c>
      <c r="R1498" s="109">
        <f t="shared" si="1644"/>
        <v>0</v>
      </c>
      <c r="S1498" s="109">
        <f t="shared" si="1645"/>
        <v>1.4018691588785047E-2</v>
      </c>
      <c r="T1498" s="109">
        <f t="shared" si="1646"/>
        <v>0.11682242990654206</v>
      </c>
      <c r="U1498" s="110">
        <f t="shared" si="1647"/>
        <v>0.97196261682242979</v>
      </c>
      <c r="V1498" s="136"/>
    </row>
    <row r="1499" spans="2:25" ht="15.75" hidden="1" x14ac:dyDescent="0.2">
      <c r="B1499" s="711">
        <v>46184</v>
      </c>
      <c r="C1499" s="105" t="s">
        <v>12</v>
      </c>
      <c r="D1499" s="105" t="s">
        <v>133</v>
      </c>
      <c r="E1499" s="711">
        <v>46184</v>
      </c>
      <c r="G1499" s="835"/>
      <c r="H1499" s="120" t="s">
        <v>14</v>
      </c>
      <c r="I1499" s="120" t="s">
        <v>105</v>
      </c>
      <c r="J1499" s="106">
        <v>192</v>
      </c>
      <c r="K1499" s="106">
        <f>192-93</f>
        <v>99</v>
      </c>
      <c r="L1499" s="106">
        <v>30</v>
      </c>
      <c r="M1499" s="106">
        <v>42</v>
      </c>
      <c r="N1499" s="106">
        <v>0</v>
      </c>
      <c r="O1499" s="106">
        <v>20</v>
      </c>
      <c r="P1499" s="106">
        <v>1</v>
      </c>
      <c r="Q1499" s="108">
        <f t="shared" si="1643"/>
        <v>0.671875</v>
      </c>
      <c r="R1499" s="109">
        <f t="shared" si="1644"/>
        <v>0</v>
      </c>
      <c r="S1499" s="109">
        <f t="shared" si="1645"/>
        <v>5.208333333333333E-3</v>
      </c>
      <c r="T1499" s="109">
        <f t="shared" si="1646"/>
        <v>0.10416666666666667</v>
      </c>
      <c r="U1499" s="110">
        <f t="shared" si="1647"/>
        <v>0.78125</v>
      </c>
      <c r="V1499" s="136"/>
    </row>
    <row r="1500" spans="2:25" s="97" customFormat="1" ht="16.5" hidden="1" customHeight="1" x14ac:dyDescent="0.2">
      <c r="B1500" s="711">
        <v>46184</v>
      </c>
      <c r="C1500" s="105" t="s">
        <v>12</v>
      </c>
      <c r="D1500" s="105" t="s">
        <v>133</v>
      </c>
      <c r="E1500" s="711">
        <v>46184</v>
      </c>
      <c r="F1500" s="89"/>
      <c r="G1500" s="190"/>
      <c r="H1500" s="840" t="s">
        <v>19</v>
      </c>
      <c r="I1500" s="841"/>
      <c r="J1500" s="113">
        <f t="shared" ref="J1500:P1500" si="1648">SUM(J1497:J1499)</f>
        <v>639</v>
      </c>
      <c r="K1500" s="113">
        <f t="shared" si="1648"/>
        <v>392</v>
      </c>
      <c r="L1500" s="113">
        <f t="shared" si="1648"/>
        <v>126</v>
      </c>
      <c r="M1500" s="113">
        <f t="shared" si="1648"/>
        <v>51</v>
      </c>
      <c r="N1500" s="113">
        <f t="shared" si="1648"/>
        <v>0</v>
      </c>
      <c r="O1500" s="113">
        <f t="shared" si="1648"/>
        <v>65</v>
      </c>
      <c r="P1500" s="113">
        <f t="shared" si="1648"/>
        <v>5</v>
      </c>
      <c r="Q1500" s="115">
        <f>(K1500+L1500)/J1500</f>
        <v>0.81064162754303604</v>
      </c>
      <c r="R1500" s="116">
        <f t="shared" si="1644"/>
        <v>0</v>
      </c>
      <c r="S1500" s="116">
        <f t="shared" si="1645"/>
        <v>7.8247261345852897E-3</v>
      </c>
      <c r="T1500" s="116">
        <f t="shared" si="1646"/>
        <v>0.10172143974960876</v>
      </c>
      <c r="U1500" s="117">
        <f t="shared" si="1647"/>
        <v>0.92018779342723012</v>
      </c>
      <c r="V1500" s="127"/>
      <c r="W1500" s="88"/>
      <c r="X1500" s="88"/>
      <c r="Y1500" s="118"/>
    </row>
    <row r="1501" spans="2:25" ht="15.75" hidden="1" x14ac:dyDescent="0.2">
      <c r="B1501" s="711">
        <v>46184</v>
      </c>
      <c r="C1501" s="105" t="s">
        <v>12</v>
      </c>
      <c r="D1501" s="105" t="s">
        <v>133</v>
      </c>
      <c r="E1501" s="711">
        <v>46185</v>
      </c>
      <c r="G1501" s="830">
        <v>46185</v>
      </c>
      <c r="H1501" s="120" t="s">
        <v>75</v>
      </c>
      <c r="I1501" s="120" t="s">
        <v>83</v>
      </c>
      <c r="J1501" s="106">
        <v>240</v>
      </c>
      <c r="K1501" s="106">
        <v>36</v>
      </c>
      <c r="L1501" s="106">
        <v>10</v>
      </c>
      <c r="M1501" s="106">
        <v>173</v>
      </c>
      <c r="N1501" s="106">
        <v>0</v>
      </c>
      <c r="O1501" s="106">
        <v>20</v>
      </c>
      <c r="P1501" s="106">
        <v>1</v>
      </c>
      <c r="Q1501" s="108">
        <f t="shared" ref="Q1501:Q1503" si="1649">(K1501+L1501)/J1501</f>
        <v>0.19166666666666668</v>
      </c>
      <c r="R1501" s="109">
        <f t="shared" ref="R1501:R1504" si="1650">N1501/J1501</f>
        <v>0</v>
      </c>
      <c r="S1501" s="109">
        <f t="shared" ref="S1501:S1504" si="1651">P1501/J1501</f>
        <v>4.1666666666666666E-3</v>
      </c>
      <c r="T1501" s="109">
        <f t="shared" ref="T1501:T1504" si="1652">O1501/J1501</f>
        <v>8.3333333333333329E-2</v>
      </c>
      <c r="U1501" s="110">
        <f t="shared" ref="U1501:U1504" si="1653">S1501+R1501+Q1501+T1501</f>
        <v>0.27916666666666667</v>
      </c>
      <c r="V1501" s="136"/>
    </row>
    <row r="1502" spans="2:25" ht="15.75" hidden="1" x14ac:dyDescent="0.2">
      <c r="B1502" s="711">
        <v>46184</v>
      </c>
      <c r="C1502" s="105" t="s">
        <v>12</v>
      </c>
      <c r="D1502" s="105" t="s">
        <v>133</v>
      </c>
      <c r="E1502" s="711">
        <v>46185</v>
      </c>
      <c r="G1502" s="831"/>
      <c r="H1502" s="120" t="s">
        <v>25</v>
      </c>
      <c r="I1502" s="120" t="s">
        <v>106</v>
      </c>
      <c r="J1502" s="106">
        <v>231</v>
      </c>
      <c r="K1502" s="106">
        <f>231-175</f>
        <v>56</v>
      </c>
      <c r="L1502" s="106">
        <v>20</v>
      </c>
      <c r="M1502" s="106">
        <v>117</v>
      </c>
      <c r="N1502" s="106">
        <v>14</v>
      </c>
      <c r="O1502" s="106">
        <v>21</v>
      </c>
      <c r="P1502" s="106">
        <v>3</v>
      </c>
      <c r="Q1502" s="108">
        <f t="shared" si="1649"/>
        <v>0.32900432900432902</v>
      </c>
      <c r="R1502" s="109">
        <f t="shared" si="1650"/>
        <v>6.0606060606060608E-2</v>
      </c>
      <c r="S1502" s="109">
        <f t="shared" si="1651"/>
        <v>1.2987012987012988E-2</v>
      </c>
      <c r="T1502" s="109">
        <f t="shared" si="1652"/>
        <v>9.0909090909090912E-2</v>
      </c>
      <c r="U1502" s="110">
        <f t="shared" si="1653"/>
        <v>0.49350649350649356</v>
      </c>
      <c r="V1502" s="136"/>
    </row>
    <row r="1503" spans="2:25" ht="15.75" hidden="1" x14ac:dyDescent="0.2">
      <c r="B1503" s="711">
        <v>46184</v>
      </c>
      <c r="C1503" s="105" t="s">
        <v>12</v>
      </c>
      <c r="D1503" s="105" t="s">
        <v>133</v>
      </c>
      <c r="E1503" s="711">
        <v>46185</v>
      </c>
      <c r="G1503" s="832"/>
      <c r="H1503" s="120" t="s">
        <v>14</v>
      </c>
      <c r="I1503" s="120" t="s">
        <v>105</v>
      </c>
      <c r="J1503" s="106">
        <v>175</v>
      </c>
      <c r="K1503" s="106">
        <v>0</v>
      </c>
      <c r="L1503" s="106">
        <v>0</v>
      </c>
      <c r="M1503" s="106">
        <v>174</v>
      </c>
      <c r="N1503" s="106">
        <v>0</v>
      </c>
      <c r="O1503" s="106">
        <v>0</v>
      </c>
      <c r="P1503" s="106">
        <v>1</v>
      </c>
      <c r="Q1503" s="108">
        <f t="shared" si="1649"/>
        <v>0</v>
      </c>
      <c r="R1503" s="109">
        <f t="shared" si="1650"/>
        <v>0</v>
      </c>
      <c r="S1503" s="109">
        <f t="shared" si="1651"/>
        <v>5.7142857142857143E-3</v>
      </c>
      <c r="T1503" s="109">
        <f t="shared" si="1652"/>
        <v>0</v>
      </c>
      <c r="U1503" s="110">
        <f t="shared" si="1653"/>
        <v>5.7142857142857143E-3</v>
      </c>
      <c r="V1503" s="136"/>
    </row>
    <row r="1504" spans="2:25" s="97" customFormat="1" ht="16.5" hidden="1" customHeight="1" x14ac:dyDescent="0.2">
      <c r="B1504" s="711">
        <v>46184</v>
      </c>
      <c r="C1504" s="105" t="s">
        <v>12</v>
      </c>
      <c r="D1504" s="105" t="s">
        <v>133</v>
      </c>
      <c r="E1504" s="711">
        <v>46185</v>
      </c>
      <c r="F1504" s="89"/>
      <c r="G1504" s="190"/>
      <c r="H1504" s="840" t="s">
        <v>19</v>
      </c>
      <c r="I1504" s="841"/>
      <c r="J1504" s="113">
        <f t="shared" ref="J1504:P1504" si="1654">SUM(J1501:J1503)</f>
        <v>646</v>
      </c>
      <c r="K1504" s="113">
        <f t="shared" si="1654"/>
        <v>92</v>
      </c>
      <c r="L1504" s="113">
        <f t="shared" si="1654"/>
        <v>30</v>
      </c>
      <c r="M1504" s="113">
        <f t="shared" si="1654"/>
        <v>464</v>
      </c>
      <c r="N1504" s="113">
        <f t="shared" si="1654"/>
        <v>14</v>
      </c>
      <c r="O1504" s="113">
        <f t="shared" si="1654"/>
        <v>41</v>
      </c>
      <c r="P1504" s="113">
        <f t="shared" si="1654"/>
        <v>5</v>
      </c>
      <c r="Q1504" s="115">
        <f>(K1504+L1504)/J1504</f>
        <v>0.18885448916408668</v>
      </c>
      <c r="R1504" s="116">
        <f t="shared" si="1650"/>
        <v>2.1671826625386997E-2</v>
      </c>
      <c r="S1504" s="116">
        <f t="shared" si="1651"/>
        <v>7.7399380804953561E-3</v>
      </c>
      <c r="T1504" s="116">
        <f t="shared" si="1652"/>
        <v>6.3467492260061917E-2</v>
      </c>
      <c r="U1504" s="117">
        <f t="shared" si="1653"/>
        <v>0.28173374613003094</v>
      </c>
      <c r="V1504" s="127"/>
      <c r="W1504" s="88"/>
      <c r="X1504" s="88"/>
      <c r="Y1504" s="118"/>
    </row>
    <row r="1505" spans="2:25" ht="15.75" hidden="1" x14ac:dyDescent="0.2">
      <c r="B1505" s="711">
        <v>46184</v>
      </c>
      <c r="C1505" s="105" t="s">
        <v>18</v>
      </c>
      <c r="D1505" s="105" t="s">
        <v>133</v>
      </c>
      <c r="E1505" s="711">
        <v>46185</v>
      </c>
      <c r="G1505" s="833">
        <v>46185</v>
      </c>
      <c r="H1505" s="120" t="s">
        <v>75</v>
      </c>
      <c r="I1505" s="120" t="s">
        <v>83</v>
      </c>
      <c r="J1505" s="106">
        <v>240</v>
      </c>
      <c r="K1505" s="106">
        <f>J1505-L1505-M1505-N1505-O1505-P1505</f>
        <v>141</v>
      </c>
      <c r="L1505" s="106">
        <v>44</v>
      </c>
      <c r="M1505" s="106">
        <v>54</v>
      </c>
      <c r="N1505" s="106">
        <v>0</v>
      </c>
      <c r="O1505" s="106">
        <v>0</v>
      </c>
      <c r="P1505" s="106">
        <v>1</v>
      </c>
      <c r="Q1505" s="108">
        <f t="shared" ref="Q1505:Q1507" si="1655">(K1505+L1505)/J1505</f>
        <v>0.77083333333333337</v>
      </c>
      <c r="R1505" s="109">
        <f t="shared" ref="R1505:R1512" si="1656">N1505/J1505</f>
        <v>0</v>
      </c>
      <c r="S1505" s="109">
        <f t="shared" ref="S1505:S1512" si="1657">P1505/J1505</f>
        <v>4.1666666666666666E-3</v>
      </c>
      <c r="T1505" s="109">
        <f t="shared" ref="T1505:T1512" si="1658">O1505/J1505</f>
        <v>0</v>
      </c>
      <c r="U1505" s="110">
        <f t="shared" ref="U1505:U1512" si="1659">S1505+R1505+Q1505+T1505</f>
        <v>0.77500000000000002</v>
      </c>
      <c r="V1505" s="256"/>
    </row>
    <row r="1506" spans="2:25" ht="15.75" hidden="1" x14ac:dyDescent="0.2">
      <c r="B1506" s="711">
        <v>46184</v>
      </c>
      <c r="C1506" s="105" t="s">
        <v>18</v>
      </c>
      <c r="D1506" s="105" t="s">
        <v>133</v>
      </c>
      <c r="E1506" s="711">
        <v>46185</v>
      </c>
      <c r="G1506" s="834"/>
      <c r="H1506" s="120" t="s">
        <v>25</v>
      </c>
      <c r="I1506" s="120" t="s">
        <v>106</v>
      </c>
      <c r="J1506" s="106">
        <v>231</v>
      </c>
      <c r="K1506" s="106">
        <f t="shared" ref="K1506:K1507" si="1660">J1506-L1506-M1506-N1506-O1506-P1506</f>
        <v>163</v>
      </c>
      <c r="L1506" s="106">
        <v>24</v>
      </c>
      <c r="M1506" s="106">
        <v>28</v>
      </c>
      <c r="N1506" s="106">
        <v>13</v>
      </c>
      <c r="O1506" s="106">
        <v>0</v>
      </c>
      <c r="P1506" s="106">
        <v>3</v>
      </c>
      <c r="Q1506" s="108">
        <f t="shared" si="1655"/>
        <v>0.80952380952380953</v>
      </c>
      <c r="R1506" s="109">
        <f t="shared" si="1656"/>
        <v>5.627705627705628E-2</v>
      </c>
      <c r="S1506" s="109">
        <f t="shared" si="1657"/>
        <v>1.2987012987012988E-2</v>
      </c>
      <c r="T1506" s="109">
        <f t="shared" si="1658"/>
        <v>0</v>
      </c>
      <c r="U1506" s="110">
        <f t="shared" si="1659"/>
        <v>0.87878787878787878</v>
      </c>
      <c r="V1506" s="256" t="s">
        <v>146</v>
      </c>
    </row>
    <row r="1507" spans="2:25" ht="15.75" hidden="1" x14ac:dyDescent="0.2">
      <c r="B1507" s="711">
        <v>46184</v>
      </c>
      <c r="C1507" s="105" t="s">
        <v>18</v>
      </c>
      <c r="D1507" s="105" t="s">
        <v>133</v>
      </c>
      <c r="E1507" s="711">
        <v>46185</v>
      </c>
      <c r="G1507" s="835"/>
      <c r="H1507" s="120" t="s">
        <v>14</v>
      </c>
      <c r="I1507" s="120" t="s">
        <v>105</v>
      </c>
      <c r="J1507" s="106">
        <v>175</v>
      </c>
      <c r="K1507" s="106">
        <f t="shared" si="1660"/>
        <v>0</v>
      </c>
      <c r="L1507" s="106">
        <v>0</v>
      </c>
      <c r="M1507" s="106">
        <v>174</v>
      </c>
      <c r="N1507" s="106">
        <v>0</v>
      </c>
      <c r="O1507" s="106">
        <v>0</v>
      </c>
      <c r="P1507" s="106">
        <v>1</v>
      </c>
      <c r="Q1507" s="108">
        <f t="shared" si="1655"/>
        <v>0</v>
      </c>
      <c r="R1507" s="109">
        <f t="shared" si="1656"/>
        <v>0</v>
      </c>
      <c r="S1507" s="109">
        <f t="shared" si="1657"/>
        <v>5.7142857142857143E-3</v>
      </c>
      <c r="T1507" s="109">
        <f t="shared" si="1658"/>
        <v>0</v>
      </c>
      <c r="U1507" s="110">
        <f t="shared" si="1659"/>
        <v>5.7142857142857143E-3</v>
      </c>
      <c r="V1507" s="256"/>
    </row>
    <row r="1508" spans="2:25" ht="15.75" hidden="1" x14ac:dyDescent="0.2">
      <c r="B1508" s="711">
        <v>46184</v>
      </c>
      <c r="C1508" s="105" t="s">
        <v>18</v>
      </c>
      <c r="D1508" s="105" t="s">
        <v>133</v>
      </c>
      <c r="E1508" s="711">
        <v>46185</v>
      </c>
      <c r="G1508" s="190"/>
      <c r="H1508" s="840" t="s">
        <v>19</v>
      </c>
      <c r="I1508" s="841"/>
      <c r="J1508" s="113">
        <f t="shared" ref="J1508" si="1661">SUM(J1505:J1507)</f>
        <v>646</v>
      </c>
      <c r="K1508" s="113">
        <f t="shared" ref="K1508" si="1662">SUM(K1505:K1507)</f>
        <v>304</v>
      </c>
      <c r="L1508" s="113">
        <f t="shared" ref="L1508" si="1663">SUM(L1505:L1507)</f>
        <v>68</v>
      </c>
      <c r="M1508" s="113">
        <f t="shared" ref="M1508" si="1664">SUM(M1505:M1507)</f>
        <v>256</v>
      </c>
      <c r="N1508" s="113">
        <f t="shared" ref="N1508" si="1665">SUM(N1505:N1507)</f>
        <v>13</v>
      </c>
      <c r="O1508" s="113">
        <f t="shared" ref="O1508" si="1666">SUM(O1505:O1507)</f>
        <v>0</v>
      </c>
      <c r="P1508" s="113">
        <f t="shared" ref="P1508" si="1667">SUM(P1505:P1507)</f>
        <v>5</v>
      </c>
      <c r="Q1508" s="115">
        <f>(K1508+L1508)/J1508</f>
        <v>0.57585139318885448</v>
      </c>
      <c r="R1508" s="116">
        <f t="shared" si="1656"/>
        <v>2.0123839009287926E-2</v>
      </c>
      <c r="S1508" s="116">
        <f t="shared" si="1657"/>
        <v>7.7399380804953561E-3</v>
      </c>
      <c r="T1508" s="116">
        <f t="shared" si="1658"/>
        <v>0</v>
      </c>
      <c r="U1508" s="117">
        <f t="shared" si="1659"/>
        <v>0.60371517027863775</v>
      </c>
      <c r="V1508" s="213"/>
    </row>
    <row r="1509" spans="2:25" ht="15.75" hidden="1" x14ac:dyDescent="0.2">
      <c r="B1509" s="711">
        <v>46185</v>
      </c>
      <c r="C1509" s="105" t="s">
        <v>22</v>
      </c>
      <c r="D1509" s="105" t="s">
        <v>129</v>
      </c>
      <c r="E1509" s="711">
        <v>46185</v>
      </c>
      <c r="G1509" s="833">
        <v>46185</v>
      </c>
      <c r="H1509" s="120" t="s">
        <v>75</v>
      </c>
      <c r="I1509" s="120" t="s">
        <v>83</v>
      </c>
      <c r="J1509" s="106">
        <f>SUM(K1509:P1509)</f>
        <v>60</v>
      </c>
      <c r="K1509" s="106">
        <v>19</v>
      </c>
      <c r="L1509" s="106">
        <v>19</v>
      </c>
      <c r="M1509" s="106">
        <v>2</v>
      </c>
      <c r="N1509" s="106">
        <v>0</v>
      </c>
      <c r="O1509" s="106">
        <v>20</v>
      </c>
      <c r="P1509" s="106">
        <v>0</v>
      </c>
      <c r="Q1509" s="108">
        <f t="shared" ref="Q1509:Q1511" si="1668">(K1509+L1509)/J1509</f>
        <v>0.6333333333333333</v>
      </c>
      <c r="R1509" s="109">
        <f t="shared" si="1656"/>
        <v>0</v>
      </c>
      <c r="S1509" s="109">
        <f t="shared" si="1657"/>
        <v>0</v>
      </c>
      <c r="T1509" s="109">
        <f t="shared" si="1658"/>
        <v>0.33333333333333331</v>
      </c>
      <c r="U1509" s="110">
        <f t="shared" si="1659"/>
        <v>0.96666666666666656</v>
      </c>
      <c r="V1509" s="136"/>
    </row>
    <row r="1510" spans="2:25" ht="15.75" hidden="1" x14ac:dyDescent="0.2">
      <c r="B1510" s="711">
        <v>46185</v>
      </c>
      <c r="C1510" s="105" t="s">
        <v>22</v>
      </c>
      <c r="D1510" s="105" t="s">
        <v>129</v>
      </c>
      <c r="E1510" s="711">
        <v>46185</v>
      </c>
      <c r="G1510" s="834"/>
      <c r="H1510" s="120" t="s">
        <v>25</v>
      </c>
      <c r="I1510" s="120" t="s">
        <v>106</v>
      </c>
      <c r="J1510" s="106">
        <f>SUM(K1510:P1510)</f>
        <v>66</v>
      </c>
      <c r="K1510" s="106">
        <v>31</v>
      </c>
      <c r="L1510" s="106">
        <v>19</v>
      </c>
      <c r="M1510" s="106">
        <v>0</v>
      </c>
      <c r="N1510" s="106">
        <v>0</v>
      </c>
      <c r="O1510" s="106">
        <v>15</v>
      </c>
      <c r="P1510" s="106">
        <v>1</v>
      </c>
      <c r="Q1510" s="108">
        <f t="shared" si="1668"/>
        <v>0.75757575757575757</v>
      </c>
      <c r="R1510" s="109">
        <f t="shared" si="1656"/>
        <v>0</v>
      </c>
      <c r="S1510" s="109">
        <f t="shared" si="1657"/>
        <v>1.5151515151515152E-2</v>
      </c>
      <c r="T1510" s="109">
        <f t="shared" si="1658"/>
        <v>0.22727272727272727</v>
      </c>
      <c r="U1510" s="110">
        <f t="shared" si="1659"/>
        <v>1</v>
      </c>
      <c r="V1510" s="136"/>
    </row>
    <row r="1511" spans="2:25" ht="15.75" hidden="1" x14ac:dyDescent="0.2">
      <c r="B1511" s="711">
        <v>46185</v>
      </c>
      <c r="C1511" s="105" t="s">
        <v>22</v>
      </c>
      <c r="D1511" s="105" t="s">
        <v>129</v>
      </c>
      <c r="E1511" s="711">
        <v>46185</v>
      </c>
      <c r="G1511" s="835"/>
      <c r="H1511" s="120" t="s">
        <v>14</v>
      </c>
      <c r="I1511" s="120" t="s">
        <v>105</v>
      </c>
      <c r="J1511" s="106">
        <f>173+14</f>
        <v>187</v>
      </c>
      <c r="K1511" s="106">
        <v>63</v>
      </c>
      <c r="L1511" s="106">
        <v>17</v>
      </c>
      <c r="M1511" s="106">
        <v>32</v>
      </c>
      <c r="N1511" s="106">
        <v>62</v>
      </c>
      <c r="O1511" s="106">
        <v>12</v>
      </c>
      <c r="P1511" s="106">
        <v>3</v>
      </c>
      <c r="Q1511" s="108">
        <f t="shared" si="1668"/>
        <v>0.42780748663101603</v>
      </c>
      <c r="R1511" s="109">
        <f t="shared" si="1656"/>
        <v>0.33155080213903743</v>
      </c>
      <c r="S1511" s="109">
        <f t="shared" si="1657"/>
        <v>1.6042780748663103E-2</v>
      </c>
      <c r="T1511" s="109">
        <f t="shared" si="1658"/>
        <v>6.4171122994652413E-2</v>
      </c>
      <c r="U1511" s="110">
        <f t="shared" si="1659"/>
        <v>0.83957219251336901</v>
      </c>
      <c r="V1511" s="136"/>
    </row>
    <row r="1512" spans="2:25" s="97" customFormat="1" ht="16.5" hidden="1" customHeight="1" x14ac:dyDescent="0.2">
      <c r="B1512" s="711">
        <v>46185</v>
      </c>
      <c r="C1512" s="105" t="s">
        <v>22</v>
      </c>
      <c r="D1512" s="105" t="s">
        <v>129</v>
      </c>
      <c r="E1512" s="711">
        <v>46185</v>
      </c>
      <c r="F1512" s="89"/>
      <c r="G1512" s="190"/>
      <c r="H1512" s="840" t="s">
        <v>19</v>
      </c>
      <c r="I1512" s="841"/>
      <c r="J1512" s="113">
        <f t="shared" ref="J1512:P1512" si="1669">SUM(J1509:J1511)</f>
        <v>313</v>
      </c>
      <c r="K1512" s="113">
        <f t="shared" si="1669"/>
        <v>113</v>
      </c>
      <c r="L1512" s="113">
        <f t="shared" si="1669"/>
        <v>55</v>
      </c>
      <c r="M1512" s="113">
        <f t="shared" si="1669"/>
        <v>34</v>
      </c>
      <c r="N1512" s="113">
        <f t="shared" si="1669"/>
        <v>62</v>
      </c>
      <c r="O1512" s="113">
        <f t="shared" si="1669"/>
        <v>47</v>
      </c>
      <c r="P1512" s="113">
        <f t="shared" si="1669"/>
        <v>4</v>
      </c>
      <c r="Q1512" s="115">
        <f>(K1512+L1512)/J1512</f>
        <v>0.53674121405750796</v>
      </c>
      <c r="R1512" s="116">
        <f t="shared" si="1656"/>
        <v>0.19808306709265175</v>
      </c>
      <c r="S1512" s="116">
        <f t="shared" si="1657"/>
        <v>1.2779552715654952E-2</v>
      </c>
      <c r="T1512" s="116">
        <f t="shared" si="1658"/>
        <v>0.15015974440894569</v>
      </c>
      <c r="U1512" s="117">
        <f t="shared" si="1659"/>
        <v>0.89776357827476039</v>
      </c>
      <c r="V1512" s="127"/>
      <c r="W1512" s="88"/>
      <c r="X1512" s="88"/>
      <c r="Y1512" s="118"/>
    </row>
    <row r="1513" spans="2:25" ht="15.75" hidden="1" x14ac:dyDescent="0.2">
      <c r="B1513" s="711">
        <v>46185</v>
      </c>
      <c r="C1513" s="105" t="s">
        <v>12</v>
      </c>
      <c r="D1513" s="105" t="s">
        <v>13</v>
      </c>
      <c r="E1513" s="711">
        <v>46185</v>
      </c>
      <c r="G1513" s="833">
        <v>46185</v>
      </c>
      <c r="H1513" s="120" t="s">
        <v>75</v>
      </c>
      <c r="I1513" s="120" t="s">
        <v>83</v>
      </c>
      <c r="J1513" s="106">
        <v>240</v>
      </c>
      <c r="K1513" s="106">
        <f>240-93</f>
        <v>147</v>
      </c>
      <c r="L1513" s="106">
        <v>53</v>
      </c>
      <c r="M1513" s="106">
        <v>20</v>
      </c>
      <c r="N1513" s="106">
        <v>0</v>
      </c>
      <c r="O1513" s="106">
        <v>20</v>
      </c>
      <c r="P1513" s="106">
        <v>0</v>
      </c>
      <c r="Q1513" s="108">
        <f t="shared" ref="Q1513:Q1515" si="1670">(K1513+L1513)/J1513</f>
        <v>0.83333333333333337</v>
      </c>
      <c r="R1513" s="109">
        <f t="shared" ref="R1513:R1516" si="1671">N1513/J1513</f>
        <v>0</v>
      </c>
      <c r="S1513" s="109">
        <f t="shared" ref="S1513:S1516" si="1672">P1513/J1513</f>
        <v>0</v>
      </c>
      <c r="T1513" s="109">
        <f t="shared" ref="T1513:T1516" si="1673">O1513/J1513</f>
        <v>8.3333333333333329E-2</v>
      </c>
      <c r="U1513" s="110">
        <f t="shared" ref="U1513:U1516" si="1674">S1513+R1513+Q1513+T1513</f>
        <v>0.91666666666666674</v>
      </c>
      <c r="V1513" s="136"/>
    </row>
    <row r="1514" spans="2:25" ht="15.75" hidden="1" x14ac:dyDescent="0.2">
      <c r="B1514" s="711">
        <v>46185</v>
      </c>
      <c r="C1514" s="105" t="s">
        <v>12</v>
      </c>
      <c r="D1514" s="105" t="s">
        <v>13</v>
      </c>
      <c r="E1514" s="711">
        <v>46185</v>
      </c>
      <c r="G1514" s="834"/>
      <c r="H1514" s="120" t="s">
        <v>25</v>
      </c>
      <c r="I1514" s="120" t="s">
        <v>106</v>
      </c>
      <c r="J1514" s="106">
        <v>231</v>
      </c>
      <c r="K1514" s="106">
        <f>231-46</f>
        <v>185</v>
      </c>
      <c r="L1514" s="106">
        <v>23</v>
      </c>
      <c r="M1514" s="106">
        <v>5</v>
      </c>
      <c r="N1514" s="106">
        <v>0</v>
      </c>
      <c r="O1514" s="106">
        <v>15</v>
      </c>
      <c r="P1514" s="106">
        <v>3</v>
      </c>
      <c r="Q1514" s="108">
        <f t="shared" si="1670"/>
        <v>0.90043290043290047</v>
      </c>
      <c r="R1514" s="109">
        <f t="shared" si="1671"/>
        <v>0</v>
      </c>
      <c r="S1514" s="109">
        <f t="shared" si="1672"/>
        <v>1.2987012987012988E-2</v>
      </c>
      <c r="T1514" s="109">
        <f t="shared" si="1673"/>
        <v>6.4935064935064929E-2</v>
      </c>
      <c r="U1514" s="110">
        <f t="shared" si="1674"/>
        <v>0.97835497835497842</v>
      </c>
      <c r="V1514" s="136"/>
    </row>
    <row r="1515" spans="2:25" ht="15.75" hidden="1" x14ac:dyDescent="0.2">
      <c r="B1515" s="711">
        <v>46185</v>
      </c>
      <c r="C1515" s="105" t="s">
        <v>12</v>
      </c>
      <c r="D1515" s="105" t="s">
        <v>13</v>
      </c>
      <c r="E1515" s="711">
        <v>46185</v>
      </c>
      <c r="G1515" s="835"/>
      <c r="H1515" s="120" t="s">
        <v>14</v>
      </c>
      <c r="I1515" s="120" t="s">
        <v>105</v>
      </c>
      <c r="J1515" s="106">
        <v>175</v>
      </c>
      <c r="K1515" s="106">
        <v>125</v>
      </c>
      <c r="L1515" s="106">
        <v>25</v>
      </c>
      <c r="M1515" s="106">
        <v>7</v>
      </c>
      <c r="N1515" s="106">
        <v>5</v>
      </c>
      <c r="O1515" s="106">
        <v>13</v>
      </c>
      <c r="P1515" s="106">
        <v>0</v>
      </c>
      <c r="Q1515" s="108">
        <f t="shared" si="1670"/>
        <v>0.8571428571428571</v>
      </c>
      <c r="R1515" s="109">
        <f t="shared" si="1671"/>
        <v>2.8571428571428571E-2</v>
      </c>
      <c r="S1515" s="109">
        <f t="shared" si="1672"/>
        <v>0</v>
      </c>
      <c r="T1515" s="109">
        <f t="shared" si="1673"/>
        <v>7.4285714285714288E-2</v>
      </c>
      <c r="U1515" s="110">
        <f t="shared" si="1674"/>
        <v>0.96</v>
      </c>
      <c r="V1515" s="136"/>
    </row>
    <row r="1516" spans="2:25" s="97" customFormat="1" ht="16.5" hidden="1" customHeight="1" x14ac:dyDescent="0.2">
      <c r="B1516" s="711">
        <v>46185</v>
      </c>
      <c r="C1516" s="105" t="s">
        <v>12</v>
      </c>
      <c r="D1516" s="105" t="s">
        <v>13</v>
      </c>
      <c r="E1516" s="711">
        <v>46185</v>
      </c>
      <c r="F1516" s="89"/>
      <c r="G1516" s="190"/>
      <c r="H1516" s="840" t="s">
        <v>19</v>
      </c>
      <c r="I1516" s="841"/>
      <c r="J1516" s="113">
        <f t="shared" ref="J1516" si="1675">SUM(J1513:J1515)</f>
        <v>646</v>
      </c>
      <c r="K1516" s="113">
        <f t="shared" ref="K1516" si="1676">SUM(K1513:K1515)</f>
        <v>457</v>
      </c>
      <c r="L1516" s="113">
        <f t="shared" ref="L1516" si="1677">SUM(L1513:L1515)</f>
        <v>101</v>
      </c>
      <c r="M1516" s="113">
        <f t="shared" ref="M1516" si="1678">SUM(M1513:M1515)</f>
        <v>32</v>
      </c>
      <c r="N1516" s="113">
        <f t="shared" ref="N1516" si="1679">SUM(N1513:N1515)</f>
        <v>5</v>
      </c>
      <c r="O1516" s="113">
        <f t="shared" ref="O1516" si="1680">SUM(O1513:O1515)</f>
        <v>48</v>
      </c>
      <c r="P1516" s="113">
        <f t="shared" ref="P1516" si="1681">SUM(P1513:P1515)</f>
        <v>3</v>
      </c>
      <c r="Q1516" s="115">
        <f>(K1516+L1516)/J1516</f>
        <v>0.86377708978328172</v>
      </c>
      <c r="R1516" s="116">
        <f t="shared" si="1671"/>
        <v>7.7399380804953561E-3</v>
      </c>
      <c r="S1516" s="116">
        <f t="shared" si="1672"/>
        <v>4.6439628482972135E-3</v>
      </c>
      <c r="T1516" s="116">
        <f t="shared" si="1673"/>
        <v>7.4303405572755415E-2</v>
      </c>
      <c r="U1516" s="117">
        <f t="shared" si="1674"/>
        <v>0.9504643962848297</v>
      </c>
      <c r="V1516" s="127"/>
      <c r="W1516" s="88"/>
      <c r="X1516" s="88"/>
      <c r="Y1516" s="118"/>
    </row>
    <row r="1517" spans="2:25" ht="15.75" hidden="1" x14ac:dyDescent="0.2">
      <c r="B1517" s="711">
        <v>46185</v>
      </c>
      <c r="C1517" s="105" t="s">
        <v>18</v>
      </c>
      <c r="D1517" s="105" t="s">
        <v>13</v>
      </c>
      <c r="E1517" s="711">
        <v>46186</v>
      </c>
      <c r="G1517" s="833">
        <v>46186</v>
      </c>
      <c r="H1517" s="120" t="s">
        <v>75</v>
      </c>
      <c r="I1517" s="120" t="s">
        <v>83</v>
      </c>
      <c r="J1517" s="106">
        <v>226</v>
      </c>
      <c r="K1517" s="106">
        <f>J1517-L1517-M1517-N1517-O1517-P1517</f>
        <v>117</v>
      </c>
      <c r="L1517" s="106">
        <v>46</v>
      </c>
      <c r="M1517" s="106">
        <v>62</v>
      </c>
      <c r="N1517" s="106">
        <v>0</v>
      </c>
      <c r="O1517" s="106">
        <v>0</v>
      </c>
      <c r="P1517" s="106">
        <v>1</v>
      </c>
      <c r="Q1517" s="108">
        <f t="shared" ref="Q1517:Q1519" si="1682">(K1517+L1517)/J1517</f>
        <v>0.72123893805309736</v>
      </c>
      <c r="R1517" s="109">
        <f t="shared" ref="R1517:R1526" si="1683">N1517/J1517</f>
        <v>0</v>
      </c>
      <c r="S1517" s="109">
        <f t="shared" ref="S1517:S1526" si="1684">P1517/J1517</f>
        <v>4.4247787610619468E-3</v>
      </c>
      <c r="T1517" s="109">
        <f t="shared" ref="T1517:T1526" si="1685">O1517/J1517</f>
        <v>0</v>
      </c>
      <c r="U1517" s="110">
        <f t="shared" ref="U1517:U1526" si="1686">S1517+R1517+Q1517+T1517</f>
        <v>0.72566371681415931</v>
      </c>
      <c r="V1517" s="136"/>
    </row>
    <row r="1518" spans="2:25" ht="15.75" hidden="1" x14ac:dyDescent="0.2">
      <c r="B1518" s="711">
        <v>46185</v>
      </c>
      <c r="C1518" s="105" t="s">
        <v>18</v>
      </c>
      <c r="D1518" s="105" t="s">
        <v>13</v>
      </c>
      <c r="E1518" s="711">
        <v>46186</v>
      </c>
      <c r="G1518" s="834"/>
      <c r="H1518" s="120" t="s">
        <v>17</v>
      </c>
      <c r="I1518" s="120" t="s">
        <v>106</v>
      </c>
      <c r="J1518" s="106">
        <v>184</v>
      </c>
      <c r="K1518" s="106">
        <f t="shared" ref="K1518:K1519" si="1687">J1518-L1518-M1518-N1518-O1518-P1518</f>
        <v>116</v>
      </c>
      <c r="L1518" s="106">
        <v>36</v>
      </c>
      <c r="M1518" s="106">
        <v>29</v>
      </c>
      <c r="N1518" s="106">
        <v>0</v>
      </c>
      <c r="O1518" s="106">
        <v>0</v>
      </c>
      <c r="P1518" s="106">
        <v>3</v>
      </c>
      <c r="Q1518" s="108">
        <f t="shared" si="1682"/>
        <v>0.82608695652173914</v>
      </c>
      <c r="R1518" s="109">
        <f t="shared" si="1683"/>
        <v>0</v>
      </c>
      <c r="S1518" s="109">
        <f t="shared" si="1684"/>
        <v>1.6304347826086956E-2</v>
      </c>
      <c r="T1518" s="109">
        <f t="shared" si="1685"/>
        <v>0</v>
      </c>
      <c r="U1518" s="110">
        <f t="shared" si="1686"/>
        <v>0.84239130434782605</v>
      </c>
      <c r="V1518" s="136"/>
    </row>
    <row r="1519" spans="2:25" ht="15.75" hidden="1" x14ac:dyDescent="0.2">
      <c r="B1519" s="711">
        <v>46185</v>
      </c>
      <c r="C1519" s="105" t="s">
        <v>18</v>
      </c>
      <c r="D1519" s="105" t="s">
        <v>13</v>
      </c>
      <c r="E1519" s="711">
        <v>46186</v>
      </c>
      <c r="G1519" s="835"/>
      <c r="H1519" s="120" t="s">
        <v>14</v>
      </c>
      <c r="I1519" s="120" t="s">
        <v>105</v>
      </c>
      <c r="J1519" s="106">
        <v>175</v>
      </c>
      <c r="K1519" s="106">
        <f t="shared" si="1687"/>
        <v>1</v>
      </c>
      <c r="L1519" s="106">
        <v>0</v>
      </c>
      <c r="M1519" s="106">
        <v>174</v>
      </c>
      <c r="N1519" s="106">
        <v>0</v>
      </c>
      <c r="O1519" s="106">
        <v>0</v>
      </c>
      <c r="P1519" s="106">
        <v>0</v>
      </c>
      <c r="Q1519" s="108">
        <f t="shared" si="1682"/>
        <v>5.7142857142857143E-3</v>
      </c>
      <c r="R1519" s="109">
        <f t="shared" si="1683"/>
        <v>0</v>
      </c>
      <c r="S1519" s="109">
        <f t="shared" si="1684"/>
        <v>0</v>
      </c>
      <c r="T1519" s="109">
        <f t="shared" si="1685"/>
        <v>0</v>
      </c>
      <c r="U1519" s="110">
        <f t="shared" si="1686"/>
        <v>5.7142857142857143E-3</v>
      </c>
      <c r="V1519" s="136"/>
    </row>
    <row r="1520" spans="2:25" s="97" customFormat="1" ht="16.5" hidden="1" customHeight="1" x14ac:dyDescent="0.2">
      <c r="B1520" s="711">
        <v>46185</v>
      </c>
      <c r="C1520" s="105" t="s">
        <v>18</v>
      </c>
      <c r="D1520" s="105" t="s">
        <v>13</v>
      </c>
      <c r="E1520" s="711">
        <v>46186</v>
      </c>
      <c r="F1520" s="89"/>
      <c r="G1520" s="190"/>
      <c r="H1520" s="840" t="s">
        <v>19</v>
      </c>
      <c r="I1520" s="841"/>
      <c r="J1520" s="113">
        <f t="shared" ref="J1520" si="1688">SUM(J1517:J1519)</f>
        <v>585</v>
      </c>
      <c r="K1520" s="113">
        <f t="shared" ref="K1520" si="1689">SUM(K1517:K1519)</f>
        <v>234</v>
      </c>
      <c r="L1520" s="113">
        <f t="shared" ref="L1520" si="1690">SUM(L1517:L1519)</f>
        <v>82</v>
      </c>
      <c r="M1520" s="113">
        <f t="shared" ref="M1520" si="1691">SUM(M1517:M1519)</f>
        <v>265</v>
      </c>
      <c r="N1520" s="113">
        <f t="shared" ref="N1520" si="1692">SUM(N1517:N1519)</f>
        <v>0</v>
      </c>
      <c r="O1520" s="113">
        <f t="shared" ref="O1520" si="1693">SUM(O1517:O1519)</f>
        <v>0</v>
      </c>
      <c r="P1520" s="113">
        <f t="shared" ref="P1520" si="1694">SUM(P1517:P1519)</f>
        <v>4</v>
      </c>
      <c r="Q1520" s="115">
        <f>(K1520+L1520)/J1520</f>
        <v>0.54017094017094014</v>
      </c>
      <c r="R1520" s="116">
        <f t="shared" si="1683"/>
        <v>0</v>
      </c>
      <c r="S1520" s="116">
        <f t="shared" si="1684"/>
        <v>6.8376068376068376E-3</v>
      </c>
      <c r="T1520" s="116">
        <f t="shared" si="1685"/>
        <v>0</v>
      </c>
      <c r="U1520" s="117">
        <f t="shared" si="1686"/>
        <v>0.54700854700854695</v>
      </c>
      <c r="V1520" s="127"/>
      <c r="W1520" s="88"/>
      <c r="X1520" s="88"/>
      <c r="Y1520" s="118"/>
    </row>
    <row r="1521" spans="2:25" ht="15.75" hidden="1" x14ac:dyDescent="0.2">
      <c r="B1521" s="711">
        <v>46186</v>
      </c>
      <c r="C1521" s="105" t="s">
        <v>22</v>
      </c>
      <c r="D1521" s="105" t="s">
        <v>129</v>
      </c>
      <c r="E1521" s="711">
        <v>46186</v>
      </c>
      <c r="G1521" s="842">
        <v>46186</v>
      </c>
      <c r="H1521" s="120" t="s">
        <v>75</v>
      </c>
      <c r="I1521" s="120" t="s">
        <v>83</v>
      </c>
      <c r="J1521" s="106">
        <f>SUM(K1521:P1521)</f>
        <v>72</v>
      </c>
      <c r="K1521" s="106">
        <v>33</v>
      </c>
      <c r="L1521" s="106">
        <v>24</v>
      </c>
      <c r="M1521" s="106">
        <v>0</v>
      </c>
      <c r="N1521" s="106">
        <v>0</v>
      </c>
      <c r="O1521" s="106">
        <v>14</v>
      </c>
      <c r="P1521" s="106">
        <v>1</v>
      </c>
      <c r="Q1521" s="108">
        <f t="shared" ref="Q1521:Q1525" si="1695">(K1521+L1521)/J1521</f>
        <v>0.79166666666666663</v>
      </c>
      <c r="R1521" s="109">
        <f t="shared" si="1683"/>
        <v>0</v>
      </c>
      <c r="S1521" s="109">
        <f t="shared" si="1684"/>
        <v>1.3888888888888888E-2</v>
      </c>
      <c r="T1521" s="109">
        <f t="shared" si="1685"/>
        <v>0.19444444444444445</v>
      </c>
      <c r="U1521" s="110">
        <f t="shared" si="1686"/>
        <v>0.99999999999999989</v>
      </c>
      <c r="V1521" s="136"/>
    </row>
    <row r="1522" spans="2:25" ht="15.75" hidden="1" x14ac:dyDescent="0.2">
      <c r="B1522" s="711">
        <v>46186</v>
      </c>
      <c r="C1522" s="105" t="s">
        <v>22</v>
      </c>
      <c r="D1522" s="105" t="s">
        <v>129</v>
      </c>
      <c r="E1522" s="711">
        <v>46186</v>
      </c>
      <c r="G1522" s="843"/>
      <c r="H1522" s="120" t="s">
        <v>17</v>
      </c>
      <c r="I1522" s="120" t="s">
        <v>106</v>
      </c>
      <c r="J1522" s="106">
        <f>SUM(K1522:P1522)</f>
        <v>54</v>
      </c>
      <c r="K1522" s="106">
        <v>27</v>
      </c>
      <c r="L1522" s="106">
        <v>10</v>
      </c>
      <c r="M1522" s="106">
        <v>0</v>
      </c>
      <c r="N1522" s="106">
        <v>0</v>
      </c>
      <c r="O1522" s="106">
        <v>14</v>
      </c>
      <c r="P1522" s="106">
        <v>3</v>
      </c>
      <c r="Q1522" s="108">
        <f t="shared" si="1695"/>
        <v>0.68518518518518523</v>
      </c>
      <c r="R1522" s="109">
        <f t="shared" si="1683"/>
        <v>0</v>
      </c>
      <c r="S1522" s="109">
        <f t="shared" si="1684"/>
        <v>5.5555555555555552E-2</v>
      </c>
      <c r="T1522" s="109">
        <f t="shared" si="1685"/>
        <v>0.25925925925925924</v>
      </c>
      <c r="U1522" s="110">
        <f t="shared" si="1686"/>
        <v>1</v>
      </c>
      <c r="V1522" s="136"/>
    </row>
    <row r="1523" spans="2:25" ht="15.75" hidden="1" x14ac:dyDescent="0.2">
      <c r="B1523" s="711">
        <v>46186</v>
      </c>
      <c r="C1523" s="105" t="s">
        <v>22</v>
      </c>
      <c r="D1523" s="105" t="s">
        <v>129</v>
      </c>
      <c r="E1523" s="711">
        <v>46186</v>
      </c>
      <c r="G1523" s="844"/>
      <c r="H1523" s="120" t="s">
        <v>14</v>
      </c>
      <c r="I1523" s="120" t="s">
        <v>105</v>
      </c>
      <c r="J1523" s="106">
        <v>174</v>
      </c>
      <c r="K1523" s="106">
        <v>48</v>
      </c>
      <c r="L1523" s="106">
        <v>22</v>
      </c>
      <c r="M1523" s="106">
        <v>46</v>
      </c>
      <c r="N1523" s="106">
        <v>44</v>
      </c>
      <c r="O1523" s="106">
        <v>12</v>
      </c>
      <c r="P1523" s="106">
        <v>2</v>
      </c>
      <c r="Q1523" s="108">
        <f t="shared" ref="Q1523:Q1524" si="1696">(K1523+L1523)/J1523</f>
        <v>0.40229885057471265</v>
      </c>
      <c r="R1523" s="109">
        <f t="shared" ref="R1523:R1524" si="1697">N1523/J1523</f>
        <v>0.25287356321839083</v>
      </c>
      <c r="S1523" s="109">
        <f t="shared" ref="S1523:S1524" si="1698">P1523/J1523</f>
        <v>1.1494252873563218E-2</v>
      </c>
      <c r="T1523" s="109">
        <f t="shared" ref="T1523:T1524" si="1699">O1523/J1523</f>
        <v>6.8965517241379309E-2</v>
      </c>
      <c r="U1523" s="110">
        <f t="shared" ref="U1523:U1524" si="1700">S1523+R1523+Q1523+T1523</f>
        <v>0.73563218390804608</v>
      </c>
      <c r="V1523" s="136"/>
    </row>
    <row r="1524" spans="2:25" ht="15.75" hidden="1" x14ac:dyDescent="0.2">
      <c r="B1524" s="711">
        <v>46186</v>
      </c>
      <c r="C1524" s="105" t="s">
        <v>22</v>
      </c>
      <c r="D1524" s="105" t="s">
        <v>129</v>
      </c>
      <c r="E1524" s="711">
        <v>46187</v>
      </c>
      <c r="G1524" s="304">
        <v>46187</v>
      </c>
      <c r="H1524" s="120" t="s">
        <v>17</v>
      </c>
      <c r="I1524" s="120" t="s">
        <v>106</v>
      </c>
      <c r="J1524" s="106">
        <v>188</v>
      </c>
      <c r="K1524" s="106">
        <v>0</v>
      </c>
      <c r="L1524" s="106">
        <v>0</v>
      </c>
      <c r="M1524" s="106">
        <v>146</v>
      </c>
      <c r="N1524" s="106">
        <v>15</v>
      </c>
      <c r="O1524" s="106">
        <v>26</v>
      </c>
      <c r="P1524" s="106">
        <v>1</v>
      </c>
      <c r="Q1524" s="108">
        <f t="shared" si="1696"/>
        <v>0</v>
      </c>
      <c r="R1524" s="109">
        <f t="shared" si="1697"/>
        <v>7.9787234042553196E-2</v>
      </c>
      <c r="S1524" s="109">
        <f t="shared" si="1698"/>
        <v>5.3191489361702126E-3</v>
      </c>
      <c r="T1524" s="109">
        <f t="shared" si="1699"/>
        <v>0.13829787234042554</v>
      </c>
      <c r="U1524" s="110">
        <f t="shared" si="1700"/>
        <v>0.22340425531914893</v>
      </c>
      <c r="V1524" s="136"/>
    </row>
    <row r="1525" spans="2:25" ht="15.75" hidden="1" x14ac:dyDescent="0.2">
      <c r="B1525" s="711">
        <v>46186</v>
      </c>
      <c r="C1525" s="105" t="s">
        <v>22</v>
      </c>
      <c r="D1525" s="105" t="s">
        <v>129</v>
      </c>
      <c r="E1525" s="711">
        <v>46188</v>
      </c>
      <c r="G1525" s="304">
        <v>46188</v>
      </c>
      <c r="H1525" s="120" t="s">
        <v>118</v>
      </c>
      <c r="I1525" s="120" t="s">
        <v>22</v>
      </c>
      <c r="J1525" s="106">
        <f>29+38</f>
        <v>67</v>
      </c>
      <c r="K1525" s="106">
        <v>28</v>
      </c>
      <c r="L1525" s="106">
        <v>1</v>
      </c>
      <c r="M1525" s="106">
        <v>38</v>
      </c>
      <c r="N1525" s="106">
        <v>0</v>
      </c>
      <c r="O1525" s="106">
        <v>0</v>
      </c>
      <c r="P1525" s="106">
        <v>0</v>
      </c>
      <c r="Q1525" s="108">
        <f t="shared" si="1695"/>
        <v>0.43283582089552236</v>
      </c>
      <c r="R1525" s="109">
        <f t="shared" si="1683"/>
        <v>0</v>
      </c>
      <c r="S1525" s="109">
        <f t="shared" si="1684"/>
        <v>0</v>
      </c>
      <c r="T1525" s="109">
        <f t="shared" si="1685"/>
        <v>0</v>
      </c>
      <c r="U1525" s="110">
        <f t="shared" si="1686"/>
        <v>0.43283582089552236</v>
      </c>
      <c r="V1525" s="136"/>
    </row>
    <row r="1526" spans="2:25" s="97" customFormat="1" ht="16.5" hidden="1" customHeight="1" x14ac:dyDescent="0.2">
      <c r="B1526" s="711">
        <v>46186</v>
      </c>
      <c r="C1526" s="105" t="s">
        <v>22</v>
      </c>
      <c r="D1526" s="105" t="s">
        <v>129</v>
      </c>
      <c r="E1526" s="711">
        <v>46186</v>
      </c>
      <c r="F1526" s="89"/>
      <c r="G1526" s="190"/>
      <c r="H1526" s="840" t="s">
        <v>19</v>
      </c>
      <c r="I1526" s="841"/>
      <c r="J1526" s="113">
        <f t="shared" ref="J1526:P1526" si="1701">SUM(J1521:J1525)</f>
        <v>555</v>
      </c>
      <c r="K1526" s="113">
        <f t="shared" si="1701"/>
        <v>136</v>
      </c>
      <c r="L1526" s="113">
        <f t="shared" si="1701"/>
        <v>57</v>
      </c>
      <c r="M1526" s="113">
        <f t="shared" si="1701"/>
        <v>230</v>
      </c>
      <c r="N1526" s="113">
        <f t="shared" si="1701"/>
        <v>59</v>
      </c>
      <c r="O1526" s="113">
        <f t="shared" si="1701"/>
        <v>66</v>
      </c>
      <c r="P1526" s="113">
        <f t="shared" si="1701"/>
        <v>7</v>
      </c>
      <c r="Q1526" s="115">
        <f>(K1526+L1526)/J1526</f>
        <v>0.34774774774774775</v>
      </c>
      <c r="R1526" s="116">
        <f t="shared" si="1683"/>
        <v>0.1063063063063063</v>
      </c>
      <c r="S1526" s="116">
        <f t="shared" si="1684"/>
        <v>1.2612612612612612E-2</v>
      </c>
      <c r="T1526" s="116">
        <f t="shared" si="1685"/>
        <v>0.11891891891891893</v>
      </c>
      <c r="U1526" s="117">
        <f t="shared" si="1686"/>
        <v>0.5855855855855856</v>
      </c>
      <c r="V1526" s="127"/>
      <c r="W1526" s="88"/>
      <c r="X1526" s="88"/>
      <c r="Y1526" s="118"/>
    </row>
    <row r="1527" spans="2:25" ht="15.75" hidden="1" x14ac:dyDescent="0.2">
      <c r="B1527" s="711">
        <v>46186</v>
      </c>
      <c r="C1527" s="105" t="s">
        <v>12</v>
      </c>
      <c r="D1527" s="10" t="s">
        <v>133</v>
      </c>
      <c r="E1527" s="711">
        <v>46186</v>
      </c>
      <c r="G1527" s="842">
        <v>46186</v>
      </c>
      <c r="H1527" s="120" t="s">
        <v>75</v>
      </c>
      <c r="I1527" s="120" t="s">
        <v>83</v>
      </c>
      <c r="J1527" s="106">
        <f>5+12</f>
        <v>17</v>
      </c>
      <c r="K1527" s="106">
        <v>5</v>
      </c>
      <c r="L1527" s="106">
        <v>5</v>
      </c>
      <c r="M1527" s="106">
        <v>0</v>
      </c>
      <c r="N1527" s="106">
        <v>0</v>
      </c>
      <c r="O1527" s="106">
        <v>10</v>
      </c>
      <c r="P1527" s="106">
        <v>1</v>
      </c>
      <c r="Q1527" s="108">
        <f t="shared" ref="Q1527:Q1529" si="1702">(K1527+L1527)/J1527</f>
        <v>0.58823529411764708</v>
      </c>
      <c r="R1527" s="109">
        <f t="shared" ref="R1527:R1532" si="1703">N1527/J1527</f>
        <v>0</v>
      </c>
      <c r="S1527" s="109">
        <f t="shared" ref="S1527:S1532" si="1704">P1527/J1527</f>
        <v>5.8823529411764705E-2</v>
      </c>
      <c r="T1527" s="109">
        <f t="shared" ref="T1527:T1532" si="1705">O1527/J1527</f>
        <v>0.58823529411764708</v>
      </c>
      <c r="U1527" s="110">
        <f t="shared" ref="U1527:U1532" si="1706">S1527+R1527+Q1527+T1527</f>
        <v>1.2352941176470589</v>
      </c>
      <c r="V1527" s="136"/>
    </row>
    <row r="1528" spans="2:25" ht="15.75" hidden="1" x14ac:dyDescent="0.2">
      <c r="B1528" s="711">
        <v>46186</v>
      </c>
      <c r="C1528" s="105" t="s">
        <v>12</v>
      </c>
      <c r="D1528" s="10" t="s">
        <v>133</v>
      </c>
      <c r="E1528" s="711">
        <v>46186</v>
      </c>
      <c r="G1528" s="843"/>
      <c r="H1528" s="120" t="s">
        <v>17</v>
      </c>
      <c r="I1528" s="120" t="s">
        <v>106</v>
      </c>
      <c r="J1528" s="106">
        <v>16</v>
      </c>
      <c r="K1528" s="106">
        <v>8</v>
      </c>
      <c r="L1528" s="106">
        <v>5</v>
      </c>
      <c r="M1528" s="106">
        <v>0</v>
      </c>
      <c r="N1528" s="106">
        <v>0</v>
      </c>
      <c r="O1528" s="106">
        <v>0</v>
      </c>
      <c r="P1528" s="106">
        <v>3</v>
      </c>
      <c r="Q1528" s="108">
        <f t="shared" si="1702"/>
        <v>0.8125</v>
      </c>
      <c r="R1528" s="109">
        <f t="shared" si="1703"/>
        <v>0</v>
      </c>
      <c r="S1528" s="109">
        <f t="shared" si="1704"/>
        <v>0.1875</v>
      </c>
      <c r="T1528" s="109">
        <f t="shared" si="1705"/>
        <v>0</v>
      </c>
      <c r="U1528" s="110">
        <f t="shared" si="1706"/>
        <v>1</v>
      </c>
      <c r="V1528" s="136"/>
    </row>
    <row r="1529" spans="2:25" ht="15.75" hidden="1" x14ac:dyDescent="0.2">
      <c r="B1529" s="711">
        <v>46186</v>
      </c>
      <c r="C1529" s="105" t="s">
        <v>12</v>
      </c>
      <c r="D1529" s="10" t="s">
        <v>133</v>
      </c>
      <c r="E1529" s="711">
        <v>46186</v>
      </c>
      <c r="G1529" s="844"/>
      <c r="H1529" s="120" t="s">
        <v>14</v>
      </c>
      <c r="I1529" s="120" t="s">
        <v>105</v>
      </c>
      <c r="J1529" s="106">
        <f>316-31-183</f>
        <v>102</v>
      </c>
      <c r="K1529" s="106">
        <v>58</v>
      </c>
      <c r="L1529" s="106">
        <v>17</v>
      </c>
      <c r="M1529" s="106">
        <v>0</v>
      </c>
      <c r="N1529" s="106">
        <v>0</v>
      </c>
      <c r="O1529" s="106">
        <v>12</v>
      </c>
      <c r="P1529" s="106">
        <v>2</v>
      </c>
      <c r="Q1529" s="108">
        <f t="shared" si="1702"/>
        <v>0.73529411764705888</v>
      </c>
      <c r="R1529" s="109">
        <f t="shared" si="1703"/>
        <v>0</v>
      </c>
      <c r="S1529" s="109">
        <f t="shared" si="1704"/>
        <v>1.9607843137254902E-2</v>
      </c>
      <c r="T1529" s="109">
        <f t="shared" si="1705"/>
        <v>0.11764705882352941</v>
      </c>
      <c r="U1529" s="110">
        <f t="shared" si="1706"/>
        <v>0.87254901960784326</v>
      </c>
      <c r="V1529" s="136"/>
    </row>
    <row r="1530" spans="2:25" ht="15.75" hidden="1" x14ac:dyDescent="0.2">
      <c r="B1530" s="711">
        <v>46186</v>
      </c>
      <c r="C1530" s="105" t="s">
        <v>12</v>
      </c>
      <c r="D1530" s="10" t="s">
        <v>133</v>
      </c>
      <c r="E1530" s="711">
        <v>46187</v>
      </c>
      <c r="G1530" s="845">
        <v>46187</v>
      </c>
      <c r="H1530" s="120" t="s">
        <v>17</v>
      </c>
      <c r="I1530" s="120" t="s">
        <v>106</v>
      </c>
      <c r="J1530" s="106">
        <v>188</v>
      </c>
      <c r="K1530" s="106">
        <v>86</v>
      </c>
      <c r="L1530" s="106">
        <v>17</v>
      </c>
      <c r="M1530" s="106">
        <f>+J1530-K1530-L1530-O1530-P1530</f>
        <v>58</v>
      </c>
      <c r="N1530" s="106">
        <v>0</v>
      </c>
      <c r="O1530" s="106">
        <v>26</v>
      </c>
      <c r="P1530" s="106">
        <v>1</v>
      </c>
      <c r="Q1530" s="108">
        <f>(K1530+L1530)/J1530</f>
        <v>0.5478723404255319</v>
      </c>
      <c r="R1530" s="109">
        <f>N1530/J1530</f>
        <v>0</v>
      </c>
      <c r="S1530" s="109">
        <f>P1530/J1530</f>
        <v>5.3191489361702126E-3</v>
      </c>
      <c r="T1530" s="109">
        <f t="shared" si="1705"/>
        <v>0.13829787234042554</v>
      </c>
      <c r="U1530" s="110">
        <f>S1530+R1530+Q1530+T1530</f>
        <v>0.69148936170212771</v>
      </c>
      <c r="V1530" s="136"/>
    </row>
    <row r="1531" spans="2:25" ht="15.75" hidden="1" x14ac:dyDescent="0.2">
      <c r="B1531" s="711">
        <v>46186</v>
      </c>
      <c r="C1531" s="105" t="s">
        <v>12</v>
      </c>
      <c r="D1531" s="10" t="s">
        <v>133</v>
      </c>
      <c r="E1531" s="711">
        <v>46187</v>
      </c>
      <c r="G1531" s="847"/>
      <c r="H1531" s="120" t="s">
        <v>75</v>
      </c>
      <c r="I1531" s="120" t="s">
        <v>83</v>
      </c>
      <c r="J1531" s="106">
        <v>255</v>
      </c>
      <c r="K1531" s="106">
        <v>0</v>
      </c>
      <c r="L1531" s="106">
        <v>0</v>
      </c>
      <c r="M1531" s="106">
        <f>255-23-1</f>
        <v>231</v>
      </c>
      <c r="N1531" s="106">
        <v>0</v>
      </c>
      <c r="O1531" s="106">
        <v>23</v>
      </c>
      <c r="P1531" s="106">
        <v>1</v>
      </c>
      <c r="Q1531" s="108">
        <f t="shared" ref="Q1531" si="1707">(K1531+L1531)/J1531</f>
        <v>0</v>
      </c>
      <c r="R1531" s="109">
        <f t="shared" ref="R1531" si="1708">N1531/J1531</f>
        <v>0</v>
      </c>
      <c r="S1531" s="109">
        <f t="shared" ref="S1531" si="1709">P1531/J1531</f>
        <v>3.9215686274509803E-3</v>
      </c>
      <c r="T1531" s="109">
        <f t="shared" ref="T1531" si="1710">O1531/J1531</f>
        <v>9.0196078431372548E-2</v>
      </c>
      <c r="U1531" s="110">
        <f t="shared" ref="U1531" si="1711">S1531+R1531+Q1531+T1531</f>
        <v>9.4117647058823528E-2</v>
      </c>
      <c r="V1531" s="136"/>
    </row>
    <row r="1532" spans="2:25" ht="15.75" hidden="1" x14ac:dyDescent="0.2">
      <c r="B1532" s="711">
        <v>46186</v>
      </c>
      <c r="C1532" s="105" t="s">
        <v>12</v>
      </c>
      <c r="D1532" s="10" t="s">
        <v>133</v>
      </c>
      <c r="E1532" s="711">
        <v>46186</v>
      </c>
      <c r="G1532" s="190"/>
      <c r="H1532" s="840" t="s">
        <v>19</v>
      </c>
      <c r="I1532" s="841"/>
      <c r="J1532" s="113">
        <f>SUM(J1527:J1530)</f>
        <v>323</v>
      </c>
      <c r="K1532" s="113">
        <f>SUM(K1527:K1531)</f>
        <v>157</v>
      </c>
      <c r="L1532" s="113">
        <f t="shared" ref="L1532:P1532" si="1712">SUM(L1527:L1531)</f>
        <v>44</v>
      </c>
      <c r="M1532" s="113">
        <f t="shared" si="1712"/>
        <v>289</v>
      </c>
      <c r="N1532" s="113">
        <f t="shared" si="1712"/>
        <v>0</v>
      </c>
      <c r="O1532" s="113">
        <f t="shared" si="1712"/>
        <v>71</v>
      </c>
      <c r="P1532" s="113">
        <f t="shared" si="1712"/>
        <v>8</v>
      </c>
      <c r="Q1532" s="115">
        <f>(K1532+L1532)/J1532</f>
        <v>0.62229102167182659</v>
      </c>
      <c r="R1532" s="116">
        <f t="shared" si="1703"/>
        <v>0</v>
      </c>
      <c r="S1532" s="116">
        <f t="shared" si="1704"/>
        <v>2.4767801857585141E-2</v>
      </c>
      <c r="T1532" s="116">
        <f t="shared" si="1705"/>
        <v>0.21981424148606812</v>
      </c>
      <c r="U1532" s="117">
        <f t="shared" si="1706"/>
        <v>0.86687306501547978</v>
      </c>
      <c r="V1532" s="127"/>
    </row>
    <row r="1533" spans="2:25" ht="15.75" hidden="1" x14ac:dyDescent="0.2">
      <c r="B1533" s="711">
        <v>46186</v>
      </c>
      <c r="C1533" s="105" t="s">
        <v>18</v>
      </c>
      <c r="D1533" s="10" t="s">
        <v>133</v>
      </c>
      <c r="E1533" s="711">
        <v>46187</v>
      </c>
      <c r="G1533" s="842">
        <v>46187</v>
      </c>
      <c r="H1533" s="120" t="s">
        <v>17</v>
      </c>
      <c r="I1533" s="120" t="s">
        <v>106</v>
      </c>
      <c r="J1533" s="106">
        <v>188</v>
      </c>
      <c r="K1533" s="106">
        <f>J1533-L1533-M1533-N1533-O1533-P1533</f>
        <v>118</v>
      </c>
      <c r="L1533" s="106">
        <v>42</v>
      </c>
      <c r="M1533" s="106">
        <v>27</v>
      </c>
      <c r="N1533" s="106">
        <v>0</v>
      </c>
      <c r="O1533" s="106">
        <v>0</v>
      </c>
      <c r="P1533" s="106">
        <v>1</v>
      </c>
      <c r="Q1533" s="108">
        <f>(K1533+L1533)/J1533</f>
        <v>0.85106382978723405</v>
      </c>
      <c r="R1533" s="109">
        <f>N1533/J1533</f>
        <v>0</v>
      </c>
      <c r="S1533" s="109">
        <f>P1533/J1533</f>
        <v>5.3191489361702126E-3</v>
      </c>
      <c r="T1533" s="109">
        <f t="shared" ref="T1533:T1541" si="1713">O1533/J1533</f>
        <v>0</v>
      </c>
      <c r="U1533" s="110">
        <f>S1533+R1533+Q1533+T1533</f>
        <v>0.8563829787234043</v>
      </c>
      <c r="V1533" s="136"/>
    </row>
    <row r="1534" spans="2:25" ht="15.75" hidden="1" x14ac:dyDescent="0.2">
      <c r="B1534" s="711">
        <v>46186</v>
      </c>
      <c r="C1534" s="105" t="s">
        <v>18</v>
      </c>
      <c r="D1534" s="10" t="s">
        <v>133</v>
      </c>
      <c r="E1534" s="711">
        <v>46187</v>
      </c>
      <c r="G1534" s="843"/>
      <c r="H1534" s="120" t="s">
        <v>14</v>
      </c>
      <c r="I1534" s="120" t="s">
        <v>105</v>
      </c>
      <c r="J1534" s="106">
        <v>177</v>
      </c>
      <c r="K1534" s="106">
        <f t="shared" ref="K1534:K1535" si="1714">J1534-L1534-M1534-N1534-O1534-P1534</f>
        <v>0</v>
      </c>
      <c r="L1534" s="106">
        <v>0</v>
      </c>
      <c r="M1534" s="106">
        <v>175</v>
      </c>
      <c r="N1534" s="106">
        <v>0</v>
      </c>
      <c r="O1534" s="106">
        <v>0</v>
      </c>
      <c r="P1534" s="106">
        <v>2</v>
      </c>
      <c r="Q1534" s="108">
        <f>(K1534+L1534)/J1534</f>
        <v>0</v>
      </c>
      <c r="R1534" s="109">
        <f>N1534/J1534</f>
        <v>0</v>
      </c>
      <c r="S1534" s="109">
        <f>P1534/J1534</f>
        <v>1.1299435028248588E-2</v>
      </c>
      <c r="T1534" s="109">
        <f t="shared" ref="T1534" si="1715">O1534/J1534</f>
        <v>0</v>
      </c>
      <c r="U1534" s="110">
        <f>S1534+R1534+Q1534+T1534</f>
        <v>1.1299435028248588E-2</v>
      </c>
      <c r="V1534" s="136"/>
    </row>
    <row r="1535" spans="2:25" ht="15.75" hidden="1" x14ac:dyDescent="0.2">
      <c r="B1535" s="711">
        <v>46186</v>
      </c>
      <c r="C1535" s="105" t="s">
        <v>18</v>
      </c>
      <c r="D1535" s="10" t="s">
        <v>133</v>
      </c>
      <c r="E1535" s="711">
        <v>46187</v>
      </c>
      <c r="G1535" s="844"/>
      <c r="H1535" s="120" t="s">
        <v>75</v>
      </c>
      <c r="I1535" s="120" t="s">
        <v>83</v>
      </c>
      <c r="J1535" s="106">
        <v>255</v>
      </c>
      <c r="K1535" s="106">
        <f t="shared" si="1714"/>
        <v>158</v>
      </c>
      <c r="L1535" s="106">
        <v>45</v>
      </c>
      <c r="M1535" s="106">
        <v>51</v>
      </c>
      <c r="N1535" s="106">
        <v>0</v>
      </c>
      <c r="O1535" s="106">
        <v>0</v>
      </c>
      <c r="P1535" s="106">
        <v>1</v>
      </c>
      <c r="Q1535" s="108">
        <f t="shared" ref="Q1535" si="1716">(K1535+L1535)/J1535</f>
        <v>0.79607843137254897</v>
      </c>
      <c r="R1535" s="109">
        <f t="shared" ref="R1535:R1541" si="1717">N1535/J1535</f>
        <v>0</v>
      </c>
      <c r="S1535" s="109">
        <f t="shared" ref="S1535:S1541" si="1718">P1535/J1535</f>
        <v>3.9215686274509803E-3</v>
      </c>
      <c r="T1535" s="109">
        <f t="shared" si="1713"/>
        <v>0</v>
      </c>
      <c r="U1535" s="110">
        <f t="shared" ref="U1535:U1541" si="1719">S1535+R1535+Q1535+T1535</f>
        <v>0.79999999999999993</v>
      </c>
      <c r="V1535" s="136"/>
    </row>
    <row r="1536" spans="2:25" ht="15.75" hidden="1" x14ac:dyDescent="0.2">
      <c r="B1536" s="711">
        <v>46186</v>
      </c>
      <c r="C1536" s="105" t="s">
        <v>18</v>
      </c>
      <c r="D1536" s="10" t="s">
        <v>133</v>
      </c>
      <c r="E1536" s="711">
        <v>46187</v>
      </c>
      <c r="G1536" s="190"/>
      <c r="H1536" s="840" t="s">
        <v>19</v>
      </c>
      <c r="I1536" s="841"/>
      <c r="J1536" s="113">
        <f>SUM(J1533:J1535)</f>
        <v>620</v>
      </c>
      <c r="K1536" s="113">
        <f t="shared" ref="K1536:P1536" si="1720">SUM(K1533:K1535)</f>
        <v>276</v>
      </c>
      <c r="L1536" s="113">
        <f t="shared" si="1720"/>
        <v>87</v>
      </c>
      <c r="M1536" s="113">
        <f t="shared" si="1720"/>
        <v>253</v>
      </c>
      <c r="N1536" s="113">
        <f t="shared" si="1720"/>
        <v>0</v>
      </c>
      <c r="O1536" s="113">
        <f t="shared" si="1720"/>
        <v>0</v>
      </c>
      <c r="P1536" s="113">
        <f t="shared" si="1720"/>
        <v>4</v>
      </c>
      <c r="Q1536" s="115">
        <f>(K1536+L1536)/J1536</f>
        <v>0.5854838709677419</v>
      </c>
      <c r="R1536" s="116">
        <f t="shared" si="1717"/>
        <v>0</v>
      </c>
      <c r="S1536" s="116">
        <f t="shared" si="1718"/>
        <v>6.4516129032258064E-3</v>
      </c>
      <c r="T1536" s="116">
        <f t="shared" si="1713"/>
        <v>0</v>
      </c>
      <c r="U1536" s="117">
        <f t="shared" si="1719"/>
        <v>0.59193548387096773</v>
      </c>
      <c r="V1536" s="127"/>
    </row>
    <row r="1537" spans="2:25" ht="15.75" hidden="1" x14ac:dyDescent="0.2">
      <c r="B1537" s="711">
        <v>46187</v>
      </c>
      <c r="C1537" s="105" t="s">
        <v>22</v>
      </c>
      <c r="D1537" s="105" t="s">
        <v>129</v>
      </c>
      <c r="E1537" s="711">
        <v>46187</v>
      </c>
      <c r="G1537" s="842">
        <v>46187</v>
      </c>
      <c r="H1537" s="120" t="s">
        <v>75</v>
      </c>
      <c r="I1537" s="120" t="s">
        <v>83</v>
      </c>
      <c r="J1537" s="106">
        <f>SUM(K1537:P1537)</f>
        <v>53</v>
      </c>
      <c r="K1537" s="106">
        <v>22</v>
      </c>
      <c r="L1537" s="106">
        <v>23</v>
      </c>
      <c r="M1537" s="106">
        <v>0</v>
      </c>
      <c r="N1537" s="106">
        <v>0</v>
      </c>
      <c r="O1537" s="106">
        <v>7</v>
      </c>
      <c r="P1537" s="106">
        <v>1</v>
      </c>
      <c r="Q1537" s="108">
        <f t="shared" ref="Q1537:Q1540" si="1721">(K1537+L1537)/J1537</f>
        <v>0.84905660377358494</v>
      </c>
      <c r="R1537" s="109">
        <f t="shared" si="1717"/>
        <v>0</v>
      </c>
      <c r="S1537" s="109">
        <f t="shared" si="1718"/>
        <v>1.8867924528301886E-2</v>
      </c>
      <c r="T1537" s="109">
        <f t="shared" si="1713"/>
        <v>0.13207547169811321</v>
      </c>
      <c r="U1537" s="110">
        <f t="shared" si="1719"/>
        <v>1</v>
      </c>
      <c r="V1537" s="136"/>
    </row>
    <row r="1538" spans="2:25" ht="15.75" hidden="1" x14ac:dyDescent="0.2">
      <c r="B1538" s="711">
        <v>46187</v>
      </c>
      <c r="C1538" s="105" t="s">
        <v>22</v>
      </c>
      <c r="D1538" s="105" t="s">
        <v>129</v>
      </c>
      <c r="E1538" s="711">
        <v>46187</v>
      </c>
      <c r="G1538" s="843"/>
      <c r="H1538" s="120" t="s">
        <v>17</v>
      </c>
      <c r="I1538" s="120" t="s">
        <v>22</v>
      </c>
      <c r="J1538" s="106">
        <f>SUM(K1538:P1538)</f>
        <v>43</v>
      </c>
      <c r="K1538" s="106">
        <v>18</v>
      </c>
      <c r="L1538" s="106">
        <v>19</v>
      </c>
      <c r="M1538" s="106">
        <v>0</v>
      </c>
      <c r="N1538" s="106">
        <v>0</v>
      </c>
      <c r="O1538" s="106">
        <v>6</v>
      </c>
      <c r="P1538" s="106">
        <v>0</v>
      </c>
      <c r="Q1538" s="108">
        <f t="shared" si="1721"/>
        <v>0.86046511627906974</v>
      </c>
      <c r="R1538" s="109">
        <f t="shared" si="1717"/>
        <v>0</v>
      </c>
      <c r="S1538" s="109">
        <f t="shared" si="1718"/>
        <v>0</v>
      </c>
      <c r="T1538" s="109">
        <f t="shared" si="1713"/>
        <v>0.13953488372093023</v>
      </c>
      <c r="U1538" s="110">
        <f t="shared" si="1719"/>
        <v>1</v>
      </c>
      <c r="V1538" s="136"/>
    </row>
    <row r="1539" spans="2:25" ht="15.75" hidden="1" x14ac:dyDescent="0.2">
      <c r="B1539" s="711">
        <v>46187</v>
      </c>
      <c r="C1539" s="105" t="s">
        <v>22</v>
      </c>
      <c r="D1539" s="105" t="s">
        <v>129</v>
      </c>
      <c r="E1539" s="711">
        <v>46187</v>
      </c>
      <c r="G1539" s="844"/>
      <c r="H1539" s="120" t="s">
        <v>14</v>
      </c>
      <c r="I1539" s="120" t="s">
        <v>18</v>
      </c>
      <c r="J1539" s="106">
        <v>177</v>
      </c>
      <c r="K1539" s="106">
        <v>70</v>
      </c>
      <c r="L1539" s="106">
        <v>39</v>
      </c>
      <c r="M1539" s="106">
        <v>33</v>
      </c>
      <c r="N1539" s="106">
        <v>22</v>
      </c>
      <c r="O1539" s="106">
        <v>13</v>
      </c>
      <c r="P1539" s="106">
        <v>3</v>
      </c>
      <c r="Q1539" s="108">
        <f t="shared" si="1721"/>
        <v>0.61581920903954801</v>
      </c>
      <c r="R1539" s="109">
        <f t="shared" si="1717"/>
        <v>0.12429378531073447</v>
      </c>
      <c r="S1539" s="109">
        <f t="shared" si="1718"/>
        <v>1.6949152542372881E-2</v>
      </c>
      <c r="T1539" s="109">
        <f t="shared" si="1713"/>
        <v>7.3446327683615822E-2</v>
      </c>
      <c r="U1539" s="110">
        <f t="shared" si="1719"/>
        <v>0.83050847457627119</v>
      </c>
      <c r="V1539" s="136"/>
    </row>
    <row r="1540" spans="2:25" ht="15.75" hidden="1" x14ac:dyDescent="0.2">
      <c r="B1540" s="711">
        <v>46187</v>
      </c>
      <c r="C1540" s="105" t="s">
        <v>22</v>
      </c>
      <c r="D1540" s="105" t="s">
        <v>129</v>
      </c>
      <c r="E1540" s="711">
        <v>46187</v>
      </c>
      <c r="G1540" s="704">
        <v>46188</v>
      </c>
      <c r="H1540" s="120" t="s">
        <v>17</v>
      </c>
      <c r="I1540" s="120" t="s">
        <v>106</v>
      </c>
      <c r="J1540" s="106">
        <v>205</v>
      </c>
      <c r="K1540" s="106">
        <v>0</v>
      </c>
      <c r="L1540" s="106">
        <v>0</v>
      </c>
      <c r="M1540" s="106">
        <v>160</v>
      </c>
      <c r="N1540" s="106">
        <v>14</v>
      </c>
      <c r="O1540" s="106">
        <v>31</v>
      </c>
      <c r="P1540" s="106">
        <v>0</v>
      </c>
      <c r="Q1540" s="108">
        <f t="shared" si="1721"/>
        <v>0</v>
      </c>
      <c r="R1540" s="109">
        <f t="shared" si="1717"/>
        <v>6.8292682926829273E-2</v>
      </c>
      <c r="S1540" s="109">
        <f t="shared" si="1718"/>
        <v>0</v>
      </c>
      <c r="T1540" s="109">
        <f t="shared" si="1713"/>
        <v>0.15121951219512195</v>
      </c>
      <c r="U1540" s="110">
        <f t="shared" si="1719"/>
        <v>0.21951219512195122</v>
      </c>
      <c r="V1540" s="136"/>
    </row>
    <row r="1541" spans="2:25" s="97" customFormat="1" ht="16.5" hidden="1" customHeight="1" x14ac:dyDescent="0.2">
      <c r="B1541" s="711">
        <v>46187</v>
      </c>
      <c r="C1541" s="105" t="s">
        <v>22</v>
      </c>
      <c r="D1541" s="105" t="s">
        <v>129</v>
      </c>
      <c r="E1541" s="711">
        <v>46187</v>
      </c>
      <c r="F1541" s="89"/>
      <c r="G1541" s="190"/>
      <c r="H1541" s="840" t="s">
        <v>19</v>
      </c>
      <c r="I1541" s="841"/>
      <c r="J1541" s="113">
        <f t="shared" ref="J1541:P1541" si="1722">SUM(J1537:J1540)</f>
        <v>478</v>
      </c>
      <c r="K1541" s="113">
        <f t="shared" si="1722"/>
        <v>110</v>
      </c>
      <c r="L1541" s="113">
        <f t="shared" si="1722"/>
        <v>81</v>
      </c>
      <c r="M1541" s="113">
        <f t="shared" si="1722"/>
        <v>193</v>
      </c>
      <c r="N1541" s="113">
        <f t="shared" si="1722"/>
        <v>36</v>
      </c>
      <c r="O1541" s="113">
        <f t="shared" si="1722"/>
        <v>57</v>
      </c>
      <c r="P1541" s="113">
        <f t="shared" si="1722"/>
        <v>4</v>
      </c>
      <c r="Q1541" s="115">
        <f>(K1541+L1541)/J1541</f>
        <v>0.39958158995815901</v>
      </c>
      <c r="R1541" s="116">
        <f t="shared" si="1717"/>
        <v>7.5313807531380755E-2</v>
      </c>
      <c r="S1541" s="116">
        <f t="shared" si="1718"/>
        <v>8.368200836820083E-3</v>
      </c>
      <c r="T1541" s="116">
        <f t="shared" si="1713"/>
        <v>0.1192468619246862</v>
      </c>
      <c r="U1541" s="117">
        <f t="shared" si="1719"/>
        <v>0.60251046025104604</v>
      </c>
      <c r="V1541" s="127"/>
      <c r="W1541" s="88"/>
      <c r="X1541" s="88"/>
      <c r="Y1541" s="118"/>
    </row>
    <row r="1542" spans="2:25" ht="15.75" hidden="1" x14ac:dyDescent="0.2">
      <c r="B1542" s="711">
        <v>46187</v>
      </c>
      <c r="C1542" s="105" t="s">
        <v>12</v>
      </c>
      <c r="D1542" s="105" t="s">
        <v>13</v>
      </c>
      <c r="E1542" s="711">
        <v>46187</v>
      </c>
      <c r="G1542" s="842">
        <v>46187</v>
      </c>
      <c r="H1542" s="120" t="s">
        <v>75</v>
      </c>
      <c r="I1542" s="120" t="s">
        <v>83</v>
      </c>
      <c r="J1542" s="106">
        <v>255</v>
      </c>
      <c r="K1542" s="106">
        <f>255-62</f>
        <v>193</v>
      </c>
      <c r="L1542" s="106">
        <v>34</v>
      </c>
      <c r="M1542" s="106">
        <v>7</v>
      </c>
      <c r="N1542" s="106">
        <v>0</v>
      </c>
      <c r="O1542" s="106">
        <v>20</v>
      </c>
      <c r="P1542" s="106">
        <v>1</v>
      </c>
      <c r="Q1542" s="108">
        <f t="shared" ref="Q1542:Q1544" si="1723">(K1542+L1542)/J1542</f>
        <v>0.8901960784313725</v>
      </c>
      <c r="R1542" s="109">
        <f t="shared" ref="R1542:R1550" si="1724">N1542/J1542</f>
        <v>0</v>
      </c>
      <c r="S1542" s="109">
        <f t="shared" ref="S1542:S1550" si="1725">P1542/J1542</f>
        <v>3.9215686274509803E-3</v>
      </c>
      <c r="T1542" s="109">
        <f t="shared" ref="T1542:T1550" si="1726">O1542/J1542</f>
        <v>7.8431372549019607E-2</v>
      </c>
      <c r="U1542" s="110">
        <f t="shared" ref="U1542:U1550" si="1727">S1542+R1542+Q1542+T1542</f>
        <v>0.97254901960784301</v>
      </c>
      <c r="V1542" s="136"/>
    </row>
    <row r="1543" spans="2:25" ht="15.75" hidden="1" x14ac:dyDescent="0.2">
      <c r="B1543" s="711">
        <v>46187</v>
      </c>
      <c r="C1543" s="105" t="s">
        <v>12</v>
      </c>
      <c r="D1543" s="105" t="s">
        <v>13</v>
      </c>
      <c r="E1543" s="711">
        <v>46187</v>
      </c>
      <c r="G1543" s="843"/>
      <c r="H1543" s="120" t="s">
        <v>14</v>
      </c>
      <c r="I1543" s="120" t="s">
        <v>105</v>
      </c>
      <c r="J1543" s="106">
        <v>177</v>
      </c>
      <c r="K1543" s="106">
        <f>177-61</f>
        <v>116</v>
      </c>
      <c r="L1543" s="106">
        <v>40</v>
      </c>
      <c r="M1543" s="106">
        <v>7</v>
      </c>
      <c r="N1543" s="106">
        <v>0</v>
      </c>
      <c r="O1543" s="106">
        <v>13</v>
      </c>
      <c r="P1543" s="106">
        <v>1</v>
      </c>
      <c r="Q1543" s="108">
        <f t="shared" si="1723"/>
        <v>0.88135593220338981</v>
      </c>
      <c r="R1543" s="109">
        <f t="shared" si="1724"/>
        <v>0</v>
      </c>
      <c r="S1543" s="109">
        <f t="shared" si="1725"/>
        <v>5.6497175141242938E-3</v>
      </c>
      <c r="T1543" s="109">
        <f t="shared" si="1726"/>
        <v>7.3446327683615822E-2</v>
      </c>
      <c r="U1543" s="110">
        <f t="shared" si="1727"/>
        <v>0.96045197740112986</v>
      </c>
      <c r="V1543" s="136"/>
    </row>
    <row r="1544" spans="2:25" ht="15.75" hidden="1" x14ac:dyDescent="0.2">
      <c r="B1544" s="711">
        <v>46187</v>
      </c>
      <c r="C1544" s="105" t="s">
        <v>12</v>
      </c>
      <c r="D1544" s="105" t="s">
        <v>13</v>
      </c>
      <c r="E1544" s="711">
        <v>46187</v>
      </c>
      <c r="G1544" s="843"/>
      <c r="H1544" s="120" t="s">
        <v>17</v>
      </c>
      <c r="I1544" s="120" t="s">
        <v>22</v>
      </c>
      <c r="J1544" s="106">
        <v>188</v>
      </c>
      <c r="K1544" s="106">
        <f>188-69</f>
        <v>119</v>
      </c>
      <c r="L1544" s="106">
        <v>36</v>
      </c>
      <c r="M1544" s="106">
        <v>3</v>
      </c>
      <c r="N1544" s="106">
        <v>0</v>
      </c>
      <c r="O1544" s="106">
        <v>30</v>
      </c>
      <c r="P1544" s="106">
        <v>0</v>
      </c>
      <c r="Q1544" s="108">
        <f t="shared" si="1723"/>
        <v>0.82446808510638303</v>
      </c>
      <c r="R1544" s="109">
        <f t="shared" si="1724"/>
        <v>0</v>
      </c>
      <c r="S1544" s="109">
        <f t="shared" si="1725"/>
        <v>0</v>
      </c>
      <c r="T1544" s="109">
        <f t="shared" si="1726"/>
        <v>0.15957446808510639</v>
      </c>
      <c r="U1544" s="110">
        <f t="shared" si="1727"/>
        <v>0.98404255319148937</v>
      </c>
      <c r="V1544" s="136"/>
    </row>
    <row r="1545" spans="2:25" s="97" customFormat="1" ht="16.5" hidden="1" customHeight="1" x14ac:dyDescent="0.2">
      <c r="B1545" s="711">
        <v>46187</v>
      </c>
      <c r="C1545" s="105" t="s">
        <v>12</v>
      </c>
      <c r="D1545" s="105" t="s">
        <v>13</v>
      </c>
      <c r="E1545" s="711">
        <v>46187</v>
      </c>
      <c r="F1545" s="89"/>
      <c r="G1545" s="190"/>
      <c r="H1545" s="840" t="s">
        <v>19</v>
      </c>
      <c r="I1545" s="841"/>
      <c r="J1545" s="113">
        <f t="shared" ref="J1545:P1545" si="1728">SUM(J1542:J1544)</f>
        <v>620</v>
      </c>
      <c r="K1545" s="113">
        <f t="shared" si="1728"/>
        <v>428</v>
      </c>
      <c r="L1545" s="113">
        <f t="shared" si="1728"/>
        <v>110</v>
      </c>
      <c r="M1545" s="113">
        <f t="shared" si="1728"/>
        <v>17</v>
      </c>
      <c r="N1545" s="113">
        <f t="shared" si="1728"/>
        <v>0</v>
      </c>
      <c r="O1545" s="113">
        <f t="shared" si="1728"/>
        <v>63</v>
      </c>
      <c r="P1545" s="113">
        <f t="shared" si="1728"/>
        <v>2</v>
      </c>
      <c r="Q1545" s="115">
        <f>(K1545+L1545)/J1545</f>
        <v>0.86774193548387102</v>
      </c>
      <c r="R1545" s="116">
        <f t="shared" si="1724"/>
        <v>0</v>
      </c>
      <c r="S1545" s="116">
        <f t="shared" si="1725"/>
        <v>3.2258064516129032E-3</v>
      </c>
      <c r="T1545" s="116">
        <f t="shared" si="1726"/>
        <v>0.10161290322580645</v>
      </c>
      <c r="U1545" s="117">
        <f t="shared" si="1727"/>
        <v>0.97258064516129028</v>
      </c>
      <c r="V1545" s="127"/>
      <c r="W1545" s="88"/>
      <c r="X1545" s="88"/>
      <c r="Y1545" s="118"/>
    </row>
    <row r="1546" spans="2:25" ht="15.75" hidden="1" x14ac:dyDescent="0.2">
      <c r="B1546" s="711">
        <v>46187</v>
      </c>
      <c r="C1546" s="105" t="s">
        <v>12</v>
      </c>
      <c r="D1546" s="105" t="s">
        <v>13</v>
      </c>
      <c r="E1546" s="711">
        <v>46188</v>
      </c>
      <c r="G1546" s="845">
        <v>46188</v>
      </c>
      <c r="H1546" s="120" t="s">
        <v>75</v>
      </c>
      <c r="I1546" s="120" t="s">
        <v>83</v>
      </c>
      <c r="J1546" s="106">
        <v>210</v>
      </c>
      <c r="K1546" s="106">
        <v>33</v>
      </c>
      <c r="L1546" s="106">
        <v>19</v>
      </c>
      <c r="M1546" s="106">
        <v>137</v>
      </c>
      <c r="N1546" s="106">
        <v>0</v>
      </c>
      <c r="O1546" s="106">
        <v>20</v>
      </c>
      <c r="P1546" s="106">
        <v>1</v>
      </c>
      <c r="Q1546" s="108">
        <f t="shared" ref="Q1546:Q1549" si="1729">(K1546+L1546)/J1546</f>
        <v>0.24761904761904763</v>
      </c>
      <c r="R1546" s="109">
        <f t="shared" si="1724"/>
        <v>0</v>
      </c>
      <c r="S1546" s="109">
        <f t="shared" si="1725"/>
        <v>4.7619047619047623E-3</v>
      </c>
      <c r="T1546" s="109">
        <f t="shared" si="1726"/>
        <v>9.5238095238095233E-2</v>
      </c>
      <c r="U1546" s="110">
        <f t="shared" si="1727"/>
        <v>0.34761904761904761</v>
      </c>
      <c r="V1546" s="136"/>
    </row>
    <row r="1547" spans="2:25" ht="15.75" hidden="1" x14ac:dyDescent="0.2">
      <c r="B1547" s="711">
        <v>46187</v>
      </c>
      <c r="C1547" s="105" t="s">
        <v>12</v>
      </c>
      <c r="D1547" s="105" t="s">
        <v>13</v>
      </c>
      <c r="E1547" s="711">
        <v>46188</v>
      </c>
      <c r="G1547" s="846"/>
      <c r="H1547" s="120" t="s">
        <v>14</v>
      </c>
      <c r="I1547" s="120" t="s">
        <v>105</v>
      </c>
      <c r="J1547" s="106">
        <v>172</v>
      </c>
      <c r="K1547" s="106">
        <v>0</v>
      </c>
      <c r="L1547" s="106">
        <v>0</v>
      </c>
      <c r="M1547" s="106">
        <v>161</v>
      </c>
      <c r="N1547" s="106">
        <v>0</v>
      </c>
      <c r="O1547" s="106">
        <v>11</v>
      </c>
      <c r="P1547" s="106">
        <v>0</v>
      </c>
      <c r="Q1547" s="108">
        <f t="shared" si="1729"/>
        <v>0</v>
      </c>
      <c r="R1547" s="109">
        <f t="shared" si="1724"/>
        <v>0</v>
      </c>
      <c r="S1547" s="109">
        <f t="shared" si="1725"/>
        <v>0</v>
      </c>
      <c r="T1547" s="109">
        <f t="shared" si="1726"/>
        <v>6.3953488372093026E-2</v>
      </c>
      <c r="U1547" s="110">
        <f t="shared" si="1727"/>
        <v>6.3953488372093026E-2</v>
      </c>
      <c r="V1547" s="136"/>
    </row>
    <row r="1548" spans="2:25" ht="15.75" hidden="1" x14ac:dyDescent="0.2">
      <c r="B1548" s="711">
        <v>46187</v>
      </c>
      <c r="C1548" s="105" t="s">
        <v>12</v>
      </c>
      <c r="D1548" s="105" t="s">
        <v>13</v>
      </c>
      <c r="E1548" s="711">
        <v>46188</v>
      </c>
      <c r="G1548" s="846"/>
      <c r="H1548" s="120" t="s">
        <v>118</v>
      </c>
      <c r="I1548" s="120" t="s">
        <v>22</v>
      </c>
      <c r="J1548" s="106">
        <v>40</v>
      </c>
      <c r="K1548" s="106">
        <v>0</v>
      </c>
      <c r="L1548" s="106">
        <v>2</v>
      </c>
      <c r="M1548" s="106">
        <v>20</v>
      </c>
      <c r="N1548" s="106">
        <v>18</v>
      </c>
      <c r="O1548" s="106">
        <v>0</v>
      </c>
      <c r="P1548" s="106">
        <v>0</v>
      </c>
      <c r="Q1548" s="108">
        <f t="shared" ref="Q1548" si="1730">(K1548+L1548)/J1548</f>
        <v>0.05</v>
      </c>
      <c r="R1548" s="109">
        <f t="shared" ref="R1548" si="1731">N1548/J1548</f>
        <v>0.45</v>
      </c>
      <c r="S1548" s="109">
        <f t="shared" ref="S1548" si="1732">P1548/J1548</f>
        <v>0</v>
      </c>
      <c r="T1548" s="109">
        <f t="shared" ref="T1548" si="1733">O1548/J1548</f>
        <v>0</v>
      </c>
      <c r="U1548" s="110">
        <f t="shared" ref="U1548" si="1734">S1548+R1548+Q1548+T1548</f>
        <v>0.5</v>
      </c>
      <c r="V1548" s="136"/>
    </row>
    <row r="1549" spans="2:25" ht="15.75" hidden="1" x14ac:dyDescent="0.2">
      <c r="B1549" s="711">
        <v>46187</v>
      </c>
      <c r="C1549" s="105" t="s">
        <v>12</v>
      </c>
      <c r="D1549" s="105" t="s">
        <v>13</v>
      </c>
      <c r="E1549" s="711">
        <v>46188</v>
      </c>
      <c r="G1549" s="846"/>
      <c r="H1549" s="120" t="s">
        <v>17</v>
      </c>
      <c r="I1549" s="120" t="s">
        <v>106</v>
      </c>
      <c r="J1549" s="106">
        <v>207</v>
      </c>
      <c r="K1549" s="106">
        <v>70</v>
      </c>
      <c r="L1549" s="106">
        <v>39</v>
      </c>
      <c r="M1549" s="106">
        <v>33</v>
      </c>
      <c r="N1549" s="106">
        <v>22</v>
      </c>
      <c r="O1549" s="106">
        <v>13</v>
      </c>
      <c r="P1549" s="106">
        <v>3</v>
      </c>
      <c r="Q1549" s="108">
        <f t="shared" si="1729"/>
        <v>0.52657004830917875</v>
      </c>
      <c r="R1549" s="109">
        <f t="shared" si="1724"/>
        <v>0.10628019323671498</v>
      </c>
      <c r="S1549" s="109">
        <f t="shared" si="1725"/>
        <v>1.4492753623188406E-2</v>
      </c>
      <c r="T1549" s="109">
        <f t="shared" si="1726"/>
        <v>6.280193236714976E-2</v>
      </c>
      <c r="U1549" s="110">
        <f t="shared" si="1727"/>
        <v>0.71014492753623193</v>
      </c>
      <c r="V1549" s="136"/>
    </row>
    <row r="1550" spans="2:25" s="97" customFormat="1" ht="16.5" hidden="1" customHeight="1" x14ac:dyDescent="0.2">
      <c r="B1550" s="711">
        <v>46187</v>
      </c>
      <c r="C1550" s="105" t="s">
        <v>12</v>
      </c>
      <c r="D1550" s="105" t="s">
        <v>13</v>
      </c>
      <c r="E1550" s="711">
        <v>46188</v>
      </c>
      <c r="F1550" s="89"/>
      <c r="G1550" s="190"/>
      <c r="H1550" s="840" t="s">
        <v>19</v>
      </c>
      <c r="I1550" s="841"/>
      <c r="J1550" s="113">
        <f t="shared" ref="J1550:P1550" si="1735">SUM(J1546:J1549)</f>
        <v>629</v>
      </c>
      <c r="K1550" s="113">
        <f t="shared" si="1735"/>
        <v>103</v>
      </c>
      <c r="L1550" s="113">
        <f t="shared" si="1735"/>
        <v>60</v>
      </c>
      <c r="M1550" s="113">
        <f t="shared" si="1735"/>
        <v>351</v>
      </c>
      <c r="N1550" s="113">
        <f t="shared" si="1735"/>
        <v>40</v>
      </c>
      <c r="O1550" s="113">
        <f t="shared" si="1735"/>
        <v>44</v>
      </c>
      <c r="P1550" s="113">
        <f t="shared" si="1735"/>
        <v>4</v>
      </c>
      <c r="Q1550" s="115">
        <f>(K1550+L1550)/J1550</f>
        <v>0.25914149443561207</v>
      </c>
      <c r="R1550" s="116">
        <f t="shared" si="1724"/>
        <v>6.3593004769475353E-2</v>
      </c>
      <c r="S1550" s="116">
        <f t="shared" si="1725"/>
        <v>6.3593004769475362E-3</v>
      </c>
      <c r="T1550" s="116">
        <f t="shared" si="1726"/>
        <v>6.9952305246422888E-2</v>
      </c>
      <c r="U1550" s="117">
        <f t="shared" si="1727"/>
        <v>0.39904610492845782</v>
      </c>
      <c r="V1550" s="127"/>
      <c r="W1550" s="88"/>
      <c r="X1550" s="88"/>
      <c r="Y1550" s="118"/>
    </row>
    <row r="1551" spans="2:25" ht="15.75" hidden="1" x14ac:dyDescent="0.2">
      <c r="B1551" s="711">
        <v>46187</v>
      </c>
      <c r="C1551" s="105" t="s">
        <v>18</v>
      </c>
      <c r="D1551" s="105" t="s">
        <v>13</v>
      </c>
      <c r="E1551" s="711">
        <v>46187</v>
      </c>
      <c r="G1551" s="842">
        <v>46187</v>
      </c>
      <c r="H1551" s="120" t="s">
        <v>75</v>
      </c>
      <c r="I1551" s="120" t="s">
        <v>83</v>
      </c>
      <c r="J1551" s="106">
        <v>255</v>
      </c>
      <c r="K1551" s="106">
        <v>200</v>
      </c>
      <c r="L1551" s="106">
        <v>34</v>
      </c>
      <c r="M1551" s="106">
        <v>0</v>
      </c>
      <c r="N1551" s="106">
        <v>0</v>
      </c>
      <c r="O1551" s="106">
        <v>20</v>
      </c>
      <c r="P1551" s="106">
        <v>1</v>
      </c>
      <c r="Q1551" s="108">
        <f t="shared" ref="Q1551:Q1553" si="1736">(K1551+L1551)/J1551</f>
        <v>0.91764705882352937</v>
      </c>
      <c r="R1551" s="109">
        <f t="shared" ref="R1551:R1559" si="1737">N1551/J1551</f>
        <v>0</v>
      </c>
      <c r="S1551" s="109">
        <f t="shared" ref="S1551:S1559" si="1738">P1551/J1551</f>
        <v>3.9215686274509803E-3</v>
      </c>
      <c r="T1551" s="109">
        <f t="shared" ref="T1551:T1559" si="1739">O1551/J1551</f>
        <v>7.8431372549019607E-2</v>
      </c>
      <c r="U1551" s="110">
        <f t="shared" ref="U1551:U1559" si="1740">S1551+R1551+Q1551+T1551</f>
        <v>1</v>
      </c>
      <c r="V1551" s="136"/>
    </row>
    <row r="1552" spans="2:25" ht="15.75" hidden="1" x14ac:dyDescent="0.2">
      <c r="B1552" s="711">
        <v>46187</v>
      </c>
      <c r="C1552" s="105" t="s">
        <v>18</v>
      </c>
      <c r="D1552" s="105" t="s">
        <v>13</v>
      </c>
      <c r="E1552" s="711">
        <v>46187</v>
      </c>
      <c r="G1552" s="843"/>
      <c r="H1552" s="120" t="s">
        <v>14</v>
      </c>
      <c r="I1552" s="120" t="s">
        <v>105</v>
      </c>
      <c r="J1552" s="106">
        <v>177</v>
      </c>
      <c r="K1552" s="106">
        <v>123</v>
      </c>
      <c r="L1552" s="106">
        <v>40</v>
      </c>
      <c r="M1552" s="106">
        <v>0</v>
      </c>
      <c r="N1552" s="106">
        <v>0</v>
      </c>
      <c r="O1552" s="106">
        <v>13</v>
      </c>
      <c r="P1552" s="106">
        <v>1</v>
      </c>
      <c r="Q1552" s="108">
        <f t="shared" si="1736"/>
        <v>0.92090395480225984</v>
      </c>
      <c r="R1552" s="109">
        <f t="shared" si="1737"/>
        <v>0</v>
      </c>
      <c r="S1552" s="109">
        <f t="shared" si="1738"/>
        <v>5.6497175141242938E-3</v>
      </c>
      <c r="T1552" s="109">
        <f t="shared" si="1739"/>
        <v>7.3446327683615822E-2</v>
      </c>
      <c r="U1552" s="110">
        <f t="shared" si="1740"/>
        <v>0.99999999999999989</v>
      </c>
      <c r="V1552" s="136"/>
    </row>
    <row r="1553" spans="2:25" ht="15.75" hidden="1" x14ac:dyDescent="0.2">
      <c r="B1553" s="711">
        <v>46187</v>
      </c>
      <c r="C1553" s="105" t="s">
        <v>18</v>
      </c>
      <c r="D1553" s="105" t="s">
        <v>13</v>
      </c>
      <c r="E1553" s="711">
        <v>46187</v>
      </c>
      <c r="G1553" s="843"/>
      <c r="H1553" s="120" t="s">
        <v>17</v>
      </c>
      <c r="I1553" s="120" t="s">
        <v>22</v>
      </c>
      <c r="J1553" s="106">
        <v>188</v>
      </c>
      <c r="K1553" s="106">
        <v>122</v>
      </c>
      <c r="L1553" s="106">
        <v>36</v>
      </c>
      <c r="M1553" s="106">
        <v>0</v>
      </c>
      <c r="N1553" s="106">
        <v>0</v>
      </c>
      <c r="O1553" s="106">
        <v>30</v>
      </c>
      <c r="P1553" s="106">
        <v>0</v>
      </c>
      <c r="Q1553" s="108">
        <f t="shared" si="1736"/>
        <v>0.84042553191489366</v>
      </c>
      <c r="R1553" s="109">
        <f t="shared" si="1737"/>
        <v>0</v>
      </c>
      <c r="S1553" s="109">
        <f t="shared" si="1738"/>
        <v>0</v>
      </c>
      <c r="T1553" s="109">
        <f t="shared" si="1739"/>
        <v>0.15957446808510639</v>
      </c>
      <c r="U1553" s="110">
        <f t="shared" si="1740"/>
        <v>1</v>
      </c>
      <c r="V1553" s="136"/>
    </row>
    <row r="1554" spans="2:25" ht="15.75" hidden="1" x14ac:dyDescent="0.2">
      <c r="B1554" s="711">
        <v>46187</v>
      </c>
      <c r="C1554" s="105" t="s">
        <v>18</v>
      </c>
      <c r="D1554" s="105" t="s">
        <v>13</v>
      </c>
      <c r="E1554" s="711">
        <v>46187</v>
      </c>
      <c r="G1554" s="190"/>
      <c r="H1554" s="840" t="s">
        <v>19</v>
      </c>
      <c r="I1554" s="841"/>
      <c r="J1554" s="113">
        <f t="shared" ref="J1554" si="1741">SUM(J1551:J1553)</f>
        <v>620</v>
      </c>
      <c r="K1554" s="113">
        <f t="shared" ref="K1554" si="1742">SUM(K1551:K1553)</f>
        <v>445</v>
      </c>
      <c r="L1554" s="113">
        <f t="shared" ref="L1554" si="1743">SUM(L1551:L1553)</f>
        <v>110</v>
      </c>
      <c r="M1554" s="113">
        <f t="shared" ref="M1554" si="1744">SUM(M1551:M1553)</f>
        <v>0</v>
      </c>
      <c r="N1554" s="113">
        <f t="shared" ref="N1554" si="1745">SUM(N1551:N1553)</f>
        <v>0</v>
      </c>
      <c r="O1554" s="113">
        <f t="shared" ref="O1554" si="1746">SUM(O1551:O1553)</f>
        <v>63</v>
      </c>
      <c r="P1554" s="113">
        <f t="shared" ref="P1554" si="1747">SUM(P1551:P1553)</f>
        <v>2</v>
      </c>
      <c r="Q1554" s="115">
        <f>(K1554+L1554)/J1554</f>
        <v>0.89516129032258063</v>
      </c>
      <c r="R1554" s="116">
        <f t="shared" si="1737"/>
        <v>0</v>
      </c>
      <c r="S1554" s="116">
        <f t="shared" si="1738"/>
        <v>3.2258064516129032E-3</v>
      </c>
      <c r="T1554" s="116">
        <f t="shared" si="1739"/>
        <v>0.10161290322580645</v>
      </c>
      <c r="U1554" s="117">
        <f t="shared" si="1740"/>
        <v>0.99999999999999989</v>
      </c>
      <c r="V1554" s="127"/>
    </row>
    <row r="1555" spans="2:25" ht="15.75" hidden="1" x14ac:dyDescent="0.2">
      <c r="B1555" s="711">
        <v>46187</v>
      </c>
      <c r="C1555" s="105" t="s">
        <v>18</v>
      </c>
      <c r="D1555" s="105" t="s">
        <v>13</v>
      </c>
      <c r="E1555" s="711">
        <v>46188</v>
      </c>
      <c r="G1555" s="845">
        <v>46188</v>
      </c>
      <c r="H1555" s="120" t="s">
        <v>75</v>
      </c>
      <c r="I1555" s="120" t="s">
        <v>83</v>
      </c>
      <c r="J1555" s="106">
        <v>210</v>
      </c>
      <c r="K1555" s="106">
        <v>129</v>
      </c>
      <c r="L1555" s="106">
        <v>46</v>
      </c>
      <c r="M1555" s="106">
        <v>14</v>
      </c>
      <c r="N1555" s="106">
        <v>0</v>
      </c>
      <c r="O1555" s="106">
        <v>20</v>
      </c>
      <c r="P1555" s="106">
        <v>1</v>
      </c>
      <c r="Q1555" s="108">
        <f t="shared" ref="Q1555:Q1558" si="1748">(K1555+L1555)/J1555</f>
        <v>0.83333333333333337</v>
      </c>
      <c r="R1555" s="109">
        <f t="shared" si="1737"/>
        <v>0</v>
      </c>
      <c r="S1555" s="109">
        <f t="shared" si="1738"/>
        <v>4.7619047619047623E-3</v>
      </c>
      <c r="T1555" s="109">
        <f t="shared" si="1739"/>
        <v>9.5238095238095233E-2</v>
      </c>
      <c r="U1555" s="110">
        <f t="shared" si="1740"/>
        <v>0.93333333333333335</v>
      </c>
      <c r="V1555" s="136"/>
    </row>
    <row r="1556" spans="2:25" ht="15.75" hidden="1" x14ac:dyDescent="0.2">
      <c r="B1556" s="711">
        <v>46187</v>
      </c>
      <c r="C1556" s="105" t="s">
        <v>18</v>
      </c>
      <c r="D1556" s="105" t="s">
        <v>13</v>
      </c>
      <c r="E1556" s="711">
        <v>46188</v>
      </c>
      <c r="G1556" s="846"/>
      <c r="H1556" s="120" t="s">
        <v>14</v>
      </c>
      <c r="I1556" s="120" t="s">
        <v>105</v>
      </c>
      <c r="J1556" s="106">
        <v>172</v>
      </c>
      <c r="K1556" s="106">
        <v>0</v>
      </c>
      <c r="L1556" s="106">
        <v>0</v>
      </c>
      <c r="M1556" s="106">
        <v>161</v>
      </c>
      <c r="N1556" s="106">
        <v>0</v>
      </c>
      <c r="O1556" s="106">
        <v>11</v>
      </c>
      <c r="P1556" s="106">
        <v>0</v>
      </c>
      <c r="Q1556" s="108">
        <f t="shared" si="1748"/>
        <v>0</v>
      </c>
      <c r="R1556" s="109">
        <f t="shared" si="1737"/>
        <v>0</v>
      </c>
      <c r="S1556" s="109">
        <f t="shared" si="1738"/>
        <v>0</v>
      </c>
      <c r="T1556" s="109">
        <f t="shared" si="1739"/>
        <v>6.3953488372093026E-2</v>
      </c>
      <c r="U1556" s="110">
        <f t="shared" si="1740"/>
        <v>6.3953488372093026E-2</v>
      </c>
      <c r="V1556" s="136"/>
    </row>
    <row r="1557" spans="2:25" ht="15.75" hidden="1" x14ac:dyDescent="0.2">
      <c r="B1557" s="711">
        <v>46187</v>
      </c>
      <c r="C1557" s="105" t="s">
        <v>18</v>
      </c>
      <c r="D1557" s="105" t="s">
        <v>13</v>
      </c>
      <c r="E1557" s="711">
        <v>46188</v>
      </c>
      <c r="G1557" s="846"/>
      <c r="H1557" s="120" t="s">
        <v>118</v>
      </c>
      <c r="I1557" s="120" t="s">
        <v>22</v>
      </c>
      <c r="J1557" s="106">
        <v>38</v>
      </c>
      <c r="K1557" s="106">
        <v>0</v>
      </c>
      <c r="L1557" s="106">
        <v>0</v>
      </c>
      <c r="M1557" s="106">
        <v>20</v>
      </c>
      <c r="N1557" s="106">
        <v>18</v>
      </c>
      <c r="O1557" s="106">
        <v>0</v>
      </c>
      <c r="P1557" s="106">
        <v>0</v>
      </c>
      <c r="Q1557" s="108">
        <f t="shared" si="1748"/>
        <v>0</v>
      </c>
      <c r="R1557" s="109">
        <f t="shared" si="1737"/>
        <v>0.47368421052631576</v>
      </c>
      <c r="S1557" s="109">
        <f t="shared" si="1738"/>
        <v>0</v>
      </c>
      <c r="T1557" s="109">
        <f t="shared" si="1739"/>
        <v>0</v>
      </c>
      <c r="U1557" s="110">
        <f t="shared" si="1740"/>
        <v>0.47368421052631576</v>
      </c>
      <c r="V1557" s="136"/>
    </row>
    <row r="1558" spans="2:25" ht="15.75" hidden="1" x14ac:dyDescent="0.2">
      <c r="B1558" s="711">
        <v>46187</v>
      </c>
      <c r="C1558" s="105" t="s">
        <v>18</v>
      </c>
      <c r="D1558" s="105" t="s">
        <v>13</v>
      </c>
      <c r="E1558" s="711">
        <v>46188</v>
      </c>
      <c r="G1558" s="846"/>
      <c r="H1558" s="120" t="s">
        <v>17</v>
      </c>
      <c r="I1558" s="120" t="s">
        <v>106</v>
      </c>
      <c r="J1558" s="106">
        <v>207</v>
      </c>
      <c r="K1558" s="106">
        <v>142</v>
      </c>
      <c r="L1558" s="106">
        <v>24</v>
      </c>
      <c r="M1558" s="106">
        <v>10</v>
      </c>
      <c r="N1558" s="106">
        <v>1</v>
      </c>
      <c r="O1558" s="106">
        <v>29</v>
      </c>
      <c r="P1558" s="106">
        <v>1</v>
      </c>
      <c r="Q1558" s="108">
        <f t="shared" si="1748"/>
        <v>0.80193236714975846</v>
      </c>
      <c r="R1558" s="109">
        <f t="shared" si="1737"/>
        <v>4.830917874396135E-3</v>
      </c>
      <c r="S1558" s="109">
        <f t="shared" si="1738"/>
        <v>4.830917874396135E-3</v>
      </c>
      <c r="T1558" s="109">
        <f t="shared" si="1739"/>
        <v>0.14009661835748793</v>
      </c>
      <c r="U1558" s="110">
        <f t="shared" si="1740"/>
        <v>0.95169082125603865</v>
      </c>
      <c r="V1558" s="136"/>
    </row>
    <row r="1559" spans="2:25" ht="15.75" hidden="1" x14ac:dyDescent="0.2">
      <c r="B1559" s="711">
        <v>46187</v>
      </c>
      <c r="C1559" s="105" t="s">
        <v>18</v>
      </c>
      <c r="D1559" s="105" t="s">
        <v>13</v>
      </c>
      <c r="E1559" s="711">
        <v>46188</v>
      </c>
      <c r="G1559" s="190"/>
      <c r="H1559" s="840" t="s">
        <v>19</v>
      </c>
      <c r="I1559" s="841"/>
      <c r="J1559" s="113">
        <f t="shared" ref="J1559" si="1749">SUM(J1555:J1558)</f>
        <v>627</v>
      </c>
      <c r="K1559" s="113">
        <f t="shared" ref="K1559" si="1750">SUM(K1555:K1558)</f>
        <v>271</v>
      </c>
      <c r="L1559" s="113">
        <f t="shared" ref="L1559" si="1751">SUM(L1555:L1558)</f>
        <v>70</v>
      </c>
      <c r="M1559" s="113">
        <f t="shared" ref="M1559" si="1752">SUM(M1555:M1558)</f>
        <v>205</v>
      </c>
      <c r="N1559" s="113">
        <f t="shared" ref="N1559" si="1753">SUM(N1555:N1558)</f>
        <v>19</v>
      </c>
      <c r="O1559" s="113">
        <f t="shared" ref="O1559" si="1754">SUM(O1555:O1558)</f>
        <v>60</v>
      </c>
      <c r="P1559" s="113">
        <f t="shared" ref="P1559" si="1755">SUM(P1555:P1558)</f>
        <v>2</v>
      </c>
      <c r="Q1559" s="115">
        <f>(K1559+L1559)/J1559</f>
        <v>0.54385964912280704</v>
      </c>
      <c r="R1559" s="116">
        <f t="shared" si="1737"/>
        <v>3.0303030303030304E-2</v>
      </c>
      <c r="S1559" s="116">
        <f t="shared" si="1738"/>
        <v>3.189792663476874E-3</v>
      </c>
      <c r="T1559" s="116">
        <f t="shared" si="1739"/>
        <v>9.569377990430622E-2</v>
      </c>
      <c r="U1559" s="117">
        <f t="shared" si="1740"/>
        <v>0.67304625199362045</v>
      </c>
      <c r="V1559" s="127"/>
    </row>
    <row r="1560" spans="2:25" ht="15.75" hidden="1" x14ac:dyDescent="0.2">
      <c r="B1560" s="711">
        <v>46187</v>
      </c>
      <c r="C1560" s="105" t="s">
        <v>18</v>
      </c>
      <c r="D1560" s="105" t="s">
        <v>13</v>
      </c>
      <c r="E1560" s="711">
        <v>46189</v>
      </c>
      <c r="G1560" s="709">
        <v>46189</v>
      </c>
      <c r="H1560" s="120" t="s">
        <v>118</v>
      </c>
      <c r="I1560" s="120" t="s">
        <v>22</v>
      </c>
      <c r="J1560" s="106">
        <v>38</v>
      </c>
      <c r="K1560" s="106">
        <v>0</v>
      </c>
      <c r="L1560" s="106">
        <v>0</v>
      </c>
      <c r="M1560" s="106">
        <v>5</v>
      </c>
      <c r="N1560" s="106">
        <v>32</v>
      </c>
      <c r="O1560" s="106">
        <v>0</v>
      </c>
      <c r="P1560" s="106">
        <v>1</v>
      </c>
      <c r="Q1560" s="108">
        <f t="shared" ref="Q1560" si="1756">(K1560+L1560)/J1560</f>
        <v>0</v>
      </c>
      <c r="R1560" s="109">
        <f t="shared" ref="R1560:R1567" si="1757">N1560/J1560</f>
        <v>0.84210526315789469</v>
      </c>
      <c r="S1560" s="109">
        <f t="shared" ref="S1560:S1567" si="1758">P1560/J1560</f>
        <v>2.6315789473684209E-2</v>
      </c>
      <c r="T1560" s="109">
        <f t="shared" ref="T1560:T1567" si="1759">O1560/J1560</f>
        <v>0</v>
      </c>
      <c r="U1560" s="110">
        <f t="shared" ref="U1560:U1567" si="1760">S1560+R1560+Q1560+T1560</f>
        <v>0.86842105263157887</v>
      </c>
      <c r="V1560" s="136"/>
    </row>
    <row r="1561" spans="2:25" ht="15.75" hidden="1" x14ac:dyDescent="0.2">
      <c r="B1561" s="711">
        <v>46187</v>
      </c>
      <c r="C1561" s="105" t="s">
        <v>18</v>
      </c>
      <c r="D1561" s="105" t="s">
        <v>13</v>
      </c>
      <c r="E1561" s="711">
        <v>46189</v>
      </c>
      <c r="G1561" s="190"/>
      <c r="H1561" s="840" t="s">
        <v>19</v>
      </c>
      <c r="I1561" s="841"/>
      <c r="J1561" s="113">
        <f t="shared" ref="J1561:P1561" si="1761">SUM(J1560:J1560)</f>
        <v>38</v>
      </c>
      <c r="K1561" s="113">
        <f t="shared" si="1761"/>
        <v>0</v>
      </c>
      <c r="L1561" s="113">
        <f t="shared" si="1761"/>
        <v>0</v>
      </c>
      <c r="M1561" s="113">
        <f t="shared" si="1761"/>
        <v>5</v>
      </c>
      <c r="N1561" s="113">
        <f t="shared" si="1761"/>
        <v>32</v>
      </c>
      <c r="O1561" s="113">
        <f t="shared" si="1761"/>
        <v>0</v>
      </c>
      <c r="P1561" s="113">
        <f t="shared" si="1761"/>
        <v>1</v>
      </c>
      <c r="Q1561" s="115">
        <f>(K1561+L1561)/J1561</f>
        <v>0</v>
      </c>
      <c r="R1561" s="116">
        <f t="shared" si="1757"/>
        <v>0.84210526315789469</v>
      </c>
      <c r="S1561" s="116">
        <f t="shared" si="1758"/>
        <v>2.6315789473684209E-2</v>
      </c>
      <c r="T1561" s="116">
        <f t="shared" si="1759"/>
        <v>0</v>
      </c>
      <c r="U1561" s="117">
        <f t="shared" si="1760"/>
        <v>0.86842105263157887</v>
      </c>
      <c r="V1561" s="127"/>
    </row>
    <row r="1562" spans="2:25" ht="15.75" hidden="1" x14ac:dyDescent="0.2">
      <c r="B1562" s="711">
        <v>46188</v>
      </c>
      <c r="C1562" s="105" t="s">
        <v>22</v>
      </c>
      <c r="D1562" s="105" t="s">
        <v>129</v>
      </c>
      <c r="E1562" s="711">
        <v>46188</v>
      </c>
      <c r="G1562" s="842">
        <v>46188</v>
      </c>
      <c r="H1562" s="120" t="s">
        <v>75</v>
      </c>
      <c r="I1562" s="120" t="s">
        <v>83</v>
      </c>
      <c r="J1562" s="106">
        <f>SUM(K1562:P1562)</f>
        <v>40</v>
      </c>
      <c r="K1562" s="106">
        <v>13</v>
      </c>
      <c r="L1562" s="106">
        <v>20</v>
      </c>
      <c r="M1562" s="106">
        <v>0</v>
      </c>
      <c r="N1562" s="106">
        <v>0</v>
      </c>
      <c r="O1562" s="106">
        <v>6</v>
      </c>
      <c r="P1562" s="106">
        <v>1</v>
      </c>
      <c r="Q1562" s="108">
        <f t="shared" ref="Q1562:Q1566" si="1762">(K1562+L1562)/J1562</f>
        <v>0.82499999999999996</v>
      </c>
      <c r="R1562" s="109">
        <f t="shared" si="1757"/>
        <v>0</v>
      </c>
      <c r="S1562" s="109">
        <f t="shared" si="1758"/>
        <v>2.5000000000000001E-2</v>
      </c>
      <c r="T1562" s="109">
        <f t="shared" si="1759"/>
        <v>0.15</v>
      </c>
      <c r="U1562" s="110">
        <f t="shared" si="1760"/>
        <v>1</v>
      </c>
      <c r="V1562" s="136"/>
    </row>
    <row r="1563" spans="2:25" ht="15.75" hidden="1" x14ac:dyDescent="0.2">
      <c r="B1563" s="711">
        <v>46188</v>
      </c>
      <c r="C1563" s="105" t="s">
        <v>22</v>
      </c>
      <c r="D1563" s="105" t="s">
        <v>129</v>
      </c>
      <c r="E1563" s="711">
        <v>46188</v>
      </c>
      <c r="G1563" s="843"/>
      <c r="H1563" s="120" t="s">
        <v>17</v>
      </c>
      <c r="I1563" s="120" t="s">
        <v>106</v>
      </c>
      <c r="J1563" s="106">
        <f>SUM(K1563:P1563)</f>
        <v>52</v>
      </c>
      <c r="K1563" s="106">
        <v>18</v>
      </c>
      <c r="L1563" s="106">
        <v>13</v>
      </c>
      <c r="M1563" s="106">
        <v>0</v>
      </c>
      <c r="N1563" s="106">
        <v>0</v>
      </c>
      <c r="O1563" s="106">
        <v>20</v>
      </c>
      <c r="P1563" s="106">
        <v>1</v>
      </c>
      <c r="Q1563" s="108">
        <f t="shared" si="1762"/>
        <v>0.59615384615384615</v>
      </c>
      <c r="R1563" s="109">
        <f t="shared" si="1757"/>
        <v>0</v>
      </c>
      <c r="S1563" s="109">
        <f t="shared" si="1758"/>
        <v>1.9230769230769232E-2</v>
      </c>
      <c r="T1563" s="109">
        <f t="shared" si="1759"/>
        <v>0.38461538461538464</v>
      </c>
      <c r="U1563" s="110">
        <f t="shared" si="1760"/>
        <v>1</v>
      </c>
      <c r="V1563" s="136"/>
    </row>
    <row r="1564" spans="2:25" ht="15.75" hidden="1" x14ac:dyDescent="0.2">
      <c r="B1564" s="711">
        <v>46188</v>
      </c>
      <c r="C1564" s="105" t="s">
        <v>22</v>
      </c>
      <c r="D1564" s="105" t="s">
        <v>129</v>
      </c>
      <c r="E1564" s="711">
        <v>46188</v>
      </c>
      <c r="G1564" s="843"/>
      <c r="H1564" s="120" t="s">
        <v>118</v>
      </c>
      <c r="I1564" s="120" t="s">
        <v>22</v>
      </c>
      <c r="J1564" s="106">
        <f>SUM(K1564:P1564)</f>
        <v>82</v>
      </c>
      <c r="K1564" s="106">
        <v>55</v>
      </c>
      <c r="L1564" s="106">
        <v>2</v>
      </c>
      <c r="M1564" s="106">
        <v>24</v>
      </c>
      <c r="N1564" s="106">
        <v>0</v>
      </c>
      <c r="O1564" s="106">
        <v>0</v>
      </c>
      <c r="P1564" s="106">
        <v>1</v>
      </c>
      <c r="Q1564" s="108">
        <f t="shared" ref="Q1564" si="1763">(K1564+L1564)/J1564</f>
        <v>0.69512195121951215</v>
      </c>
      <c r="R1564" s="109">
        <f t="shared" ref="R1564" si="1764">N1564/J1564</f>
        <v>0</v>
      </c>
      <c r="S1564" s="109">
        <f t="shared" ref="S1564" si="1765">P1564/J1564</f>
        <v>1.2195121951219513E-2</v>
      </c>
      <c r="T1564" s="109">
        <f t="shared" ref="T1564" si="1766">O1564/J1564</f>
        <v>0</v>
      </c>
      <c r="U1564" s="110">
        <f t="shared" ref="U1564" si="1767">S1564+R1564+Q1564+T1564</f>
        <v>0.70731707317073167</v>
      </c>
      <c r="V1564" s="136"/>
    </row>
    <row r="1565" spans="2:25" ht="15.75" hidden="1" x14ac:dyDescent="0.2">
      <c r="B1565" s="711">
        <v>46188</v>
      </c>
      <c r="C1565" s="105" t="s">
        <v>22</v>
      </c>
      <c r="D1565" s="105" t="s">
        <v>129</v>
      </c>
      <c r="E1565" s="711">
        <v>46188</v>
      </c>
      <c r="G1565" s="844"/>
      <c r="H1565" s="120" t="s">
        <v>14</v>
      </c>
      <c r="I1565" s="120" t="s">
        <v>105</v>
      </c>
      <c r="J1565" s="106">
        <v>172</v>
      </c>
      <c r="K1565" s="106">
        <v>85</v>
      </c>
      <c r="L1565" s="106">
        <v>42</v>
      </c>
      <c r="M1565" s="106">
        <v>23</v>
      </c>
      <c r="N1565" s="106">
        <v>12</v>
      </c>
      <c r="O1565" s="106">
        <v>10</v>
      </c>
      <c r="P1565" s="106">
        <v>0</v>
      </c>
      <c r="Q1565" s="108">
        <f t="shared" si="1762"/>
        <v>0.73837209302325579</v>
      </c>
      <c r="R1565" s="109">
        <f t="shared" si="1757"/>
        <v>6.9767441860465115E-2</v>
      </c>
      <c r="S1565" s="109">
        <f t="shared" si="1758"/>
        <v>0</v>
      </c>
      <c r="T1565" s="109">
        <f t="shared" si="1759"/>
        <v>5.8139534883720929E-2</v>
      </c>
      <c r="U1565" s="110">
        <f t="shared" si="1760"/>
        <v>0.86627906976744184</v>
      </c>
      <c r="V1565" s="136"/>
    </row>
    <row r="1566" spans="2:25" ht="15.75" hidden="1" x14ac:dyDescent="0.2">
      <c r="B1566" s="711">
        <v>46188</v>
      </c>
      <c r="C1566" s="105" t="s">
        <v>22</v>
      </c>
      <c r="D1566" s="105" t="s">
        <v>129</v>
      </c>
      <c r="E1566" s="711">
        <v>46189</v>
      </c>
      <c r="G1566" s="704">
        <v>46189</v>
      </c>
      <c r="H1566" s="120" t="s">
        <v>17</v>
      </c>
      <c r="I1566" s="120" t="s">
        <v>106</v>
      </c>
      <c r="J1566" s="106">
        <v>214</v>
      </c>
      <c r="K1566" s="106">
        <v>0</v>
      </c>
      <c r="L1566" s="106">
        <v>0</v>
      </c>
      <c r="M1566" s="106">
        <v>156</v>
      </c>
      <c r="N1566" s="106">
        <v>29</v>
      </c>
      <c r="O1566" s="106">
        <v>25</v>
      </c>
      <c r="P1566" s="106">
        <v>4</v>
      </c>
      <c r="Q1566" s="108">
        <f t="shared" si="1762"/>
        <v>0</v>
      </c>
      <c r="R1566" s="109">
        <f t="shared" si="1757"/>
        <v>0.13551401869158877</v>
      </c>
      <c r="S1566" s="109">
        <f t="shared" si="1758"/>
        <v>1.8691588785046728E-2</v>
      </c>
      <c r="T1566" s="109">
        <f t="shared" si="1759"/>
        <v>0.11682242990654206</v>
      </c>
      <c r="U1566" s="110">
        <f t="shared" si="1760"/>
        <v>0.27102803738317754</v>
      </c>
      <c r="V1566" s="136"/>
    </row>
    <row r="1567" spans="2:25" s="97" customFormat="1" ht="16.5" hidden="1" customHeight="1" x14ac:dyDescent="0.2">
      <c r="B1567" s="711">
        <v>46188</v>
      </c>
      <c r="C1567" s="105" t="s">
        <v>22</v>
      </c>
      <c r="D1567" s="105" t="s">
        <v>129</v>
      </c>
      <c r="E1567" s="711">
        <v>46188</v>
      </c>
      <c r="F1567" s="89"/>
      <c r="G1567" s="190"/>
      <c r="H1567" s="840" t="s">
        <v>19</v>
      </c>
      <c r="I1567" s="841"/>
      <c r="J1567" s="113">
        <f t="shared" ref="J1567:P1567" si="1768">SUM(J1562:J1566)</f>
        <v>560</v>
      </c>
      <c r="K1567" s="113">
        <f t="shared" si="1768"/>
        <v>171</v>
      </c>
      <c r="L1567" s="113">
        <f t="shared" si="1768"/>
        <v>77</v>
      </c>
      <c r="M1567" s="113">
        <f t="shared" si="1768"/>
        <v>203</v>
      </c>
      <c r="N1567" s="113">
        <f t="shared" si="1768"/>
        <v>41</v>
      </c>
      <c r="O1567" s="113">
        <f t="shared" si="1768"/>
        <v>61</v>
      </c>
      <c r="P1567" s="113">
        <f t="shared" si="1768"/>
        <v>7</v>
      </c>
      <c r="Q1567" s="115">
        <f>(K1567+L1567)/J1567</f>
        <v>0.44285714285714284</v>
      </c>
      <c r="R1567" s="116">
        <f t="shared" si="1757"/>
        <v>7.3214285714285718E-2</v>
      </c>
      <c r="S1567" s="116">
        <f t="shared" si="1758"/>
        <v>1.2500000000000001E-2</v>
      </c>
      <c r="T1567" s="116">
        <f t="shared" si="1759"/>
        <v>0.10892857142857143</v>
      </c>
      <c r="U1567" s="117">
        <f t="shared" si="1760"/>
        <v>0.63749999999999996</v>
      </c>
      <c r="V1567" s="127"/>
      <c r="W1567" s="88"/>
      <c r="X1567" s="88"/>
      <c r="Y1567" s="118"/>
    </row>
    <row r="1568" spans="2:25" ht="15.75" hidden="1" x14ac:dyDescent="0.2">
      <c r="B1568" s="711">
        <v>46188</v>
      </c>
      <c r="C1568" s="105" t="s">
        <v>12</v>
      </c>
      <c r="D1568" s="105" t="s">
        <v>13</v>
      </c>
      <c r="E1568" s="711">
        <v>46188</v>
      </c>
      <c r="G1568" s="842">
        <v>46188</v>
      </c>
      <c r="H1568" s="120" t="s">
        <v>75</v>
      </c>
      <c r="I1568" s="120" t="s">
        <v>83</v>
      </c>
      <c r="J1568" s="106">
        <v>210</v>
      </c>
      <c r="K1568" s="106">
        <f>210-84</f>
        <v>126</v>
      </c>
      <c r="L1568" s="106">
        <v>61</v>
      </c>
      <c r="M1568" s="106">
        <v>2</v>
      </c>
      <c r="N1568" s="106">
        <v>0</v>
      </c>
      <c r="O1568" s="106">
        <v>20</v>
      </c>
      <c r="P1568" s="106">
        <v>1</v>
      </c>
      <c r="Q1568" s="108">
        <f t="shared" ref="Q1568:Q1570" si="1769">(K1568+L1568)/J1568</f>
        <v>0.89047619047619042</v>
      </c>
      <c r="R1568" s="109">
        <f t="shared" ref="R1568:R1571" si="1770">N1568/J1568</f>
        <v>0</v>
      </c>
      <c r="S1568" s="109">
        <f t="shared" ref="S1568:S1571" si="1771">P1568/J1568</f>
        <v>4.7619047619047623E-3</v>
      </c>
      <c r="T1568" s="109">
        <f t="shared" ref="T1568:T1571" si="1772">O1568/J1568</f>
        <v>9.5238095238095233E-2</v>
      </c>
      <c r="U1568" s="110">
        <f t="shared" ref="U1568:U1571" si="1773">S1568+R1568+Q1568+T1568</f>
        <v>0.9904761904761904</v>
      </c>
      <c r="V1568" s="136"/>
    </row>
    <row r="1569" spans="2:25" ht="15.75" hidden="1" x14ac:dyDescent="0.2">
      <c r="B1569" s="711">
        <v>46188</v>
      </c>
      <c r="C1569" s="105" t="s">
        <v>12</v>
      </c>
      <c r="D1569" s="105" t="s">
        <v>13</v>
      </c>
      <c r="E1569" s="711">
        <v>46188</v>
      </c>
      <c r="G1569" s="843"/>
      <c r="H1569" s="120" t="s">
        <v>17</v>
      </c>
      <c r="I1569" s="120" t="s">
        <v>106</v>
      </c>
      <c r="J1569" s="106">
        <v>207</v>
      </c>
      <c r="K1569" s="106">
        <f>207-64</f>
        <v>143</v>
      </c>
      <c r="L1569" s="106">
        <v>32</v>
      </c>
      <c r="M1569" s="106">
        <v>1</v>
      </c>
      <c r="N1569" s="106">
        <v>0</v>
      </c>
      <c r="O1569" s="106">
        <v>30</v>
      </c>
      <c r="P1569" s="106">
        <v>1</v>
      </c>
      <c r="Q1569" s="108">
        <f t="shared" si="1769"/>
        <v>0.84541062801932365</v>
      </c>
      <c r="R1569" s="109">
        <f t="shared" si="1770"/>
        <v>0</v>
      </c>
      <c r="S1569" s="109">
        <f t="shared" si="1771"/>
        <v>4.830917874396135E-3</v>
      </c>
      <c r="T1569" s="109">
        <f t="shared" si="1772"/>
        <v>0.14492753623188406</v>
      </c>
      <c r="U1569" s="110">
        <f t="shared" si="1773"/>
        <v>0.99516908212560384</v>
      </c>
      <c r="V1569" s="136"/>
    </row>
    <row r="1570" spans="2:25" ht="15.75" hidden="1" x14ac:dyDescent="0.2">
      <c r="B1570" s="711">
        <v>46188</v>
      </c>
      <c r="C1570" s="105" t="s">
        <v>12</v>
      </c>
      <c r="D1570" s="105" t="s">
        <v>13</v>
      </c>
      <c r="E1570" s="711">
        <v>46188</v>
      </c>
      <c r="G1570" s="844"/>
      <c r="H1570" s="120" t="s">
        <v>14</v>
      </c>
      <c r="I1570" s="120" t="s">
        <v>105</v>
      </c>
      <c r="J1570" s="106">
        <v>172</v>
      </c>
      <c r="K1570" s="106">
        <v>102</v>
      </c>
      <c r="L1570" s="106">
        <v>37</v>
      </c>
      <c r="M1570" s="106">
        <v>15</v>
      </c>
      <c r="N1570" s="106">
        <v>2</v>
      </c>
      <c r="O1570" s="106">
        <v>15</v>
      </c>
      <c r="P1570" s="106">
        <v>1</v>
      </c>
      <c r="Q1570" s="108">
        <f t="shared" si="1769"/>
        <v>0.80813953488372092</v>
      </c>
      <c r="R1570" s="109">
        <f t="shared" si="1770"/>
        <v>1.1627906976744186E-2</v>
      </c>
      <c r="S1570" s="109">
        <f t="shared" si="1771"/>
        <v>5.8139534883720929E-3</v>
      </c>
      <c r="T1570" s="109">
        <f t="shared" si="1772"/>
        <v>8.7209302325581398E-2</v>
      </c>
      <c r="U1570" s="110">
        <f t="shared" si="1773"/>
        <v>0.91279069767441867</v>
      </c>
      <c r="V1570" s="136"/>
    </row>
    <row r="1571" spans="2:25" s="97" customFormat="1" ht="16.5" hidden="1" customHeight="1" x14ac:dyDescent="0.2">
      <c r="B1571" s="711">
        <v>46188</v>
      </c>
      <c r="C1571" s="105" t="s">
        <v>12</v>
      </c>
      <c r="D1571" s="105" t="s">
        <v>13</v>
      </c>
      <c r="E1571" s="711">
        <v>46188</v>
      </c>
      <c r="F1571" s="89"/>
      <c r="G1571" s="190"/>
      <c r="H1571" s="840" t="s">
        <v>19</v>
      </c>
      <c r="I1571" s="841"/>
      <c r="J1571" s="113">
        <f t="shared" ref="J1571:P1571" si="1774">SUM(J1568:J1570)</f>
        <v>589</v>
      </c>
      <c r="K1571" s="113">
        <f t="shared" si="1774"/>
        <v>371</v>
      </c>
      <c r="L1571" s="113">
        <f t="shared" si="1774"/>
        <v>130</v>
      </c>
      <c r="M1571" s="113">
        <f t="shared" si="1774"/>
        <v>18</v>
      </c>
      <c r="N1571" s="113">
        <f t="shared" si="1774"/>
        <v>2</v>
      </c>
      <c r="O1571" s="113">
        <f t="shared" si="1774"/>
        <v>65</v>
      </c>
      <c r="P1571" s="113">
        <f t="shared" si="1774"/>
        <v>3</v>
      </c>
      <c r="Q1571" s="115">
        <f>(K1571+L1571)/J1571</f>
        <v>0.85059422750424452</v>
      </c>
      <c r="R1571" s="116">
        <f t="shared" si="1770"/>
        <v>3.3955857385398981E-3</v>
      </c>
      <c r="S1571" s="116">
        <f t="shared" si="1771"/>
        <v>5.0933786078098476E-3</v>
      </c>
      <c r="T1571" s="116">
        <f t="shared" si="1772"/>
        <v>0.11035653650254669</v>
      </c>
      <c r="U1571" s="117">
        <f t="shared" si="1773"/>
        <v>0.96943972835314096</v>
      </c>
      <c r="V1571" s="127"/>
      <c r="W1571" s="88"/>
      <c r="X1571" s="88"/>
      <c r="Y1571" s="118"/>
    </row>
    <row r="1572" spans="2:25" ht="15.75" hidden="1" x14ac:dyDescent="0.2">
      <c r="B1572" s="711">
        <v>46188</v>
      </c>
      <c r="C1572" s="105" t="s">
        <v>12</v>
      </c>
      <c r="D1572" s="105" t="s">
        <v>13</v>
      </c>
      <c r="E1572" s="711">
        <v>46189</v>
      </c>
      <c r="G1572" s="842">
        <v>46189</v>
      </c>
      <c r="H1572" s="120" t="s">
        <v>75</v>
      </c>
      <c r="I1572" s="120" t="s">
        <v>83</v>
      </c>
      <c r="J1572" s="106">
        <v>220</v>
      </c>
      <c r="K1572" s="106">
        <v>23</v>
      </c>
      <c r="L1572" s="106">
        <v>1</v>
      </c>
      <c r="M1572" s="106">
        <v>175</v>
      </c>
      <c r="N1572" s="106">
        <v>0</v>
      </c>
      <c r="O1572" s="106">
        <v>20</v>
      </c>
      <c r="P1572" s="106">
        <v>1</v>
      </c>
      <c r="Q1572" s="108">
        <f t="shared" ref="Q1572:Q1574" si="1775">(K1572+L1572)/J1572</f>
        <v>0.10909090909090909</v>
      </c>
      <c r="R1572" s="109">
        <f t="shared" ref="R1572:R1575" si="1776">N1572/J1572</f>
        <v>0</v>
      </c>
      <c r="S1572" s="109">
        <f t="shared" ref="S1572:S1575" si="1777">P1572/J1572</f>
        <v>4.5454545454545452E-3</v>
      </c>
      <c r="T1572" s="109">
        <f t="shared" ref="T1572:T1575" si="1778">O1572/J1572</f>
        <v>9.0909090909090912E-2</v>
      </c>
      <c r="U1572" s="110">
        <f t="shared" ref="U1572:U1575" si="1779">S1572+R1572+Q1572+T1572</f>
        <v>0.20454545454545453</v>
      </c>
      <c r="V1572" s="136"/>
    </row>
    <row r="1573" spans="2:25" ht="15.75" hidden="1" x14ac:dyDescent="0.2">
      <c r="B1573" s="711">
        <v>46188</v>
      </c>
      <c r="C1573" s="105" t="s">
        <v>12</v>
      </c>
      <c r="D1573" s="105" t="s">
        <v>13</v>
      </c>
      <c r="E1573" s="711">
        <v>46189</v>
      </c>
      <c r="G1573" s="843"/>
      <c r="H1573" s="120" t="s">
        <v>17</v>
      </c>
      <c r="I1573" s="120" t="s">
        <v>106</v>
      </c>
      <c r="J1573" s="106">
        <v>214</v>
      </c>
      <c r="K1573" s="106">
        <v>34</v>
      </c>
      <c r="L1573" s="106">
        <v>7</v>
      </c>
      <c r="M1573" s="106">
        <v>38</v>
      </c>
      <c r="N1573" s="106">
        <v>106</v>
      </c>
      <c r="O1573" s="106">
        <v>25</v>
      </c>
      <c r="P1573" s="106">
        <v>4</v>
      </c>
      <c r="Q1573" s="108">
        <f t="shared" si="1775"/>
        <v>0.19158878504672897</v>
      </c>
      <c r="R1573" s="109">
        <f t="shared" si="1776"/>
        <v>0.49532710280373832</v>
      </c>
      <c r="S1573" s="109">
        <f t="shared" si="1777"/>
        <v>1.8691588785046728E-2</v>
      </c>
      <c r="T1573" s="109">
        <f t="shared" si="1778"/>
        <v>0.11682242990654206</v>
      </c>
      <c r="U1573" s="110">
        <f t="shared" si="1779"/>
        <v>0.82242990654205594</v>
      </c>
      <c r="V1573" s="136"/>
    </row>
    <row r="1574" spans="2:25" ht="15.75" hidden="1" x14ac:dyDescent="0.2">
      <c r="B1574" s="711">
        <v>46188</v>
      </c>
      <c r="C1574" s="105" t="s">
        <v>12</v>
      </c>
      <c r="D1574" s="105" t="s">
        <v>13</v>
      </c>
      <c r="E1574" s="711">
        <v>46189</v>
      </c>
      <c r="G1574" s="844"/>
      <c r="H1574" s="120" t="s">
        <v>14</v>
      </c>
      <c r="I1574" s="120" t="s">
        <v>105</v>
      </c>
      <c r="J1574" s="106">
        <v>167</v>
      </c>
      <c r="K1574" s="106">
        <v>0</v>
      </c>
      <c r="L1574" s="106">
        <v>0</v>
      </c>
      <c r="M1574" s="106">
        <v>154</v>
      </c>
      <c r="N1574" s="106">
        <v>0</v>
      </c>
      <c r="O1574" s="106">
        <v>10</v>
      </c>
      <c r="P1574" s="106">
        <v>3</v>
      </c>
      <c r="Q1574" s="108">
        <f t="shared" si="1775"/>
        <v>0</v>
      </c>
      <c r="R1574" s="109">
        <f t="shared" si="1776"/>
        <v>0</v>
      </c>
      <c r="S1574" s="109">
        <f t="shared" si="1777"/>
        <v>1.7964071856287425E-2</v>
      </c>
      <c r="T1574" s="109">
        <f t="shared" si="1778"/>
        <v>5.9880239520958084E-2</v>
      </c>
      <c r="U1574" s="110">
        <f t="shared" si="1779"/>
        <v>7.7844311377245512E-2</v>
      </c>
      <c r="V1574" s="136"/>
    </row>
    <row r="1575" spans="2:25" s="97" customFormat="1" ht="16.5" hidden="1" customHeight="1" x14ac:dyDescent="0.2">
      <c r="B1575" s="711">
        <v>46188</v>
      </c>
      <c r="C1575" s="105" t="s">
        <v>12</v>
      </c>
      <c r="D1575" s="105" t="s">
        <v>13</v>
      </c>
      <c r="E1575" s="711">
        <v>46189</v>
      </c>
      <c r="F1575" s="89"/>
      <c r="G1575" s="190"/>
      <c r="H1575" s="840" t="s">
        <v>19</v>
      </c>
      <c r="I1575" s="841"/>
      <c r="J1575" s="113">
        <f t="shared" ref="J1575:P1575" si="1780">SUM(J1572:J1574)</f>
        <v>601</v>
      </c>
      <c r="K1575" s="113">
        <f t="shared" si="1780"/>
        <v>57</v>
      </c>
      <c r="L1575" s="113">
        <f t="shared" si="1780"/>
        <v>8</v>
      </c>
      <c r="M1575" s="113">
        <f t="shared" si="1780"/>
        <v>367</v>
      </c>
      <c r="N1575" s="113">
        <f t="shared" si="1780"/>
        <v>106</v>
      </c>
      <c r="O1575" s="113">
        <f t="shared" si="1780"/>
        <v>55</v>
      </c>
      <c r="P1575" s="113">
        <f t="shared" si="1780"/>
        <v>8</v>
      </c>
      <c r="Q1575" s="115">
        <f>(K1575+L1575)/J1575</f>
        <v>0.10815307820299501</v>
      </c>
      <c r="R1575" s="116">
        <f t="shared" si="1776"/>
        <v>0.17637271214642264</v>
      </c>
      <c r="S1575" s="116">
        <f t="shared" si="1777"/>
        <v>1.3311148086522463E-2</v>
      </c>
      <c r="T1575" s="116">
        <f t="shared" si="1778"/>
        <v>9.1514143094841932E-2</v>
      </c>
      <c r="U1575" s="117">
        <f t="shared" si="1779"/>
        <v>0.38935108153078202</v>
      </c>
      <c r="V1575" s="127"/>
      <c r="W1575" s="88"/>
      <c r="X1575" s="88"/>
      <c r="Y1575" s="118"/>
    </row>
    <row r="1576" spans="2:25" ht="15.75" hidden="1" x14ac:dyDescent="0.2">
      <c r="B1576" s="711">
        <v>46188</v>
      </c>
      <c r="C1576" s="105" t="s">
        <v>18</v>
      </c>
      <c r="D1576" s="105" t="s">
        <v>13</v>
      </c>
      <c r="E1576" s="711">
        <v>46189</v>
      </c>
      <c r="G1576" s="842">
        <v>46189</v>
      </c>
      <c r="H1576" s="120" t="s">
        <v>75</v>
      </c>
      <c r="I1576" s="120" t="s">
        <v>83</v>
      </c>
      <c r="J1576" s="106">
        <v>220</v>
      </c>
      <c r="K1576" s="106">
        <f>J1576-L1576-M1576-N1576-O1576-P1576</f>
        <v>134</v>
      </c>
      <c r="L1576" s="106">
        <v>50</v>
      </c>
      <c r="M1576" s="106">
        <v>35</v>
      </c>
      <c r="N1576" s="106">
        <v>0</v>
      </c>
      <c r="O1576" s="106">
        <v>0</v>
      </c>
      <c r="P1576" s="106">
        <v>1</v>
      </c>
      <c r="Q1576" s="108">
        <f t="shared" ref="Q1576:Q1578" si="1781">(K1576+L1576)/J1576</f>
        <v>0.83636363636363631</v>
      </c>
      <c r="R1576" s="109">
        <f t="shared" ref="R1576:R1586" si="1782">N1576/J1576</f>
        <v>0</v>
      </c>
      <c r="S1576" s="109">
        <f t="shared" ref="S1576:S1586" si="1783">P1576/J1576</f>
        <v>4.5454545454545452E-3</v>
      </c>
      <c r="T1576" s="109">
        <f t="shared" ref="T1576:T1586" si="1784">O1576/J1576</f>
        <v>0</v>
      </c>
      <c r="U1576" s="110">
        <f t="shared" ref="U1576:U1586" si="1785">S1576+R1576+Q1576+T1576</f>
        <v>0.84090909090909083</v>
      </c>
      <c r="V1576" s="136"/>
    </row>
    <row r="1577" spans="2:25" ht="15.75" hidden="1" x14ac:dyDescent="0.2">
      <c r="B1577" s="711">
        <v>46188</v>
      </c>
      <c r="C1577" s="105" t="s">
        <v>18</v>
      </c>
      <c r="D1577" s="105" t="s">
        <v>13</v>
      </c>
      <c r="E1577" s="711">
        <v>46189</v>
      </c>
      <c r="G1577" s="843"/>
      <c r="H1577" s="120" t="s">
        <v>17</v>
      </c>
      <c r="I1577" s="120" t="s">
        <v>106</v>
      </c>
      <c r="J1577" s="106">
        <v>214</v>
      </c>
      <c r="K1577" s="106">
        <f t="shared" ref="K1577:K1578" si="1786">J1577-L1577-M1577-N1577-O1577-P1577</f>
        <v>132</v>
      </c>
      <c r="L1577" s="106">
        <v>41</v>
      </c>
      <c r="M1577" s="106">
        <v>37</v>
      </c>
      <c r="N1577" s="106">
        <v>0</v>
      </c>
      <c r="O1577" s="106">
        <v>0</v>
      </c>
      <c r="P1577" s="106">
        <v>4</v>
      </c>
      <c r="Q1577" s="108">
        <f t="shared" si="1781"/>
        <v>0.80841121495327106</v>
      </c>
      <c r="R1577" s="109">
        <f t="shared" si="1782"/>
        <v>0</v>
      </c>
      <c r="S1577" s="109">
        <f t="shared" si="1783"/>
        <v>1.8691588785046728E-2</v>
      </c>
      <c r="T1577" s="109">
        <f t="shared" si="1784"/>
        <v>0</v>
      </c>
      <c r="U1577" s="110">
        <f t="shared" si="1785"/>
        <v>0.82710280373831779</v>
      </c>
      <c r="V1577" s="136"/>
    </row>
    <row r="1578" spans="2:25" ht="15.75" hidden="1" x14ac:dyDescent="0.2">
      <c r="B1578" s="711">
        <v>46188</v>
      </c>
      <c r="C1578" s="105" t="s">
        <v>18</v>
      </c>
      <c r="D1578" s="105" t="s">
        <v>13</v>
      </c>
      <c r="E1578" s="711">
        <v>46189</v>
      </c>
      <c r="G1578" s="844"/>
      <c r="H1578" s="120" t="s">
        <v>14</v>
      </c>
      <c r="I1578" s="120" t="s">
        <v>105</v>
      </c>
      <c r="J1578" s="106">
        <v>167</v>
      </c>
      <c r="K1578" s="106">
        <f t="shared" si="1786"/>
        <v>0</v>
      </c>
      <c r="L1578" s="106">
        <v>0</v>
      </c>
      <c r="M1578" s="106">
        <v>164</v>
      </c>
      <c r="N1578" s="106">
        <v>0</v>
      </c>
      <c r="O1578" s="106">
        <v>0</v>
      </c>
      <c r="P1578" s="106">
        <v>3</v>
      </c>
      <c r="Q1578" s="108">
        <f t="shared" si="1781"/>
        <v>0</v>
      </c>
      <c r="R1578" s="109">
        <f t="shared" si="1782"/>
        <v>0</v>
      </c>
      <c r="S1578" s="109">
        <f t="shared" si="1783"/>
        <v>1.7964071856287425E-2</v>
      </c>
      <c r="T1578" s="109">
        <f t="shared" si="1784"/>
        <v>0</v>
      </c>
      <c r="U1578" s="110">
        <f t="shared" si="1785"/>
        <v>1.7964071856287425E-2</v>
      </c>
      <c r="V1578" s="136"/>
    </row>
    <row r="1579" spans="2:25" ht="15.75" hidden="1" x14ac:dyDescent="0.2">
      <c r="B1579" s="711">
        <v>46188</v>
      </c>
      <c r="C1579" s="105" t="s">
        <v>18</v>
      </c>
      <c r="D1579" s="105" t="s">
        <v>13</v>
      </c>
      <c r="E1579" s="711">
        <v>46189</v>
      </c>
      <c r="G1579" s="190"/>
      <c r="H1579" s="840" t="s">
        <v>19</v>
      </c>
      <c r="I1579" s="841"/>
      <c r="J1579" s="113">
        <f t="shared" ref="J1579" si="1787">SUM(J1576:J1578)</f>
        <v>601</v>
      </c>
      <c r="K1579" s="113">
        <f t="shared" ref="K1579" si="1788">SUM(K1576:K1578)</f>
        <v>266</v>
      </c>
      <c r="L1579" s="113">
        <f t="shared" ref="L1579" si="1789">SUM(L1576:L1578)</f>
        <v>91</v>
      </c>
      <c r="M1579" s="113">
        <f t="shared" ref="M1579" si="1790">SUM(M1576:M1578)</f>
        <v>236</v>
      </c>
      <c r="N1579" s="113">
        <f t="shared" ref="N1579" si="1791">SUM(N1576:N1578)</f>
        <v>0</v>
      </c>
      <c r="O1579" s="113">
        <f t="shared" ref="O1579" si="1792">SUM(O1576:O1578)</f>
        <v>0</v>
      </c>
      <c r="P1579" s="113">
        <f t="shared" ref="P1579" si="1793">SUM(P1576:P1578)</f>
        <v>8</v>
      </c>
      <c r="Q1579" s="115">
        <f>(K1579+L1579)/J1579</f>
        <v>0.59400998336106492</v>
      </c>
      <c r="R1579" s="116">
        <f t="shared" si="1782"/>
        <v>0</v>
      </c>
      <c r="S1579" s="116">
        <f t="shared" si="1783"/>
        <v>1.3311148086522463E-2</v>
      </c>
      <c r="T1579" s="116">
        <f t="shared" si="1784"/>
        <v>0</v>
      </c>
      <c r="U1579" s="117">
        <f t="shared" si="1785"/>
        <v>0.60732113144758737</v>
      </c>
      <c r="V1579" s="127"/>
    </row>
    <row r="1580" spans="2:25" ht="15.75" hidden="1" x14ac:dyDescent="0.2">
      <c r="B1580" s="711">
        <v>46189</v>
      </c>
      <c r="C1580" s="105" t="s">
        <v>22</v>
      </c>
      <c r="D1580" s="105" t="s">
        <v>129</v>
      </c>
      <c r="E1580" s="711">
        <v>46189</v>
      </c>
      <c r="G1580" s="842">
        <v>46189</v>
      </c>
      <c r="H1580" s="120" t="s">
        <v>75</v>
      </c>
      <c r="I1580" s="120" t="s">
        <v>83</v>
      </c>
      <c r="J1580" s="106">
        <f>SUM(K1580:P1580)</f>
        <v>48</v>
      </c>
      <c r="K1580" s="106">
        <v>16</v>
      </c>
      <c r="L1580" s="106">
        <v>21</v>
      </c>
      <c r="M1580" s="106">
        <v>0</v>
      </c>
      <c r="N1580" s="106">
        <v>0</v>
      </c>
      <c r="O1580" s="106">
        <v>11</v>
      </c>
      <c r="P1580" s="106">
        <v>0</v>
      </c>
      <c r="Q1580" s="108">
        <f t="shared" ref="Q1580:Q1585" si="1794">(K1580+L1580)/J1580</f>
        <v>0.77083333333333337</v>
      </c>
      <c r="R1580" s="109">
        <f t="shared" si="1782"/>
        <v>0</v>
      </c>
      <c r="S1580" s="109">
        <f t="shared" si="1783"/>
        <v>0</v>
      </c>
      <c r="T1580" s="109">
        <f t="shared" si="1784"/>
        <v>0.22916666666666666</v>
      </c>
      <c r="U1580" s="110">
        <f t="shared" si="1785"/>
        <v>1</v>
      </c>
      <c r="V1580" s="136"/>
    </row>
    <row r="1581" spans="2:25" ht="15.75" hidden="1" x14ac:dyDescent="0.2">
      <c r="B1581" s="711">
        <v>46189</v>
      </c>
      <c r="C1581" s="105" t="s">
        <v>22</v>
      </c>
      <c r="D1581" s="105" t="s">
        <v>129</v>
      </c>
      <c r="E1581" s="711">
        <v>46189</v>
      </c>
      <c r="G1581" s="843"/>
      <c r="H1581" s="120" t="s">
        <v>17</v>
      </c>
      <c r="I1581" s="120" t="s">
        <v>106</v>
      </c>
      <c r="J1581" s="106">
        <f>SUM(K1581:P1581)</f>
        <v>51</v>
      </c>
      <c r="K1581" s="106">
        <v>19</v>
      </c>
      <c r="L1581" s="106">
        <v>17</v>
      </c>
      <c r="M1581" s="106">
        <v>0</v>
      </c>
      <c r="N1581" s="106">
        <v>0</v>
      </c>
      <c r="O1581" s="106">
        <v>13</v>
      </c>
      <c r="P1581" s="106">
        <v>2</v>
      </c>
      <c r="Q1581" s="108">
        <f t="shared" si="1794"/>
        <v>0.70588235294117652</v>
      </c>
      <c r="R1581" s="109">
        <f t="shared" si="1782"/>
        <v>0</v>
      </c>
      <c r="S1581" s="109">
        <f t="shared" si="1783"/>
        <v>3.9215686274509803E-2</v>
      </c>
      <c r="T1581" s="109">
        <f t="shared" si="1784"/>
        <v>0.25490196078431371</v>
      </c>
      <c r="U1581" s="110">
        <f t="shared" si="1785"/>
        <v>1</v>
      </c>
      <c r="V1581" s="136"/>
    </row>
    <row r="1582" spans="2:25" ht="15.75" hidden="1" x14ac:dyDescent="0.2">
      <c r="B1582" s="711">
        <v>46189</v>
      </c>
      <c r="C1582" s="105" t="s">
        <v>22</v>
      </c>
      <c r="D1582" s="105" t="s">
        <v>129</v>
      </c>
      <c r="E1582" s="711">
        <v>46189</v>
      </c>
      <c r="G1582" s="844"/>
      <c r="H1582" s="120" t="s">
        <v>14</v>
      </c>
      <c r="I1582" s="120" t="s">
        <v>105</v>
      </c>
      <c r="J1582" s="106">
        <f>138+63</f>
        <v>201</v>
      </c>
      <c r="K1582" s="106">
        <v>48</v>
      </c>
      <c r="L1582" s="106">
        <v>19</v>
      </c>
      <c r="M1582" s="106">
        <v>18</v>
      </c>
      <c r="N1582" s="106">
        <v>70</v>
      </c>
      <c r="O1582" s="106">
        <v>9</v>
      </c>
      <c r="P1582" s="106">
        <v>3</v>
      </c>
      <c r="Q1582" s="108">
        <f t="shared" si="1794"/>
        <v>0.33333333333333331</v>
      </c>
      <c r="R1582" s="109">
        <f t="shared" si="1782"/>
        <v>0.34825870646766172</v>
      </c>
      <c r="S1582" s="109">
        <f t="shared" si="1783"/>
        <v>1.4925373134328358E-2</v>
      </c>
      <c r="T1582" s="109">
        <f t="shared" si="1784"/>
        <v>4.4776119402985072E-2</v>
      </c>
      <c r="U1582" s="110">
        <f t="shared" si="1785"/>
        <v>0.74129353233830841</v>
      </c>
      <c r="V1582" s="136"/>
    </row>
    <row r="1583" spans="2:25" ht="15.75" hidden="1" x14ac:dyDescent="0.2">
      <c r="B1583" s="711">
        <v>46189</v>
      </c>
      <c r="C1583" s="105" t="s">
        <v>22</v>
      </c>
      <c r="D1583" s="105" t="s">
        <v>129</v>
      </c>
      <c r="E1583" s="711">
        <v>46190</v>
      </c>
      <c r="G1583" s="830">
        <v>46190</v>
      </c>
      <c r="H1583" s="120" t="s">
        <v>75</v>
      </c>
      <c r="I1583" s="120" t="s">
        <v>83</v>
      </c>
      <c r="J1583" s="106">
        <v>239</v>
      </c>
      <c r="K1583" s="106">
        <v>0</v>
      </c>
      <c r="L1583" s="106">
        <v>0</v>
      </c>
      <c r="M1583" s="106">
        <v>206</v>
      </c>
      <c r="N1583" s="106">
        <v>13</v>
      </c>
      <c r="O1583" s="106">
        <v>20</v>
      </c>
      <c r="P1583" s="106">
        <v>0</v>
      </c>
      <c r="Q1583" s="108">
        <f t="shared" ref="Q1583:Q1584" si="1795">(K1583+L1583)/J1583</f>
        <v>0</v>
      </c>
      <c r="R1583" s="109">
        <f t="shared" ref="R1583:R1584" si="1796">N1583/J1583</f>
        <v>5.4393305439330547E-2</v>
      </c>
      <c r="S1583" s="109">
        <f t="shared" ref="S1583:S1584" si="1797">P1583/J1583</f>
        <v>0</v>
      </c>
      <c r="T1583" s="109">
        <f t="shared" ref="T1583:T1584" si="1798">O1583/J1583</f>
        <v>8.3682008368200833E-2</v>
      </c>
      <c r="U1583" s="110">
        <f t="shared" ref="U1583:U1584" si="1799">S1583+R1583+Q1583+T1583</f>
        <v>0.13807531380753138</v>
      </c>
      <c r="V1583" s="136"/>
    </row>
    <row r="1584" spans="2:25" ht="15.75" hidden="1" x14ac:dyDescent="0.2">
      <c r="B1584" s="711">
        <v>46189</v>
      </c>
      <c r="C1584" s="105" t="s">
        <v>22</v>
      </c>
      <c r="D1584" s="105" t="s">
        <v>129</v>
      </c>
      <c r="E1584" s="711">
        <v>46190</v>
      </c>
      <c r="G1584" s="831"/>
      <c r="H1584" s="120" t="s">
        <v>118</v>
      </c>
      <c r="I1584" s="120" t="s">
        <v>106</v>
      </c>
      <c r="J1584" s="106">
        <f>SUM(K1584:P1584)</f>
        <v>47</v>
      </c>
      <c r="K1584" s="106">
        <v>8</v>
      </c>
      <c r="L1584" s="106">
        <v>0</v>
      </c>
      <c r="M1584" s="106">
        <v>38</v>
      </c>
      <c r="N1584" s="106">
        <v>0</v>
      </c>
      <c r="O1584" s="106">
        <v>0</v>
      </c>
      <c r="P1584" s="106">
        <v>1</v>
      </c>
      <c r="Q1584" s="108">
        <f t="shared" si="1795"/>
        <v>0.1702127659574468</v>
      </c>
      <c r="R1584" s="109">
        <f t="shared" si="1796"/>
        <v>0</v>
      </c>
      <c r="S1584" s="109">
        <f t="shared" si="1797"/>
        <v>2.1276595744680851E-2</v>
      </c>
      <c r="T1584" s="109">
        <f t="shared" si="1798"/>
        <v>0</v>
      </c>
      <c r="U1584" s="110">
        <f t="shared" si="1799"/>
        <v>0.19148936170212766</v>
      </c>
      <c r="V1584" s="136"/>
    </row>
    <row r="1585" spans="2:25" ht="15.75" hidden="1" x14ac:dyDescent="0.2">
      <c r="B1585" s="711">
        <v>46189</v>
      </c>
      <c r="C1585" s="105" t="s">
        <v>22</v>
      </c>
      <c r="D1585" s="105" t="s">
        <v>129</v>
      </c>
      <c r="E1585" s="711">
        <v>46190</v>
      </c>
      <c r="G1585" s="831"/>
      <c r="H1585" s="120" t="s">
        <v>25</v>
      </c>
      <c r="I1585" s="120" t="s">
        <v>106</v>
      </c>
      <c r="J1585" s="106">
        <v>218</v>
      </c>
      <c r="K1585" s="106">
        <v>3</v>
      </c>
      <c r="L1585" s="106">
        <v>1</v>
      </c>
      <c r="M1585" s="106">
        <v>179</v>
      </c>
      <c r="N1585" s="106">
        <v>0</v>
      </c>
      <c r="O1585" s="106">
        <v>32</v>
      </c>
      <c r="P1585" s="106">
        <v>7</v>
      </c>
      <c r="Q1585" s="108">
        <f t="shared" si="1794"/>
        <v>1.834862385321101E-2</v>
      </c>
      <c r="R1585" s="109">
        <f t="shared" si="1782"/>
        <v>0</v>
      </c>
      <c r="S1585" s="109">
        <f t="shared" si="1783"/>
        <v>3.2110091743119268E-2</v>
      </c>
      <c r="T1585" s="109">
        <f t="shared" si="1784"/>
        <v>0.14678899082568808</v>
      </c>
      <c r="U1585" s="110">
        <f t="shared" si="1785"/>
        <v>0.19724770642201836</v>
      </c>
      <c r="V1585" s="136"/>
    </row>
    <row r="1586" spans="2:25" s="97" customFormat="1" ht="16.5" hidden="1" customHeight="1" x14ac:dyDescent="0.2">
      <c r="B1586" s="711">
        <v>46189</v>
      </c>
      <c r="C1586" s="105" t="s">
        <v>22</v>
      </c>
      <c r="D1586" s="105" t="s">
        <v>129</v>
      </c>
      <c r="E1586" s="711">
        <v>46189</v>
      </c>
      <c r="F1586" s="89"/>
      <c r="G1586" s="190"/>
      <c r="H1586" s="840" t="s">
        <v>19</v>
      </c>
      <c r="I1586" s="841"/>
      <c r="J1586" s="113">
        <f t="shared" ref="J1586:P1586" si="1800">SUM(J1580:J1585)</f>
        <v>804</v>
      </c>
      <c r="K1586" s="113">
        <f t="shared" si="1800"/>
        <v>94</v>
      </c>
      <c r="L1586" s="113">
        <f t="shared" si="1800"/>
        <v>58</v>
      </c>
      <c r="M1586" s="113">
        <f t="shared" si="1800"/>
        <v>441</v>
      </c>
      <c r="N1586" s="113">
        <f t="shared" si="1800"/>
        <v>83</v>
      </c>
      <c r="O1586" s="113">
        <f t="shared" si="1800"/>
        <v>85</v>
      </c>
      <c r="P1586" s="113">
        <f t="shared" si="1800"/>
        <v>13</v>
      </c>
      <c r="Q1586" s="115">
        <f>(K1586+L1586)/J1586</f>
        <v>0.1890547263681592</v>
      </c>
      <c r="R1586" s="116">
        <f t="shared" si="1782"/>
        <v>0.10323383084577115</v>
      </c>
      <c r="S1586" s="116">
        <f t="shared" si="1783"/>
        <v>1.6169154228855721E-2</v>
      </c>
      <c r="T1586" s="116">
        <f t="shared" si="1784"/>
        <v>0.10572139303482588</v>
      </c>
      <c r="U1586" s="117">
        <f t="shared" si="1785"/>
        <v>0.41417910447761191</v>
      </c>
      <c r="V1586" s="127"/>
      <c r="W1586" s="88"/>
      <c r="X1586" s="88"/>
      <c r="Y1586" s="118"/>
    </row>
    <row r="1587" spans="2:25" ht="15.75" hidden="1" x14ac:dyDescent="0.2">
      <c r="B1587" s="711">
        <v>46189</v>
      </c>
      <c r="C1587" s="105" t="s">
        <v>12</v>
      </c>
      <c r="D1587" s="105" t="s">
        <v>13</v>
      </c>
      <c r="E1587" s="711">
        <v>46189</v>
      </c>
      <c r="G1587" s="842">
        <v>46189</v>
      </c>
      <c r="H1587" s="120" t="s">
        <v>75</v>
      </c>
      <c r="I1587" s="120" t="s">
        <v>83</v>
      </c>
      <c r="J1587" s="106">
        <v>220</v>
      </c>
      <c r="K1587" s="106">
        <f>220-67</f>
        <v>153</v>
      </c>
      <c r="L1587" s="106">
        <v>43</v>
      </c>
      <c r="M1587" s="106">
        <v>4</v>
      </c>
      <c r="N1587" s="106">
        <v>0</v>
      </c>
      <c r="O1587" s="106">
        <v>20</v>
      </c>
      <c r="P1587" s="106">
        <v>0</v>
      </c>
      <c r="Q1587" s="108">
        <f t="shared" ref="Q1587:Q1593" si="1801">(K1587+L1587)/J1587</f>
        <v>0.89090909090909087</v>
      </c>
      <c r="R1587" s="109">
        <f t="shared" ref="R1587:R1593" si="1802">N1587/J1587</f>
        <v>0</v>
      </c>
      <c r="S1587" s="109">
        <f t="shared" ref="S1587:S1594" si="1803">P1587/J1587</f>
        <v>0</v>
      </c>
      <c r="T1587" s="109">
        <f t="shared" ref="T1587:T1594" si="1804">O1587/J1587</f>
        <v>9.0909090909090912E-2</v>
      </c>
      <c r="U1587" s="110">
        <f t="shared" ref="U1587:U1593" si="1805">S1587+R1587+Q1587+T1587</f>
        <v>0.98181818181818181</v>
      </c>
      <c r="V1587" s="136"/>
    </row>
    <row r="1588" spans="2:25" ht="15.75" hidden="1" x14ac:dyDescent="0.2">
      <c r="B1588" s="711">
        <v>46189</v>
      </c>
      <c r="C1588" s="105" t="s">
        <v>12</v>
      </c>
      <c r="D1588" s="105" t="s">
        <v>13</v>
      </c>
      <c r="E1588" s="711">
        <v>46189</v>
      </c>
      <c r="G1588" s="843"/>
      <c r="H1588" s="120" t="s">
        <v>17</v>
      </c>
      <c r="I1588" s="120" t="s">
        <v>106</v>
      </c>
      <c r="J1588" s="106">
        <v>214</v>
      </c>
      <c r="K1588" s="106">
        <f>214-49</f>
        <v>165</v>
      </c>
      <c r="L1588" s="106">
        <v>20</v>
      </c>
      <c r="M1588" s="106">
        <v>5</v>
      </c>
      <c r="N1588" s="106">
        <v>0</v>
      </c>
      <c r="O1588" s="106">
        <v>22</v>
      </c>
      <c r="P1588" s="106">
        <v>2</v>
      </c>
      <c r="Q1588" s="108">
        <f t="shared" si="1801"/>
        <v>0.86448598130841126</v>
      </c>
      <c r="R1588" s="109">
        <f t="shared" si="1802"/>
        <v>0</v>
      </c>
      <c r="S1588" s="109">
        <f t="shared" si="1803"/>
        <v>9.3457943925233638E-3</v>
      </c>
      <c r="T1588" s="109">
        <f t="shared" si="1804"/>
        <v>0.10280373831775701</v>
      </c>
      <c r="U1588" s="110">
        <f t="shared" si="1805"/>
        <v>0.97663551401869164</v>
      </c>
      <c r="V1588" s="136"/>
    </row>
    <row r="1589" spans="2:25" ht="15.75" hidden="1" x14ac:dyDescent="0.2">
      <c r="B1589" s="711">
        <v>46189</v>
      </c>
      <c r="C1589" s="105" t="s">
        <v>12</v>
      </c>
      <c r="D1589" s="105" t="s">
        <v>13</v>
      </c>
      <c r="E1589" s="711">
        <v>46189</v>
      </c>
      <c r="G1589" s="844"/>
      <c r="H1589" s="120" t="s">
        <v>14</v>
      </c>
      <c r="I1589" s="120" t="s">
        <v>18</v>
      </c>
      <c r="J1589" s="106">
        <v>167</v>
      </c>
      <c r="K1589" s="106">
        <f>167-66</f>
        <v>101</v>
      </c>
      <c r="L1589" s="106">
        <v>37</v>
      </c>
      <c r="M1589" s="106">
        <v>5</v>
      </c>
      <c r="N1589" s="106">
        <v>12</v>
      </c>
      <c r="O1589" s="106">
        <v>9</v>
      </c>
      <c r="P1589" s="106">
        <v>3</v>
      </c>
      <c r="Q1589" s="108">
        <f t="shared" si="1801"/>
        <v>0.82634730538922152</v>
      </c>
      <c r="R1589" s="109">
        <f t="shared" si="1802"/>
        <v>7.1856287425149698E-2</v>
      </c>
      <c r="S1589" s="109">
        <f t="shared" si="1803"/>
        <v>1.7964071856287425E-2</v>
      </c>
      <c r="T1589" s="109">
        <f t="shared" si="1804"/>
        <v>5.3892215568862277E-2</v>
      </c>
      <c r="U1589" s="110">
        <f t="shared" si="1805"/>
        <v>0.97005988023952094</v>
      </c>
      <c r="V1589" s="136"/>
    </row>
    <row r="1590" spans="2:25" ht="15.75" hidden="1" x14ac:dyDescent="0.2">
      <c r="B1590" s="711">
        <v>46189</v>
      </c>
      <c r="C1590" s="105" t="s">
        <v>12</v>
      </c>
      <c r="D1590" s="105" t="s">
        <v>13</v>
      </c>
      <c r="E1590" s="711">
        <v>46190</v>
      </c>
      <c r="G1590" s="830">
        <v>46190</v>
      </c>
      <c r="H1590" s="120" t="s">
        <v>75</v>
      </c>
      <c r="I1590" s="120" t="s">
        <v>83</v>
      </c>
      <c r="J1590" s="106">
        <v>239</v>
      </c>
      <c r="K1590" s="106">
        <v>22</v>
      </c>
      <c r="L1590" s="106">
        <v>8</v>
      </c>
      <c r="M1590" s="106">
        <v>164</v>
      </c>
      <c r="N1590" s="106">
        <v>25</v>
      </c>
      <c r="O1590" s="106">
        <v>20</v>
      </c>
      <c r="P1590" s="106">
        <v>0</v>
      </c>
      <c r="Q1590" s="108">
        <f t="shared" si="1801"/>
        <v>0.12552301255230125</v>
      </c>
      <c r="R1590" s="109">
        <f t="shared" si="1802"/>
        <v>0.10460251046025104</v>
      </c>
      <c r="S1590" s="109">
        <f t="shared" si="1803"/>
        <v>0</v>
      </c>
      <c r="T1590" s="109">
        <f t="shared" si="1804"/>
        <v>8.3682008368200833E-2</v>
      </c>
      <c r="U1590" s="110">
        <f t="shared" si="1805"/>
        <v>0.31380753138075312</v>
      </c>
      <c r="V1590" s="136"/>
    </row>
    <row r="1591" spans="2:25" ht="15.75" hidden="1" x14ac:dyDescent="0.2">
      <c r="B1591" s="711">
        <v>46189</v>
      </c>
      <c r="C1591" s="105" t="s">
        <v>12</v>
      </c>
      <c r="D1591" s="105" t="s">
        <v>13</v>
      </c>
      <c r="E1591" s="711">
        <v>46190</v>
      </c>
      <c r="G1591" s="831"/>
      <c r="H1591" s="120" t="s">
        <v>14</v>
      </c>
      <c r="I1591" s="120" t="s">
        <v>105</v>
      </c>
      <c r="J1591" s="106">
        <v>38</v>
      </c>
      <c r="K1591" s="106">
        <v>0</v>
      </c>
      <c r="L1591" s="106">
        <v>0</v>
      </c>
      <c r="M1591" s="106">
        <v>37</v>
      </c>
      <c r="N1591" s="106">
        <v>0</v>
      </c>
      <c r="O1591" s="106">
        <v>0</v>
      </c>
      <c r="P1591" s="106">
        <v>1</v>
      </c>
      <c r="Q1591" s="108">
        <f t="shared" si="1801"/>
        <v>0</v>
      </c>
      <c r="R1591" s="109">
        <f t="shared" si="1802"/>
        <v>0</v>
      </c>
      <c r="S1591" s="109">
        <f t="shared" si="1803"/>
        <v>2.6315789473684209E-2</v>
      </c>
      <c r="T1591" s="109">
        <f t="shared" si="1804"/>
        <v>0</v>
      </c>
      <c r="U1591" s="110">
        <f t="shared" si="1805"/>
        <v>2.6315789473684209E-2</v>
      </c>
      <c r="V1591" s="136"/>
    </row>
    <row r="1592" spans="2:25" ht="15.75" hidden="1" x14ac:dyDescent="0.2">
      <c r="B1592" s="711">
        <v>46189</v>
      </c>
      <c r="C1592" s="105" t="s">
        <v>12</v>
      </c>
      <c r="D1592" s="105" t="s">
        <v>13</v>
      </c>
      <c r="E1592" s="711">
        <v>46190</v>
      </c>
      <c r="G1592" s="831"/>
      <c r="H1592" s="120" t="s">
        <v>17</v>
      </c>
      <c r="I1592" s="120" t="s">
        <v>22</v>
      </c>
      <c r="J1592" s="106">
        <v>215</v>
      </c>
      <c r="K1592" s="106">
        <v>8</v>
      </c>
      <c r="L1592" s="106">
        <v>11</v>
      </c>
      <c r="M1592" s="106">
        <v>125</v>
      </c>
      <c r="N1592" s="106">
        <v>33</v>
      </c>
      <c r="O1592" s="106">
        <v>31</v>
      </c>
      <c r="P1592" s="106">
        <v>7</v>
      </c>
      <c r="Q1592" s="108">
        <f t="shared" si="1801"/>
        <v>8.8372093023255813E-2</v>
      </c>
      <c r="R1592" s="109">
        <f t="shared" si="1802"/>
        <v>0.15348837209302327</v>
      </c>
      <c r="S1592" s="109">
        <f t="shared" si="1803"/>
        <v>3.255813953488372E-2</v>
      </c>
      <c r="T1592" s="109">
        <f t="shared" si="1804"/>
        <v>0.14418604651162792</v>
      </c>
      <c r="U1592" s="110">
        <f t="shared" si="1805"/>
        <v>0.41860465116279072</v>
      </c>
      <c r="V1592" s="136"/>
    </row>
    <row r="1593" spans="2:25" ht="15.75" hidden="1" x14ac:dyDescent="0.2">
      <c r="B1593" s="711">
        <v>46189</v>
      </c>
      <c r="C1593" s="105" t="s">
        <v>12</v>
      </c>
      <c r="D1593" s="105" t="s">
        <v>13</v>
      </c>
      <c r="E1593" s="711">
        <v>46190</v>
      </c>
      <c r="G1593" s="831"/>
      <c r="H1593" s="120" t="s">
        <v>118</v>
      </c>
      <c r="I1593" s="120" t="s">
        <v>22</v>
      </c>
      <c r="J1593" s="106">
        <v>36</v>
      </c>
      <c r="K1593" s="106">
        <v>18</v>
      </c>
      <c r="L1593" s="106">
        <v>2</v>
      </c>
      <c r="M1593" s="106">
        <v>0</v>
      </c>
      <c r="N1593" s="106">
        <v>16</v>
      </c>
      <c r="O1593" s="106">
        <v>0</v>
      </c>
      <c r="P1593" s="106">
        <v>0</v>
      </c>
      <c r="Q1593" s="108">
        <f t="shared" si="1801"/>
        <v>0.55555555555555558</v>
      </c>
      <c r="R1593" s="109">
        <f t="shared" si="1802"/>
        <v>0.44444444444444442</v>
      </c>
      <c r="S1593" s="109">
        <f t="shared" si="1803"/>
        <v>0</v>
      </c>
      <c r="T1593" s="109">
        <f t="shared" si="1804"/>
        <v>0</v>
      </c>
      <c r="U1593" s="110">
        <f t="shared" si="1805"/>
        <v>1</v>
      </c>
      <c r="V1593" s="136"/>
    </row>
    <row r="1594" spans="2:25" s="97" customFormat="1" ht="16.5" hidden="1" customHeight="1" x14ac:dyDescent="0.2">
      <c r="B1594" s="711">
        <v>46189</v>
      </c>
      <c r="C1594" s="105" t="s">
        <v>12</v>
      </c>
      <c r="D1594" s="105" t="s">
        <v>13</v>
      </c>
      <c r="E1594" s="711">
        <v>46190</v>
      </c>
      <c r="F1594" s="89"/>
      <c r="G1594" s="190"/>
      <c r="H1594" s="840" t="s">
        <v>19</v>
      </c>
      <c r="I1594" s="841"/>
      <c r="J1594" s="113">
        <f>SUM(J1590:J1593)</f>
        <v>528</v>
      </c>
      <c r="K1594" s="113">
        <f t="shared" ref="K1594:P1594" si="1806">SUM(K1590:K1593)</f>
        <v>48</v>
      </c>
      <c r="L1594" s="113">
        <f t="shared" si="1806"/>
        <v>21</v>
      </c>
      <c r="M1594" s="113">
        <f t="shared" si="1806"/>
        <v>326</v>
      </c>
      <c r="N1594" s="113">
        <f t="shared" si="1806"/>
        <v>74</v>
      </c>
      <c r="O1594" s="113">
        <f t="shared" si="1806"/>
        <v>51</v>
      </c>
      <c r="P1594" s="113">
        <f t="shared" si="1806"/>
        <v>8</v>
      </c>
      <c r="Q1594" s="115">
        <f>(K1594+L1594)/J1594</f>
        <v>0.13068181818181818</v>
      </c>
      <c r="R1594" s="116">
        <f>N1594/J1594</f>
        <v>0.14015151515151514</v>
      </c>
      <c r="S1594" s="116">
        <f t="shared" si="1803"/>
        <v>1.5151515151515152E-2</v>
      </c>
      <c r="T1594" s="116">
        <f t="shared" si="1804"/>
        <v>9.6590909090909088E-2</v>
      </c>
      <c r="U1594" s="117">
        <f>S1594+R1594+Q1594+T1594</f>
        <v>0.38257575757575757</v>
      </c>
      <c r="V1594" s="127"/>
      <c r="W1594" s="88"/>
      <c r="X1594" s="88"/>
      <c r="Y1594" s="118"/>
    </row>
    <row r="1595" spans="2:25" ht="15.75" hidden="1" x14ac:dyDescent="0.2">
      <c r="B1595" s="711">
        <v>46189</v>
      </c>
      <c r="C1595" s="105" t="s">
        <v>18</v>
      </c>
      <c r="D1595" s="105" t="s">
        <v>13</v>
      </c>
      <c r="E1595" s="711">
        <v>46190</v>
      </c>
      <c r="G1595" s="833">
        <v>46190</v>
      </c>
      <c r="H1595" s="120" t="s">
        <v>75</v>
      </c>
      <c r="I1595" s="120" t="s">
        <v>83</v>
      </c>
      <c r="J1595" s="106">
        <v>239</v>
      </c>
      <c r="K1595" s="106">
        <f>J1595-L1595-M1595-N1595-O1595-P1595</f>
        <v>20</v>
      </c>
      <c r="L1595" s="106">
        <v>10</v>
      </c>
      <c r="M1595" s="106">
        <v>116</v>
      </c>
      <c r="N1595" s="106">
        <v>93</v>
      </c>
      <c r="O1595" s="106">
        <v>0</v>
      </c>
      <c r="P1595" s="106">
        <v>0</v>
      </c>
      <c r="Q1595" s="108">
        <f t="shared" ref="Q1595:Q1598" si="1807">(K1595+L1595)/J1595</f>
        <v>0.12552301255230125</v>
      </c>
      <c r="R1595" s="109">
        <f t="shared" ref="R1595:R1598" si="1808">N1595/J1595</f>
        <v>0.38912133891213391</v>
      </c>
      <c r="S1595" s="109">
        <f t="shared" ref="S1595:S1604" si="1809">P1595/J1595</f>
        <v>0</v>
      </c>
      <c r="T1595" s="109">
        <f t="shared" ref="T1595:T1604" si="1810">O1595/J1595</f>
        <v>0</v>
      </c>
      <c r="U1595" s="110">
        <f t="shared" ref="U1595:U1598" si="1811">S1595+R1595+Q1595+T1595</f>
        <v>0.51464435146443521</v>
      </c>
      <c r="V1595" s="136"/>
    </row>
    <row r="1596" spans="2:25" ht="15.75" hidden="1" x14ac:dyDescent="0.2">
      <c r="B1596" s="711">
        <v>46189</v>
      </c>
      <c r="C1596" s="105" t="s">
        <v>18</v>
      </c>
      <c r="D1596" s="105" t="s">
        <v>13</v>
      </c>
      <c r="E1596" s="711">
        <v>46190</v>
      </c>
      <c r="G1596" s="834"/>
      <c r="H1596" s="120" t="s">
        <v>14</v>
      </c>
      <c r="I1596" s="120" t="s">
        <v>105</v>
      </c>
      <c r="J1596" s="106">
        <v>80</v>
      </c>
      <c r="K1596" s="106">
        <f t="shared" ref="K1596:K1598" si="1812">J1596-L1596-M1596-N1596-O1596-P1596</f>
        <v>0</v>
      </c>
      <c r="L1596" s="106">
        <v>0</v>
      </c>
      <c r="M1596" s="106">
        <v>79</v>
      </c>
      <c r="N1596" s="106">
        <v>0</v>
      </c>
      <c r="O1596" s="106">
        <v>0</v>
      </c>
      <c r="P1596" s="106">
        <v>1</v>
      </c>
      <c r="Q1596" s="108">
        <f t="shared" si="1807"/>
        <v>0</v>
      </c>
      <c r="R1596" s="109">
        <f t="shared" si="1808"/>
        <v>0</v>
      </c>
      <c r="S1596" s="109">
        <f t="shared" si="1809"/>
        <v>1.2500000000000001E-2</v>
      </c>
      <c r="T1596" s="109">
        <f t="shared" si="1810"/>
        <v>0</v>
      </c>
      <c r="U1596" s="110">
        <f t="shared" si="1811"/>
        <v>1.2500000000000001E-2</v>
      </c>
      <c r="V1596" s="136"/>
    </row>
    <row r="1597" spans="2:25" ht="15.75" hidden="1" x14ac:dyDescent="0.2">
      <c r="B1597" s="711">
        <v>46189</v>
      </c>
      <c r="C1597" s="105" t="s">
        <v>18</v>
      </c>
      <c r="D1597" s="105" t="s">
        <v>13</v>
      </c>
      <c r="E1597" s="711">
        <v>46190</v>
      </c>
      <c r="G1597" s="834"/>
      <c r="H1597" s="120" t="s">
        <v>17</v>
      </c>
      <c r="I1597" s="120" t="s">
        <v>22</v>
      </c>
      <c r="J1597" s="106">
        <v>215</v>
      </c>
      <c r="K1597" s="106">
        <f t="shared" si="1812"/>
        <v>133</v>
      </c>
      <c r="L1597" s="106">
        <v>32</v>
      </c>
      <c r="M1597" s="106">
        <v>43</v>
      </c>
      <c r="N1597" s="106">
        <v>0</v>
      </c>
      <c r="O1597" s="106">
        <v>0</v>
      </c>
      <c r="P1597" s="106">
        <v>7</v>
      </c>
      <c r="Q1597" s="108">
        <f t="shared" si="1807"/>
        <v>0.76744186046511631</v>
      </c>
      <c r="R1597" s="109">
        <f t="shared" si="1808"/>
        <v>0</v>
      </c>
      <c r="S1597" s="109">
        <f t="shared" si="1809"/>
        <v>3.255813953488372E-2</v>
      </c>
      <c r="T1597" s="109">
        <f t="shared" si="1810"/>
        <v>0</v>
      </c>
      <c r="U1597" s="110">
        <f t="shared" si="1811"/>
        <v>0.8</v>
      </c>
      <c r="V1597" s="136"/>
    </row>
    <row r="1598" spans="2:25" ht="15.75" hidden="1" x14ac:dyDescent="0.2">
      <c r="B1598" s="711">
        <v>46189</v>
      </c>
      <c r="C1598" s="105" t="s">
        <v>18</v>
      </c>
      <c r="D1598" s="105" t="s">
        <v>13</v>
      </c>
      <c r="E1598" s="711">
        <v>46190</v>
      </c>
      <c r="G1598" s="834"/>
      <c r="H1598" s="120" t="s">
        <v>118</v>
      </c>
      <c r="I1598" s="120" t="s">
        <v>22</v>
      </c>
      <c r="J1598" s="106">
        <v>16</v>
      </c>
      <c r="K1598" s="106">
        <f t="shared" si="1812"/>
        <v>0</v>
      </c>
      <c r="L1598" s="106">
        <v>0</v>
      </c>
      <c r="M1598" s="106">
        <v>0</v>
      </c>
      <c r="N1598" s="106">
        <v>16</v>
      </c>
      <c r="O1598" s="106">
        <v>0</v>
      </c>
      <c r="P1598" s="106">
        <v>0</v>
      </c>
      <c r="Q1598" s="108">
        <f t="shared" si="1807"/>
        <v>0</v>
      </c>
      <c r="R1598" s="109">
        <f t="shared" si="1808"/>
        <v>1</v>
      </c>
      <c r="S1598" s="109">
        <f t="shared" si="1809"/>
        <v>0</v>
      </c>
      <c r="T1598" s="109">
        <f t="shared" si="1810"/>
        <v>0</v>
      </c>
      <c r="U1598" s="110">
        <f t="shared" si="1811"/>
        <v>1</v>
      </c>
      <c r="V1598" s="136"/>
    </row>
    <row r="1599" spans="2:25" ht="15.75" hidden="1" x14ac:dyDescent="0.2">
      <c r="B1599" s="711">
        <v>46189</v>
      </c>
      <c r="C1599" s="105" t="s">
        <v>18</v>
      </c>
      <c r="D1599" s="105" t="s">
        <v>13</v>
      </c>
      <c r="E1599" s="711">
        <v>46190</v>
      </c>
      <c r="G1599" s="190"/>
      <c r="H1599" s="840" t="s">
        <v>19</v>
      </c>
      <c r="I1599" s="841"/>
      <c r="J1599" s="113">
        <f>SUM(J1595:J1598)</f>
        <v>550</v>
      </c>
      <c r="K1599" s="113">
        <f t="shared" ref="K1599:P1599" si="1813">SUM(K1595:K1598)</f>
        <v>153</v>
      </c>
      <c r="L1599" s="113">
        <f t="shared" si="1813"/>
        <v>42</v>
      </c>
      <c r="M1599" s="113">
        <f t="shared" si="1813"/>
        <v>238</v>
      </c>
      <c r="N1599" s="113">
        <f t="shared" si="1813"/>
        <v>109</v>
      </c>
      <c r="O1599" s="113">
        <f t="shared" si="1813"/>
        <v>0</v>
      </c>
      <c r="P1599" s="113">
        <f t="shared" si="1813"/>
        <v>8</v>
      </c>
      <c r="Q1599" s="115">
        <f>(K1599+L1599)/J1599</f>
        <v>0.35454545454545455</v>
      </c>
      <c r="R1599" s="116">
        <f>N1599/J1599</f>
        <v>0.19818181818181818</v>
      </c>
      <c r="S1599" s="116">
        <f t="shared" si="1809"/>
        <v>1.4545454545454545E-2</v>
      </c>
      <c r="T1599" s="116">
        <f t="shared" si="1810"/>
        <v>0</v>
      </c>
      <c r="U1599" s="117">
        <f>S1599+R1599+Q1599+T1599</f>
        <v>0.56727272727272726</v>
      </c>
      <c r="V1599" s="127"/>
    </row>
    <row r="1600" spans="2:25" ht="15.75" hidden="1" x14ac:dyDescent="0.2">
      <c r="B1600" s="711">
        <v>46190</v>
      </c>
      <c r="C1600" s="105" t="s">
        <v>22</v>
      </c>
      <c r="D1600" s="105" t="s">
        <v>129</v>
      </c>
      <c r="E1600" s="711">
        <v>46190</v>
      </c>
      <c r="G1600" s="842">
        <v>46190</v>
      </c>
      <c r="H1600" s="120" t="s">
        <v>75</v>
      </c>
      <c r="I1600" s="120" t="s">
        <v>83</v>
      </c>
      <c r="J1600" s="106">
        <f>SUM(K1600:P1600)</f>
        <v>225</v>
      </c>
      <c r="K1600" s="106">
        <v>112</v>
      </c>
      <c r="L1600" s="106">
        <v>69</v>
      </c>
      <c r="M1600" s="106">
        <v>24</v>
      </c>
      <c r="N1600" s="106">
        <v>0</v>
      </c>
      <c r="O1600" s="106">
        <v>20</v>
      </c>
      <c r="P1600" s="106">
        <v>0</v>
      </c>
      <c r="Q1600" s="108">
        <f t="shared" ref="Q1600:Q1603" si="1814">(K1600+L1600)/J1600</f>
        <v>0.80444444444444441</v>
      </c>
      <c r="R1600" s="109">
        <f t="shared" ref="R1600:R1604" si="1815">N1600/J1600</f>
        <v>0</v>
      </c>
      <c r="S1600" s="109">
        <f t="shared" si="1809"/>
        <v>0</v>
      </c>
      <c r="T1600" s="109">
        <f t="shared" si="1810"/>
        <v>8.8888888888888892E-2</v>
      </c>
      <c r="U1600" s="110">
        <f t="shared" ref="U1600:U1604" si="1816">S1600+R1600+Q1600+T1600</f>
        <v>0.89333333333333331</v>
      </c>
      <c r="V1600" s="136"/>
    </row>
    <row r="1601" spans="2:25" ht="15.75" hidden="1" x14ac:dyDescent="0.2">
      <c r="B1601" s="711">
        <v>46190</v>
      </c>
      <c r="C1601" s="105" t="s">
        <v>22</v>
      </c>
      <c r="D1601" s="105" t="s">
        <v>129</v>
      </c>
      <c r="E1601" s="711">
        <v>46190</v>
      </c>
      <c r="G1601" s="843"/>
      <c r="H1601" s="120" t="s">
        <v>17</v>
      </c>
      <c r="I1601" s="120" t="s">
        <v>106</v>
      </c>
      <c r="J1601" s="106">
        <f t="shared" ref="J1601:J1602" si="1817">SUM(K1601:P1601)</f>
        <v>58</v>
      </c>
      <c r="K1601" s="106">
        <v>18</v>
      </c>
      <c r="L1601" s="106">
        <v>22</v>
      </c>
      <c r="M1601" s="106">
        <v>0</v>
      </c>
      <c r="N1601" s="106">
        <v>0</v>
      </c>
      <c r="O1601" s="106">
        <v>14</v>
      </c>
      <c r="P1601" s="106">
        <v>4</v>
      </c>
      <c r="Q1601" s="108">
        <f t="shared" si="1814"/>
        <v>0.68965517241379315</v>
      </c>
      <c r="R1601" s="109">
        <f t="shared" si="1815"/>
        <v>0</v>
      </c>
      <c r="S1601" s="109">
        <f t="shared" si="1809"/>
        <v>6.8965517241379309E-2</v>
      </c>
      <c r="T1601" s="109">
        <f t="shared" si="1810"/>
        <v>0.2413793103448276</v>
      </c>
      <c r="U1601" s="110">
        <f t="shared" si="1816"/>
        <v>1</v>
      </c>
      <c r="V1601" s="136"/>
    </row>
    <row r="1602" spans="2:25" ht="15.75" hidden="1" x14ac:dyDescent="0.2">
      <c r="B1602" s="711">
        <v>46190</v>
      </c>
      <c r="C1602" s="105" t="s">
        <v>22</v>
      </c>
      <c r="D1602" s="105" t="s">
        <v>129</v>
      </c>
      <c r="E1602" s="711">
        <v>46190</v>
      </c>
      <c r="G1602" s="844"/>
      <c r="H1602" s="120" t="s">
        <v>14</v>
      </c>
      <c r="I1602" s="120" t="s">
        <v>18</v>
      </c>
      <c r="J1602" s="106">
        <f t="shared" si="1817"/>
        <v>73</v>
      </c>
      <c r="K1602" s="106">
        <v>1</v>
      </c>
      <c r="L1602" s="106">
        <v>3</v>
      </c>
      <c r="M1602" s="106">
        <v>58</v>
      </c>
      <c r="N1602" s="106">
        <v>0</v>
      </c>
      <c r="O1602" s="106">
        <v>10</v>
      </c>
      <c r="P1602" s="106">
        <v>1</v>
      </c>
      <c r="Q1602" s="108">
        <f t="shared" si="1814"/>
        <v>5.4794520547945202E-2</v>
      </c>
      <c r="R1602" s="109">
        <f t="shared" si="1815"/>
        <v>0</v>
      </c>
      <c r="S1602" s="109">
        <f t="shared" si="1809"/>
        <v>1.3698630136986301E-2</v>
      </c>
      <c r="T1602" s="109">
        <f t="shared" si="1810"/>
        <v>0.13698630136986301</v>
      </c>
      <c r="U1602" s="110">
        <f t="shared" si="1816"/>
        <v>0.20547945205479451</v>
      </c>
      <c r="V1602" s="136"/>
    </row>
    <row r="1603" spans="2:25" ht="15.75" hidden="1" x14ac:dyDescent="0.2">
      <c r="B1603" s="711">
        <v>46190</v>
      </c>
      <c r="C1603" s="105" t="s">
        <v>22</v>
      </c>
      <c r="D1603" s="105" t="s">
        <v>129</v>
      </c>
      <c r="E1603" s="711">
        <v>46191</v>
      </c>
      <c r="G1603" s="705">
        <v>46191</v>
      </c>
      <c r="H1603" s="120" t="s">
        <v>25</v>
      </c>
      <c r="I1603" s="120" t="s">
        <v>106</v>
      </c>
      <c r="J1603" s="106">
        <v>238</v>
      </c>
      <c r="K1603" s="106">
        <v>9</v>
      </c>
      <c r="L1603" s="106">
        <v>5</v>
      </c>
      <c r="M1603" s="106">
        <v>105</v>
      </c>
      <c r="N1603" s="106">
        <v>92</v>
      </c>
      <c r="O1603" s="106">
        <v>21</v>
      </c>
      <c r="P1603" s="106">
        <v>6</v>
      </c>
      <c r="Q1603" s="108">
        <f t="shared" si="1814"/>
        <v>5.8823529411764705E-2</v>
      </c>
      <c r="R1603" s="109">
        <f t="shared" si="1815"/>
        <v>0.38655462184873951</v>
      </c>
      <c r="S1603" s="109">
        <f t="shared" si="1809"/>
        <v>2.5210084033613446E-2</v>
      </c>
      <c r="T1603" s="109">
        <f t="shared" si="1810"/>
        <v>8.8235294117647065E-2</v>
      </c>
      <c r="U1603" s="110">
        <f t="shared" si="1816"/>
        <v>0.55882352941176472</v>
      </c>
      <c r="V1603" s="136"/>
    </row>
    <row r="1604" spans="2:25" s="97" customFormat="1" ht="16.5" hidden="1" customHeight="1" x14ac:dyDescent="0.2">
      <c r="B1604" s="711">
        <v>46190</v>
      </c>
      <c r="C1604" s="105" t="s">
        <v>22</v>
      </c>
      <c r="D1604" s="105" t="s">
        <v>129</v>
      </c>
      <c r="E1604" s="711">
        <v>46190</v>
      </c>
      <c r="F1604" s="89"/>
      <c r="G1604" s="190"/>
      <c r="H1604" s="840" t="s">
        <v>19</v>
      </c>
      <c r="I1604" s="841"/>
      <c r="J1604" s="113">
        <f t="shared" ref="J1604:P1604" si="1818">SUM(J1600:J1603)</f>
        <v>594</v>
      </c>
      <c r="K1604" s="113">
        <f t="shared" si="1818"/>
        <v>140</v>
      </c>
      <c r="L1604" s="113">
        <f t="shared" si="1818"/>
        <v>99</v>
      </c>
      <c r="M1604" s="113">
        <f t="shared" si="1818"/>
        <v>187</v>
      </c>
      <c r="N1604" s="113">
        <f t="shared" si="1818"/>
        <v>92</v>
      </c>
      <c r="O1604" s="113">
        <f t="shared" si="1818"/>
        <v>65</v>
      </c>
      <c r="P1604" s="113">
        <f t="shared" si="1818"/>
        <v>11</v>
      </c>
      <c r="Q1604" s="115">
        <f>(K1604+L1604)/J1604</f>
        <v>0.40235690235690236</v>
      </c>
      <c r="R1604" s="116">
        <f t="shared" si="1815"/>
        <v>0.15488215488215487</v>
      </c>
      <c r="S1604" s="116">
        <f t="shared" si="1809"/>
        <v>1.8518518518518517E-2</v>
      </c>
      <c r="T1604" s="116">
        <f t="shared" si="1810"/>
        <v>0.10942760942760943</v>
      </c>
      <c r="U1604" s="117">
        <f t="shared" si="1816"/>
        <v>0.68518518518518512</v>
      </c>
      <c r="V1604" s="127"/>
      <c r="W1604" s="88"/>
      <c r="X1604" s="88"/>
      <c r="Y1604" s="118"/>
    </row>
    <row r="1605" spans="2:25" ht="15.75" hidden="1" x14ac:dyDescent="0.2">
      <c r="B1605" s="711">
        <v>46190</v>
      </c>
      <c r="C1605" s="105" t="s">
        <v>106</v>
      </c>
      <c r="D1605" s="105" t="s">
        <v>20</v>
      </c>
      <c r="E1605" s="711">
        <v>46190</v>
      </c>
      <c r="G1605" s="842">
        <v>46190</v>
      </c>
      <c r="H1605" s="120" t="s">
        <v>75</v>
      </c>
      <c r="I1605" s="120" t="s">
        <v>83</v>
      </c>
      <c r="J1605" s="106">
        <v>239</v>
      </c>
      <c r="K1605" s="106">
        <f>239-77</f>
        <v>162</v>
      </c>
      <c r="L1605" s="106">
        <v>55</v>
      </c>
      <c r="M1605" s="106">
        <v>2</v>
      </c>
      <c r="N1605" s="106">
        <v>0</v>
      </c>
      <c r="O1605" s="106">
        <v>20</v>
      </c>
      <c r="P1605" s="106">
        <v>0</v>
      </c>
      <c r="Q1605" s="108">
        <f t="shared" ref="Q1605:Q1608" si="1819">(K1605+L1605)/J1605</f>
        <v>0.90794979079497906</v>
      </c>
      <c r="R1605" s="109">
        <f t="shared" ref="R1605:R1609" si="1820">N1605/J1605</f>
        <v>0</v>
      </c>
      <c r="S1605" s="109">
        <f t="shared" ref="S1605:S1609" si="1821">P1605/J1605</f>
        <v>0</v>
      </c>
      <c r="T1605" s="109">
        <f t="shared" ref="T1605:T1609" si="1822">O1605/J1605</f>
        <v>8.3682008368200833E-2</v>
      </c>
      <c r="U1605" s="110">
        <f t="shared" ref="U1605:U1609" si="1823">S1605+R1605+Q1605+T1605</f>
        <v>0.99163179916317989</v>
      </c>
      <c r="V1605" s="136"/>
    </row>
    <row r="1606" spans="2:25" ht="15.75" hidden="1" x14ac:dyDescent="0.2">
      <c r="B1606" s="711">
        <v>46190</v>
      </c>
      <c r="C1606" s="105" t="s">
        <v>106</v>
      </c>
      <c r="D1606" s="105" t="s">
        <v>20</v>
      </c>
      <c r="E1606" s="711">
        <v>46190</v>
      </c>
      <c r="G1606" s="843"/>
      <c r="H1606" s="120" t="s">
        <v>14</v>
      </c>
      <c r="I1606" s="120" t="s">
        <v>105</v>
      </c>
      <c r="J1606" s="106">
        <v>44</v>
      </c>
      <c r="K1606" s="106">
        <v>4</v>
      </c>
      <c r="L1606" s="106">
        <v>2</v>
      </c>
      <c r="M1606" s="106">
        <v>10</v>
      </c>
      <c r="N1606" s="106">
        <v>23</v>
      </c>
      <c r="O1606" s="106">
        <v>4</v>
      </c>
      <c r="P1606" s="106">
        <v>1</v>
      </c>
      <c r="Q1606" s="108">
        <f t="shared" si="1819"/>
        <v>0.13636363636363635</v>
      </c>
      <c r="R1606" s="109">
        <f t="shared" si="1820"/>
        <v>0.52272727272727271</v>
      </c>
      <c r="S1606" s="109">
        <f t="shared" si="1821"/>
        <v>2.2727272727272728E-2</v>
      </c>
      <c r="T1606" s="109">
        <f t="shared" si="1822"/>
        <v>9.0909090909090912E-2</v>
      </c>
      <c r="U1606" s="110">
        <f t="shared" si="1823"/>
        <v>0.77272727272727271</v>
      </c>
      <c r="V1606" s="136"/>
    </row>
    <row r="1607" spans="2:25" ht="15.75" hidden="1" x14ac:dyDescent="0.2">
      <c r="B1607" s="711">
        <v>46190</v>
      </c>
      <c r="C1607" s="105" t="s">
        <v>106</v>
      </c>
      <c r="D1607" s="105" t="s">
        <v>20</v>
      </c>
      <c r="E1607" s="711">
        <v>46190</v>
      </c>
      <c r="G1607" s="843"/>
      <c r="H1607" s="120" t="s">
        <v>17</v>
      </c>
      <c r="I1607" s="120" t="s">
        <v>22</v>
      </c>
      <c r="J1607" s="106">
        <v>215</v>
      </c>
      <c r="K1607" s="106">
        <f>215-64</f>
        <v>151</v>
      </c>
      <c r="L1607" s="106">
        <v>35</v>
      </c>
      <c r="M1607" s="106">
        <v>10</v>
      </c>
      <c r="N1607" s="106">
        <v>0</v>
      </c>
      <c r="O1607" s="106">
        <v>18</v>
      </c>
      <c r="P1607" s="106">
        <v>1</v>
      </c>
      <c r="Q1607" s="108">
        <f t="shared" si="1819"/>
        <v>0.8651162790697674</v>
      </c>
      <c r="R1607" s="109">
        <f t="shared" si="1820"/>
        <v>0</v>
      </c>
      <c r="S1607" s="109">
        <f t="shared" si="1821"/>
        <v>4.6511627906976744E-3</v>
      </c>
      <c r="T1607" s="109">
        <f t="shared" si="1822"/>
        <v>8.3720930232558138E-2</v>
      </c>
      <c r="U1607" s="110">
        <f t="shared" si="1823"/>
        <v>0.95348837209302317</v>
      </c>
      <c r="V1607" s="136"/>
    </row>
    <row r="1608" spans="2:25" ht="15.75" hidden="1" x14ac:dyDescent="0.2">
      <c r="B1608" s="711">
        <v>46190</v>
      </c>
      <c r="C1608" s="105" t="s">
        <v>106</v>
      </c>
      <c r="D1608" s="105" t="s">
        <v>20</v>
      </c>
      <c r="E1608" s="711">
        <v>46190</v>
      </c>
      <c r="G1608" s="843"/>
      <c r="H1608" s="120" t="s">
        <v>118</v>
      </c>
      <c r="I1608" s="120" t="s">
        <v>22</v>
      </c>
      <c r="J1608" s="106">
        <v>36</v>
      </c>
      <c r="K1608" s="106">
        <v>32</v>
      </c>
      <c r="L1608" s="106">
        <v>2</v>
      </c>
      <c r="M1608" s="106">
        <v>2</v>
      </c>
      <c r="N1608" s="106">
        <v>0</v>
      </c>
      <c r="O1608" s="106">
        <v>0</v>
      </c>
      <c r="P1608" s="106">
        <v>0</v>
      </c>
      <c r="Q1608" s="108">
        <f t="shared" si="1819"/>
        <v>0.94444444444444442</v>
      </c>
      <c r="R1608" s="109">
        <f t="shared" si="1820"/>
        <v>0</v>
      </c>
      <c r="S1608" s="109">
        <f t="shared" si="1821"/>
        <v>0</v>
      </c>
      <c r="T1608" s="109">
        <f t="shared" si="1822"/>
        <v>0</v>
      </c>
      <c r="U1608" s="110">
        <f>S1608+R1608+Q1608+T1608</f>
        <v>0.94444444444444442</v>
      </c>
      <c r="V1608" s="136"/>
    </row>
    <row r="1609" spans="2:25" s="97" customFormat="1" ht="16.5" hidden="1" customHeight="1" x14ac:dyDescent="0.2">
      <c r="B1609" s="711">
        <v>46190</v>
      </c>
      <c r="C1609" s="105" t="s">
        <v>106</v>
      </c>
      <c r="D1609" s="105" t="s">
        <v>20</v>
      </c>
      <c r="E1609" s="711">
        <v>46190</v>
      </c>
      <c r="F1609" s="89"/>
      <c r="G1609" s="190"/>
      <c r="H1609" s="840" t="s">
        <v>19</v>
      </c>
      <c r="I1609" s="841"/>
      <c r="J1609" s="113">
        <f t="shared" ref="J1609" si="1824">SUM(J1605:J1608)</f>
        <v>534</v>
      </c>
      <c r="K1609" s="113">
        <f t="shared" ref="K1609" si="1825">SUM(K1605:K1608)</f>
        <v>349</v>
      </c>
      <c r="L1609" s="113">
        <f t="shared" ref="L1609" si="1826">SUM(L1605:L1608)</f>
        <v>94</v>
      </c>
      <c r="M1609" s="113">
        <f t="shared" ref="M1609" si="1827">SUM(M1605:M1608)</f>
        <v>24</v>
      </c>
      <c r="N1609" s="113">
        <f t="shared" ref="N1609" si="1828">SUM(N1605:N1608)</f>
        <v>23</v>
      </c>
      <c r="O1609" s="113">
        <f t="shared" ref="O1609" si="1829">SUM(O1605:O1608)</f>
        <v>42</v>
      </c>
      <c r="P1609" s="113">
        <f t="shared" ref="P1609" si="1830">SUM(P1605:P1608)</f>
        <v>2</v>
      </c>
      <c r="Q1609" s="115">
        <f>(K1609+L1609)/J1609</f>
        <v>0.82958801498127344</v>
      </c>
      <c r="R1609" s="116">
        <f t="shared" si="1820"/>
        <v>4.307116104868914E-2</v>
      </c>
      <c r="S1609" s="116">
        <f t="shared" si="1821"/>
        <v>3.7453183520599251E-3</v>
      </c>
      <c r="T1609" s="116">
        <f t="shared" si="1822"/>
        <v>7.8651685393258425E-2</v>
      </c>
      <c r="U1609" s="117">
        <f t="shared" si="1823"/>
        <v>0.9550561797752809</v>
      </c>
      <c r="V1609" s="127"/>
      <c r="W1609" s="88"/>
      <c r="X1609" s="88"/>
      <c r="Y1609" s="118"/>
    </row>
    <row r="1610" spans="2:25" ht="15.75" hidden="1" x14ac:dyDescent="0.2">
      <c r="B1610" s="711">
        <v>46190</v>
      </c>
      <c r="C1610" s="105" t="s">
        <v>106</v>
      </c>
      <c r="D1610" s="105" t="s">
        <v>20</v>
      </c>
      <c r="E1610" s="711">
        <v>46191</v>
      </c>
      <c r="G1610" s="845">
        <v>46191</v>
      </c>
      <c r="H1610" s="120" t="s">
        <v>75</v>
      </c>
      <c r="I1610" s="120" t="s">
        <v>83</v>
      </c>
      <c r="J1610" s="106">
        <v>227</v>
      </c>
      <c r="K1610" s="106">
        <v>0</v>
      </c>
      <c r="L1610" s="106">
        <v>0</v>
      </c>
      <c r="M1610" s="106">
        <v>204</v>
      </c>
      <c r="N1610" s="106">
        <v>0</v>
      </c>
      <c r="O1610" s="106">
        <v>20</v>
      </c>
      <c r="P1610" s="106">
        <v>3</v>
      </c>
      <c r="Q1610" s="108">
        <f t="shared" ref="Q1610:Q1613" si="1831">(K1610+L1610)/J1610</f>
        <v>0</v>
      </c>
      <c r="R1610" s="109">
        <f t="shared" ref="R1610:R1614" si="1832">N1610/J1610</f>
        <v>0</v>
      </c>
      <c r="S1610" s="109">
        <f t="shared" ref="S1610:S1614" si="1833">P1610/J1610</f>
        <v>1.3215859030837005E-2</v>
      </c>
      <c r="T1610" s="109">
        <f t="shared" ref="T1610:T1614" si="1834">O1610/J1610</f>
        <v>8.8105726872246701E-2</v>
      </c>
      <c r="U1610" s="110">
        <f t="shared" ref="U1610:U1614" si="1835">S1610+R1610+Q1610+T1610</f>
        <v>0.10132158590308371</v>
      </c>
      <c r="V1610" s="136"/>
    </row>
    <row r="1611" spans="2:25" ht="15.75" hidden="1" x14ac:dyDescent="0.2">
      <c r="B1611" s="711">
        <v>46190</v>
      </c>
      <c r="C1611" s="105" t="s">
        <v>106</v>
      </c>
      <c r="D1611" s="105" t="s">
        <v>20</v>
      </c>
      <c r="E1611" s="711">
        <v>46191</v>
      </c>
      <c r="G1611" s="846"/>
      <c r="H1611" s="120" t="s">
        <v>14</v>
      </c>
      <c r="I1611" s="120" t="s">
        <v>105</v>
      </c>
      <c r="J1611" s="106">
        <v>192</v>
      </c>
      <c r="K1611" s="106">
        <v>0</v>
      </c>
      <c r="L1611" s="106">
        <v>0</v>
      </c>
      <c r="M1611" s="106">
        <f>J1611-O1611</f>
        <v>179</v>
      </c>
      <c r="N1611" s="106">
        <v>0</v>
      </c>
      <c r="O1611" s="106">
        <v>13</v>
      </c>
      <c r="P1611" s="106">
        <v>0</v>
      </c>
      <c r="Q1611" s="108">
        <f t="shared" si="1831"/>
        <v>0</v>
      </c>
      <c r="R1611" s="109">
        <f t="shared" si="1832"/>
        <v>0</v>
      </c>
      <c r="S1611" s="109">
        <f t="shared" si="1833"/>
        <v>0</v>
      </c>
      <c r="T1611" s="109">
        <f t="shared" si="1834"/>
        <v>6.7708333333333329E-2</v>
      </c>
      <c r="U1611" s="110">
        <f t="shared" si="1835"/>
        <v>6.7708333333333329E-2</v>
      </c>
      <c r="V1611" s="136"/>
    </row>
    <row r="1612" spans="2:25" ht="15.75" hidden="1" x14ac:dyDescent="0.2">
      <c r="B1612" s="711">
        <v>46190</v>
      </c>
      <c r="C1612" s="105" t="s">
        <v>106</v>
      </c>
      <c r="D1612" s="105" t="s">
        <v>20</v>
      </c>
      <c r="E1612" s="711">
        <v>46191</v>
      </c>
      <c r="G1612" s="846"/>
      <c r="H1612" s="120" t="s">
        <v>25</v>
      </c>
      <c r="I1612" s="120" t="s">
        <v>106</v>
      </c>
      <c r="J1612" s="106">
        <v>229</v>
      </c>
      <c r="K1612" s="106">
        <v>0</v>
      </c>
      <c r="L1612" s="106">
        <v>5</v>
      </c>
      <c r="M1612" s="106">
        <v>95</v>
      </c>
      <c r="N1612" s="106">
        <v>102</v>
      </c>
      <c r="O1612" s="106">
        <v>21</v>
      </c>
      <c r="P1612" s="106">
        <v>6</v>
      </c>
      <c r="Q1612" s="108">
        <f t="shared" si="1831"/>
        <v>2.1834061135371178E-2</v>
      </c>
      <c r="R1612" s="109">
        <f t="shared" si="1832"/>
        <v>0.44541484716157204</v>
      </c>
      <c r="S1612" s="109">
        <f t="shared" si="1833"/>
        <v>2.6200873362445413E-2</v>
      </c>
      <c r="T1612" s="109">
        <f t="shared" si="1834"/>
        <v>9.1703056768558958E-2</v>
      </c>
      <c r="U1612" s="110">
        <f t="shared" si="1835"/>
        <v>0.58515283842794763</v>
      </c>
      <c r="V1612" s="136"/>
    </row>
    <row r="1613" spans="2:25" ht="15.75" hidden="1" x14ac:dyDescent="0.2">
      <c r="B1613" s="711">
        <v>46190</v>
      </c>
      <c r="C1613" s="105" t="s">
        <v>106</v>
      </c>
      <c r="D1613" s="105" t="s">
        <v>20</v>
      </c>
      <c r="E1613" s="711">
        <v>46191</v>
      </c>
      <c r="G1613" s="846"/>
      <c r="H1613" s="120" t="s">
        <v>118</v>
      </c>
      <c r="I1613" s="120" t="s">
        <v>22</v>
      </c>
      <c r="J1613" s="106">
        <v>26</v>
      </c>
      <c r="K1613" s="106">
        <v>0</v>
      </c>
      <c r="L1613" s="106">
        <v>0</v>
      </c>
      <c r="M1613" s="106">
        <v>19</v>
      </c>
      <c r="N1613" s="106">
        <v>7</v>
      </c>
      <c r="O1613" s="106">
        <v>0</v>
      </c>
      <c r="P1613" s="106">
        <v>0</v>
      </c>
      <c r="Q1613" s="108">
        <f t="shared" si="1831"/>
        <v>0</v>
      </c>
      <c r="R1613" s="109">
        <f t="shared" si="1832"/>
        <v>0.26923076923076922</v>
      </c>
      <c r="S1613" s="109">
        <f t="shared" si="1833"/>
        <v>0</v>
      </c>
      <c r="T1613" s="109">
        <f t="shared" si="1834"/>
        <v>0</v>
      </c>
      <c r="U1613" s="110">
        <f t="shared" si="1835"/>
        <v>0.26923076923076922</v>
      </c>
      <c r="V1613" s="136"/>
    </row>
    <row r="1614" spans="2:25" s="97" customFormat="1" ht="16.5" hidden="1" customHeight="1" x14ac:dyDescent="0.2">
      <c r="B1614" s="711">
        <v>46190</v>
      </c>
      <c r="C1614" s="105" t="s">
        <v>106</v>
      </c>
      <c r="D1614" s="105" t="s">
        <v>20</v>
      </c>
      <c r="E1614" s="711">
        <v>46191</v>
      </c>
      <c r="F1614" s="89"/>
      <c r="G1614" s="190"/>
      <c r="H1614" s="840" t="s">
        <v>19</v>
      </c>
      <c r="I1614" s="841"/>
      <c r="J1614" s="113">
        <f>SUM(J1610:J1613)</f>
        <v>674</v>
      </c>
      <c r="K1614" s="113">
        <f t="shared" ref="K1614" si="1836">SUM(K1610:K1613)</f>
        <v>0</v>
      </c>
      <c r="L1614" s="113">
        <f t="shared" ref="L1614" si="1837">SUM(L1610:L1613)</f>
        <v>5</v>
      </c>
      <c r="M1614" s="113">
        <f t="shared" ref="M1614" si="1838">SUM(M1610:M1613)</f>
        <v>497</v>
      </c>
      <c r="N1614" s="113">
        <f t="shared" ref="N1614" si="1839">SUM(N1610:N1613)</f>
        <v>109</v>
      </c>
      <c r="O1614" s="113">
        <f t="shared" ref="O1614" si="1840">SUM(O1610:O1613)</f>
        <v>54</v>
      </c>
      <c r="P1614" s="113">
        <f t="shared" ref="P1614" si="1841">SUM(P1610:P1613)</f>
        <v>9</v>
      </c>
      <c r="Q1614" s="115">
        <f>(K1614+L1614)/J1614</f>
        <v>7.4183976261127599E-3</v>
      </c>
      <c r="R1614" s="116">
        <f t="shared" si="1832"/>
        <v>0.16172106824925817</v>
      </c>
      <c r="S1614" s="116">
        <f t="shared" si="1833"/>
        <v>1.3353115727002967E-2</v>
      </c>
      <c r="T1614" s="116">
        <f t="shared" si="1834"/>
        <v>8.0118694362017809E-2</v>
      </c>
      <c r="U1614" s="117">
        <f t="shared" si="1835"/>
        <v>0.26261127596439171</v>
      </c>
      <c r="V1614" s="127"/>
      <c r="W1614" s="88"/>
      <c r="X1614" s="88"/>
      <c r="Y1614" s="118"/>
    </row>
    <row r="1615" spans="2:25" ht="15.75" hidden="1" x14ac:dyDescent="0.2">
      <c r="B1615" s="711">
        <v>46190</v>
      </c>
      <c r="C1615" s="105" t="s">
        <v>18</v>
      </c>
      <c r="D1615" s="105" t="s">
        <v>13</v>
      </c>
      <c r="E1615" s="711">
        <v>46191</v>
      </c>
      <c r="G1615" s="845">
        <v>46191</v>
      </c>
      <c r="H1615" s="120" t="s">
        <v>75</v>
      </c>
      <c r="I1615" s="120" t="s">
        <v>83</v>
      </c>
      <c r="J1615" s="106">
        <v>227</v>
      </c>
      <c r="K1615" s="106">
        <f>J1615-L1615-M1615-N1615-O1615-P1615</f>
        <v>76</v>
      </c>
      <c r="L1615" s="106">
        <v>51</v>
      </c>
      <c r="M1615" s="106">
        <v>97</v>
      </c>
      <c r="N1615" s="106">
        <v>0</v>
      </c>
      <c r="O1615" s="106">
        <v>0</v>
      </c>
      <c r="P1615" s="106">
        <v>3</v>
      </c>
      <c r="Q1615" s="108">
        <f t="shared" ref="Q1615:Q1618" si="1842">(K1615+L1615)/J1615</f>
        <v>0.55947136563876654</v>
      </c>
      <c r="R1615" s="109">
        <f t="shared" ref="R1615:R1624" si="1843">N1615/J1615</f>
        <v>0</v>
      </c>
      <c r="S1615" s="109">
        <f t="shared" ref="S1615:S1624" si="1844">P1615/J1615</f>
        <v>1.3215859030837005E-2</v>
      </c>
      <c r="T1615" s="109">
        <f t="shared" ref="T1615:T1624" si="1845">O1615/J1615</f>
        <v>0</v>
      </c>
      <c r="U1615" s="110">
        <f t="shared" ref="U1615:U1622" si="1846">S1615+R1615+Q1615+T1615</f>
        <v>0.57268722466960353</v>
      </c>
      <c r="V1615" s="136"/>
    </row>
    <row r="1616" spans="2:25" ht="15.75" hidden="1" x14ac:dyDescent="0.2">
      <c r="B1616" s="711">
        <v>46190</v>
      </c>
      <c r="C1616" s="105" t="s">
        <v>18</v>
      </c>
      <c r="D1616" s="105" t="s">
        <v>13</v>
      </c>
      <c r="E1616" s="711">
        <v>46191</v>
      </c>
      <c r="G1616" s="846"/>
      <c r="H1616" s="120" t="s">
        <v>14</v>
      </c>
      <c r="I1616" s="120" t="s">
        <v>105</v>
      </c>
      <c r="J1616" s="106">
        <v>192</v>
      </c>
      <c r="K1616" s="106">
        <f t="shared" ref="K1616:K1618" si="1847">J1616-L1616-M1616-N1616-O1616-P1616</f>
        <v>3</v>
      </c>
      <c r="L1616" s="106">
        <v>5</v>
      </c>
      <c r="M1616" s="106">
        <v>181</v>
      </c>
      <c r="N1616" s="106">
        <v>0</v>
      </c>
      <c r="O1616" s="106">
        <v>0</v>
      </c>
      <c r="P1616" s="106">
        <v>3</v>
      </c>
      <c r="Q1616" s="108">
        <f t="shared" si="1842"/>
        <v>4.1666666666666664E-2</v>
      </c>
      <c r="R1616" s="109">
        <f t="shared" si="1843"/>
        <v>0</v>
      </c>
      <c r="S1616" s="109">
        <f t="shared" si="1844"/>
        <v>1.5625E-2</v>
      </c>
      <c r="T1616" s="109">
        <f t="shared" si="1845"/>
        <v>0</v>
      </c>
      <c r="U1616" s="110">
        <f t="shared" si="1846"/>
        <v>5.7291666666666664E-2</v>
      </c>
      <c r="V1616" s="136"/>
    </row>
    <row r="1617" spans="2:25" ht="15.75" hidden="1" x14ac:dyDescent="0.2">
      <c r="B1617" s="711">
        <v>46190</v>
      </c>
      <c r="C1617" s="105" t="s">
        <v>18</v>
      </c>
      <c r="D1617" s="105" t="s">
        <v>13</v>
      </c>
      <c r="E1617" s="711">
        <v>46191</v>
      </c>
      <c r="G1617" s="846"/>
      <c r="H1617" s="120" t="s">
        <v>25</v>
      </c>
      <c r="I1617" s="120" t="s">
        <v>106</v>
      </c>
      <c r="J1617" s="106">
        <v>229</v>
      </c>
      <c r="K1617" s="106">
        <f t="shared" si="1847"/>
        <v>150</v>
      </c>
      <c r="L1617" s="106">
        <v>43</v>
      </c>
      <c r="M1617" s="106">
        <v>30</v>
      </c>
      <c r="N1617" s="106">
        <v>0</v>
      </c>
      <c r="O1617" s="106">
        <v>0</v>
      </c>
      <c r="P1617" s="106">
        <v>6</v>
      </c>
      <c r="Q1617" s="108">
        <f t="shared" si="1842"/>
        <v>0.84279475982532748</v>
      </c>
      <c r="R1617" s="109">
        <f t="shared" si="1843"/>
        <v>0</v>
      </c>
      <c r="S1617" s="109">
        <f t="shared" si="1844"/>
        <v>2.6200873362445413E-2</v>
      </c>
      <c r="T1617" s="109">
        <f t="shared" si="1845"/>
        <v>0</v>
      </c>
      <c r="U1617" s="110">
        <f t="shared" si="1846"/>
        <v>0.86899563318777284</v>
      </c>
      <c r="V1617" s="136"/>
    </row>
    <row r="1618" spans="2:25" ht="15.75" hidden="1" x14ac:dyDescent="0.2">
      <c r="B1618" s="711">
        <v>46190</v>
      </c>
      <c r="C1618" s="105" t="s">
        <v>18</v>
      </c>
      <c r="D1618" s="105" t="s">
        <v>13</v>
      </c>
      <c r="E1618" s="711">
        <v>46191</v>
      </c>
      <c r="G1618" s="846"/>
      <c r="H1618" s="120" t="s">
        <v>118</v>
      </c>
      <c r="I1618" s="120" t="s">
        <v>22</v>
      </c>
      <c r="J1618" s="106">
        <v>25</v>
      </c>
      <c r="K1618" s="106">
        <f t="shared" si="1847"/>
        <v>0</v>
      </c>
      <c r="L1618" s="106">
        <v>0</v>
      </c>
      <c r="M1618" s="106">
        <v>18</v>
      </c>
      <c r="N1618" s="106">
        <v>7</v>
      </c>
      <c r="O1618" s="106">
        <v>0</v>
      </c>
      <c r="P1618" s="106">
        <v>0</v>
      </c>
      <c r="Q1618" s="108">
        <f t="shared" si="1842"/>
        <v>0</v>
      </c>
      <c r="R1618" s="109">
        <f t="shared" si="1843"/>
        <v>0.28000000000000003</v>
      </c>
      <c r="S1618" s="109">
        <f t="shared" si="1844"/>
        <v>0</v>
      </c>
      <c r="T1618" s="109">
        <f t="shared" si="1845"/>
        <v>0</v>
      </c>
      <c r="U1618" s="110">
        <f t="shared" si="1846"/>
        <v>0.28000000000000003</v>
      </c>
      <c r="V1618" s="136"/>
    </row>
    <row r="1619" spans="2:25" ht="15.75" hidden="1" x14ac:dyDescent="0.2">
      <c r="B1619" s="711">
        <v>46190</v>
      </c>
      <c r="C1619" s="105" t="s">
        <v>18</v>
      </c>
      <c r="D1619" s="105" t="s">
        <v>13</v>
      </c>
      <c r="E1619" s="711">
        <v>46191</v>
      </c>
      <c r="G1619" s="190"/>
      <c r="H1619" s="840" t="s">
        <v>19</v>
      </c>
      <c r="I1619" s="841"/>
      <c r="J1619" s="113">
        <f>SUM(J1615:J1618)</f>
        <v>673</v>
      </c>
      <c r="K1619" s="113">
        <f t="shared" ref="K1619:P1619" si="1848">SUM(K1615:K1618)</f>
        <v>229</v>
      </c>
      <c r="L1619" s="113">
        <f t="shared" si="1848"/>
        <v>99</v>
      </c>
      <c r="M1619" s="113">
        <f t="shared" si="1848"/>
        <v>326</v>
      </c>
      <c r="N1619" s="113">
        <f t="shared" si="1848"/>
        <v>7</v>
      </c>
      <c r="O1619" s="113">
        <f t="shared" si="1848"/>
        <v>0</v>
      </c>
      <c r="P1619" s="113">
        <f t="shared" si="1848"/>
        <v>12</v>
      </c>
      <c r="Q1619" s="115">
        <f>(K1619+L1619)/J1619</f>
        <v>0.48736998514115898</v>
      </c>
      <c r="R1619" s="116">
        <f t="shared" si="1843"/>
        <v>1.0401188707280832E-2</v>
      </c>
      <c r="S1619" s="116">
        <f t="shared" si="1844"/>
        <v>1.7830609212481426E-2</v>
      </c>
      <c r="T1619" s="116">
        <f t="shared" si="1845"/>
        <v>0</v>
      </c>
      <c r="U1619" s="117">
        <f t="shared" si="1846"/>
        <v>0.51560178306092119</v>
      </c>
      <c r="V1619" s="127"/>
    </row>
    <row r="1620" spans="2:25" ht="15.75" hidden="1" x14ac:dyDescent="0.2">
      <c r="B1620" s="711">
        <v>46191</v>
      </c>
      <c r="C1620" s="105" t="s">
        <v>22</v>
      </c>
      <c r="D1620" s="105" t="s">
        <v>129</v>
      </c>
      <c r="E1620" s="711">
        <v>46191</v>
      </c>
      <c r="G1620" s="842">
        <v>46191</v>
      </c>
      <c r="H1620" s="120" t="s">
        <v>75</v>
      </c>
      <c r="I1620" s="120" t="s">
        <v>83</v>
      </c>
      <c r="J1620" s="106">
        <f>SUM(K1620:P1620)</f>
        <v>101</v>
      </c>
      <c r="K1620" s="106">
        <v>58</v>
      </c>
      <c r="L1620" s="106">
        <v>31</v>
      </c>
      <c r="M1620" s="106">
        <v>0</v>
      </c>
      <c r="N1620" s="106">
        <v>0</v>
      </c>
      <c r="O1620" s="106">
        <v>9</v>
      </c>
      <c r="P1620" s="106">
        <v>3</v>
      </c>
      <c r="Q1620" s="108">
        <f t="shared" ref="Q1620:Q1622" si="1849">(K1620+L1620)/J1620</f>
        <v>0.88118811881188119</v>
      </c>
      <c r="R1620" s="109">
        <f t="shared" si="1843"/>
        <v>0</v>
      </c>
      <c r="S1620" s="109">
        <f t="shared" si="1844"/>
        <v>2.9702970297029702E-2</v>
      </c>
      <c r="T1620" s="109">
        <f t="shared" si="1845"/>
        <v>8.9108910891089105E-2</v>
      </c>
      <c r="U1620" s="110">
        <f t="shared" si="1846"/>
        <v>1</v>
      </c>
      <c r="V1620" s="136"/>
    </row>
    <row r="1621" spans="2:25" ht="15.75" hidden="1" x14ac:dyDescent="0.2">
      <c r="B1621" s="711">
        <v>46191</v>
      </c>
      <c r="C1621" s="105" t="s">
        <v>22</v>
      </c>
      <c r="D1621" s="105" t="s">
        <v>129</v>
      </c>
      <c r="E1621" s="711">
        <v>46191</v>
      </c>
      <c r="G1621" s="843"/>
      <c r="H1621" s="120" t="s">
        <v>25</v>
      </c>
      <c r="I1621" s="120" t="s">
        <v>106</v>
      </c>
      <c r="J1621" s="106">
        <f>SUM(K1621:P1621)</f>
        <v>48</v>
      </c>
      <c r="K1621" s="106">
        <v>20</v>
      </c>
      <c r="L1621" s="106">
        <v>9</v>
      </c>
      <c r="M1621" s="106">
        <v>0</v>
      </c>
      <c r="N1621" s="106">
        <v>0</v>
      </c>
      <c r="O1621" s="106">
        <v>15</v>
      </c>
      <c r="P1621" s="106">
        <v>4</v>
      </c>
      <c r="Q1621" s="108">
        <f t="shared" si="1849"/>
        <v>0.60416666666666663</v>
      </c>
      <c r="R1621" s="109">
        <f t="shared" si="1843"/>
        <v>0</v>
      </c>
      <c r="S1621" s="109">
        <f t="shared" si="1844"/>
        <v>8.3333333333333329E-2</v>
      </c>
      <c r="T1621" s="109">
        <f t="shared" si="1845"/>
        <v>0.3125</v>
      </c>
      <c r="U1621" s="110">
        <f t="shared" si="1846"/>
        <v>1</v>
      </c>
      <c r="V1621" s="136"/>
    </row>
    <row r="1622" spans="2:25" ht="15.75" hidden="1" x14ac:dyDescent="0.2">
      <c r="B1622" s="711">
        <v>46191</v>
      </c>
      <c r="C1622" s="105" t="s">
        <v>22</v>
      </c>
      <c r="D1622" s="105" t="s">
        <v>129</v>
      </c>
      <c r="E1622" s="711">
        <v>46191</v>
      </c>
      <c r="G1622" s="843"/>
      <c r="H1622" s="120" t="s">
        <v>14</v>
      </c>
      <c r="I1622" s="120" t="s">
        <v>105</v>
      </c>
      <c r="J1622" s="106">
        <v>181</v>
      </c>
      <c r="K1622" s="106">
        <v>13</v>
      </c>
      <c r="L1622" s="106">
        <v>5</v>
      </c>
      <c r="M1622" s="106">
        <v>53</v>
      </c>
      <c r="N1622" s="106">
        <v>83</v>
      </c>
      <c r="O1622" s="106">
        <v>10</v>
      </c>
      <c r="P1622" s="106">
        <v>3</v>
      </c>
      <c r="Q1622" s="108">
        <f t="shared" si="1849"/>
        <v>9.9447513812154692E-2</v>
      </c>
      <c r="R1622" s="109">
        <f t="shared" si="1843"/>
        <v>0.4585635359116022</v>
      </c>
      <c r="S1622" s="109">
        <f t="shared" si="1844"/>
        <v>1.6574585635359115E-2</v>
      </c>
      <c r="T1622" s="109">
        <f t="shared" si="1845"/>
        <v>5.5248618784530384E-2</v>
      </c>
      <c r="U1622" s="110">
        <f t="shared" si="1846"/>
        <v>0.62983425414364635</v>
      </c>
      <c r="V1622" s="136"/>
    </row>
    <row r="1623" spans="2:25" ht="15.75" hidden="1" x14ac:dyDescent="0.2">
      <c r="B1623" s="711">
        <v>46191</v>
      </c>
      <c r="C1623" s="105" t="s">
        <v>22</v>
      </c>
      <c r="D1623" s="105" t="s">
        <v>129</v>
      </c>
      <c r="E1623" s="711">
        <v>46191</v>
      </c>
      <c r="G1623" s="844"/>
      <c r="H1623" s="120" t="s">
        <v>118</v>
      </c>
      <c r="I1623" s="120" t="s">
        <v>22</v>
      </c>
      <c r="J1623" s="106">
        <f>25+38</f>
        <v>63</v>
      </c>
      <c r="K1623" s="106">
        <v>3</v>
      </c>
      <c r="L1623" s="106">
        <v>4</v>
      </c>
      <c r="M1623" s="106">
        <v>7</v>
      </c>
      <c r="N1623" s="106">
        <f>25+26</f>
        <v>51</v>
      </c>
      <c r="O1623" s="106">
        <v>0</v>
      </c>
      <c r="P1623" s="106">
        <v>5</v>
      </c>
      <c r="Q1623" s="108">
        <f t="shared" ref="Q1623" si="1850">(K1623+L1623)/J1623</f>
        <v>0.1111111111111111</v>
      </c>
      <c r="R1623" s="109">
        <f t="shared" ref="R1623" si="1851">N1623/J1623</f>
        <v>0.80952380952380953</v>
      </c>
      <c r="S1623" s="109">
        <f t="shared" ref="S1623" si="1852">P1623/J1623</f>
        <v>7.9365079365079361E-2</v>
      </c>
      <c r="T1623" s="109">
        <f t="shared" ref="T1623" si="1853">O1623/J1623</f>
        <v>0</v>
      </c>
      <c r="U1623" s="110">
        <f t="shared" ref="U1623" si="1854">S1623+R1623+Q1623+T1623</f>
        <v>1</v>
      </c>
      <c r="V1623" s="136"/>
    </row>
    <row r="1624" spans="2:25" s="97" customFormat="1" ht="16.5" hidden="1" customHeight="1" x14ac:dyDescent="0.2">
      <c r="B1624" s="711">
        <v>46191</v>
      </c>
      <c r="C1624" s="105" t="s">
        <v>22</v>
      </c>
      <c r="D1624" s="105" t="s">
        <v>129</v>
      </c>
      <c r="E1624" s="711">
        <v>46191</v>
      </c>
      <c r="F1624" s="89"/>
      <c r="G1624" s="190"/>
      <c r="H1624" s="840" t="s">
        <v>19</v>
      </c>
      <c r="I1624" s="841"/>
      <c r="J1624" s="113">
        <f t="shared" ref="J1624:P1624" si="1855">SUM(J1620:J1623)</f>
        <v>393</v>
      </c>
      <c r="K1624" s="113">
        <f t="shared" si="1855"/>
        <v>94</v>
      </c>
      <c r="L1624" s="113">
        <f t="shared" si="1855"/>
        <v>49</v>
      </c>
      <c r="M1624" s="113">
        <f t="shared" si="1855"/>
        <v>60</v>
      </c>
      <c r="N1624" s="113">
        <f t="shared" si="1855"/>
        <v>134</v>
      </c>
      <c r="O1624" s="113">
        <f t="shared" si="1855"/>
        <v>34</v>
      </c>
      <c r="P1624" s="113">
        <f t="shared" si="1855"/>
        <v>15</v>
      </c>
      <c r="Q1624" s="115">
        <f>(K1624+L1624)/J1624</f>
        <v>0.36386768447837148</v>
      </c>
      <c r="R1624" s="116">
        <f t="shared" si="1843"/>
        <v>0.34096692111959287</v>
      </c>
      <c r="S1624" s="116">
        <f t="shared" si="1844"/>
        <v>3.8167938931297711E-2</v>
      </c>
      <c r="T1624" s="116">
        <f t="shared" si="1845"/>
        <v>8.6513994910941472E-2</v>
      </c>
      <c r="U1624" s="117">
        <f t="shared" ref="U1624:U1628" si="1856">S1624+R1624+Q1624+T1624</f>
        <v>0.82951653944020354</v>
      </c>
      <c r="V1624" s="127"/>
      <c r="W1624" s="88"/>
      <c r="X1624" s="88"/>
      <c r="Y1624" s="118"/>
    </row>
    <row r="1625" spans="2:25" ht="15.75" hidden="1" x14ac:dyDescent="0.2">
      <c r="B1625" s="711">
        <v>46191</v>
      </c>
      <c r="C1625" s="105" t="s">
        <v>106</v>
      </c>
      <c r="D1625" s="105" t="s">
        <v>129</v>
      </c>
      <c r="E1625" s="711">
        <v>46191</v>
      </c>
      <c r="G1625" s="842">
        <v>46191</v>
      </c>
      <c r="H1625" s="120" t="s">
        <v>75</v>
      </c>
      <c r="I1625" s="120" t="s">
        <v>83</v>
      </c>
      <c r="J1625" s="106">
        <v>227</v>
      </c>
      <c r="K1625" s="106">
        <f>227-79</f>
        <v>148</v>
      </c>
      <c r="L1625" s="106">
        <v>52</v>
      </c>
      <c r="M1625" s="106">
        <v>4</v>
      </c>
      <c r="N1625" s="106">
        <v>0</v>
      </c>
      <c r="O1625" s="106">
        <v>20</v>
      </c>
      <c r="P1625" s="106">
        <v>3</v>
      </c>
      <c r="Q1625" s="108">
        <f t="shared" ref="Q1625:Q1628" si="1857">(K1625+L1625)/J1625</f>
        <v>0.88105726872246692</v>
      </c>
      <c r="R1625" s="109">
        <f t="shared" ref="R1625:R1629" si="1858">N1625/J1625</f>
        <v>0</v>
      </c>
      <c r="S1625" s="109">
        <f t="shared" ref="S1625:S1629" si="1859">P1625/J1625</f>
        <v>1.3215859030837005E-2</v>
      </c>
      <c r="T1625" s="109">
        <f t="shared" ref="T1625:T1629" si="1860">O1625/J1625</f>
        <v>8.8105726872246701E-2</v>
      </c>
      <c r="U1625" s="110">
        <f t="shared" si="1856"/>
        <v>0.98237885462555063</v>
      </c>
      <c r="V1625" s="136"/>
    </row>
    <row r="1626" spans="2:25" ht="15.75" hidden="1" x14ac:dyDescent="0.2">
      <c r="B1626" s="711">
        <v>46191</v>
      </c>
      <c r="C1626" s="105" t="s">
        <v>106</v>
      </c>
      <c r="D1626" s="105" t="s">
        <v>129</v>
      </c>
      <c r="E1626" s="711">
        <v>46191</v>
      </c>
      <c r="G1626" s="843"/>
      <c r="H1626" s="120" t="s">
        <v>14</v>
      </c>
      <c r="I1626" s="120" t="s">
        <v>105</v>
      </c>
      <c r="J1626" s="106">
        <v>192</v>
      </c>
      <c r="K1626" s="106">
        <f>192-96</f>
        <v>96</v>
      </c>
      <c r="L1626" s="106">
        <v>24</v>
      </c>
      <c r="M1626" s="106">
        <v>8</v>
      </c>
      <c r="N1626" s="106">
        <v>56</v>
      </c>
      <c r="O1626" s="106">
        <v>6</v>
      </c>
      <c r="P1626" s="106">
        <v>2</v>
      </c>
      <c r="Q1626" s="108">
        <f t="shared" si="1857"/>
        <v>0.625</v>
      </c>
      <c r="R1626" s="109">
        <f t="shared" si="1858"/>
        <v>0.29166666666666669</v>
      </c>
      <c r="S1626" s="109">
        <f t="shared" si="1859"/>
        <v>1.0416666666666666E-2</v>
      </c>
      <c r="T1626" s="109">
        <f t="shared" si="1860"/>
        <v>3.125E-2</v>
      </c>
      <c r="U1626" s="110">
        <f t="shared" si="1856"/>
        <v>0.95833333333333337</v>
      </c>
      <c r="V1626" s="136"/>
    </row>
    <row r="1627" spans="2:25" ht="15.75" hidden="1" x14ac:dyDescent="0.2">
      <c r="B1627" s="711">
        <v>46191</v>
      </c>
      <c r="C1627" s="105" t="s">
        <v>106</v>
      </c>
      <c r="D1627" s="105" t="s">
        <v>129</v>
      </c>
      <c r="E1627" s="711">
        <v>46191</v>
      </c>
      <c r="G1627" s="843"/>
      <c r="H1627" s="120" t="s">
        <v>25</v>
      </c>
      <c r="I1627" s="120" t="s">
        <v>106</v>
      </c>
      <c r="J1627" s="106">
        <v>229</v>
      </c>
      <c r="K1627" s="106">
        <f>229-64</f>
        <v>165</v>
      </c>
      <c r="L1627" s="106">
        <v>40</v>
      </c>
      <c r="M1627" s="106">
        <v>5</v>
      </c>
      <c r="N1627" s="106">
        <v>0</v>
      </c>
      <c r="O1627" s="106">
        <v>15</v>
      </c>
      <c r="P1627" s="106">
        <v>4</v>
      </c>
      <c r="Q1627" s="108">
        <f t="shared" si="1857"/>
        <v>0.89519650655021832</v>
      </c>
      <c r="R1627" s="109">
        <f t="shared" si="1858"/>
        <v>0</v>
      </c>
      <c r="S1627" s="109">
        <f t="shared" si="1859"/>
        <v>1.7467248908296942E-2</v>
      </c>
      <c r="T1627" s="109">
        <f t="shared" si="1860"/>
        <v>6.5502183406113537E-2</v>
      </c>
      <c r="U1627" s="110">
        <f t="shared" si="1856"/>
        <v>0.97816593886462888</v>
      </c>
      <c r="V1627" s="136"/>
    </row>
    <row r="1628" spans="2:25" ht="15.75" hidden="1" x14ac:dyDescent="0.2">
      <c r="B1628" s="711">
        <v>46191</v>
      </c>
      <c r="C1628" s="105" t="s">
        <v>106</v>
      </c>
      <c r="D1628" s="105" t="s">
        <v>129</v>
      </c>
      <c r="E1628" s="711">
        <v>46191</v>
      </c>
      <c r="G1628" s="844"/>
      <c r="H1628" s="120" t="s">
        <v>118</v>
      </c>
      <c r="I1628" s="120" t="s">
        <v>22</v>
      </c>
      <c r="J1628" s="106">
        <v>26</v>
      </c>
      <c r="K1628" s="106">
        <v>0</v>
      </c>
      <c r="L1628" s="106">
        <v>1</v>
      </c>
      <c r="M1628" s="106">
        <v>0</v>
      </c>
      <c r="N1628" s="106">
        <v>25</v>
      </c>
      <c r="O1628" s="106">
        <v>0</v>
      </c>
      <c r="P1628" s="106">
        <v>0</v>
      </c>
      <c r="Q1628" s="108">
        <f t="shared" si="1857"/>
        <v>3.8461538461538464E-2</v>
      </c>
      <c r="R1628" s="109">
        <f t="shared" si="1858"/>
        <v>0.96153846153846156</v>
      </c>
      <c r="S1628" s="109">
        <f t="shared" si="1859"/>
        <v>0</v>
      </c>
      <c r="T1628" s="109">
        <f t="shared" si="1860"/>
        <v>0</v>
      </c>
      <c r="U1628" s="110">
        <f t="shared" si="1856"/>
        <v>1</v>
      </c>
      <c r="V1628" s="136"/>
    </row>
    <row r="1629" spans="2:25" s="97" customFormat="1" ht="16.5" hidden="1" customHeight="1" x14ac:dyDescent="0.2">
      <c r="B1629" s="711">
        <v>46191</v>
      </c>
      <c r="C1629" s="105" t="s">
        <v>106</v>
      </c>
      <c r="D1629" s="105" t="s">
        <v>129</v>
      </c>
      <c r="E1629" s="711">
        <v>46191</v>
      </c>
      <c r="F1629" s="89"/>
      <c r="G1629" s="190"/>
      <c r="H1629" s="840" t="s">
        <v>19</v>
      </c>
      <c r="I1629" s="841"/>
      <c r="J1629" s="113">
        <f t="shared" ref="J1629" si="1861">SUM(J1625:J1628)</f>
        <v>674</v>
      </c>
      <c r="K1629" s="113">
        <f t="shared" ref="K1629" si="1862">SUM(K1625:K1628)</f>
        <v>409</v>
      </c>
      <c r="L1629" s="113">
        <f t="shared" ref="L1629" si="1863">SUM(L1625:L1628)</f>
        <v>117</v>
      </c>
      <c r="M1629" s="113">
        <f t="shared" ref="M1629" si="1864">SUM(M1625:M1628)</f>
        <v>17</v>
      </c>
      <c r="N1629" s="113">
        <f t="shared" ref="N1629" si="1865">SUM(N1625:N1628)</f>
        <v>81</v>
      </c>
      <c r="O1629" s="113">
        <f t="shared" ref="O1629" si="1866">SUM(O1625:O1628)</f>
        <v>41</v>
      </c>
      <c r="P1629" s="113">
        <f t="shared" ref="P1629" si="1867">SUM(P1625:P1628)</f>
        <v>9</v>
      </c>
      <c r="Q1629" s="115">
        <f>(K1629+L1629)/J1629</f>
        <v>0.78041543026706228</v>
      </c>
      <c r="R1629" s="116">
        <f t="shared" si="1858"/>
        <v>0.12017804154302671</v>
      </c>
      <c r="S1629" s="116">
        <f t="shared" si="1859"/>
        <v>1.3353115727002967E-2</v>
      </c>
      <c r="T1629" s="116">
        <f t="shared" si="1860"/>
        <v>6.0830860534124627E-2</v>
      </c>
      <c r="U1629" s="117">
        <f t="shared" ref="U1629:U1633" si="1868">S1629+R1629+Q1629+T1629</f>
        <v>0.97477744807121669</v>
      </c>
      <c r="V1629" s="127"/>
      <c r="W1629" s="88"/>
      <c r="X1629" s="88"/>
      <c r="Y1629" s="118"/>
    </row>
    <row r="1630" spans="2:25" ht="15.75" hidden="1" x14ac:dyDescent="0.2">
      <c r="B1630" s="711">
        <v>46191</v>
      </c>
      <c r="C1630" s="105" t="s">
        <v>106</v>
      </c>
      <c r="D1630" s="105" t="s">
        <v>129</v>
      </c>
      <c r="E1630" s="711">
        <v>46192</v>
      </c>
      <c r="G1630" s="842">
        <v>46192</v>
      </c>
      <c r="H1630" s="120" t="s">
        <v>75</v>
      </c>
      <c r="I1630" s="120" t="s">
        <v>83</v>
      </c>
      <c r="J1630" s="106">
        <v>226</v>
      </c>
      <c r="K1630" s="106">
        <v>11</v>
      </c>
      <c r="L1630" s="106">
        <v>1</v>
      </c>
      <c r="M1630" s="106">
        <v>193</v>
      </c>
      <c r="N1630" s="106">
        <v>0</v>
      </c>
      <c r="O1630" s="106">
        <v>20</v>
      </c>
      <c r="P1630" s="106">
        <v>1</v>
      </c>
      <c r="Q1630" s="108">
        <f t="shared" ref="Q1630:Q1633" si="1869">(K1630+L1630)/J1630</f>
        <v>5.3097345132743362E-2</v>
      </c>
      <c r="R1630" s="109">
        <f t="shared" ref="R1630:R1634" si="1870">N1630/J1630</f>
        <v>0</v>
      </c>
      <c r="S1630" s="109">
        <f t="shared" ref="S1630:S1634" si="1871">P1630/J1630</f>
        <v>4.4247787610619468E-3</v>
      </c>
      <c r="T1630" s="109">
        <f t="shared" ref="T1630:T1634" si="1872">O1630/J1630</f>
        <v>8.8495575221238937E-2</v>
      </c>
      <c r="U1630" s="110">
        <f t="shared" si="1868"/>
        <v>0.14601769911504425</v>
      </c>
      <c r="V1630" s="136"/>
    </row>
    <row r="1631" spans="2:25" ht="15.75" hidden="1" x14ac:dyDescent="0.2">
      <c r="B1631" s="711">
        <v>46191</v>
      </c>
      <c r="C1631" s="105" t="s">
        <v>106</v>
      </c>
      <c r="D1631" s="105" t="s">
        <v>129</v>
      </c>
      <c r="E1631" s="711">
        <v>46192</v>
      </c>
      <c r="G1631" s="843"/>
      <c r="H1631" s="120" t="s">
        <v>14</v>
      </c>
      <c r="I1631" s="120" t="s">
        <v>105</v>
      </c>
      <c r="J1631" s="106">
        <v>183</v>
      </c>
      <c r="K1631" s="106">
        <v>0</v>
      </c>
      <c r="L1631" s="106">
        <v>0</v>
      </c>
      <c r="M1631" s="106">
        <v>183</v>
      </c>
      <c r="N1631" s="106">
        <v>0</v>
      </c>
      <c r="O1631" s="106">
        <v>0</v>
      </c>
      <c r="P1631" s="106">
        <v>0</v>
      </c>
      <c r="Q1631" s="108">
        <f t="shared" si="1869"/>
        <v>0</v>
      </c>
      <c r="R1631" s="109">
        <f t="shared" si="1870"/>
        <v>0</v>
      </c>
      <c r="S1631" s="109">
        <f t="shared" si="1871"/>
        <v>0</v>
      </c>
      <c r="T1631" s="109">
        <f t="shared" si="1872"/>
        <v>0</v>
      </c>
      <c r="U1631" s="110">
        <f t="shared" si="1868"/>
        <v>0</v>
      </c>
      <c r="V1631" s="136"/>
    </row>
    <row r="1632" spans="2:25" ht="15.75" hidden="1" x14ac:dyDescent="0.2">
      <c r="B1632" s="711">
        <v>46191</v>
      </c>
      <c r="C1632" s="105" t="s">
        <v>106</v>
      </c>
      <c r="D1632" s="105" t="s">
        <v>129</v>
      </c>
      <c r="E1632" s="711">
        <v>46192</v>
      </c>
      <c r="G1632" s="843"/>
      <c r="H1632" s="120" t="s">
        <v>17</v>
      </c>
      <c r="I1632" s="120" t="s">
        <v>106</v>
      </c>
      <c r="J1632" s="106">
        <v>172</v>
      </c>
      <c r="K1632" s="106">
        <v>3</v>
      </c>
      <c r="L1632" s="106">
        <v>5</v>
      </c>
      <c r="M1632" s="106">
        <v>112</v>
      </c>
      <c r="N1632" s="106">
        <v>23</v>
      </c>
      <c r="O1632" s="106">
        <v>24</v>
      </c>
      <c r="P1632" s="106">
        <v>5</v>
      </c>
      <c r="Q1632" s="108">
        <f t="shared" si="1869"/>
        <v>4.6511627906976744E-2</v>
      </c>
      <c r="R1632" s="109">
        <f t="shared" si="1870"/>
        <v>0.13372093023255813</v>
      </c>
      <c r="S1632" s="109">
        <f t="shared" si="1871"/>
        <v>2.9069767441860465E-2</v>
      </c>
      <c r="T1632" s="109">
        <f t="shared" si="1872"/>
        <v>0.13953488372093023</v>
      </c>
      <c r="U1632" s="110">
        <f t="shared" si="1868"/>
        <v>0.34883720930232553</v>
      </c>
      <c r="V1632" s="136"/>
    </row>
    <row r="1633" spans="2:25" ht="15.75" hidden="1" x14ac:dyDescent="0.2">
      <c r="B1633" s="711">
        <v>46191</v>
      </c>
      <c r="C1633" s="105" t="s">
        <v>106</v>
      </c>
      <c r="D1633" s="105" t="s">
        <v>129</v>
      </c>
      <c r="E1633" s="711">
        <v>46192</v>
      </c>
      <c r="G1633" s="844"/>
      <c r="H1633" s="120" t="s">
        <v>118</v>
      </c>
      <c r="I1633" s="120" t="s">
        <v>22</v>
      </c>
      <c r="J1633" s="106">
        <v>38</v>
      </c>
      <c r="K1633" s="106">
        <v>0</v>
      </c>
      <c r="L1633" s="106">
        <v>0</v>
      </c>
      <c r="M1633" s="106">
        <v>7</v>
      </c>
      <c r="N1633" s="106">
        <v>26</v>
      </c>
      <c r="O1633" s="106">
        <v>0</v>
      </c>
      <c r="P1633" s="106">
        <v>5</v>
      </c>
      <c r="Q1633" s="108">
        <f t="shared" si="1869"/>
        <v>0</v>
      </c>
      <c r="R1633" s="109">
        <f t="shared" si="1870"/>
        <v>0.68421052631578949</v>
      </c>
      <c r="S1633" s="109">
        <f t="shared" si="1871"/>
        <v>0.13157894736842105</v>
      </c>
      <c r="T1633" s="109">
        <f t="shared" si="1872"/>
        <v>0</v>
      </c>
      <c r="U1633" s="110">
        <f t="shared" si="1868"/>
        <v>0.81578947368421051</v>
      </c>
      <c r="V1633" s="136"/>
    </row>
    <row r="1634" spans="2:25" s="97" customFormat="1" ht="16.5" hidden="1" customHeight="1" x14ac:dyDescent="0.2">
      <c r="B1634" s="711">
        <v>46191</v>
      </c>
      <c r="C1634" s="105" t="s">
        <v>106</v>
      </c>
      <c r="D1634" s="105" t="s">
        <v>129</v>
      </c>
      <c r="E1634" s="711">
        <v>46192</v>
      </c>
      <c r="F1634" s="89"/>
      <c r="G1634" s="190"/>
      <c r="H1634" s="840" t="s">
        <v>19</v>
      </c>
      <c r="I1634" s="841"/>
      <c r="J1634" s="113">
        <f t="shared" ref="J1634" si="1873">SUM(J1630:J1633)</f>
        <v>619</v>
      </c>
      <c r="K1634" s="113">
        <f t="shared" ref="K1634" si="1874">SUM(K1630:K1633)</f>
        <v>14</v>
      </c>
      <c r="L1634" s="113">
        <f t="shared" ref="L1634" si="1875">SUM(L1630:L1633)</f>
        <v>6</v>
      </c>
      <c r="M1634" s="113">
        <f t="shared" ref="M1634" si="1876">SUM(M1630:M1633)</f>
        <v>495</v>
      </c>
      <c r="N1634" s="113">
        <f t="shared" ref="N1634" si="1877">SUM(N1630:N1633)</f>
        <v>49</v>
      </c>
      <c r="O1634" s="113">
        <f t="shared" ref="O1634" si="1878">SUM(O1630:O1633)</f>
        <v>44</v>
      </c>
      <c r="P1634" s="113">
        <f t="shared" ref="P1634" si="1879">SUM(P1630:P1633)</f>
        <v>11</v>
      </c>
      <c r="Q1634" s="115">
        <f>(K1634+L1634)/J1634</f>
        <v>3.2310177705977383E-2</v>
      </c>
      <c r="R1634" s="116">
        <f t="shared" si="1870"/>
        <v>7.9159935379644594E-2</v>
      </c>
      <c r="S1634" s="116">
        <f t="shared" si="1871"/>
        <v>1.7770597738287562E-2</v>
      </c>
      <c r="T1634" s="116">
        <f t="shared" si="1872"/>
        <v>7.1082390953150248E-2</v>
      </c>
      <c r="U1634" s="117">
        <f t="shared" ref="U1634:U1638" si="1880">S1634+R1634+Q1634+T1634</f>
        <v>0.20032310177705978</v>
      </c>
      <c r="V1634" s="127"/>
      <c r="W1634" s="88"/>
      <c r="X1634" s="88"/>
      <c r="Y1634" s="118"/>
    </row>
    <row r="1635" spans="2:25" ht="15.75" hidden="1" x14ac:dyDescent="0.2">
      <c r="B1635" s="711">
        <v>46191</v>
      </c>
      <c r="C1635" s="105" t="s">
        <v>18</v>
      </c>
      <c r="D1635" s="105" t="s">
        <v>13</v>
      </c>
      <c r="E1635" s="711">
        <v>46192</v>
      </c>
      <c r="G1635" s="842">
        <v>46192</v>
      </c>
      <c r="H1635" s="120" t="s">
        <v>75</v>
      </c>
      <c r="I1635" s="120" t="s">
        <v>83</v>
      </c>
      <c r="J1635" s="106">
        <v>226</v>
      </c>
      <c r="K1635" s="106">
        <f>J1635-L1635-M1635-N1635-O1635-P1635</f>
        <v>125</v>
      </c>
      <c r="L1635" s="106">
        <v>67</v>
      </c>
      <c r="M1635" s="106">
        <v>33</v>
      </c>
      <c r="N1635" s="106">
        <v>0</v>
      </c>
      <c r="O1635" s="106">
        <v>0</v>
      </c>
      <c r="P1635" s="106">
        <v>1</v>
      </c>
      <c r="Q1635" s="108">
        <f t="shared" ref="Q1635:Q1638" si="1881">(K1635+L1635)/J1635</f>
        <v>0.84955752212389379</v>
      </c>
      <c r="R1635" s="109">
        <f t="shared" ref="R1635:R1645" si="1882">N1635/J1635</f>
        <v>0</v>
      </c>
      <c r="S1635" s="109">
        <f t="shared" ref="S1635:S1645" si="1883">P1635/J1635</f>
        <v>4.4247787610619468E-3</v>
      </c>
      <c r="T1635" s="109">
        <f t="shared" ref="T1635:T1645" si="1884">O1635/J1635</f>
        <v>0</v>
      </c>
      <c r="U1635" s="110">
        <f t="shared" si="1880"/>
        <v>0.85398230088495575</v>
      </c>
      <c r="V1635" s="136"/>
    </row>
    <row r="1636" spans="2:25" ht="15.75" hidden="1" x14ac:dyDescent="0.2">
      <c r="B1636" s="711">
        <v>46191</v>
      </c>
      <c r="C1636" s="105" t="s">
        <v>18</v>
      </c>
      <c r="D1636" s="105" t="s">
        <v>13</v>
      </c>
      <c r="E1636" s="711">
        <v>46192</v>
      </c>
      <c r="G1636" s="843"/>
      <c r="H1636" s="120" t="s">
        <v>14</v>
      </c>
      <c r="I1636" s="120" t="s">
        <v>105</v>
      </c>
      <c r="J1636" s="106">
        <v>183</v>
      </c>
      <c r="K1636" s="106">
        <f t="shared" ref="K1636:K1638" si="1885">J1636-L1636-M1636-N1636-O1636-P1636</f>
        <v>0</v>
      </c>
      <c r="L1636" s="106">
        <v>0</v>
      </c>
      <c r="M1636" s="106">
        <v>179</v>
      </c>
      <c r="N1636" s="106">
        <v>0</v>
      </c>
      <c r="O1636" s="106">
        <v>0</v>
      </c>
      <c r="P1636" s="106">
        <v>4</v>
      </c>
      <c r="Q1636" s="108">
        <f t="shared" si="1881"/>
        <v>0</v>
      </c>
      <c r="R1636" s="109">
        <f t="shared" si="1882"/>
        <v>0</v>
      </c>
      <c r="S1636" s="109">
        <f t="shared" si="1883"/>
        <v>2.185792349726776E-2</v>
      </c>
      <c r="T1636" s="109">
        <f t="shared" si="1884"/>
        <v>0</v>
      </c>
      <c r="U1636" s="110">
        <f t="shared" si="1880"/>
        <v>2.185792349726776E-2</v>
      </c>
      <c r="V1636" s="136"/>
    </row>
    <row r="1637" spans="2:25" ht="15.75" hidden="1" x14ac:dyDescent="0.2">
      <c r="B1637" s="711">
        <v>46191</v>
      </c>
      <c r="C1637" s="105" t="s">
        <v>18</v>
      </c>
      <c r="D1637" s="105" t="s">
        <v>13</v>
      </c>
      <c r="E1637" s="711">
        <v>46192</v>
      </c>
      <c r="G1637" s="843"/>
      <c r="H1637" s="120" t="s">
        <v>17</v>
      </c>
      <c r="I1637" s="120" t="s">
        <v>106</v>
      </c>
      <c r="J1637" s="106">
        <v>172</v>
      </c>
      <c r="K1637" s="106">
        <f t="shared" si="1885"/>
        <v>101</v>
      </c>
      <c r="L1637" s="106">
        <v>35</v>
      </c>
      <c r="M1637" s="106">
        <v>31</v>
      </c>
      <c r="N1637" s="106">
        <v>0</v>
      </c>
      <c r="O1637" s="106">
        <v>0</v>
      </c>
      <c r="P1637" s="106">
        <v>5</v>
      </c>
      <c r="Q1637" s="108">
        <f t="shared" si="1881"/>
        <v>0.79069767441860461</v>
      </c>
      <c r="R1637" s="109">
        <f t="shared" si="1882"/>
        <v>0</v>
      </c>
      <c r="S1637" s="109">
        <f t="shared" si="1883"/>
        <v>2.9069767441860465E-2</v>
      </c>
      <c r="T1637" s="109">
        <f t="shared" si="1884"/>
        <v>0</v>
      </c>
      <c r="U1637" s="110">
        <f t="shared" si="1880"/>
        <v>0.81976744186046513</v>
      </c>
      <c r="V1637" s="136"/>
    </row>
    <row r="1638" spans="2:25" ht="15.75" hidden="1" x14ac:dyDescent="0.2">
      <c r="B1638" s="711">
        <v>46191</v>
      </c>
      <c r="C1638" s="105" t="s">
        <v>18</v>
      </c>
      <c r="D1638" s="105" t="s">
        <v>13</v>
      </c>
      <c r="E1638" s="711">
        <v>46192</v>
      </c>
      <c r="G1638" s="844"/>
      <c r="H1638" s="120" t="s">
        <v>118</v>
      </c>
      <c r="I1638" s="120" t="s">
        <v>22</v>
      </c>
      <c r="J1638" s="106">
        <v>38</v>
      </c>
      <c r="K1638" s="106">
        <f t="shared" si="1885"/>
        <v>0</v>
      </c>
      <c r="L1638" s="106">
        <v>0</v>
      </c>
      <c r="M1638" s="106">
        <v>7</v>
      </c>
      <c r="N1638" s="106">
        <v>26</v>
      </c>
      <c r="O1638" s="106">
        <v>0</v>
      </c>
      <c r="P1638" s="106">
        <v>5</v>
      </c>
      <c r="Q1638" s="108">
        <f t="shared" si="1881"/>
        <v>0</v>
      </c>
      <c r="R1638" s="109">
        <f t="shared" si="1882"/>
        <v>0.68421052631578949</v>
      </c>
      <c r="S1638" s="109">
        <f t="shared" si="1883"/>
        <v>0.13157894736842105</v>
      </c>
      <c r="T1638" s="109">
        <f t="shared" si="1884"/>
        <v>0</v>
      </c>
      <c r="U1638" s="110">
        <f t="shared" si="1880"/>
        <v>0.81578947368421051</v>
      </c>
      <c r="V1638" s="136"/>
    </row>
    <row r="1639" spans="2:25" ht="15.75" hidden="1" x14ac:dyDescent="0.2">
      <c r="B1639" s="711">
        <v>46191</v>
      </c>
      <c r="C1639" s="105" t="s">
        <v>18</v>
      </c>
      <c r="D1639" s="105" t="s">
        <v>13</v>
      </c>
      <c r="E1639" s="711">
        <v>46192</v>
      </c>
      <c r="G1639" s="190"/>
      <c r="H1639" s="840" t="s">
        <v>19</v>
      </c>
      <c r="I1639" s="841"/>
      <c r="J1639" s="113">
        <f t="shared" ref="J1639:P1639" si="1886">SUM(J1635:J1638)</f>
        <v>619</v>
      </c>
      <c r="K1639" s="113">
        <f t="shared" si="1886"/>
        <v>226</v>
      </c>
      <c r="L1639" s="113">
        <f t="shared" si="1886"/>
        <v>102</v>
      </c>
      <c r="M1639" s="113">
        <f t="shared" si="1886"/>
        <v>250</v>
      </c>
      <c r="N1639" s="113">
        <f t="shared" si="1886"/>
        <v>26</v>
      </c>
      <c r="O1639" s="113">
        <f t="shared" si="1886"/>
        <v>0</v>
      </c>
      <c r="P1639" s="113">
        <f t="shared" si="1886"/>
        <v>15</v>
      </c>
      <c r="Q1639" s="115">
        <f>(K1639+L1639)/J1639</f>
        <v>0.52988691437802904</v>
      </c>
      <c r="R1639" s="116">
        <f t="shared" si="1882"/>
        <v>4.2003231017770599E-2</v>
      </c>
      <c r="S1639" s="116">
        <f t="shared" si="1883"/>
        <v>2.4232633279483037E-2</v>
      </c>
      <c r="T1639" s="116">
        <f t="shared" si="1884"/>
        <v>0</v>
      </c>
      <c r="U1639" s="117">
        <f t="shared" ref="U1639:U1645" si="1887">S1639+R1639+Q1639+T1639</f>
        <v>0.59612277867528274</v>
      </c>
      <c r="V1639" s="127"/>
    </row>
    <row r="1640" spans="2:25" ht="15.75" hidden="1" x14ac:dyDescent="0.2">
      <c r="B1640" s="711">
        <v>46192</v>
      </c>
      <c r="C1640" s="105" t="s">
        <v>22</v>
      </c>
      <c r="D1640" s="105" t="s">
        <v>129</v>
      </c>
      <c r="E1640" s="711">
        <v>46192</v>
      </c>
      <c r="G1640" s="833">
        <v>46192</v>
      </c>
      <c r="H1640" s="120" t="s">
        <v>75</v>
      </c>
      <c r="I1640" s="120" t="s">
        <v>83</v>
      </c>
      <c r="J1640" s="106">
        <f t="shared" ref="J1640:J1641" si="1888">SUM(K1640:P1640)</f>
        <v>56</v>
      </c>
      <c r="K1640" s="106">
        <v>23</v>
      </c>
      <c r="L1640" s="106">
        <v>20</v>
      </c>
      <c r="M1640" s="106">
        <v>0</v>
      </c>
      <c r="N1640" s="106">
        <v>0</v>
      </c>
      <c r="O1640" s="106">
        <v>12</v>
      </c>
      <c r="P1640" s="106">
        <v>1</v>
      </c>
      <c r="Q1640" s="108">
        <f t="shared" ref="Q1640:Q1644" si="1889">(K1640+L1640)/J1640</f>
        <v>0.7678571428571429</v>
      </c>
      <c r="R1640" s="109">
        <f t="shared" si="1882"/>
        <v>0</v>
      </c>
      <c r="S1640" s="109">
        <f t="shared" si="1883"/>
        <v>1.7857142857142856E-2</v>
      </c>
      <c r="T1640" s="109">
        <f t="shared" si="1884"/>
        <v>0.21428571428571427</v>
      </c>
      <c r="U1640" s="110">
        <f t="shared" si="1887"/>
        <v>1</v>
      </c>
      <c r="V1640" s="136"/>
    </row>
    <row r="1641" spans="2:25" ht="15.75" hidden="1" x14ac:dyDescent="0.2">
      <c r="B1641" s="711">
        <v>46192</v>
      </c>
      <c r="C1641" s="105" t="s">
        <v>22</v>
      </c>
      <c r="D1641" s="105" t="s">
        <v>129</v>
      </c>
      <c r="E1641" s="711">
        <v>46192</v>
      </c>
      <c r="G1641" s="834"/>
      <c r="H1641" s="120" t="s">
        <v>17</v>
      </c>
      <c r="I1641" s="120" t="s">
        <v>106</v>
      </c>
      <c r="J1641" s="106">
        <f t="shared" si="1888"/>
        <v>53</v>
      </c>
      <c r="K1641" s="106">
        <v>15</v>
      </c>
      <c r="L1641" s="106">
        <v>19</v>
      </c>
      <c r="M1641" s="106">
        <v>0</v>
      </c>
      <c r="N1641" s="106">
        <v>0</v>
      </c>
      <c r="O1641" s="106">
        <v>15</v>
      </c>
      <c r="P1641" s="106">
        <v>4</v>
      </c>
      <c r="Q1641" s="108">
        <f t="shared" si="1889"/>
        <v>0.64150943396226412</v>
      </c>
      <c r="R1641" s="109">
        <f t="shared" si="1882"/>
        <v>0</v>
      </c>
      <c r="S1641" s="109">
        <f t="shared" si="1883"/>
        <v>7.5471698113207544E-2</v>
      </c>
      <c r="T1641" s="109">
        <f t="shared" si="1884"/>
        <v>0.28301886792452829</v>
      </c>
      <c r="U1641" s="110">
        <f t="shared" si="1887"/>
        <v>1</v>
      </c>
      <c r="V1641" s="136"/>
    </row>
    <row r="1642" spans="2:25" ht="15.75" hidden="1" x14ac:dyDescent="0.2">
      <c r="B1642" s="711">
        <v>46192</v>
      </c>
      <c r="C1642" s="105" t="s">
        <v>22</v>
      </c>
      <c r="D1642" s="105" t="s">
        <v>129</v>
      </c>
      <c r="E1642" s="711">
        <v>46192</v>
      </c>
      <c r="G1642" s="834"/>
      <c r="H1642" s="120" t="s">
        <v>14</v>
      </c>
      <c r="I1642" s="120" t="s">
        <v>105</v>
      </c>
      <c r="J1642" s="106">
        <f>156+27</f>
        <v>183</v>
      </c>
      <c r="K1642" s="106">
        <v>83</v>
      </c>
      <c r="L1642" s="106">
        <v>32</v>
      </c>
      <c r="M1642" s="106">
        <v>60</v>
      </c>
      <c r="N1642" s="106">
        <v>0</v>
      </c>
      <c r="O1642" s="106">
        <v>13</v>
      </c>
      <c r="P1642" s="106">
        <v>4</v>
      </c>
      <c r="Q1642" s="108">
        <f t="shared" si="1889"/>
        <v>0.62841530054644812</v>
      </c>
      <c r="R1642" s="109">
        <f t="shared" si="1882"/>
        <v>0</v>
      </c>
      <c r="S1642" s="109">
        <f t="shared" si="1883"/>
        <v>2.185792349726776E-2</v>
      </c>
      <c r="T1642" s="109">
        <f t="shared" si="1884"/>
        <v>7.1038251366120214E-2</v>
      </c>
      <c r="U1642" s="110">
        <f t="shared" si="1887"/>
        <v>0.72131147540983609</v>
      </c>
      <c r="V1642" s="136"/>
    </row>
    <row r="1643" spans="2:25" ht="15.75" hidden="1" x14ac:dyDescent="0.2">
      <c r="B1643" s="711">
        <v>46192</v>
      </c>
      <c r="C1643" s="105" t="s">
        <v>22</v>
      </c>
      <c r="D1643" s="105" t="s">
        <v>129</v>
      </c>
      <c r="E1643" s="711">
        <v>46192</v>
      </c>
      <c r="G1643" s="835"/>
      <c r="H1643" s="120" t="s">
        <v>118</v>
      </c>
      <c r="I1643" s="120" t="s">
        <v>22</v>
      </c>
      <c r="J1643" s="106">
        <f>SUM(K1643:P1643)</f>
        <v>62</v>
      </c>
      <c r="K1643" s="106">
        <v>51</v>
      </c>
      <c r="L1643" s="106">
        <v>6</v>
      </c>
      <c r="M1643" s="106">
        <v>0</v>
      </c>
      <c r="N1643" s="106">
        <v>0</v>
      </c>
      <c r="O1643" s="106">
        <v>0</v>
      </c>
      <c r="P1643" s="106">
        <v>5</v>
      </c>
      <c r="Q1643" s="108">
        <f t="shared" ref="Q1643" si="1890">(K1643+L1643)/J1643</f>
        <v>0.91935483870967738</v>
      </c>
      <c r="R1643" s="109">
        <f t="shared" ref="R1643" si="1891">N1643/J1643</f>
        <v>0</v>
      </c>
      <c r="S1643" s="109">
        <f t="shared" ref="S1643" si="1892">P1643/J1643</f>
        <v>8.0645161290322578E-2</v>
      </c>
      <c r="T1643" s="109">
        <f t="shared" ref="T1643" si="1893">O1643/J1643</f>
        <v>0</v>
      </c>
      <c r="U1643" s="110">
        <f t="shared" ref="U1643" si="1894">S1643+R1643+Q1643+T1643</f>
        <v>1</v>
      </c>
      <c r="V1643" s="136"/>
    </row>
    <row r="1644" spans="2:25" ht="15.75" hidden="1" x14ac:dyDescent="0.2">
      <c r="B1644" s="711">
        <v>46192</v>
      </c>
      <c r="C1644" s="105" t="s">
        <v>22</v>
      </c>
      <c r="D1644" s="105" t="s">
        <v>129</v>
      </c>
      <c r="E1644" s="711">
        <v>46192</v>
      </c>
      <c r="G1644" s="304">
        <v>46193</v>
      </c>
      <c r="H1644" s="120" t="s">
        <v>25</v>
      </c>
      <c r="I1644" s="120" t="s">
        <v>105</v>
      </c>
      <c r="J1644" s="106">
        <f>206+11</f>
        <v>217</v>
      </c>
      <c r="K1644" s="106">
        <v>10</v>
      </c>
      <c r="L1644" s="106">
        <v>3</v>
      </c>
      <c r="M1644" s="106">
        <v>175</v>
      </c>
      <c r="N1644" s="106">
        <v>0</v>
      </c>
      <c r="O1644" s="106">
        <v>25</v>
      </c>
      <c r="P1644" s="106">
        <v>5</v>
      </c>
      <c r="Q1644" s="108">
        <f t="shared" si="1889"/>
        <v>5.9907834101382486E-2</v>
      </c>
      <c r="R1644" s="109">
        <f t="shared" si="1882"/>
        <v>0</v>
      </c>
      <c r="S1644" s="109">
        <f t="shared" si="1883"/>
        <v>2.3041474654377881E-2</v>
      </c>
      <c r="T1644" s="109">
        <f t="shared" si="1884"/>
        <v>0.1152073732718894</v>
      </c>
      <c r="U1644" s="110">
        <f t="shared" si="1887"/>
        <v>0.19815668202764977</v>
      </c>
      <c r="V1644" s="136"/>
    </row>
    <row r="1645" spans="2:25" s="97" customFormat="1" ht="16.5" hidden="1" customHeight="1" x14ac:dyDescent="0.2">
      <c r="B1645" s="711">
        <v>46192</v>
      </c>
      <c r="C1645" s="105" t="s">
        <v>22</v>
      </c>
      <c r="D1645" s="105" t="s">
        <v>129</v>
      </c>
      <c r="E1645" s="711">
        <v>46192</v>
      </c>
      <c r="F1645" s="89"/>
      <c r="G1645" s="190"/>
      <c r="H1645" s="840" t="s">
        <v>19</v>
      </c>
      <c r="I1645" s="841"/>
      <c r="J1645" s="113">
        <f t="shared" ref="J1645" si="1895">SUM(J1640:J1644)</f>
        <v>571</v>
      </c>
      <c r="K1645" s="113">
        <f t="shared" ref="K1645:P1645" si="1896">SUM(K1640:K1644)</f>
        <v>182</v>
      </c>
      <c r="L1645" s="113">
        <f t="shared" si="1896"/>
        <v>80</v>
      </c>
      <c r="M1645" s="113">
        <f t="shared" si="1896"/>
        <v>235</v>
      </c>
      <c r="N1645" s="113">
        <f t="shared" si="1896"/>
        <v>0</v>
      </c>
      <c r="O1645" s="113">
        <f t="shared" si="1896"/>
        <v>65</v>
      </c>
      <c r="P1645" s="113">
        <f t="shared" si="1896"/>
        <v>19</v>
      </c>
      <c r="Q1645" s="115">
        <f>(K1645+L1645)/J1645</f>
        <v>0.45884413309982486</v>
      </c>
      <c r="R1645" s="116">
        <f t="shared" si="1882"/>
        <v>0</v>
      </c>
      <c r="S1645" s="116">
        <f t="shared" si="1883"/>
        <v>3.3274956217162872E-2</v>
      </c>
      <c r="T1645" s="116">
        <f t="shared" si="1884"/>
        <v>0.11383537653239929</v>
      </c>
      <c r="U1645" s="117">
        <f t="shared" si="1887"/>
        <v>0.60595446584938706</v>
      </c>
      <c r="V1645" s="127"/>
      <c r="W1645" s="88"/>
      <c r="X1645" s="88"/>
      <c r="Y1645" s="118"/>
    </row>
    <row r="1646" spans="2:25" ht="15.75" hidden="1" x14ac:dyDescent="0.2">
      <c r="B1646" s="711">
        <v>46192</v>
      </c>
      <c r="C1646" s="105" t="s">
        <v>106</v>
      </c>
      <c r="D1646" s="105" t="s">
        <v>129</v>
      </c>
      <c r="E1646" s="711">
        <v>46192</v>
      </c>
      <c r="G1646" s="833">
        <v>46192</v>
      </c>
      <c r="H1646" s="120" t="s">
        <v>75</v>
      </c>
      <c r="I1646" s="120" t="s">
        <v>83</v>
      </c>
      <c r="J1646" s="106">
        <v>226</v>
      </c>
      <c r="K1646" s="106">
        <f>227-88</f>
        <v>139</v>
      </c>
      <c r="L1646" s="106">
        <v>64</v>
      </c>
      <c r="M1646" s="106">
        <v>2</v>
      </c>
      <c r="N1646" s="106">
        <v>0</v>
      </c>
      <c r="O1646" s="106">
        <v>20</v>
      </c>
      <c r="P1646" s="106">
        <v>1</v>
      </c>
      <c r="Q1646" s="108">
        <f t="shared" ref="Q1646:Q1649" si="1897">(K1646+L1646)/J1646</f>
        <v>0.89823008849557517</v>
      </c>
      <c r="R1646" s="109">
        <f t="shared" ref="R1646:R1650" si="1898">N1646/J1646</f>
        <v>0</v>
      </c>
      <c r="S1646" s="109">
        <f t="shared" ref="S1646:S1650" si="1899">P1646/J1646</f>
        <v>4.4247787610619468E-3</v>
      </c>
      <c r="T1646" s="109">
        <f t="shared" ref="T1646:T1650" si="1900">O1646/J1646</f>
        <v>8.8495575221238937E-2</v>
      </c>
      <c r="U1646" s="110">
        <f t="shared" ref="U1646:U1650" si="1901">S1646+R1646+Q1646+T1646</f>
        <v>0.99115044247787609</v>
      </c>
      <c r="V1646" s="136"/>
    </row>
    <row r="1647" spans="2:25" ht="15.75" hidden="1" x14ac:dyDescent="0.2">
      <c r="B1647" s="711">
        <v>46192</v>
      </c>
      <c r="C1647" s="105" t="s">
        <v>106</v>
      </c>
      <c r="D1647" s="105" t="s">
        <v>129</v>
      </c>
      <c r="E1647" s="711">
        <v>46192</v>
      </c>
      <c r="G1647" s="834"/>
      <c r="H1647" s="120" t="s">
        <v>14</v>
      </c>
      <c r="I1647" s="120" t="s">
        <v>105</v>
      </c>
      <c r="J1647" s="106">
        <v>183</v>
      </c>
      <c r="K1647" s="106">
        <f>183-84</f>
        <v>99</v>
      </c>
      <c r="L1647" s="106">
        <v>37</v>
      </c>
      <c r="M1647" s="106">
        <v>4</v>
      </c>
      <c r="N1647" s="106">
        <v>25</v>
      </c>
      <c r="O1647" s="106">
        <v>14</v>
      </c>
      <c r="P1647" s="106">
        <v>4</v>
      </c>
      <c r="Q1647" s="108">
        <f t="shared" si="1897"/>
        <v>0.74316939890710387</v>
      </c>
      <c r="R1647" s="109">
        <f t="shared" si="1898"/>
        <v>0.13661202185792351</v>
      </c>
      <c r="S1647" s="109">
        <f t="shared" si="1899"/>
        <v>2.185792349726776E-2</v>
      </c>
      <c r="T1647" s="109">
        <f t="shared" si="1900"/>
        <v>7.650273224043716E-2</v>
      </c>
      <c r="U1647" s="110">
        <f t="shared" si="1901"/>
        <v>0.97814207650273233</v>
      </c>
      <c r="V1647" s="136"/>
    </row>
    <row r="1648" spans="2:25" ht="15.75" hidden="1" x14ac:dyDescent="0.2">
      <c r="B1648" s="711">
        <v>46192</v>
      </c>
      <c r="C1648" s="105" t="s">
        <v>106</v>
      </c>
      <c r="D1648" s="105" t="s">
        <v>129</v>
      </c>
      <c r="E1648" s="711">
        <v>46192</v>
      </c>
      <c r="G1648" s="834"/>
      <c r="H1648" s="120" t="s">
        <v>17</v>
      </c>
      <c r="I1648" s="120" t="s">
        <v>106</v>
      </c>
      <c r="J1648" s="106">
        <v>172</v>
      </c>
      <c r="K1648" s="106">
        <f>172-69</f>
        <v>103</v>
      </c>
      <c r="L1648" s="106">
        <v>26</v>
      </c>
      <c r="M1648" s="106">
        <v>4</v>
      </c>
      <c r="N1648" s="106">
        <v>5</v>
      </c>
      <c r="O1648" s="106">
        <v>30</v>
      </c>
      <c r="P1648" s="106">
        <v>4</v>
      </c>
      <c r="Q1648" s="108">
        <f t="shared" si="1897"/>
        <v>0.75</v>
      </c>
      <c r="R1648" s="109">
        <f t="shared" si="1898"/>
        <v>2.9069767441860465E-2</v>
      </c>
      <c r="S1648" s="109">
        <f t="shared" si="1899"/>
        <v>2.3255813953488372E-2</v>
      </c>
      <c r="T1648" s="109">
        <f t="shared" si="1900"/>
        <v>0.1744186046511628</v>
      </c>
      <c r="U1648" s="110">
        <f t="shared" si="1901"/>
        <v>0.97674418604651159</v>
      </c>
      <c r="V1648" s="136"/>
    </row>
    <row r="1649" spans="2:25" ht="15.75" hidden="1" x14ac:dyDescent="0.2">
      <c r="B1649" s="711">
        <v>46192</v>
      </c>
      <c r="C1649" s="105" t="s">
        <v>106</v>
      </c>
      <c r="D1649" s="105" t="s">
        <v>129</v>
      </c>
      <c r="E1649" s="711">
        <v>46192</v>
      </c>
      <c r="G1649" s="834"/>
      <c r="H1649" s="120" t="s">
        <v>118</v>
      </c>
      <c r="I1649" s="120" t="s">
        <v>22</v>
      </c>
      <c r="J1649" s="106">
        <v>38</v>
      </c>
      <c r="K1649" s="106">
        <v>33</v>
      </c>
      <c r="L1649" s="106">
        <v>0</v>
      </c>
      <c r="M1649" s="106">
        <v>0</v>
      </c>
      <c r="N1649" s="106">
        <v>0</v>
      </c>
      <c r="O1649" s="106">
        <v>0</v>
      </c>
      <c r="P1649" s="106">
        <v>5</v>
      </c>
      <c r="Q1649" s="108">
        <f t="shared" si="1897"/>
        <v>0.86842105263157898</v>
      </c>
      <c r="R1649" s="109">
        <f t="shared" si="1898"/>
        <v>0</v>
      </c>
      <c r="S1649" s="109">
        <f t="shared" si="1899"/>
        <v>0.13157894736842105</v>
      </c>
      <c r="T1649" s="109">
        <f t="shared" si="1900"/>
        <v>0</v>
      </c>
      <c r="U1649" s="110">
        <f t="shared" si="1901"/>
        <v>1</v>
      </c>
      <c r="V1649" s="136"/>
    </row>
    <row r="1650" spans="2:25" s="97" customFormat="1" ht="16.5" hidden="1" customHeight="1" x14ac:dyDescent="0.2">
      <c r="B1650" s="711">
        <v>46192</v>
      </c>
      <c r="C1650" s="105" t="s">
        <v>106</v>
      </c>
      <c r="D1650" s="105" t="s">
        <v>129</v>
      </c>
      <c r="E1650" s="711">
        <v>46192</v>
      </c>
      <c r="F1650" s="89"/>
      <c r="G1650" s="190"/>
      <c r="H1650" s="840" t="s">
        <v>19</v>
      </c>
      <c r="I1650" s="841"/>
      <c r="J1650" s="113">
        <f t="shared" ref="J1650:P1650" si="1902">SUM(J1646:J1649)</f>
        <v>619</v>
      </c>
      <c r="K1650" s="113">
        <f t="shared" si="1902"/>
        <v>374</v>
      </c>
      <c r="L1650" s="113">
        <f t="shared" si="1902"/>
        <v>127</v>
      </c>
      <c r="M1650" s="113">
        <f t="shared" si="1902"/>
        <v>10</v>
      </c>
      <c r="N1650" s="113">
        <f t="shared" si="1902"/>
        <v>30</v>
      </c>
      <c r="O1650" s="113">
        <f t="shared" si="1902"/>
        <v>64</v>
      </c>
      <c r="P1650" s="113">
        <f t="shared" si="1902"/>
        <v>14</v>
      </c>
      <c r="Q1650" s="115">
        <f>(K1650+L1650)/J1650</f>
        <v>0.80936995153473346</v>
      </c>
      <c r="R1650" s="116">
        <f t="shared" si="1898"/>
        <v>4.8465266558966075E-2</v>
      </c>
      <c r="S1650" s="116">
        <f t="shared" si="1899"/>
        <v>2.2617124394184167E-2</v>
      </c>
      <c r="T1650" s="116">
        <f t="shared" si="1900"/>
        <v>0.10339256865912763</v>
      </c>
      <c r="U1650" s="117">
        <f t="shared" si="1901"/>
        <v>0.98384491114701134</v>
      </c>
      <c r="V1650" s="127"/>
      <c r="W1650" s="88"/>
      <c r="X1650" s="88"/>
      <c r="Y1650" s="118"/>
    </row>
    <row r="1651" spans="2:25" ht="15.75" hidden="1" x14ac:dyDescent="0.2">
      <c r="B1651" s="711">
        <v>46192</v>
      </c>
      <c r="C1651" s="105" t="s">
        <v>106</v>
      </c>
      <c r="D1651" s="105" t="s">
        <v>129</v>
      </c>
      <c r="E1651" s="711">
        <v>46193</v>
      </c>
      <c r="G1651" s="833">
        <v>46193</v>
      </c>
      <c r="H1651" s="120" t="s">
        <v>75</v>
      </c>
      <c r="I1651" s="120" t="s">
        <v>83</v>
      </c>
      <c r="J1651" s="106">
        <v>232</v>
      </c>
      <c r="K1651" s="106">
        <v>0</v>
      </c>
      <c r="L1651" s="106">
        <v>1</v>
      </c>
      <c r="M1651" s="106">
        <v>210</v>
      </c>
      <c r="N1651" s="106">
        <v>0</v>
      </c>
      <c r="O1651" s="106">
        <v>20</v>
      </c>
      <c r="P1651" s="106">
        <v>1</v>
      </c>
      <c r="Q1651" s="108">
        <f t="shared" ref="Q1651:Q1654" si="1903">(K1651+L1651)/J1651</f>
        <v>4.3103448275862068E-3</v>
      </c>
      <c r="R1651" s="109">
        <f t="shared" ref="R1651:R1655" si="1904">N1651/J1651</f>
        <v>0</v>
      </c>
      <c r="S1651" s="109">
        <f t="shared" ref="S1651:S1655" si="1905">P1651/J1651</f>
        <v>4.3103448275862068E-3</v>
      </c>
      <c r="T1651" s="109">
        <f t="shared" ref="T1651:T1655" si="1906">O1651/J1651</f>
        <v>8.6206896551724144E-2</v>
      </c>
      <c r="U1651" s="110">
        <f t="shared" ref="U1651:U1655" si="1907">S1651+R1651+Q1651+T1651</f>
        <v>9.4827586206896561E-2</v>
      </c>
      <c r="V1651" s="136"/>
    </row>
    <row r="1652" spans="2:25" ht="15.75" hidden="1" x14ac:dyDescent="0.2">
      <c r="B1652" s="711">
        <v>46192</v>
      </c>
      <c r="C1652" s="105" t="s">
        <v>106</v>
      </c>
      <c r="D1652" s="105" t="s">
        <v>129</v>
      </c>
      <c r="E1652" s="711">
        <v>46193</v>
      </c>
      <c r="G1652" s="834"/>
      <c r="H1652" s="120" t="s">
        <v>14</v>
      </c>
      <c r="I1652" s="120" t="s">
        <v>105</v>
      </c>
      <c r="J1652" s="106">
        <v>211</v>
      </c>
      <c r="K1652" s="106">
        <v>0</v>
      </c>
      <c r="L1652" s="106">
        <v>0</v>
      </c>
      <c r="M1652" s="106">
        <v>211</v>
      </c>
      <c r="N1652" s="106">
        <v>0</v>
      </c>
      <c r="O1652" s="106">
        <v>0</v>
      </c>
      <c r="P1652" s="106">
        <v>0</v>
      </c>
      <c r="Q1652" s="108">
        <f t="shared" si="1903"/>
        <v>0</v>
      </c>
      <c r="R1652" s="109">
        <f t="shared" si="1904"/>
        <v>0</v>
      </c>
      <c r="S1652" s="109">
        <f t="shared" si="1905"/>
        <v>0</v>
      </c>
      <c r="T1652" s="109">
        <f t="shared" si="1906"/>
        <v>0</v>
      </c>
      <c r="U1652" s="110">
        <f t="shared" si="1907"/>
        <v>0</v>
      </c>
      <c r="V1652" s="136"/>
    </row>
    <row r="1653" spans="2:25" ht="15.75" hidden="1" x14ac:dyDescent="0.2">
      <c r="B1653" s="711">
        <v>46192</v>
      </c>
      <c r="C1653" s="105" t="s">
        <v>106</v>
      </c>
      <c r="D1653" s="105" t="s">
        <v>129</v>
      </c>
      <c r="E1653" s="711">
        <v>46193</v>
      </c>
      <c r="G1653" s="834"/>
      <c r="H1653" s="120" t="s">
        <v>25</v>
      </c>
      <c r="I1653" s="120" t="s">
        <v>22</v>
      </c>
      <c r="J1653" s="106">
        <v>207</v>
      </c>
      <c r="K1653" s="106">
        <v>0</v>
      </c>
      <c r="L1653" s="106">
        <v>4</v>
      </c>
      <c r="M1653" s="106">
        <v>94</v>
      </c>
      <c r="N1653" s="106">
        <v>79</v>
      </c>
      <c r="O1653" s="106">
        <v>25</v>
      </c>
      <c r="P1653" s="106">
        <v>5</v>
      </c>
      <c r="Q1653" s="108">
        <f t="shared" si="1903"/>
        <v>1.932367149758454E-2</v>
      </c>
      <c r="R1653" s="109">
        <f t="shared" si="1904"/>
        <v>0.38164251207729466</v>
      </c>
      <c r="S1653" s="109">
        <f t="shared" si="1905"/>
        <v>2.4154589371980676E-2</v>
      </c>
      <c r="T1653" s="109">
        <f t="shared" si="1906"/>
        <v>0.12077294685990338</v>
      </c>
      <c r="U1653" s="110">
        <f t="shared" si="1907"/>
        <v>0.54589371980676327</v>
      </c>
      <c r="V1653" s="136"/>
    </row>
    <row r="1654" spans="2:25" ht="15.75" hidden="1" x14ac:dyDescent="0.2">
      <c r="B1654" s="711">
        <v>46192</v>
      </c>
      <c r="C1654" s="105" t="s">
        <v>106</v>
      </c>
      <c r="D1654" s="105" t="s">
        <v>129</v>
      </c>
      <c r="E1654" s="711">
        <v>46193</v>
      </c>
      <c r="G1654" s="834"/>
      <c r="H1654" s="120" t="s">
        <v>118</v>
      </c>
      <c r="I1654" s="120" t="s">
        <v>22</v>
      </c>
      <c r="J1654" s="106">
        <v>32</v>
      </c>
      <c r="K1654" s="106">
        <v>0</v>
      </c>
      <c r="L1654" s="106">
        <v>0</v>
      </c>
      <c r="M1654" s="106">
        <v>21</v>
      </c>
      <c r="N1654" s="106">
        <v>11</v>
      </c>
      <c r="O1654" s="106">
        <v>0</v>
      </c>
      <c r="P1654" s="106">
        <v>0</v>
      </c>
      <c r="Q1654" s="108">
        <f t="shared" si="1903"/>
        <v>0</v>
      </c>
      <c r="R1654" s="109">
        <f t="shared" si="1904"/>
        <v>0.34375</v>
      </c>
      <c r="S1654" s="109">
        <f t="shared" si="1905"/>
        <v>0</v>
      </c>
      <c r="T1654" s="109">
        <f t="shared" si="1906"/>
        <v>0</v>
      </c>
      <c r="U1654" s="110">
        <f t="shared" si="1907"/>
        <v>0.34375</v>
      </c>
      <c r="V1654" s="136"/>
    </row>
    <row r="1655" spans="2:25" s="97" customFormat="1" ht="16.5" hidden="1" customHeight="1" x14ac:dyDescent="0.2">
      <c r="B1655" s="711">
        <v>46192</v>
      </c>
      <c r="C1655" s="105" t="s">
        <v>106</v>
      </c>
      <c r="D1655" s="105" t="s">
        <v>129</v>
      </c>
      <c r="E1655" s="711">
        <v>46193</v>
      </c>
      <c r="F1655" s="89"/>
      <c r="G1655" s="190"/>
      <c r="H1655" s="840" t="s">
        <v>19</v>
      </c>
      <c r="I1655" s="841"/>
      <c r="J1655" s="113">
        <f t="shared" ref="J1655:P1655" si="1908">SUM(J1651:J1654)</f>
        <v>682</v>
      </c>
      <c r="K1655" s="113">
        <f t="shared" si="1908"/>
        <v>0</v>
      </c>
      <c r="L1655" s="113">
        <f t="shared" si="1908"/>
        <v>5</v>
      </c>
      <c r="M1655" s="113">
        <f t="shared" si="1908"/>
        <v>536</v>
      </c>
      <c r="N1655" s="113">
        <f t="shared" si="1908"/>
        <v>90</v>
      </c>
      <c r="O1655" s="113">
        <f t="shared" si="1908"/>
        <v>45</v>
      </c>
      <c r="P1655" s="113">
        <f t="shared" si="1908"/>
        <v>6</v>
      </c>
      <c r="Q1655" s="115">
        <f>(K1655+L1655)/J1655</f>
        <v>7.331378299120235E-3</v>
      </c>
      <c r="R1655" s="116">
        <f t="shared" si="1904"/>
        <v>0.13196480938416422</v>
      </c>
      <c r="S1655" s="116">
        <f t="shared" si="1905"/>
        <v>8.7976539589442824E-3</v>
      </c>
      <c r="T1655" s="116">
        <f t="shared" si="1906"/>
        <v>6.5982404692082108E-2</v>
      </c>
      <c r="U1655" s="117">
        <f t="shared" si="1907"/>
        <v>0.21407624633431083</v>
      </c>
      <c r="V1655" s="127"/>
      <c r="W1655" s="88"/>
      <c r="X1655" s="88"/>
      <c r="Y1655" s="118"/>
    </row>
    <row r="1656" spans="2:25" ht="15.75" hidden="1" x14ac:dyDescent="0.2">
      <c r="B1656" s="711">
        <v>46192</v>
      </c>
      <c r="C1656" s="105" t="s">
        <v>106</v>
      </c>
      <c r="D1656" s="105" t="s">
        <v>13</v>
      </c>
      <c r="E1656" s="711">
        <v>46193</v>
      </c>
      <c r="G1656" s="833">
        <v>46193</v>
      </c>
      <c r="H1656" s="120" t="s">
        <v>75</v>
      </c>
      <c r="I1656" s="120" t="s">
        <v>83</v>
      </c>
      <c r="J1656" s="106">
        <v>232</v>
      </c>
      <c r="K1656" s="106">
        <f>J1656-L1656-M1656-N1656-O1656-P1656</f>
        <v>71</v>
      </c>
      <c r="L1656" s="106">
        <v>55</v>
      </c>
      <c r="M1656" s="106">
        <v>105</v>
      </c>
      <c r="N1656" s="106">
        <v>0</v>
      </c>
      <c r="O1656" s="106">
        <v>0</v>
      </c>
      <c r="P1656" s="106">
        <v>1</v>
      </c>
      <c r="Q1656" s="108">
        <f t="shared" ref="Q1656:Q1659" si="1909">(K1656+L1656)/J1656</f>
        <v>0.5431034482758621</v>
      </c>
      <c r="R1656" s="109">
        <f t="shared" ref="R1656:R1665" si="1910">N1656/J1656</f>
        <v>0</v>
      </c>
      <c r="S1656" s="109">
        <f t="shared" ref="S1656:S1665" si="1911">P1656/J1656</f>
        <v>4.3103448275862068E-3</v>
      </c>
      <c r="T1656" s="109">
        <f t="shared" ref="T1656:T1665" si="1912">O1656/J1656</f>
        <v>0</v>
      </c>
      <c r="U1656" s="110">
        <f t="shared" ref="U1656:U1665" si="1913">S1656+R1656+Q1656+T1656</f>
        <v>0.54741379310344829</v>
      </c>
      <c r="V1656" s="136"/>
    </row>
    <row r="1657" spans="2:25" ht="15.75" hidden="1" x14ac:dyDescent="0.2">
      <c r="B1657" s="711">
        <v>46192</v>
      </c>
      <c r="C1657" s="105" t="s">
        <v>106</v>
      </c>
      <c r="D1657" s="105" t="s">
        <v>13</v>
      </c>
      <c r="E1657" s="711">
        <v>46193</v>
      </c>
      <c r="G1657" s="834"/>
      <c r="H1657" s="120" t="s">
        <v>14</v>
      </c>
      <c r="I1657" s="120" t="s">
        <v>105</v>
      </c>
      <c r="J1657" s="106">
        <v>211</v>
      </c>
      <c r="K1657" s="106">
        <f t="shared" ref="K1657:K1659" si="1914">J1657-L1657-M1657-N1657-O1657-P1657</f>
        <v>0</v>
      </c>
      <c r="L1657" s="106">
        <v>0</v>
      </c>
      <c r="M1657" s="106">
        <v>211</v>
      </c>
      <c r="N1657" s="106">
        <v>0</v>
      </c>
      <c r="O1657" s="106">
        <v>0</v>
      </c>
      <c r="P1657" s="106">
        <v>0</v>
      </c>
      <c r="Q1657" s="108">
        <f t="shared" si="1909"/>
        <v>0</v>
      </c>
      <c r="R1657" s="109">
        <f t="shared" si="1910"/>
        <v>0</v>
      </c>
      <c r="S1657" s="109">
        <f t="shared" si="1911"/>
        <v>0</v>
      </c>
      <c r="T1657" s="109">
        <f t="shared" si="1912"/>
        <v>0</v>
      </c>
      <c r="U1657" s="110">
        <f t="shared" si="1913"/>
        <v>0</v>
      </c>
      <c r="V1657" s="136"/>
    </row>
    <row r="1658" spans="2:25" ht="15.75" hidden="1" x14ac:dyDescent="0.2">
      <c r="B1658" s="711">
        <v>46192</v>
      </c>
      <c r="C1658" s="105" t="s">
        <v>106</v>
      </c>
      <c r="D1658" s="105" t="s">
        <v>13</v>
      </c>
      <c r="E1658" s="711">
        <v>46193</v>
      </c>
      <c r="G1658" s="834"/>
      <c r="H1658" s="120" t="s">
        <v>25</v>
      </c>
      <c r="I1658" s="120" t="s">
        <v>22</v>
      </c>
      <c r="J1658" s="106">
        <v>207</v>
      </c>
      <c r="K1658" s="106">
        <f t="shared" si="1914"/>
        <v>127</v>
      </c>
      <c r="L1658" s="106">
        <v>35</v>
      </c>
      <c r="M1658" s="106">
        <v>35</v>
      </c>
      <c r="N1658" s="106">
        <v>5</v>
      </c>
      <c r="O1658" s="106">
        <v>0</v>
      </c>
      <c r="P1658" s="106">
        <v>5</v>
      </c>
      <c r="Q1658" s="108">
        <f t="shared" si="1909"/>
        <v>0.78260869565217395</v>
      </c>
      <c r="R1658" s="109">
        <f t="shared" si="1910"/>
        <v>2.4154589371980676E-2</v>
      </c>
      <c r="S1658" s="109">
        <f t="shared" si="1911"/>
        <v>2.4154589371980676E-2</v>
      </c>
      <c r="T1658" s="109">
        <f t="shared" si="1912"/>
        <v>0</v>
      </c>
      <c r="U1658" s="110">
        <f t="shared" si="1913"/>
        <v>0.83091787439613529</v>
      </c>
      <c r="V1658" s="136"/>
    </row>
    <row r="1659" spans="2:25" ht="15.75" hidden="1" x14ac:dyDescent="0.2">
      <c r="B1659" s="711">
        <v>46192</v>
      </c>
      <c r="C1659" s="105" t="s">
        <v>106</v>
      </c>
      <c r="D1659" s="105" t="s">
        <v>13</v>
      </c>
      <c r="E1659" s="711">
        <v>46193</v>
      </c>
      <c r="G1659" s="834"/>
      <c r="H1659" s="120" t="s">
        <v>118</v>
      </c>
      <c r="I1659" s="120" t="s">
        <v>22</v>
      </c>
      <c r="J1659" s="106">
        <v>32</v>
      </c>
      <c r="K1659" s="106">
        <f t="shared" si="1914"/>
        <v>0</v>
      </c>
      <c r="L1659" s="106">
        <v>0</v>
      </c>
      <c r="M1659" s="106">
        <v>11</v>
      </c>
      <c r="N1659" s="106">
        <v>21</v>
      </c>
      <c r="O1659" s="106">
        <v>0</v>
      </c>
      <c r="P1659" s="106">
        <v>0</v>
      </c>
      <c r="Q1659" s="108">
        <f t="shared" si="1909"/>
        <v>0</v>
      </c>
      <c r="R1659" s="109">
        <f t="shared" si="1910"/>
        <v>0.65625</v>
      </c>
      <c r="S1659" s="109">
        <f t="shared" si="1911"/>
        <v>0</v>
      </c>
      <c r="T1659" s="109">
        <f t="shared" si="1912"/>
        <v>0</v>
      </c>
      <c r="U1659" s="110">
        <f t="shared" si="1913"/>
        <v>0.65625</v>
      </c>
      <c r="V1659" s="136"/>
    </row>
    <row r="1660" spans="2:25" ht="15.75" hidden="1" x14ac:dyDescent="0.2">
      <c r="B1660" s="711">
        <v>46192</v>
      </c>
      <c r="C1660" s="105" t="s">
        <v>106</v>
      </c>
      <c r="D1660" s="105" t="s">
        <v>13</v>
      </c>
      <c r="E1660" s="711">
        <v>46193</v>
      </c>
      <c r="G1660" s="190"/>
      <c r="H1660" s="840" t="s">
        <v>19</v>
      </c>
      <c r="I1660" s="841"/>
      <c r="J1660" s="113">
        <f t="shared" ref="J1660" si="1915">SUM(J1656:J1659)</f>
        <v>682</v>
      </c>
      <c r="K1660" s="113">
        <f t="shared" ref="K1660" si="1916">SUM(K1656:K1659)</f>
        <v>198</v>
      </c>
      <c r="L1660" s="113">
        <f t="shared" ref="L1660" si="1917">SUM(L1656:L1659)</f>
        <v>90</v>
      </c>
      <c r="M1660" s="113">
        <f t="shared" ref="M1660" si="1918">SUM(M1656:M1659)</f>
        <v>362</v>
      </c>
      <c r="N1660" s="113">
        <f t="shared" ref="N1660" si="1919">SUM(N1656:N1659)</f>
        <v>26</v>
      </c>
      <c r="O1660" s="113">
        <f t="shared" ref="O1660" si="1920">SUM(O1656:O1659)</f>
        <v>0</v>
      </c>
      <c r="P1660" s="113">
        <f t="shared" ref="P1660" si="1921">SUM(P1656:P1659)</f>
        <v>6</v>
      </c>
      <c r="Q1660" s="115">
        <f>(K1660+L1660)/J1660</f>
        <v>0.42228739002932553</v>
      </c>
      <c r="R1660" s="116">
        <f t="shared" si="1910"/>
        <v>3.8123167155425221E-2</v>
      </c>
      <c r="S1660" s="116">
        <f t="shared" si="1911"/>
        <v>8.7976539589442824E-3</v>
      </c>
      <c r="T1660" s="116">
        <f t="shared" si="1912"/>
        <v>0</v>
      </c>
      <c r="U1660" s="117">
        <f t="shared" si="1913"/>
        <v>0.46920821114369504</v>
      </c>
      <c r="V1660" s="127"/>
    </row>
    <row r="1661" spans="2:25" ht="15.75" hidden="1" x14ac:dyDescent="0.2">
      <c r="B1661" s="711">
        <v>46193</v>
      </c>
      <c r="C1661" s="105" t="s">
        <v>106</v>
      </c>
      <c r="D1661" s="105" t="s">
        <v>129</v>
      </c>
      <c r="E1661" s="711">
        <v>46193</v>
      </c>
      <c r="G1661" s="833">
        <v>46193</v>
      </c>
      <c r="H1661" s="120" t="s">
        <v>75</v>
      </c>
      <c r="I1661" s="120" t="s">
        <v>83</v>
      </c>
      <c r="J1661" s="106">
        <f>SUM(K1661:P1661)</f>
        <v>1</v>
      </c>
      <c r="K1661" s="106"/>
      <c r="L1661" s="106"/>
      <c r="M1661" s="106"/>
      <c r="N1661" s="106"/>
      <c r="O1661" s="106"/>
      <c r="P1661" s="106">
        <v>1</v>
      </c>
      <c r="Q1661" s="108">
        <f t="shared" ref="Q1661:Q1663" si="1922">(K1661+L1661)/J1661</f>
        <v>0</v>
      </c>
      <c r="R1661" s="109">
        <f t="shared" si="1910"/>
        <v>0</v>
      </c>
      <c r="S1661" s="109">
        <f t="shared" si="1911"/>
        <v>1</v>
      </c>
      <c r="T1661" s="109">
        <f t="shared" si="1912"/>
        <v>0</v>
      </c>
      <c r="U1661" s="110">
        <f t="shared" si="1913"/>
        <v>1</v>
      </c>
      <c r="V1661" s="136"/>
    </row>
    <row r="1662" spans="2:25" ht="15.75" hidden="1" x14ac:dyDescent="0.2">
      <c r="B1662" s="711">
        <v>46193</v>
      </c>
      <c r="C1662" s="105" t="s">
        <v>106</v>
      </c>
      <c r="D1662" s="105" t="s">
        <v>129</v>
      </c>
      <c r="E1662" s="711">
        <v>46193</v>
      </c>
      <c r="G1662" s="834"/>
      <c r="H1662" s="120" t="s">
        <v>25</v>
      </c>
      <c r="I1662" s="120" t="s">
        <v>22</v>
      </c>
      <c r="J1662" s="106">
        <f t="shared" ref="J1662:J1663" si="1923">SUM(K1662:P1662)</f>
        <v>4</v>
      </c>
      <c r="K1662" s="106"/>
      <c r="L1662" s="106"/>
      <c r="M1662" s="106"/>
      <c r="N1662" s="106"/>
      <c r="O1662" s="106"/>
      <c r="P1662" s="106">
        <v>4</v>
      </c>
      <c r="Q1662" s="108">
        <f t="shared" si="1922"/>
        <v>0</v>
      </c>
      <c r="R1662" s="109">
        <f t="shared" si="1910"/>
        <v>0</v>
      </c>
      <c r="S1662" s="109">
        <f t="shared" si="1911"/>
        <v>1</v>
      </c>
      <c r="T1662" s="109">
        <f t="shared" si="1912"/>
        <v>0</v>
      </c>
      <c r="U1662" s="110">
        <f t="shared" si="1913"/>
        <v>1</v>
      </c>
      <c r="V1662" s="136"/>
    </row>
    <row r="1663" spans="2:25" ht="15.75" hidden="1" x14ac:dyDescent="0.2">
      <c r="B1663" s="711">
        <v>46193</v>
      </c>
      <c r="C1663" s="105" t="s">
        <v>106</v>
      </c>
      <c r="D1663" s="105" t="s">
        <v>129</v>
      </c>
      <c r="E1663" s="711">
        <v>46193</v>
      </c>
      <c r="G1663" s="834"/>
      <c r="H1663" s="120" t="s">
        <v>118</v>
      </c>
      <c r="I1663" s="120" t="s">
        <v>22</v>
      </c>
      <c r="J1663" s="106">
        <f t="shared" si="1923"/>
        <v>0</v>
      </c>
      <c r="K1663" s="106"/>
      <c r="L1663" s="106"/>
      <c r="M1663" s="106"/>
      <c r="N1663" s="106"/>
      <c r="O1663" s="106"/>
      <c r="P1663" s="106">
        <v>0</v>
      </c>
      <c r="Q1663" s="108" t="e">
        <f t="shared" si="1922"/>
        <v>#DIV/0!</v>
      </c>
      <c r="R1663" s="109" t="e">
        <f t="shared" si="1910"/>
        <v>#DIV/0!</v>
      </c>
      <c r="S1663" s="109" t="e">
        <f t="shared" si="1911"/>
        <v>#DIV/0!</v>
      </c>
      <c r="T1663" s="109" t="e">
        <f t="shared" si="1912"/>
        <v>#DIV/0!</v>
      </c>
      <c r="U1663" s="110" t="e">
        <f t="shared" si="1913"/>
        <v>#DIV/0!</v>
      </c>
      <c r="V1663" s="136"/>
    </row>
    <row r="1664" spans="2:25" ht="15.75" hidden="1" x14ac:dyDescent="0.2">
      <c r="B1664" s="711">
        <v>46193</v>
      </c>
      <c r="C1664" s="105" t="s">
        <v>106</v>
      </c>
      <c r="D1664" s="105" t="s">
        <v>129</v>
      </c>
      <c r="E1664" s="711">
        <v>46193</v>
      </c>
      <c r="G1664" s="834"/>
      <c r="H1664" s="120" t="s">
        <v>14</v>
      </c>
      <c r="I1664" s="120" t="s">
        <v>105</v>
      </c>
      <c r="J1664" s="106">
        <f>187+25</f>
        <v>212</v>
      </c>
      <c r="K1664" s="106"/>
      <c r="L1664" s="106"/>
      <c r="M1664" s="106"/>
      <c r="N1664" s="106"/>
      <c r="O1664" s="106"/>
      <c r="P1664" s="106">
        <v>0</v>
      </c>
      <c r="Q1664" s="108">
        <f t="shared" ref="Q1664" si="1924">(K1664+L1664)/J1664</f>
        <v>0</v>
      </c>
      <c r="R1664" s="109">
        <f t="shared" ref="R1664" si="1925">N1664/J1664</f>
        <v>0</v>
      </c>
      <c r="S1664" s="109">
        <f t="shared" ref="S1664" si="1926">P1664/J1664</f>
        <v>0</v>
      </c>
      <c r="T1664" s="109">
        <f t="shared" ref="T1664" si="1927">O1664/J1664</f>
        <v>0</v>
      </c>
      <c r="U1664" s="110">
        <f t="shared" ref="U1664" si="1928">S1664+R1664+Q1664+T1664</f>
        <v>0</v>
      </c>
      <c r="V1664" s="136"/>
    </row>
    <row r="1665" spans="2:25" s="97" customFormat="1" ht="16.5" hidden="1" customHeight="1" x14ac:dyDescent="0.2">
      <c r="B1665" s="711">
        <v>46193</v>
      </c>
      <c r="C1665" s="105" t="s">
        <v>106</v>
      </c>
      <c r="D1665" s="105" t="s">
        <v>129</v>
      </c>
      <c r="E1665" s="711">
        <v>46193</v>
      </c>
      <c r="F1665" s="89"/>
      <c r="G1665" s="190"/>
      <c r="H1665" s="840" t="s">
        <v>19</v>
      </c>
      <c r="I1665" s="841"/>
      <c r="J1665" s="113">
        <f t="shared" ref="J1665:P1665" si="1929">SUM(J1661:J1664)</f>
        <v>217</v>
      </c>
      <c r="K1665" s="113">
        <f t="shared" si="1929"/>
        <v>0</v>
      </c>
      <c r="L1665" s="113">
        <f t="shared" si="1929"/>
        <v>0</v>
      </c>
      <c r="M1665" s="113">
        <f t="shared" si="1929"/>
        <v>0</v>
      </c>
      <c r="N1665" s="113">
        <f t="shared" si="1929"/>
        <v>0</v>
      </c>
      <c r="O1665" s="113">
        <f t="shared" si="1929"/>
        <v>0</v>
      </c>
      <c r="P1665" s="113">
        <f t="shared" si="1929"/>
        <v>5</v>
      </c>
      <c r="Q1665" s="115">
        <f>(K1665+L1665)/J1665</f>
        <v>0</v>
      </c>
      <c r="R1665" s="116">
        <f t="shared" si="1910"/>
        <v>0</v>
      </c>
      <c r="S1665" s="116">
        <f t="shared" si="1911"/>
        <v>2.3041474654377881E-2</v>
      </c>
      <c r="T1665" s="116">
        <f t="shared" si="1912"/>
        <v>0</v>
      </c>
      <c r="U1665" s="117">
        <f t="shared" si="1913"/>
        <v>2.3041474654377881E-2</v>
      </c>
      <c r="V1665" s="127"/>
      <c r="W1665" s="88"/>
      <c r="X1665" s="88"/>
      <c r="Y1665" s="118"/>
    </row>
    <row r="1666" spans="2:25" ht="15.75" hidden="1" x14ac:dyDescent="0.2">
      <c r="B1666" s="711">
        <v>46193</v>
      </c>
      <c r="C1666" s="105" t="s">
        <v>106</v>
      </c>
      <c r="D1666" s="105" t="s">
        <v>129</v>
      </c>
      <c r="E1666" s="711">
        <v>46193</v>
      </c>
      <c r="G1666" s="833">
        <v>46193</v>
      </c>
      <c r="H1666" s="120" t="s">
        <v>75</v>
      </c>
      <c r="I1666" s="120" t="s">
        <v>83</v>
      </c>
      <c r="J1666" s="106">
        <v>232</v>
      </c>
      <c r="K1666" s="106">
        <f>232-120</f>
        <v>112</v>
      </c>
      <c r="L1666" s="106">
        <v>90</v>
      </c>
      <c r="M1666" s="106">
        <v>5</v>
      </c>
      <c r="N1666" s="106">
        <v>0</v>
      </c>
      <c r="O1666" s="106">
        <v>20</v>
      </c>
      <c r="P1666" s="106">
        <v>5</v>
      </c>
      <c r="Q1666" s="108">
        <f t="shared" ref="Q1666:Q1669" si="1930">(K1666+L1666)/J1666</f>
        <v>0.87068965517241381</v>
      </c>
      <c r="R1666" s="109">
        <f t="shared" ref="R1666:R1670" si="1931">N1666/J1666</f>
        <v>0</v>
      </c>
      <c r="S1666" s="109">
        <f t="shared" ref="S1666:S1670" si="1932">P1666/J1666</f>
        <v>2.1551724137931036E-2</v>
      </c>
      <c r="T1666" s="109">
        <f t="shared" ref="T1666:T1670" si="1933">O1666/J1666</f>
        <v>8.6206896551724144E-2</v>
      </c>
      <c r="U1666" s="110">
        <f t="shared" ref="U1666:U1670" si="1934">S1666+R1666+Q1666+T1666</f>
        <v>0.97844827586206895</v>
      </c>
      <c r="V1666" s="136"/>
    </row>
    <row r="1667" spans="2:25" ht="15.75" hidden="1" x14ac:dyDescent="0.2">
      <c r="B1667" s="711">
        <v>46193</v>
      </c>
      <c r="C1667" s="105" t="s">
        <v>106</v>
      </c>
      <c r="D1667" s="105" t="s">
        <v>129</v>
      </c>
      <c r="E1667" s="711">
        <v>46193</v>
      </c>
      <c r="G1667" s="834"/>
      <c r="H1667" s="120" t="s">
        <v>14</v>
      </c>
      <c r="I1667" s="120" t="s">
        <v>105</v>
      </c>
      <c r="J1667" s="106">
        <v>211</v>
      </c>
      <c r="K1667" s="106">
        <f>211-132</f>
        <v>79</v>
      </c>
      <c r="L1667" s="106">
        <v>21</v>
      </c>
      <c r="M1667" s="106">
        <v>32</v>
      </c>
      <c r="N1667" s="106">
        <v>64</v>
      </c>
      <c r="O1667" s="106">
        <v>11</v>
      </c>
      <c r="P1667" s="106">
        <v>4</v>
      </c>
      <c r="Q1667" s="108">
        <f t="shared" si="1930"/>
        <v>0.47393364928909953</v>
      </c>
      <c r="R1667" s="109">
        <f t="shared" si="1931"/>
        <v>0.30331753554502372</v>
      </c>
      <c r="S1667" s="109">
        <f t="shared" si="1932"/>
        <v>1.8957345971563982E-2</v>
      </c>
      <c r="T1667" s="109">
        <f t="shared" si="1933"/>
        <v>5.2132701421800945E-2</v>
      </c>
      <c r="U1667" s="110">
        <f t="shared" si="1934"/>
        <v>0.84834123222748814</v>
      </c>
      <c r="V1667" s="136"/>
    </row>
    <row r="1668" spans="2:25" ht="15.75" hidden="1" x14ac:dyDescent="0.2">
      <c r="B1668" s="711">
        <v>46193</v>
      </c>
      <c r="C1668" s="105" t="s">
        <v>106</v>
      </c>
      <c r="D1668" s="105" t="s">
        <v>129</v>
      </c>
      <c r="E1668" s="711">
        <v>46193</v>
      </c>
      <c r="G1668" s="834"/>
      <c r="H1668" s="120" t="s">
        <v>25</v>
      </c>
      <c r="I1668" s="120" t="s">
        <v>22</v>
      </c>
      <c r="J1668" s="106">
        <v>207</v>
      </c>
      <c r="K1668" s="106">
        <f>207-65</f>
        <v>142</v>
      </c>
      <c r="L1668" s="106">
        <v>35</v>
      </c>
      <c r="M1668" s="106">
        <v>6</v>
      </c>
      <c r="N1668" s="106">
        <v>0</v>
      </c>
      <c r="O1668" s="106">
        <v>20</v>
      </c>
      <c r="P1668" s="106">
        <v>4</v>
      </c>
      <c r="Q1668" s="108">
        <f t="shared" si="1930"/>
        <v>0.85507246376811596</v>
      </c>
      <c r="R1668" s="109">
        <f t="shared" si="1931"/>
        <v>0</v>
      </c>
      <c r="S1668" s="109">
        <f t="shared" si="1932"/>
        <v>1.932367149758454E-2</v>
      </c>
      <c r="T1668" s="109">
        <f t="shared" si="1933"/>
        <v>9.6618357487922704E-2</v>
      </c>
      <c r="U1668" s="110">
        <f t="shared" si="1934"/>
        <v>0.97101449275362317</v>
      </c>
      <c r="V1668" s="136"/>
    </row>
    <row r="1669" spans="2:25" ht="15.75" hidden="1" x14ac:dyDescent="0.2">
      <c r="B1669" s="711">
        <v>46193</v>
      </c>
      <c r="C1669" s="105" t="s">
        <v>106</v>
      </c>
      <c r="D1669" s="105" t="s">
        <v>129</v>
      </c>
      <c r="E1669" s="711">
        <v>46193</v>
      </c>
      <c r="G1669" s="834"/>
      <c r="H1669" s="120" t="s">
        <v>118</v>
      </c>
      <c r="I1669" s="120" t="s">
        <v>22</v>
      </c>
      <c r="J1669" s="106">
        <v>32</v>
      </c>
      <c r="K1669" s="106">
        <v>15</v>
      </c>
      <c r="L1669" s="106">
        <v>4</v>
      </c>
      <c r="M1669" s="106">
        <v>11</v>
      </c>
      <c r="N1669" s="106">
        <v>0</v>
      </c>
      <c r="O1669" s="106">
        <v>0</v>
      </c>
      <c r="P1669" s="106">
        <v>2</v>
      </c>
      <c r="Q1669" s="108">
        <f t="shared" si="1930"/>
        <v>0.59375</v>
      </c>
      <c r="R1669" s="109">
        <f t="shared" si="1931"/>
        <v>0</v>
      </c>
      <c r="S1669" s="109">
        <f t="shared" si="1932"/>
        <v>6.25E-2</v>
      </c>
      <c r="T1669" s="109">
        <f t="shared" si="1933"/>
        <v>0</v>
      </c>
      <c r="U1669" s="110">
        <f t="shared" si="1934"/>
        <v>0.65625</v>
      </c>
      <c r="V1669" s="136"/>
    </row>
    <row r="1670" spans="2:25" s="97" customFormat="1" ht="16.5" hidden="1" customHeight="1" x14ac:dyDescent="0.2">
      <c r="B1670" s="711">
        <v>46193</v>
      </c>
      <c r="C1670" s="105" t="s">
        <v>106</v>
      </c>
      <c r="D1670" s="105" t="s">
        <v>129</v>
      </c>
      <c r="E1670" s="711">
        <v>46193</v>
      </c>
      <c r="F1670" s="89"/>
      <c r="G1670" s="190"/>
      <c r="H1670" s="840" t="s">
        <v>19</v>
      </c>
      <c r="I1670" s="841"/>
      <c r="J1670" s="113">
        <f t="shared" ref="J1670" si="1935">SUM(J1666:J1669)</f>
        <v>682</v>
      </c>
      <c r="K1670" s="113">
        <f t="shared" ref="K1670" si="1936">SUM(K1666:K1669)</f>
        <v>348</v>
      </c>
      <c r="L1670" s="113">
        <f t="shared" ref="L1670" si="1937">SUM(L1666:L1669)</f>
        <v>150</v>
      </c>
      <c r="M1670" s="113">
        <f t="shared" ref="M1670" si="1938">SUM(M1666:M1669)</f>
        <v>54</v>
      </c>
      <c r="N1670" s="113">
        <f t="shared" ref="N1670" si="1939">SUM(N1666:N1669)</f>
        <v>64</v>
      </c>
      <c r="O1670" s="113">
        <f t="shared" ref="O1670" si="1940">SUM(O1666:O1669)</f>
        <v>51</v>
      </c>
      <c r="P1670" s="113">
        <f t="shared" ref="P1670" si="1941">SUM(P1666:P1669)</f>
        <v>15</v>
      </c>
      <c r="Q1670" s="115">
        <f>(K1670+L1670)/J1670</f>
        <v>0.73020527859237538</v>
      </c>
      <c r="R1670" s="116">
        <f t="shared" si="1931"/>
        <v>9.3841642228739003E-2</v>
      </c>
      <c r="S1670" s="116">
        <f t="shared" si="1932"/>
        <v>2.1994134897360705E-2</v>
      </c>
      <c r="T1670" s="116">
        <f t="shared" si="1933"/>
        <v>7.4780058651026396E-2</v>
      </c>
      <c r="U1670" s="117">
        <f t="shared" si="1934"/>
        <v>0.92082111436950154</v>
      </c>
      <c r="V1670" s="127"/>
      <c r="W1670" s="88"/>
      <c r="X1670" s="88"/>
      <c r="Y1670" s="118"/>
    </row>
    <row r="1671" spans="2:25" ht="15.75" hidden="1" x14ac:dyDescent="0.2">
      <c r="B1671" s="711">
        <v>46193</v>
      </c>
      <c r="C1671" s="105" t="s">
        <v>106</v>
      </c>
      <c r="D1671" s="105" t="s">
        <v>129</v>
      </c>
      <c r="E1671" s="711">
        <v>46195</v>
      </c>
      <c r="G1671" s="830">
        <v>46195</v>
      </c>
      <c r="H1671" s="120" t="s">
        <v>75</v>
      </c>
      <c r="I1671" s="120" t="s">
        <v>15</v>
      </c>
      <c r="J1671" s="106">
        <v>233</v>
      </c>
      <c r="K1671" s="106">
        <v>0</v>
      </c>
      <c r="L1671" s="106">
        <v>0</v>
      </c>
      <c r="M1671" s="106">
        <v>231</v>
      </c>
      <c r="N1671" s="106">
        <v>0</v>
      </c>
      <c r="O1671" s="106">
        <v>0</v>
      </c>
      <c r="P1671" s="106">
        <v>1</v>
      </c>
      <c r="Q1671" s="108">
        <f t="shared" ref="Q1671:Q1673" si="1942">(K1671+L1671)/J1671</f>
        <v>0</v>
      </c>
      <c r="R1671" s="109">
        <f t="shared" ref="R1671:R1674" si="1943">N1671/J1671</f>
        <v>0</v>
      </c>
      <c r="S1671" s="109">
        <f t="shared" ref="S1671:S1674" si="1944">P1671/J1671</f>
        <v>4.2918454935622317E-3</v>
      </c>
      <c r="T1671" s="109">
        <f t="shared" ref="T1671:T1674" si="1945">O1671/J1671</f>
        <v>0</v>
      </c>
      <c r="U1671" s="110">
        <f t="shared" ref="U1671:U1674" si="1946">S1671+R1671+Q1671+T1671</f>
        <v>4.2918454935622317E-3</v>
      </c>
      <c r="V1671" s="136"/>
    </row>
    <row r="1672" spans="2:25" ht="15.75" hidden="1" x14ac:dyDescent="0.2">
      <c r="B1672" s="711">
        <v>46193</v>
      </c>
      <c r="C1672" s="105" t="s">
        <v>106</v>
      </c>
      <c r="D1672" s="105" t="s">
        <v>129</v>
      </c>
      <c r="E1672" s="711">
        <v>46195</v>
      </c>
      <c r="G1672" s="831"/>
      <c r="H1672" s="120" t="s">
        <v>14</v>
      </c>
      <c r="I1672" s="120" t="s">
        <v>18</v>
      </c>
      <c r="J1672" s="106">
        <v>180</v>
      </c>
      <c r="K1672" s="106">
        <v>0</v>
      </c>
      <c r="L1672" s="106">
        <v>0</v>
      </c>
      <c r="M1672" s="106">
        <v>180</v>
      </c>
      <c r="N1672" s="106">
        <v>0</v>
      </c>
      <c r="O1672" s="106">
        <v>0</v>
      </c>
      <c r="P1672" s="106">
        <v>0</v>
      </c>
      <c r="Q1672" s="108">
        <f t="shared" si="1942"/>
        <v>0</v>
      </c>
      <c r="R1672" s="109">
        <f t="shared" si="1943"/>
        <v>0</v>
      </c>
      <c r="S1672" s="109">
        <f t="shared" si="1944"/>
        <v>0</v>
      </c>
      <c r="T1672" s="109">
        <f t="shared" si="1945"/>
        <v>0</v>
      </c>
      <c r="U1672" s="110">
        <f t="shared" si="1946"/>
        <v>0</v>
      </c>
      <c r="V1672" s="136"/>
    </row>
    <row r="1673" spans="2:25" ht="15.75" hidden="1" x14ac:dyDescent="0.2">
      <c r="B1673" s="711">
        <v>46193</v>
      </c>
      <c r="C1673" s="105" t="s">
        <v>106</v>
      </c>
      <c r="D1673" s="105" t="s">
        <v>129</v>
      </c>
      <c r="E1673" s="711">
        <v>46195</v>
      </c>
      <c r="G1673" s="831"/>
      <c r="H1673" s="120" t="s">
        <v>17</v>
      </c>
      <c r="I1673" s="120" t="s">
        <v>22</v>
      </c>
      <c r="J1673" s="106">
        <v>201</v>
      </c>
      <c r="K1673" s="106">
        <v>8</v>
      </c>
      <c r="L1673" s="106">
        <v>10</v>
      </c>
      <c r="M1673" s="106">
        <f>201-65</f>
        <v>136</v>
      </c>
      <c r="N1673" s="106">
        <v>20</v>
      </c>
      <c r="O1673" s="106">
        <v>23</v>
      </c>
      <c r="P1673" s="106">
        <v>4</v>
      </c>
      <c r="Q1673" s="108">
        <f t="shared" si="1942"/>
        <v>8.9552238805970144E-2</v>
      </c>
      <c r="R1673" s="109">
        <f t="shared" si="1943"/>
        <v>9.950248756218906E-2</v>
      </c>
      <c r="S1673" s="109">
        <f t="shared" si="1944"/>
        <v>1.9900497512437811E-2</v>
      </c>
      <c r="T1673" s="109">
        <f t="shared" si="1945"/>
        <v>0.11442786069651742</v>
      </c>
      <c r="U1673" s="110">
        <f t="shared" si="1946"/>
        <v>0.3233830845771144</v>
      </c>
      <c r="V1673" s="136"/>
    </row>
    <row r="1674" spans="2:25" s="97" customFormat="1" ht="16.5" hidden="1" customHeight="1" x14ac:dyDescent="0.2">
      <c r="B1674" s="711">
        <v>46193</v>
      </c>
      <c r="C1674" s="105" t="s">
        <v>106</v>
      </c>
      <c r="D1674" s="105" t="s">
        <v>129</v>
      </c>
      <c r="E1674" s="711">
        <v>46195</v>
      </c>
      <c r="F1674" s="89"/>
      <c r="G1674" s="190"/>
      <c r="H1674" s="840" t="s">
        <v>19</v>
      </c>
      <c r="I1674" s="841"/>
      <c r="J1674" s="113">
        <f t="shared" ref="J1674:P1674" si="1947">SUM(J1671:J1673)</f>
        <v>614</v>
      </c>
      <c r="K1674" s="113">
        <f t="shared" si="1947"/>
        <v>8</v>
      </c>
      <c r="L1674" s="113">
        <f t="shared" si="1947"/>
        <v>10</v>
      </c>
      <c r="M1674" s="113">
        <f t="shared" si="1947"/>
        <v>547</v>
      </c>
      <c r="N1674" s="113">
        <f t="shared" si="1947"/>
        <v>20</v>
      </c>
      <c r="O1674" s="113">
        <f t="shared" si="1947"/>
        <v>23</v>
      </c>
      <c r="P1674" s="113">
        <f t="shared" si="1947"/>
        <v>5</v>
      </c>
      <c r="Q1674" s="115">
        <f>(K1674+L1674)/J1674</f>
        <v>2.9315960912052116E-2</v>
      </c>
      <c r="R1674" s="116">
        <f t="shared" si="1943"/>
        <v>3.2573289902280131E-2</v>
      </c>
      <c r="S1674" s="116">
        <f t="shared" si="1944"/>
        <v>8.1433224755700327E-3</v>
      </c>
      <c r="T1674" s="116">
        <f t="shared" si="1945"/>
        <v>3.7459283387622153E-2</v>
      </c>
      <c r="U1674" s="117">
        <f t="shared" si="1946"/>
        <v>0.10749185667752444</v>
      </c>
      <c r="V1674" s="127"/>
      <c r="W1674" s="88"/>
      <c r="X1674" s="88"/>
      <c r="Y1674" s="118"/>
    </row>
    <row r="1675" spans="2:25" ht="15.75" hidden="1" x14ac:dyDescent="0.2">
      <c r="B1675" s="711">
        <v>46193</v>
      </c>
      <c r="C1675" s="105" t="s">
        <v>18</v>
      </c>
      <c r="D1675" s="105" t="s">
        <v>13</v>
      </c>
      <c r="E1675" s="711">
        <v>46195</v>
      </c>
      <c r="G1675" s="830">
        <v>46195</v>
      </c>
      <c r="H1675" s="120" t="s">
        <v>75</v>
      </c>
      <c r="I1675" s="120" t="s">
        <v>15</v>
      </c>
      <c r="J1675" s="106">
        <v>233</v>
      </c>
      <c r="K1675" s="106">
        <f>J1675-L1675-M1675-N1675-O1675-P1675</f>
        <v>70</v>
      </c>
      <c r="L1675" s="106">
        <v>20</v>
      </c>
      <c r="M1675" s="106">
        <v>142</v>
      </c>
      <c r="N1675" s="106">
        <v>0</v>
      </c>
      <c r="O1675" s="106">
        <v>0</v>
      </c>
      <c r="P1675" s="106">
        <v>1</v>
      </c>
      <c r="Q1675" s="108">
        <f t="shared" ref="Q1675:Q1677" si="1948">(K1675+L1675)/J1675</f>
        <v>0.38626609442060084</v>
      </c>
      <c r="R1675" s="109">
        <f t="shared" ref="R1675:R1678" si="1949">N1675/J1675</f>
        <v>0</v>
      </c>
      <c r="S1675" s="109">
        <f t="shared" ref="S1675:S1678" si="1950">P1675/J1675</f>
        <v>4.2918454935622317E-3</v>
      </c>
      <c r="T1675" s="109">
        <f t="shared" ref="T1675:T1678" si="1951">O1675/J1675</f>
        <v>0</v>
      </c>
      <c r="U1675" s="110">
        <f t="shared" ref="U1675:U1678" si="1952">S1675+R1675+Q1675+T1675</f>
        <v>0.39055793991416304</v>
      </c>
      <c r="V1675" s="136"/>
    </row>
    <row r="1676" spans="2:25" ht="15.75" hidden="1" x14ac:dyDescent="0.2">
      <c r="B1676" s="711">
        <v>46193</v>
      </c>
      <c r="C1676" s="105" t="s">
        <v>18</v>
      </c>
      <c r="D1676" s="105" t="s">
        <v>13</v>
      </c>
      <c r="E1676" s="711">
        <v>46195</v>
      </c>
      <c r="G1676" s="831"/>
      <c r="H1676" s="120" t="s">
        <v>14</v>
      </c>
      <c r="I1676" s="120" t="s">
        <v>18</v>
      </c>
      <c r="J1676" s="106">
        <v>180</v>
      </c>
      <c r="K1676" s="106">
        <f t="shared" ref="K1676:K1677" si="1953">J1676-L1676-M1676-N1676-O1676-P1676</f>
        <v>78</v>
      </c>
      <c r="L1676" s="106">
        <v>28</v>
      </c>
      <c r="M1676" s="106">
        <v>64</v>
      </c>
      <c r="N1676" s="106">
        <v>0</v>
      </c>
      <c r="O1676" s="106">
        <v>0</v>
      </c>
      <c r="P1676" s="106">
        <v>10</v>
      </c>
      <c r="Q1676" s="108">
        <f t="shared" si="1948"/>
        <v>0.58888888888888891</v>
      </c>
      <c r="R1676" s="109">
        <f t="shared" si="1949"/>
        <v>0</v>
      </c>
      <c r="S1676" s="109">
        <f t="shared" si="1950"/>
        <v>5.5555555555555552E-2</v>
      </c>
      <c r="T1676" s="109">
        <f t="shared" si="1951"/>
        <v>0</v>
      </c>
      <c r="U1676" s="110">
        <f t="shared" si="1952"/>
        <v>0.64444444444444449</v>
      </c>
      <c r="V1676" s="136"/>
    </row>
    <row r="1677" spans="2:25" ht="15.75" hidden="1" x14ac:dyDescent="0.2">
      <c r="B1677" s="711">
        <v>46193</v>
      </c>
      <c r="C1677" s="105" t="s">
        <v>18</v>
      </c>
      <c r="D1677" s="105" t="s">
        <v>13</v>
      </c>
      <c r="E1677" s="711">
        <v>46195</v>
      </c>
      <c r="G1677" s="831"/>
      <c r="H1677" s="120" t="s">
        <v>17</v>
      </c>
      <c r="I1677" s="120" t="s">
        <v>22</v>
      </c>
      <c r="J1677" s="106">
        <v>201</v>
      </c>
      <c r="K1677" s="106">
        <f t="shared" si="1953"/>
        <v>38</v>
      </c>
      <c r="L1677" s="106">
        <v>10</v>
      </c>
      <c r="M1677" s="106">
        <v>79</v>
      </c>
      <c r="N1677" s="106">
        <v>70</v>
      </c>
      <c r="O1677" s="106">
        <v>0</v>
      </c>
      <c r="P1677" s="106">
        <v>4</v>
      </c>
      <c r="Q1677" s="108">
        <f t="shared" si="1948"/>
        <v>0.23880597014925373</v>
      </c>
      <c r="R1677" s="109">
        <f t="shared" si="1949"/>
        <v>0.34825870646766172</v>
      </c>
      <c r="S1677" s="109">
        <f t="shared" si="1950"/>
        <v>1.9900497512437811E-2</v>
      </c>
      <c r="T1677" s="109">
        <f t="shared" si="1951"/>
        <v>0</v>
      </c>
      <c r="U1677" s="110">
        <f t="shared" si="1952"/>
        <v>0.60696517412935325</v>
      </c>
      <c r="V1677" s="136"/>
    </row>
    <row r="1678" spans="2:25" ht="15.75" hidden="1" x14ac:dyDescent="0.2">
      <c r="B1678" s="711">
        <v>46193</v>
      </c>
      <c r="C1678" s="105" t="s">
        <v>18</v>
      </c>
      <c r="D1678" s="105" t="s">
        <v>13</v>
      </c>
      <c r="E1678" s="711">
        <v>46195</v>
      </c>
      <c r="G1678" s="190"/>
      <c r="H1678" s="840" t="s">
        <v>19</v>
      </c>
      <c r="I1678" s="841"/>
      <c r="J1678" s="113">
        <f t="shared" ref="J1678" si="1954">SUM(J1675:J1677)</f>
        <v>614</v>
      </c>
      <c r="K1678" s="113">
        <f t="shared" ref="K1678" si="1955">SUM(K1675:K1677)</f>
        <v>186</v>
      </c>
      <c r="L1678" s="113">
        <f t="shared" ref="L1678" si="1956">SUM(L1675:L1677)</f>
        <v>58</v>
      </c>
      <c r="M1678" s="113">
        <f t="shared" ref="M1678" si="1957">SUM(M1675:M1677)</f>
        <v>285</v>
      </c>
      <c r="N1678" s="113">
        <f t="shared" ref="N1678" si="1958">SUM(N1675:N1677)</f>
        <v>70</v>
      </c>
      <c r="O1678" s="113">
        <f t="shared" ref="O1678" si="1959">SUM(O1675:O1677)</f>
        <v>0</v>
      </c>
      <c r="P1678" s="113">
        <f t="shared" ref="P1678" si="1960">SUM(P1675:P1677)</f>
        <v>15</v>
      </c>
      <c r="Q1678" s="115">
        <f>(K1678+L1678)/J1678</f>
        <v>0.3973941368078176</v>
      </c>
      <c r="R1678" s="116">
        <f t="shared" si="1949"/>
        <v>0.11400651465798045</v>
      </c>
      <c r="S1678" s="116">
        <f t="shared" si="1950"/>
        <v>2.4429967426710098E-2</v>
      </c>
      <c r="T1678" s="116">
        <f t="shared" si="1951"/>
        <v>0</v>
      </c>
      <c r="U1678" s="117">
        <f t="shared" si="1952"/>
        <v>0.53583061889250816</v>
      </c>
      <c r="V1678" s="127"/>
    </row>
    <row r="1679" spans="2:25" ht="15.75" hidden="1" x14ac:dyDescent="0.2">
      <c r="B1679" s="711">
        <v>46195</v>
      </c>
      <c r="C1679" s="105" t="s">
        <v>106</v>
      </c>
      <c r="D1679" s="105" t="s">
        <v>131</v>
      </c>
      <c r="E1679" s="711">
        <v>46195</v>
      </c>
      <c r="G1679" s="830">
        <v>46195</v>
      </c>
      <c r="H1679" s="120" t="s">
        <v>75</v>
      </c>
      <c r="I1679" s="120" t="s">
        <v>15</v>
      </c>
      <c r="J1679" s="106">
        <v>233</v>
      </c>
      <c r="K1679" s="106">
        <v>172</v>
      </c>
      <c r="L1679" s="106">
        <v>38</v>
      </c>
      <c r="M1679" s="106">
        <v>4</v>
      </c>
      <c r="N1679" s="106">
        <v>0</v>
      </c>
      <c r="O1679" s="106">
        <v>18</v>
      </c>
      <c r="P1679" s="106">
        <v>1</v>
      </c>
      <c r="Q1679" s="108">
        <f t="shared" ref="Q1679:Q1681" si="1961">(K1679+L1679)/J1679</f>
        <v>0.90128755364806867</v>
      </c>
      <c r="R1679" s="109">
        <f t="shared" ref="R1679:R1682" si="1962">N1679/J1679</f>
        <v>0</v>
      </c>
      <c r="S1679" s="109">
        <f t="shared" ref="S1679:S1682" si="1963">P1679/J1679</f>
        <v>4.2918454935622317E-3</v>
      </c>
      <c r="T1679" s="109">
        <f t="shared" ref="T1679:T1682" si="1964">O1679/J1679</f>
        <v>7.7253218884120178E-2</v>
      </c>
      <c r="U1679" s="110">
        <f t="shared" ref="U1679:U1682" si="1965">S1679+R1679+Q1679+T1679</f>
        <v>0.98283261802575106</v>
      </c>
      <c r="V1679" s="136"/>
    </row>
    <row r="1680" spans="2:25" ht="15.75" hidden="1" x14ac:dyDescent="0.2">
      <c r="B1680" s="711">
        <v>46195</v>
      </c>
      <c r="C1680" s="105" t="s">
        <v>106</v>
      </c>
      <c r="D1680" s="105" t="s">
        <v>131</v>
      </c>
      <c r="E1680" s="711">
        <v>46195</v>
      </c>
      <c r="G1680" s="831"/>
      <c r="H1680" s="120" t="s">
        <v>14</v>
      </c>
      <c r="I1680" s="120" t="s">
        <v>18</v>
      </c>
      <c r="J1680" s="106">
        <v>180</v>
      </c>
      <c r="K1680" s="106">
        <f t="shared" ref="K1680:K1681" si="1966">J1680-L1680-M1680-N1680-O1680-P1680</f>
        <v>127</v>
      </c>
      <c r="L1680" s="106">
        <v>28</v>
      </c>
      <c r="M1680" s="106">
        <v>0</v>
      </c>
      <c r="N1680" s="106">
        <v>0</v>
      </c>
      <c r="O1680" s="106">
        <v>15</v>
      </c>
      <c r="P1680" s="106">
        <v>10</v>
      </c>
      <c r="Q1680" s="108">
        <f t="shared" si="1961"/>
        <v>0.86111111111111116</v>
      </c>
      <c r="R1680" s="109">
        <f t="shared" si="1962"/>
        <v>0</v>
      </c>
      <c r="S1680" s="109">
        <f t="shared" si="1963"/>
        <v>5.5555555555555552E-2</v>
      </c>
      <c r="T1680" s="109">
        <f t="shared" si="1964"/>
        <v>8.3333333333333329E-2</v>
      </c>
      <c r="U1680" s="110">
        <f t="shared" si="1965"/>
        <v>1</v>
      </c>
      <c r="V1680" s="136"/>
    </row>
    <row r="1681" spans="2:22" ht="15.75" hidden="1" x14ac:dyDescent="0.2">
      <c r="B1681" s="711">
        <v>46195</v>
      </c>
      <c r="C1681" s="105" t="s">
        <v>106</v>
      </c>
      <c r="D1681" s="105" t="s">
        <v>131</v>
      </c>
      <c r="E1681" s="711">
        <v>46195</v>
      </c>
      <c r="G1681" s="831"/>
      <c r="H1681" s="120" t="s">
        <v>17</v>
      </c>
      <c r="I1681" s="120" t="s">
        <v>22</v>
      </c>
      <c r="J1681" s="106">
        <v>201</v>
      </c>
      <c r="K1681" s="106">
        <f t="shared" si="1966"/>
        <v>146</v>
      </c>
      <c r="L1681" s="106">
        <v>26</v>
      </c>
      <c r="M1681" s="106">
        <v>3</v>
      </c>
      <c r="N1681" s="107">
        <v>0</v>
      </c>
      <c r="O1681" s="106">
        <v>22</v>
      </c>
      <c r="P1681" s="106">
        <v>4</v>
      </c>
      <c r="Q1681" s="108">
        <f t="shared" si="1961"/>
        <v>0.85572139303482586</v>
      </c>
      <c r="R1681" s="109">
        <f t="shared" si="1962"/>
        <v>0</v>
      </c>
      <c r="S1681" s="109">
        <f t="shared" si="1963"/>
        <v>1.9900497512437811E-2</v>
      </c>
      <c r="T1681" s="109">
        <f t="shared" si="1964"/>
        <v>0.10945273631840796</v>
      </c>
      <c r="U1681" s="110">
        <f t="shared" si="1965"/>
        <v>0.9850746268656716</v>
      </c>
      <c r="V1681" s="136"/>
    </row>
    <row r="1682" spans="2:22" ht="15.75" hidden="1" x14ac:dyDescent="0.2">
      <c r="B1682" s="711">
        <v>46195</v>
      </c>
      <c r="C1682" s="105" t="s">
        <v>106</v>
      </c>
      <c r="D1682" s="105" t="s">
        <v>131</v>
      </c>
      <c r="E1682" s="711">
        <v>46195</v>
      </c>
      <c r="G1682" s="190"/>
      <c r="H1682" s="840" t="s">
        <v>19</v>
      </c>
      <c r="I1682" s="841"/>
      <c r="J1682" s="113">
        <f t="shared" ref="J1682:P1682" si="1967">SUM(J1679:J1681)</f>
        <v>614</v>
      </c>
      <c r="K1682" s="113">
        <f t="shared" si="1967"/>
        <v>445</v>
      </c>
      <c r="L1682" s="113">
        <f t="shared" si="1967"/>
        <v>92</v>
      </c>
      <c r="M1682" s="113">
        <f t="shared" si="1967"/>
        <v>7</v>
      </c>
      <c r="N1682" s="113">
        <f t="shared" si="1967"/>
        <v>0</v>
      </c>
      <c r="O1682" s="113">
        <f t="shared" si="1967"/>
        <v>55</v>
      </c>
      <c r="P1682" s="113">
        <f t="shared" si="1967"/>
        <v>15</v>
      </c>
      <c r="Q1682" s="115">
        <f>(K1682+L1682)/J1682</f>
        <v>0.87459283387622155</v>
      </c>
      <c r="R1682" s="116">
        <f t="shared" si="1962"/>
        <v>0</v>
      </c>
      <c r="S1682" s="116">
        <f t="shared" si="1963"/>
        <v>2.4429967426710098E-2</v>
      </c>
      <c r="T1682" s="116">
        <f t="shared" si="1964"/>
        <v>8.9576547231270356E-2</v>
      </c>
      <c r="U1682" s="117">
        <f t="shared" si="1965"/>
        <v>0.98859934853420206</v>
      </c>
      <c r="V1682" s="127"/>
    </row>
    <row r="1683" spans="2:22" ht="15.75" hidden="1" x14ac:dyDescent="0.2">
      <c r="B1683" s="711">
        <v>46195</v>
      </c>
      <c r="C1683" s="105" t="s">
        <v>106</v>
      </c>
      <c r="D1683" s="105" t="s">
        <v>131</v>
      </c>
      <c r="E1683" s="711">
        <v>46196</v>
      </c>
      <c r="G1683" s="830">
        <v>46196</v>
      </c>
      <c r="H1683" s="120" t="s">
        <v>75</v>
      </c>
      <c r="I1683" s="120" t="s">
        <v>15</v>
      </c>
      <c r="J1683" s="106">
        <v>230</v>
      </c>
      <c r="K1683" s="106">
        <v>0</v>
      </c>
      <c r="L1683" s="106">
        <v>0</v>
      </c>
      <c r="M1683" s="106">
        <v>210</v>
      </c>
      <c r="N1683" s="106">
        <v>0</v>
      </c>
      <c r="O1683" s="106">
        <v>20</v>
      </c>
      <c r="P1683" s="106">
        <v>0</v>
      </c>
      <c r="Q1683" s="108">
        <f t="shared" ref="Q1683:Q1686" si="1968">(K1683+L1683)/J1683</f>
        <v>0</v>
      </c>
      <c r="R1683" s="109">
        <f t="shared" ref="R1683:R1687" si="1969">N1683/J1683</f>
        <v>0</v>
      </c>
      <c r="S1683" s="109">
        <f t="shared" ref="S1683:S1687" si="1970">P1683/J1683</f>
        <v>0</v>
      </c>
      <c r="T1683" s="109">
        <f t="shared" ref="T1683:T1687" si="1971">O1683/J1683</f>
        <v>8.6956521739130432E-2</v>
      </c>
      <c r="U1683" s="110">
        <f t="shared" ref="U1683:U1687" si="1972">S1683+R1683+Q1683+T1683</f>
        <v>8.6956521739130432E-2</v>
      </c>
      <c r="V1683" s="136"/>
    </row>
    <row r="1684" spans="2:22" ht="15.75" hidden="1" x14ac:dyDescent="0.2">
      <c r="B1684" s="711">
        <v>46195</v>
      </c>
      <c r="C1684" s="105" t="s">
        <v>106</v>
      </c>
      <c r="D1684" s="105" t="s">
        <v>131</v>
      </c>
      <c r="E1684" s="711">
        <v>46196</v>
      </c>
      <c r="G1684" s="831"/>
      <c r="H1684" s="120" t="s">
        <v>14</v>
      </c>
      <c r="I1684" s="120" t="s">
        <v>149</v>
      </c>
      <c r="J1684" s="106">
        <v>204</v>
      </c>
      <c r="K1684" s="106">
        <f t="shared" ref="K1684" si="1973">J1684-L1684-M1684-N1684-O1684-P1684</f>
        <v>0</v>
      </c>
      <c r="L1684" s="106">
        <v>0</v>
      </c>
      <c r="M1684" s="106">
        <v>45</v>
      </c>
      <c r="N1684" s="107">
        <v>133</v>
      </c>
      <c r="O1684" s="106">
        <v>17</v>
      </c>
      <c r="P1684" s="106">
        <v>9</v>
      </c>
      <c r="Q1684" s="108">
        <f t="shared" si="1968"/>
        <v>0</v>
      </c>
      <c r="R1684" s="109">
        <f t="shared" si="1969"/>
        <v>0.65196078431372551</v>
      </c>
      <c r="S1684" s="109">
        <f t="shared" si="1970"/>
        <v>4.4117647058823532E-2</v>
      </c>
      <c r="T1684" s="109">
        <f t="shared" si="1971"/>
        <v>8.3333333333333329E-2</v>
      </c>
      <c r="U1684" s="110">
        <f t="shared" si="1972"/>
        <v>0.77941176470588236</v>
      </c>
      <c r="V1684" s="136"/>
    </row>
    <row r="1685" spans="2:22" ht="15.75" hidden="1" x14ac:dyDescent="0.2">
      <c r="B1685" s="711">
        <v>46195</v>
      </c>
      <c r="C1685" s="105" t="s">
        <v>106</v>
      </c>
      <c r="D1685" s="105" t="s">
        <v>131</v>
      </c>
      <c r="E1685" s="711">
        <v>46196</v>
      </c>
      <c r="G1685" s="831"/>
      <c r="H1685" s="120" t="s">
        <v>118</v>
      </c>
      <c r="I1685" s="120" t="s">
        <v>43</v>
      </c>
      <c r="J1685" s="106">
        <v>62</v>
      </c>
      <c r="K1685" s="106">
        <v>0</v>
      </c>
      <c r="L1685" s="106">
        <v>0</v>
      </c>
      <c r="M1685" s="106">
        <v>62</v>
      </c>
      <c r="N1685" s="106">
        <v>0</v>
      </c>
      <c r="O1685" s="106">
        <v>0</v>
      </c>
      <c r="P1685" s="106">
        <v>0</v>
      </c>
      <c r="Q1685" s="108">
        <f t="shared" ref="Q1685" si="1974">(K1685+L1685)/J1685</f>
        <v>0</v>
      </c>
      <c r="R1685" s="109">
        <f t="shared" ref="R1685" si="1975">N1685/J1685</f>
        <v>0</v>
      </c>
      <c r="S1685" s="109">
        <f t="shared" ref="S1685" si="1976">P1685/J1685</f>
        <v>0</v>
      </c>
      <c r="T1685" s="109">
        <f t="shared" ref="T1685" si="1977">O1685/J1685</f>
        <v>0</v>
      </c>
      <c r="U1685" s="110">
        <f t="shared" ref="U1685" si="1978">S1685+R1685+Q1685+T1685</f>
        <v>0</v>
      </c>
      <c r="V1685" s="136"/>
    </row>
    <row r="1686" spans="2:22" ht="15.75" hidden="1" x14ac:dyDescent="0.2">
      <c r="B1686" s="711">
        <v>46195</v>
      </c>
      <c r="C1686" s="105" t="s">
        <v>106</v>
      </c>
      <c r="D1686" s="105" t="s">
        <v>131</v>
      </c>
      <c r="E1686" s="711">
        <v>46196</v>
      </c>
      <c r="G1686" s="831"/>
      <c r="H1686" s="120" t="s">
        <v>25</v>
      </c>
      <c r="I1686" s="120" t="s">
        <v>105</v>
      </c>
      <c r="J1686" s="106">
        <v>192</v>
      </c>
      <c r="K1686" s="106">
        <v>0</v>
      </c>
      <c r="L1686" s="106">
        <v>0</v>
      </c>
      <c r="M1686" s="106">
        <v>192</v>
      </c>
      <c r="N1686" s="106">
        <v>0</v>
      </c>
      <c r="O1686" s="106">
        <v>0</v>
      </c>
      <c r="P1686" s="106">
        <v>0</v>
      </c>
      <c r="Q1686" s="108">
        <f t="shared" si="1968"/>
        <v>0</v>
      </c>
      <c r="R1686" s="109">
        <f t="shared" si="1969"/>
        <v>0</v>
      </c>
      <c r="S1686" s="109">
        <f t="shared" si="1970"/>
        <v>0</v>
      </c>
      <c r="T1686" s="109">
        <f t="shared" si="1971"/>
        <v>0</v>
      </c>
      <c r="U1686" s="110">
        <f t="shared" si="1972"/>
        <v>0</v>
      </c>
      <c r="V1686" s="136"/>
    </row>
    <row r="1687" spans="2:22" ht="15.75" hidden="1" x14ac:dyDescent="0.2">
      <c r="B1687" s="711">
        <v>46195</v>
      </c>
      <c r="C1687" s="105" t="s">
        <v>106</v>
      </c>
      <c r="D1687" s="105" t="s">
        <v>131</v>
      </c>
      <c r="E1687" s="711">
        <v>46196</v>
      </c>
      <c r="G1687" s="190"/>
      <c r="H1687" s="840" t="s">
        <v>19</v>
      </c>
      <c r="I1687" s="841"/>
      <c r="J1687" s="113">
        <f t="shared" ref="J1687:P1687" si="1979">SUM(J1683:J1686)</f>
        <v>688</v>
      </c>
      <c r="K1687" s="113">
        <f t="shared" si="1979"/>
        <v>0</v>
      </c>
      <c r="L1687" s="113">
        <f t="shared" si="1979"/>
        <v>0</v>
      </c>
      <c r="M1687" s="113">
        <f t="shared" si="1979"/>
        <v>509</v>
      </c>
      <c r="N1687" s="113">
        <f t="shared" si="1979"/>
        <v>133</v>
      </c>
      <c r="O1687" s="113">
        <f t="shared" si="1979"/>
        <v>37</v>
      </c>
      <c r="P1687" s="113">
        <f t="shared" si="1979"/>
        <v>9</v>
      </c>
      <c r="Q1687" s="115">
        <f>(K1687+L1687)/J1687</f>
        <v>0</v>
      </c>
      <c r="R1687" s="116">
        <f t="shared" si="1969"/>
        <v>0.1933139534883721</v>
      </c>
      <c r="S1687" s="116">
        <f t="shared" si="1970"/>
        <v>1.308139534883721E-2</v>
      </c>
      <c r="T1687" s="116">
        <f t="shared" si="1971"/>
        <v>5.3779069767441859E-2</v>
      </c>
      <c r="U1687" s="117">
        <f t="shared" si="1972"/>
        <v>0.26017441860465118</v>
      </c>
      <c r="V1687" s="127"/>
    </row>
    <row r="1688" spans="2:22" ht="15.75" hidden="1" x14ac:dyDescent="0.2">
      <c r="B1688" s="711">
        <v>46195</v>
      </c>
      <c r="C1688" s="105" t="s">
        <v>12</v>
      </c>
      <c r="D1688" s="105"/>
      <c r="E1688" s="711">
        <v>46196</v>
      </c>
      <c r="G1688" s="830">
        <v>46196</v>
      </c>
      <c r="H1688" s="120" t="s">
        <v>75</v>
      </c>
      <c r="I1688" s="120" t="s">
        <v>15</v>
      </c>
      <c r="J1688" s="106">
        <v>230</v>
      </c>
      <c r="K1688" s="106">
        <f>J1688-L1688-M1688-N1688-O1688-P1688</f>
        <v>24</v>
      </c>
      <c r="L1688" s="106">
        <v>12</v>
      </c>
      <c r="M1688" s="106">
        <v>194</v>
      </c>
      <c r="N1688" s="106">
        <v>0</v>
      </c>
      <c r="O1688" s="106">
        <v>0</v>
      </c>
      <c r="P1688" s="106">
        <v>0</v>
      </c>
      <c r="Q1688" s="108">
        <f t="shared" ref="Q1688:Q1691" si="1980">(K1688+L1688)/J1688</f>
        <v>0.15652173913043479</v>
      </c>
      <c r="R1688" s="109">
        <f t="shared" ref="R1688:R1698" si="1981">N1688/J1688</f>
        <v>0</v>
      </c>
      <c r="S1688" s="109">
        <f t="shared" ref="S1688:S1698" si="1982">P1688/J1688</f>
        <v>0</v>
      </c>
      <c r="T1688" s="109">
        <f t="shared" ref="T1688:T1698" si="1983">O1688/J1688</f>
        <v>0</v>
      </c>
      <c r="U1688" s="110">
        <f t="shared" ref="U1688:U1698" si="1984">S1688+R1688+Q1688+T1688</f>
        <v>0.15652173913043479</v>
      </c>
      <c r="V1688" s="136"/>
    </row>
    <row r="1689" spans="2:22" ht="15.75" hidden="1" x14ac:dyDescent="0.2">
      <c r="B1689" s="711">
        <v>46195</v>
      </c>
      <c r="C1689" s="105" t="s">
        <v>12</v>
      </c>
      <c r="D1689" s="105"/>
      <c r="E1689" s="711">
        <v>46196</v>
      </c>
      <c r="G1689" s="831"/>
      <c r="H1689" s="120" t="s">
        <v>14</v>
      </c>
      <c r="I1689" s="120" t="s">
        <v>149</v>
      </c>
      <c r="J1689" s="106">
        <v>204</v>
      </c>
      <c r="K1689" s="106">
        <f t="shared" ref="K1689:K1691" si="1985">J1689-L1689-M1689-N1689-O1689-P1689</f>
        <v>0</v>
      </c>
      <c r="L1689" s="106">
        <v>0</v>
      </c>
      <c r="M1689" s="106">
        <v>62</v>
      </c>
      <c r="N1689" s="107">
        <v>133</v>
      </c>
      <c r="O1689" s="106">
        <v>0</v>
      </c>
      <c r="P1689" s="106">
        <v>9</v>
      </c>
      <c r="Q1689" s="108">
        <f t="shared" si="1980"/>
        <v>0</v>
      </c>
      <c r="R1689" s="109">
        <f t="shared" si="1981"/>
        <v>0.65196078431372551</v>
      </c>
      <c r="S1689" s="109">
        <f t="shared" si="1982"/>
        <v>4.4117647058823532E-2</v>
      </c>
      <c r="T1689" s="109">
        <f t="shared" si="1983"/>
        <v>0</v>
      </c>
      <c r="U1689" s="110">
        <f t="shared" si="1984"/>
        <v>0.69607843137254899</v>
      </c>
      <c r="V1689" s="136"/>
    </row>
    <row r="1690" spans="2:22" ht="15.75" hidden="1" x14ac:dyDescent="0.2">
      <c r="B1690" s="711">
        <v>46195</v>
      </c>
      <c r="C1690" s="105" t="s">
        <v>12</v>
      </c>
      <c r="D1690" s="105"/>
      <c r="E1690" s="711">
        <v>46196</v>
      </c>
      <c r="G1690" s="831"/>
      <c r="H1690" s="120" t="s">
        <v>118</v>
      </c>
      <c r="I1690" s="120" t="s">
        <v>43</v>
      </c>
      <c r="J1690" s="106">
        <v>62</v>
      </c>
      <c r="K1690" s="106">
        <f t="shared" si="1985"/>
        <v>0</v>
      </c>
      <c r="L1690" s="106">
        <v>0</v>
      </c>
      <c r="M1690" s="106">
        <v>62</v>
      </c>
      <c r="N1690" s="106">
        <v>0</v>
      </c>
      <c r="O1690" s="106">
        <v>0</v>
      </c>
      <c r="P1690" s="106">
        <v>0</v>
      </c>
      <c r="Q1690" s="108">
        <f t="shared" si="1980"/>
        <v>0</v>
      </c>
      <c r="R1690" s="109">
        <f t="shared" si="1981"/>
        <v>0</v>
      </c>
      <c r="S1690" s="109">
        <f t="shared" si="1982"/>
        <v>0</v>
      </c>
      <c r="T1690" s="109">
        <f t="shared" si="1983"/>
        <v>0</v>
      </c>
      <c r="U1690" s="110">
        <f t="shared" si="1984"/>
        <v>0</v>
      </c>
      <c r="V1690" s="136"/>
    </row>
    <row r="1691" spans="2:22" ht="15.75" hidden="1" x14ac:dyDescent="0.2">
      <c r="B1691" s="711">
        <v>46195</v>
      </c>
      <c r="C1691" s="105" t="s">
        <v>12</v>
      </c>
      <c r="D1691" s="105"/>
      <c r="E1691" s="711">
        <v>46196</v>
      </c>
      <c r="G1691" s="831"/>
      <c r="H1691" s="120" t="s">
        <v>25</v>
      </c>
      <c r="I1691" s="120" t="s">
        <v>105</v>
      </c>
      <c r="J1691" s="106">
        <v>192</v>
      </c>
      <c r="K1691" s="106">
        <f t="shared" si="1985"/>
        <v>0</v>
      </c>
      <c r="L1691" s="106">
        <v>0</v>
      </c>
      <c r="M1691" s="106">
        <v>192</v>
      </c>
      <c r="N1691" s="106">
        <v>0</v>
      </c>
      <c r="O1691" s="106">
        <v>0</v>
      </c>
      <c r="P1691" s="106">
        <v>0</v>
      </c>
      <c r="Q1691" s="108">
        <f t="shared" si="1980"/>
        <v>0</v>
      </c>
      <c r="R1691" s="109">
        <f t="shared" si="1981"/>
        <v>0</v>
      </c>
      <c r="S1691" s="109">
        <f t="shared" si="1982"/>
        <v>0</v>
      </c>
      <c r="T1691" s="109">
        <f t="shared" si="1983"/>
        <v>0</v>
      </c>
      <c r="U1691" s="110">
        <f t="shared" si="1984"/>
        <v>0</v>
      </c>
      <c r="V1691" s="136"/>
    </row>
    <row r="1692" spans="2:22" ht="15.75" hidden="1" x14ac:dyDescent="0.2">
      <c r="B1692" s="711">
        <v>46195</v>
      </c>
      <c r="C1692" s="105" t="s">
        <v>12</v>
      </c>
      <c r="D1692" s="105"/>
      <c r="E1692" s="711">
        <v>46196</v>
      </c>
      <c r="G1692" s="190"/>
      <c r="H1692" s="840" t="s">
        <v>19</v>
      </c>
      <c r="I1692" s="841"/>
      <c r="J1692" s="113">
        <f t="shared" ref="J1692:P1692" si="1986">SUM(J1688:J1691)</f>
        <v>688</v>
      </c>
      <c r="K1692" s="113">
        <f t="shared" si="1986"/>
        <v>24</v>
      </c>
      <c r="L1692" s="113">
        <f t="shared" si="1986"/>
        <v>12</v>
      </c>
      <c r="M1692" s="113">
        <f t="shared" si="1986"/>
        <v>510</v>
      </c>
      <c r="N1692" s="113">
        <f t="shared" si="1986"/>
        <v>133</v>
      </c>
      <c r="O1692" s="113">
        <f t="shared" si="1986"/>
        <v>0</v>
      </c>
      <c r="P1692" s="113">
        <f t="shared" si="1986"/>
        <v>9</v>
      </c>
      <c r="Q1692" s="115">
        <f>(K1692+L1692)/J1692</f>
        <v>5.232558139534884E-2</v>
      </c>
      <c r="R1692" s="116">
        <f t="shared" si="1981"/>
        <v>0.1933139534883721</v>
      </c>
      <c r="S1692" s="116">
        <f t="shared" si="1982"/>
        <v>1.308139534883721E-2</v>
      </c>
      <c r="T1692" s="116">
        <f t="shared" si="1983"/>
        <v>0</v>
      </c>
      <c r="U1692" s="117">
        <f t="shared" si="1984"/>
        <v>0.25872093023255816</v>
      </c>
      <c r="V1692" s="127"/>
    </row>
    <row r="1693" spans="2:22" ht="15.75" hidden="1" x14ac:dyDescent="0.2">
      <c r="B1693" s="711">
        <v>46195</v>
      </c>
      <c r="C1693" s="105" t="s">
        <v>18</v>
      </c>
      <c r="D1693" s="105" t="s">
        <v>129</v>
      </c>
      <c r="E1693" s="711">
        <v>46195</v>
      </c>
      <c r="G1693" s="714">
        <v>46195</v>
      </c>
      <c r="H1693" s="120" t="s">
        <v>17</v>
      </c>
      <c r="I1693" s="120" t="s">
        <v>18</v>
      </c>
      <c r="J1693" s="106">
        <f>SUM(K1693:P1693)</f>
        <v>36</v>
      </c>
      <c r="K1693" s="106">
        <v>15</v>
      </c>
      <c r="L1693" s="106">
        <v>17</v>
      </c>
      <c r="M1693" s="106">
        <v>0</v>
      </c>
      <c r="N1693" s="106">
        <v>0</v>
      </c>
      <c r="O1693" s="106">
        <v>0</v>
      </c>
      <c r="P1693" s="106">
        <v>4</v>
      </c>
      <c r="Q1693" s="108">
        <f t="shared" ref="Q1693:Q1697" si="1987">(K1693+L1693)/J1693</f>
        <v>0.88888888888888884</v>
      </c>
      <c r="R1693" s="109">
        <f t="shared" si="1981"/>
        <v>0</v>
      </c>
      <c r="S1693" s="109">
        <f t="shared" si="1982"/>
        <v>0.1111111111111111</v>
      </c>
      <c r="T1693" s="109">
        <f t="shared" si="1983"/>
        <v>0</v>
      </c>
      <c r="U1693" s="110">
        <f t="shared" si="1984"/>
        <v>1</v>
      </c>
      <c r="V1693" s="136"/>
    </row>
    <row r="1694" spans="2:22" ht="15.75" hidden="1" x14ac:dyDescent="0.2">
      <c r="B1694" s="711">
        <v>46195</v>
      </c>
      <c r="C1694" s="105" t="s">
        <v>18</v>
      </c>
      <c r="D1694" s="105" t="s">
        <v>129</v>
      </c>
      <c r="E1694" s="711">
        <v>46195</v>
      </c>
      <c r="G1694" s="830">
        <v>46196</v>
      </c>
      <c r="H1694" s="120" t="s">
        <v>16</v>
      </c>
      <c r="I1694" s="120" t="s">
        <v>151</v>
      </c>
      <c r="J1694" s="106">
        <v>230</v>
      </c>
      <c r="K1694" s="106">
        <v>45</v>
      </c>
      <c r="L1694" s="106">
        <v>35</v>
      </c>
      <c r="M1694" s="106">
        <v>93</v>
      </c>
      <c r="N1694" s="106">
        <v>0</v>
      </c>
      <c r="O1694" s="106">
        <v>20</v>
      </c>
      <c r="P1694" s="106">
        <v>0</v>
      </c>
      <c r="Q1694" s="108">
        <f t="shared" si="1987"/>
        <v>0.34782608695652173</v>
      </c>
      <c r="R1694" s="109">
        <f t="shared" si="1981"/>
        <v>0</v>
      </c>
      <c r="S1694" s="109">
        <f t="shared" si="1982"/>
        <v>0</v>
      </c>
      <c r="T1694" s="109">
        <f t="shared" si="1983"/>
        <v>8.6956521739130432E-2</v>
      </c>
      <c r="U1694" s="110">
        <f t="shared" si="1984"/>
        <v>0.43478260869565216</v>
      </c>
      <c r="V1694" s="136"/>
    </row>
    <row r="1695" spans="2:22" ht="15.75" hidden="1" x14ac:dyDescent="0.2">
      <c r="B1695" s="711">
        <v>46195</v>
      </c>
      <c r="C1695" s="105" t="s">
        <v>18</v>
      </c>
      <c r="D1695" s="105" t="s">
        <v>129</v>
      </c>
      <c r="E1695" s="711">
        <v>46195</v>
      </c>
      <c r="G1695" s="831"/>
      <c r="H1695" s="120" t="s">
        <v>14</v>
      </c>
      <c r="I1695" s="120" t="s">
        <v>106</v>
      </c>
      <c r="J1695" s="106">
        <v>204</v>
      </c>
      <c r="K1695" s="106">
        <v>130</v>
      </c>
      <c r="L1695" s="106">
        <v>34</v>
      </c>
      <c r="M1695" s="106">
        <v>0</v>
      </c>
      <c r="N1695" s="106">
        <v>0</v>
      </c>
      <c r="O1695" s="106">
        <v>17</v>
      </c>
      <c r="P1695" s="106">
        <v>9</v>
      </c>
      <c r="Q1695" s="108">
        <f t="shared" ref="Q1695:Q1696" si="1988">(K1695+L1695)/J1695</f>
        <v>0.80392156862745101</v>
      </c>
      <c r="R1695" s="109">
        <f t="shared" ref="R1695:R1696" si="1989">N1695/J1695</f>
        <v>0</v>
      </c>
      <c r="S1695" s="109">
        <f t="shared" ref="S1695:S1696" si="1990">P1695/J1695</f>
        <v>4.4117647058823532E-2</v>
      </c>
      <c r="T1695" s="109">
        <f t="shared" ref="T1695:T1696" si="1991">O1695/J1695</f>
        <v>8.3333333333333329E-2</v>
      </c>
      <c r="U1695" s="110">
        <f t="shared" ref="U1695:U1696" si="1992">S1695+R1695+Q1695+T1695</f>
        <v>0.93137254901960786</v>
      </c>
      <c r="V1695" s="136"/>
    </row>
    <row r="1696" spans="2:22" ht="15.75" hidden="1" x14ac:dyDescent="0.2">
      <c r="B1696" s="711">
        <v>46195</v>
      </c>
      <c r="C1696" s="105" t="s">
        <v>18</v>
      </c>
      <c r="D1696" s="105" t="s">
        <v>129</v>
      </c>
      <c r="E1696" s="711">
        <v>46195</v>
      </c>
      <c r="G1696" s="831"/>
      <c r="H1696" s="120" t="s">
        <v>118</v>
      </c>
      <c r="I1696" s="120" t="s">
        <v>43</v>
      </c>
      <c r="J1696" s="106">
        <v>62</v>
      </c>
      <c r="K1696" s="106">
        <v>35</v>
      </c>
      <c r="L1696" s="106">
        <v>0</v>
      </c>
      <c r="M1696" s="106">
        <v>3</v>
      </c>
      <c r="N1696" s="106">
        <v>24</v>
      </c>
      <c r="O1696" s="106">
        <v>0</v>
      </c>
      <c r="P1696" s="106">
        <v>0</v>
      </c>
      <c r="Q1696" s="108">
        <f t="shared" si="1988"/>
        <v>0.56451612903225812</v>
      </c>
      <c r="R1696" s="109">
        <f t="shared" si="1989"/>
        <v>0.38709677419354838</v>
      </c>
      <c r="S1696" s="109">
        <f t="shared" si="1990"/>
        <v>0</v>
      </c>
      <c r="T1696" s="109">
        <f t="shared" si="1991"/>
        <v>0</v>
      </c>
      <c r="U1696" s="110">
        <f t="shared" si="1992"/>
        <v>0.95161290322580649</v>
      </c>
      <c r="V1696" s="136"/>
    </row>
    <row r="1697" spans="2:25" ht="15.75" hidden="1" x14ac:dyDescent="0.2">
      <c r="B1697" s="711">
        <v>46195</v>
      </c>
      <c r="C1697" s="105" t="s">
        <v>18</v>
      </c>
      <c r="D1697" s="105" t="s">
        <v>129</v>
      </c>
      <c r="E1697" s="711">
        <v>46195</v>
      </c>
      <c r="G1697" s="832"/>
      <c r="H1697" s="120" t="s">
        <v>25</v>
      </c>
      <c r="I1697" s="120" t="s">
        <v>105</v>
      </c>
      <c r="J1697" s="106">
        <v>192</v>
      </c>
      <c r="K1697" s="106">
        <v>9</v>
      </c>
      <c r="L1697" s="106">
        <v>12</v>
      </c>
      <c r="M1697" s="106">
        <v>150</v>
      </c>
      <c r="N1697" s="106">
        <v>0</v>
      </c>
      <c r="O1697" s="106">
        <v>31</v>
      </c>
      <c r="P1697" s="106">
        <v>0</v>
      </c>
      <c r="Q1697" s="108">
        <f t="shared" si="1987"/>
        <v>0.109375</v>
      </c>
      <c r="R1697" s="109">
        <f t="shared" si="1981"/>
        <v>0</v>
      </c>
      <c r="S1697" s="109">
        <f t="shared" si="1982"/>
        <v>0</v>
      </c>
      <c r="T1697" s="109">
        <f t="shared" si="1983"/>
        <v>0.16145833333333334</v>
      </c>
      <c r="U1697" s="110">
        <f t="shared" si="1984"/>
        <v>0.27083333333333337</v>
      </c>
      <c r="V1697" s="136"/>
    </row>
    <row r="1698" spans="2:25" s="97" customFormat="1" ht="16.5" hidden="1" customHeight="1" x14ac:dyDescent="0.2">
      <c r="B1698" s="711">
        <v>46195</v>
      </c>
      <c r="C1698" s="105" t="s">
        <v>18</v>
      </c>
      <c r="D1698" s="105" t="s">
        <v>129</v>
      </c>
      <c r="E1698" s="711">
        <v>46195</v>
      </c>
      <c r="F1698" s="89"/>
      <c r="G1698" s="190"/>
      <c r="H1698" s="840" t="s">
        <v>19</v>
      </c>
      <c r="I1698" s="841"/>
      <c r="J1698" s="113">
        <f t="shared" ref="J1698:P1698" si="1993">SUM(J1693:J1697)</f>
        <v>724</v>
      </c>
      <c r="K1698" s="113">
        <f t="shared" si="1993"/>
        <v>234</v>
      </c>
      <c r="L1698" s="113">
        <f t="shared" si="1993"/>
        <v>98</v>
      </c>
      <c r="M1698" s="113">
        <f t="shared" si="1993"/>
        <v>246</v>
      </c>
      <c r="N1698" s="113">
        <f t="shared" si="1993"/>
        <v>24</v>
      </c>
      <c r="O1698" s="113">
        <f t="shared" si="1993"/>
        <v>68</v>
      </c>
      <c r="P1698" s="113">
        <f t="shared" si="1993"/>
        <v>13</v>
      </c>
      <c r="Q1698" s="115">
        <f>(K1698+L1698)/J1698</f>
        <v>0.4585635359116022</v>
      </c>
      <c r="R1698" s="116">
        <f t="shared" si="1981"/>
        <v>3.3149171270718231E-2</v>
      </c>
      <c r="S1698" s="116">
        <f t="shared" si="1982"/>
        <v>1.7955801104972375E-2</v>
      </c>
      <c r="T1698" s="116">
        <f t="shared" si="1983"/>
        <v>9.3922651933701654E-2</v>
      </c>
      <c r="U1698" s="117">
        <f t="shared" si="1984"/>
        <v>0.60359116022099446</v>
      </c>
      <c r="V1698" s="127"/>
      <c r="W1698" s="88"/>
      <c r="X1698" s="88"/>
      <c r="Y1698" s="118"/>
    </row>
    <row r="1699" spans="2:25" ht="15.75" hidden="1" x14ac:dyDescent="0.2">
      <c r="B1699" s="711">
        <v>46196</v>
      </c>
      <c r="C1699" s="105" t="s">
        <v>12</v>
      </c>
      <c r="D1699" s="105" t="s">
        <v>23</v>
      </c>
      <c r="E1699" s="711">
        <v>46196</v>
      </c>
      <c r="G1699" s="830">
        <v>46196</v>
      </c>
      <c r="H1699" s="120" t="s">
        <v>16</v>
      </c>
      <c r="I1699" s="120" t="s">
        <v>151</v>
      </c>
      <c r="J1699" s="106">
        <v>230</v>
      </c>
      <c r="K1699" s="106">
        <f>230-93</f>
        <v>137</v>
      </c>
      <c r="L1699" s="106">
        <v>35</v>
      </c>
      <c r="M1699" s="106">
        <v>0</v>
      </c>
      <c r="N1699" s="106">
        <v>0</v>
      </c>
      <c r="O1699" s="106">
        <v>18</v>
      </c>
      <c r="P1699" s="106">
        <v>0</v>
      </c>
      <c r="Q1699" s="108">
        <f t="shared" ref="Q1699:Q1702" si="1994">(K1699+L1699)/J1699</f>
        <v>0.74782608695652175</v>
      </c>
      <c r="R1699" s="109">
        <f t="shared" ref="R1699:R1703" si="1995">N1699/J1699</f>
        <v>0</v>
      </c>
      <c r="S1699" s="109">
        <f t="shared" ref="S1699:S1703" si="1996">P1699/J1699</f>
        <v>0</v>
      </c>
      <c r="T1699" s="109">
        <f t="shared" ref="T1699:T1703" si="1997">O1699/J1699</f>
        <v>7.8260869565217397E-2</v>
      </c>
      <c r="U1699" s="110">
        <f t="shared" ref="U1699:U1703" si="1998">S1699+R1699+Q1699+T1699</f>
        <v>0.82608695652173914</v>
      </c>
      <c r="V1699" s="136"/>
    </row>
    <row r="1700" spans="2:25" ht="15.75" hidden="1" x14ac:dyDescent="0.2">
      <c r="B1700" s="711">
        <v>46196</v>
      </c>
      <c r="C1700" s="105" t="s">
        <v>12</v>
      </c>
      <c r="D1700" s="105" t="s">
        <v>23</v>
      </c>
      <c r="E1700" s="711">
        <v>46196</v>
      </c>
      <c r="G1700" s="831"/>
      <c r="H1700" s="120" t="s">
        <v>14</v>
      </c>
      <c r="I1700" s="120" t="s">
        <v>149</v>
      </c>
      <c r="J1700" s="106">
        <v>204</v>
      </c>
      <c r="K1700" s="106">
        <f>204-49</f>
        <v>155</v>
      </c>
      <c r="L1700" s="106">
        <v>25</v>
      </c>
      <c r="M1700" s="106">
        <v>0</v>
      </c>
      <c r="N1700" s="106">
        <v>0</v>
      </c>
      <c r="O1700" s="106">
        <v>15</v>
      </c>
      <c r="P1700" s="106">
        <v>4</v>
      </c>
      <c r="Q1700" s="108">
        <f t="shared" si="1994"/>
        <v>0.88235294117647056</v>
      </c>
      <c r="R1700" s="109">
        <f t="shared" si="1995"/>
        <v>0</v>
      </c>
      <c r="S1700" s="109">
        <f t="shared" si="1996"/>
        <v>1.9607843137254902E-2</v>
      </c>
      <c r="T1700" s="109">
        <f t="shared" si="1997"/>
        <v>7.3529411764705885E-2</v>
      </c>
      <c r="U1700" s="110">
        <f t="shared" si="1998"/>
        <v>0.97549019607843135</v>
      </c>
      <c r="V1700" s="136"/>
    </row>
    <row r="1701" spans="2:25" ht="15.75" hidden="1" x14ac:dyDescent="0.2">
      <c r="B1701" s="711">
        <v>46196</v>
      </c>
      <c r="C1701" s="105" t="s">
        <v>12</v>
      </c>
      <c r="D1701" s="105" t="s">
        <v>23</v>
      </c>
      <c r="E1701" s="711">
        <v>46196</v>
      </c>
      <c r="G1701" s="831"/>
      <c r="H1701" s="120" t="s">
        <v>118</v>
      </c>
      <c r="I1701" s="120" t="s">
        <v>43</v>
      </c>
      <c r="J1701" s="106">
        <v>62</v>
      </c>
      <c r="K1701" s="106">
        <v>59</v>
      </c>
      <c r="L1701" s="106">
        <v>1</v>
      </c>
      <c r="M1701" s="106">
        <v>2</v>
      </c>
      <c r="N1701" s="106">
        <v>0</v>
      </c>
      <c r="O1701" s="106">
        <v>0</v>
      </c>
      <c r="P1701" s="106">
        <v>0</v>
      </c>
      <c r="Q1701" s="108">
        <f t="shared" si="1994"/>
        <v>0.967741935483871</v>
      </c>
      <c r="R1701" s="109">
        <f t="shared" si="1995"/>
        <v>0</v>
      </c>
      <c r="S1701" s="109">
        <f t="shared" si="1996"/>
        <v>0</v>
      </c>
      <c r="T1701" s="109">
        <f t="shared" si="1997"/>
        <v>0</v>
      </c>
      <c r="U1701" s="110">
        <f t="shared" si="1998"/>
        <v>0.967741935483871</v>
      </c>
      <c r="V1701" s="136"/>
    </row>
    <row r="1702" spans="2:25" ht="15.75" hidden="1" x14ac:dyDescent="0.2">
      <c r="B1702" s="711">
        <v>46196</v>
      </c>
      <c r="C1702" s="105" t="s">
        <v>12</v>
      </c>
      <c r="D1702" s="105" t="s">
        <v>23</v>
      </c>
      <c r="E1702" s="711">
        <v>46196</v>
      </c>
      <c r="G1702" s="832"/>
      <c r="H1702" s="120" t="s">
        <v>25</v>
      </c>
      <c r="I1702" s="120" t="s">
        <v>105</v>
      </c>
      <c r="J1702" s="106">
        <v>192</v>
      </c>
      <c r="K1702" s="106">
        <f>J1702-L1702-M1702-N1702-O1702-P1702</f>
        <v>118</v>
      </c>
      <c r="L1702" s="106">
        <v>37</v>
      </c>
      <c r="M1702" s="106">
        <v>27</v>
      </c>
      <c r="N1702" s="106">
        <v>0</v>
      </c>
      <c r="O1702" s="106">
        <v>10</v>
      </c>
      <c r="P1702" s="106">
        <v>0</v>
      </c>
      <c r="Q1702" s="108">
        <f t="shared" si="1994"/>
        <v>0.80729166666666663</v>
      </c>
      <c r="R1702" s="109">
        <f t="shared" si="1995"/>
        <v>0</v>
      </c>
      <c r="S1702" s="109">
        <f t="shared" si="1996"/>
        <v>0</v>
      </c>
      <c r="T1702" s="109">
        <f t="shared" si="1997"/>
        <v>5.2083333333333336E-2</v>
      </c>
      <c r="U1702" s="110">
        <f t="shared" si="1998"/>
        <v>0.859375</v>
      </c>
      <c r="V1702" s="136" t="s">
        <v>152</v>
      </c>
    </row>
    <row r="1703" spans="2:25" s="97" customFormat="1" ht="16.5" hidden="1" customHeight="1" x14ac:dyDescent="0.2">
      <c r="B1703" s="711">
        <v>46196</v>
      </c>
      <c r="C1703" s="105" t="s">
        <v>12</v>
      </c>
      <c r="D1703" s="105" t="s">
        <v>23</v>
      </c>
      <c r="E1703" s="711">
        <v>46196</v>
      </c>
      <c r="F1703" s="89"/>
      <c r="G1703" s="190"/>
      <c r="H1703" s="840" t="s">
        <v>19</v>
      </c>
      <c r="I1703" s="841"/>
      <c r="J1703" s="113">
        <f t="shared" ref="J1703:P1703" si="1999">SUM(J1699:J1702)</f>
        <v>688</v>
      </c>
      <c r="K1703" s="113">
        <f t="shared" si="1999"/>
        <v>469</v>
      </c>
      <c r="L1703" s="113">
        <f t="shared" si="1999"/>
        <v>98</v>
      </c>
      <c r="M1703" s="113">
        <f t="shared" si="1999"/>
        <v>29</v>
      </c>
      <c r="N1703" s="113">
        <f t="shared" si="1999"/>
        <v>0</v>
      </c>
      <c r="O1703" s="113">
        <f t="shared" si="1999"/>
        <v>43</v>
      </c>
      <c r="P1703" s="113">
        <f t="shared" si="1999"/>
        <v>4</v>
      </c>
      <c r="Q1703" s="115">
        <f>(K1703+L1703)/J1703</f>
        <v>0.82412790697674421</v>
      </c>
      <c r="R1703" s="116">
        <f t="shared" si="1995"/>
        <v>0</v>
      </c>
      <c r="S1703" s="116">
        <f t="shared" si="1996"/>
        <v>5.8139534883720929E-3</v>
      </c>
      <c r="T1703" s="116">
        <f t="shared" si="1997"/>
        <v>6.25E-2</v>
      </c>
      <c r="U1703" s="117">
        <f t="shared" si="1998"/>
        <v>0.89244186046511631</v>
      </c>
      <c r="V1703" s="127"/>
      <c r="W1703" s="88"/>
      <c r="X1703" s="88"/>
      <c r="Y1703" s="118"/>
    </row>
    <row r="1704" spans="2:25" ht="15.75" hidden="1" x14ac:dyDescent="0.2">
      <c r="B1704" s="711">
        <v>46196</v>
      </c>
      <c r="C1704" s="105" t="s">
        <v>12</v>
      </c>
      <c r="D1704" s="105" t="s">
        <v>23</v>
      </c>
      <c r="E1704" s="711">
        <v>46197</v>
      </c>
      <c r="G1704" s="830">
        <v>46197</v>
      </c>
      <c r="H1704" s="120" t="s">
        <v>16</v>
      </c>
      <c r="I1704" s="120" t="s">
        <v>151</v>
      </c>
      <c r="J1704" s="106">
        <v>204</v>
      </c>
      <c r="K1704" s="106">
        <f>J1704-L1704-M1704-N1704-O1704-P1704</f>
        <v>46</v>
      </c>
      <c r="L1704" s="106">
        <v>25</v>
      </c>
      <c r="M1704" s="106">
        <v>133</v>
      </c>
      <c r="N1704" s="106">
        <v>0</v>
      </c>
      <c r="O1704" s="106">
        <v>0</v>
      </c>
      <c r="P1704" s="106">
        <v>0</v>
      </c>
      <c r="Q1704" s="108">
        <f t="shared" ref="Q1704:Q1707" si="2000">(K1704+L1704)/J1704</f>
        <v>0.34803921568627449</v>
      </c>
      <c r="R1704" s="109">
        <f t="shared" ref="R1704:R1718" si="2001">N1704/J1704</f>
        <v>0</v>
      </c>
      <c r="S1704" s="109">
        <f t="shared" ref="S1704:S1718" si="2002">P1704/J1704</f>
        <v>0</v>
      </c>
      <c r="T1704" s="109">
        <f t="shared" ref="T1704:T1718" si="2003">O1704/J1704</f>
        <v>0</v>
      </c>
      <c r="U1704" s="110">
        <f t="shared" ref="U1704:U1718" si="2004">S1704+R1704+Q1704+T1704</f>
        <v>0.34803921568627449</v>
      </c>
      <c r="V1704" s="136"/>
    </row>
    <row r="1705" spans="2:25" ht="15.75" hidden="1" x14ac:dyDescent="0.2">
      <c r="B1705" s="711">
        <v>46196</v>
      </c>
      <c r="C1705" s="105" t="s">
        <v>12</v>
      </c>
      <c r="D1705" s="105" t="s">
        <v>23</v>
      </c>
      <c r="E1705" s="711">
        <v>46197</v>
      </c>
      <c r="G1705" s="831"/>
      <c r="H1705" s="120" t="s">
        <v>14</v>
      </c>
      <c r="I1705" s="120" t="s">
        <v>149</v>
      </c>
      <c r="J1705" s="106">
        <v>184</v>
      </c>
      <c r="K1705" s="106">
        <f t="shared" ref="K1705:K1707" si="2005">J1705-L1705-M1705-N1705-O1705-P1705</f>
        <v>27</v>
      </c>
      <c r="L1705" s="106">
        <v>8</v>
      </c>
      <c r="M1705" s="106">
        <v>117</v>
      </c>
      <c r="N1705" s="106">
        <v>25</v>
      </c>
      <c r="O1705" s="106">
        <v>0</v>
      </c>
      <c r="P1705" s="106">
        <v>7</v>
      </c>
      <c r="Q1705" s="108">
        <f t="shared" si="2000"/>
        <v>0.19021739130434784</v>
      </c>
      <c r="R1705" s="109">
        <f t="shared" si="2001"/>
        <v>0.1358695652173913</v>
      </c>
      <c r="S1705" s="109">
        <f t="shared" si="2002"/>
        <v>3.8043478260869568E-2</v>
      </c>
      <c r="T1705" s="109">
        <f t="shared" si="2003"/>
        <v>0</v>
      </c>
      <c r="U1705" s="110">
        <f t="shared" si="2004"/>
        <v>0.3641304347826087</v>
      </c>
      <c r="V1705" s="136"/>
    </row>
    <row r="1706" spans="2:25" ht="15.75" hidden="1" x14ac:dyDescent="0.2">
      <c r="B1706" s="711">
        <v>46196</v>
      </c>
      <c r="C1706" s="105" t="s">
        <v>12</v>
      </c>
      <c r="D1706" s="105" t="s">
        <v>23</v>
      </c>
      <c r="E1706" s="711">
        <v>46197</v>
      </c>
      <c r="G1706" s="831"/>
      <c r="H1706" s="120" t="s">
        <v>118</v>
      </c>
      <c r="I1706" s="120" t="s">
        <v>43</v>
      </c>
      <c r="J1706" s="106">
        <v>49</v>
      </c>
      <c r="K1706" s="106">
        <f t="shared" si="2005"/>
        <v>0</v>
      </c>
      <c r="L1706" s="106">
        <v>0</v>
      </c>
      <c r="M1706" s="106">
        <v>43</v>
      </c>
      <c r="N1706" s="106">
        <v>0</v>
      </c>
      <c r="O1706" s="106">
        <v>0</v>
      </c>
      <c r="P1706" s="106">
        <v>6</v>
      </c>
      <c r="Q1706" s="108">
        <f t="shared" si="2000"/>
        <v>0</v>
      </c>
      <c r="R1706" s="109">
        <f t="shared" si="2001"/>
        <v>0</v>
      </c>
      <c r="S1706" s="109">
        <f t="shared" si="2002"/>
        <v>0.12244897959183673</v>
      </c>
      <c r="T1706" s="109">
        <f t="shared" si="2003"/>
        <v>0</v>
      </c>
      <c r="U1706" s="110">
        <f t="shared" si="2004"/>
        <v>0.12244897959183673</v>
      </c>
      <c r="V1706" s="136"/>
    </row>
    <row r="1707" spans="2:25" ht="15.75" hidden="1" x14ac:dyDescent="0.2">
      <c r="B1707" s="711">
        <v>46196</v>
      </c>
      <c r="C1707" s="105" t="s">
        <v>12</v>
      </c>
      <c r="D1707" s="105" t="s">
        <v>23</v>
      </c>
      <c r="E1707" s="711">
        <v>46197</v>
      </c>
      <c r="G1707" s="832"/>
      <c r="H1707" s="120" t="s">
        <v>17</v>
      </c>
      <c r="I1707" s="120" t="s">
        <v>105</v>
      </c>
      <c r="J1707" s="106">
        <v>166</v>
      </c>
      <c r="K1707" s="106">
        <f t="shared" si="2005"/>
        <v>0</v>
      </c>
      <c r="L1707" s="106">
        <v>0</v>
      </c>
      <c r="M1707" s="106">
        <v>166</v>
      </c>
      <c r="N1707" s="106">
        <v>0</v>
      </c>
      <c r="O1707" s="106">
        <v>0</v>
      </c>
      <c r="P1707" s="106">
        <v>0</v>
      </c>
      <c r="Q1707" s="108">
        <f t="shared" si="2000"/>
        <v>0</v>
      </c>
      <c r="R1707" s="109">
        <f t="shared" si="2001"/>
        <v>0</v>
      </c>
      <c r="S1707" s="109">
        <f t="shared" si="2002"/>
        <v>0</v>
      </c>
      <c r="T1707" s="109">
        <f t="shared" si="2003"/>
        <v>0</v>
      </c>
      <c r="U1707" s="110">
        <f t="shared" si="2004"/>
        <v>0</v>
      </c>
      <c r="V1707" s="136"/>
    </row>
    <row r="1708" spans="2:25" ht="15.75" hidden="1" x14ac:dyDescent="0.2">
      <c r="B1708" s="711">
        <v>46196</v>
      </c>
      <c r="C1708" s="105" t="s">
        <v>12</v>
      </c>
      <c r="D1708" s="105" t="s">
        <v>23</v>
      </c>
      <c r="E1708" s="711">
        <v>46197</v>
      </c>
      <c r="G1708" s="190"/>
      <c r="H1708" s="840" t="s">
        <v>19</v>
      </c>
      <c r="I1708" s="841"/>
      <c r="J1708" s="113">
        <f t="shared" ref="J1708" si="2006">SUM(J1704:J1707)</f>
        <v>603</v>
      </c>
      <c r="K1708" s="113">
        <f t="shared" ref="K1708" si="2007">SUM(K1704:K1707)</f>
        <v>73</v>
      </c>
      <c r="L1708" s="113">
        <f t="shared" ref="L1708" si="2008">SUM(L1704:L1707)</f>
        <v>33</v>
      </c>
      <c r="M1708" s="113">
        <f t="shared" ref="M1708" si="2009">SUM(M1704:M1707)</f>
        <v>459</v>
      </c>
      <c r="N1708" s="113">
        <f t="shared" ref="N1708" si="2010">SUM(N1704:N1707)</f>
        <v>25</v>
      </c>
      <c r="O1708" s="113">
        <f t="shared" ref="O1708" si="2011">SUM(O1704:O1707)</f>
        <v>0</v>
      </c>
      <c r="P1708" s="113">
        <f t="shared" ref="P1708" si="2012">SUM(P1704:P1707)</f>
        <v>13</v>
      </c>
      <c r="Q1708" s="115">
        <f>(K1708+L1708)/J1708</f>
        <v>0.175787728026534</v>
      </c>
      <c r="R1708" s="116">
        <f t="shared" si="2001"/>
        <v>4.1459369817578771E-2</v>
      </c>
      <c r="S1708" s="116">
        <f t="shared" si="2002"/>
        <v>2.1558872305140961E-2</v>
      </c>
      <c r="T1708" s="116">
        <f t="shared" si="2003"/>
        <v>0</v>
      </c>
      <c r="U1708" s="117">
        <f t="shared" si="2004"/>
        <v>0.23880597014925373</v>
      </c>
      <c r="V1708" s="127"/>
    </row>
    <row r="1709" spans="2:25" ht="15.75" hidden="1" x14ac:dyDescent="0.2">
      <c r="B1709" s="711">
        <v>46196</v>
      </c>
      <c r="C1709" s="105" t="s">
        <v>18</v>
      </c>
      <c r="D1709" s="105" t="s">
        <v>129</v>
      </c>
      <c r="E1709" s="711">
        <v>46196</v>
      </c>
      <c r="G1709" s="714">
        <v>46196</v>
      </c>
      <c r="H1709" s="120" t="s">
        <v>25</v>
      </c>
      <c r="I1709" s="120" t="s">
        <v>105</v>
      </c>
      <c r="J1709" s="106">
        <f>SUM(K1709:P1709)</f>
        <v>31</v>
      </c>
      <c r="K1709" s="106">
        <v>21</v>
      </c>
      <c r="L1709" s="106">
        <v>10</v>
      </c>
      <c r="M1709" s="106">
        <v>0</v>
      </c>
      <c r="N1709" s="106">
        <v>0</v>
      </c>
      <c r="O1709" s="106">
        <v>0</v>
      </c>
      <c r="P1709" s="106">
        <v>0</v>
      </c>
      <c r="Q1709" s="108">
        <f t="shared" ref="Q1709:Q1713" si="2013">(K1709+L1709)/J1709</f>
        <v>1</v>
      </c>
      <c r="R1709" s="109">
        <f t="shared" si="2001"/>
        <v>0</v>
      </c>
      <c r="S1709" s="109">
        <f t="shared" si="2002"/>
        <v>0</v>
      </c>
      <c r="T1709" s="109">
        <f t="shared" si="2003"/>
        <v>0</v>
      </c>
      <c r="U1709" s="110">
        <f t="shared" si="2004"/>
        <v>1</v>
      </c>
      <c r="V1709" s="136"/>
    </row>
    <row r="1710" spans="2:25" ht="15.75" hidden="1" x14ac:dyDescent="0.2">
      <c r="B1710" s="711">
        <v>46196</v>
      </c>
      <c r="C1710" s="105" t="s">
        <v>18</v>
      </c>
      <c r="D1710" s="105" t="s">
        <v>129</v>
      </c>
      <c r="E1710" s="711">
        <v>46197</v>
      </c>
      <c r="G1710" s="830">
        <v>46197</v>
      </c>
      <c r="H1710" s="120" t="s">
        <v>16</v>
      </c>
      <c r="I1710" s="120" t="s">
        <v>151</v>
      </c>
      <c r="J1710" s="106">
        <v>204</v>
      </c>
      <c r="K1710" s="106">
        <v>56</v>
      </c>
      <c r="L1710" s="106">
        <v>24</v>
      </c>
      <c r="M1710" s="106">
        <v>15</v>
      </c>
      <c r="N1710" s="106">
        <v>18</v>
      </c>
      <c r="O1710" s="106">
        <v>20</v>
      </c>
      <c r="P1710" s="106">
        <v>0</v>
      </c>
      <c r="Q1710" s="108">
        <f t="shared" si="2013"/>
        <v>0.39215686274509803</v>
      </c>
      <c r="R1710" s="109">
        <f t="shared" si="2001"/>
        <v>8.8235294117647065E-2</v>
      </c>
      <c r="S1710" s="109">
        <f t="shared" si="2002"/>
        <v>0</v>
      </c>
      <c r="T1710" s="109">
        <f t="shared" si="2003"/>
        <v>9.8039215686274508E-2</v>
      </c>
      <c r="U1710" s="110">
        <f t="shared" si="2004"/>
        <v>0.57843137254901966</v>
      </c>
      <c r="V1710" s="136"/>
    </row>
    <row r="1711" spans="2:25" ht="15.75" hidden="1" x14ac:dyDescent="0.2">
      <c r="B1711" s="711">
        <v>46196</v>
      </c>
      <c r="C1711" s="105" t="s">
        <v>18</v>
      </c>
      <c r="D1711" s="105" t="s">
        <v>129</v>
      </c>
      <c r="E1711" s="711">
        <v>46197</v>
      </c>
      <c r="G1711" s="831"/>
      <c r="H1711" s="120" t="s">
        <v>14</v>
      </c>
      <c r="I1711" s="120" t="s">
        <v>106</v>
      </c>
      <c r="J1711" s="106">
        <v>184</v>
      </c>
      <c r="K1711" s="106">
        <v>112</v>
      </c>
      <c r="L1711" s="106">
        <v>15</v>
      </c>
      <c r="M1711" s="106">
        <v>4</v>
      </c>
      <c r="N1711" s="106">
        <v>0</v>
      </c>
      <c r="O1711" s="106">
        <v>14</v>
      </c>
      <c r="P1711" s="106">
        <v>7</v>
      </c>
      <c r="Q1711" s="108">
        <f t="shared" si="2013"/>
        <v>0.69021739130434778</v>
      </c>
      <c r="R1711" s="109">
        <f t="shared" si="2001"/>
        <v>0</v>
      </c>
      <c r="S1711" s="109">
        <f t="shared" si="2002"/>
        <v>3.8043478260869568E-2</v>
      </c>
      <c r="T1711" s="109">
        <f t="shared" si="2003"/>
        <v>7.6086956521739135E-2</v>
      </c>
      <c r="U1711" s="110">
        <f t="shared" si="2004"/>
        <v>0.80434782608695643</v>
      </c>
      <c r="V1711" s="136"/>
    </row>
    <row r="1712" spans="2:25" ht="15.75" hidden="1" x14ac:dyDescent="0.2">
      <c r="B1712" s="711">
        <v>46196</v>
      </c>
      <c r="C1712" s="105" t="s">
        <v>18</v>
      </c>
      <c r="D1712" s="105" t="s">
        <v>129</v>
      </c>
      <c r="E1712" s="711">
        <v>46197</v>
      </c>
      <c r="G1712" s="831"/>
      <c r="H1712" s="120" t="s">
        <v>118</v>
      </c>
      <c r="I1712" s="120" t="s">
        <v>43</v>
      </c>
      <c r="J1712" s="106">
        <v>49</v>
      </c>
      <c r="K1712" s="106">
        <v>36</v>
      </c>
      <c r="L1712" s="106">
        <v>1</v>
      </c>
      <c r="M1712" s="106">
        <v>6</v>
      </c>
      <c r="N1712" s="106">
        <v>0</v>
      </c>
      <c r="O1712" s="106">
        <v>0</v>
      </c>
      <c r="P1712" s="106">
        <v>6</v>
      </c>
      <c r="Q1712" s="108">
        <f t="shared" si="2013"/>
        <v>0.75510204081632648</v>
      </c>
      <c r="R1712" s="109">
        <f t="shared" si="2001"/>
        <v>0</v>
      </c>
      <c r="S1712" s="109">
        <f t="shared" si="2002"/>
        <v>0.12244897959183673</v>
      </c>
      <c r="T1712" s="109">
        <f t="shared" si="2003"/>
        <v>0</v>
      </c>
      <c r="U1712" s="110">
        <f t="shared" si="2004"/>
        <v>0.87755102040816324</v>
      </c>
      <c r="V1712" s="136"/>
    </row>
    <row r="1713" spans="2:25" ht="15.75" hidden="1" x14ac:dyDescent="0.2">
      <c r="B1713" s="711">
        <v>46196</v>
      </c>
      <c r="C1713" s="105" t="s">
        <v>18</v>
      </c>
      <c r="D1713" s="105" t="s">
        <v>129</v>
      </c>
      <c r="E1713" s="711">
        <v>46197</v>
      </c>
      <c r="G1713" s="832"/>
      <c r="H1713" s="120" t="s">
        <v>17</v>
      </c>
      <c r="I1713" s="120" t="s">
        <v>105</v>
      </c>
      <c r="J1713" s="106">
        <v>170</v>
      </c>
      <c r="K1713" s="106">
        <v>7</v>
      </c>
      <c r="L1713" s="106">
        <v>11</v>
      </c>
      <c r="M1713" s="106">
        <v>116</v>
      </c>
      <c r="N1713" s="106">
        <v>13</v>
      </c>
      <c r="O1713" s="106">
        <v>29</v>
      </c>
      <c r="P1713" s="106">
        <v>0</v>
      </c>
      <c r="Q1713" s="108">
        <f t="shared" si="2013"/>
        <v>0.10588235294117647</v>
      </c>
      <c r="R1713" s="109">
        <f t="shared" si="2001"/>
        <v>7.6470588235294124E-2</v>
      </c>
      <c r="S1713" s="109">
        <f t="shared" si="2002"/>
        <v>0</v>
      </c>
      <c r="T1713" s="109">
        <f t="shared" si="2003"/>
        <v>0.17058823529411765</v>
      </c>
      <c r="U1713" s="110">
        <f t="shared" si="2004"/>
        <v>0.35294117647058826</v>
      </c>
      <c r="V1713" s="136"/>
    </row>
    <row r="1714" spans="2:25" s="97" customFormat="1" ht="16.5" hidden="1" customHeight="1" x14ac:dyDescent="0.2">
      <c r="B1714" s="711">
        <v>46196</v>
      </c>
      <c r="C1714" s="105" t="s">
        <v>18</v>
      </c>
      <c r="D1714" s="105" t="s">
        <v>129</v>
      </c>
      <c r="E1714" s="711">
        <v>46197</v>
      </c>
      <c r="F1714" s="89"/>
      <c r="G1714" s="190"/>
      <c r="H1714" s="840" t="s">
        <v>19</v>
      </c>
      <c r="I1714" s="841"/>
      <c r="J1714" s="113">
        <f t="shared" ref="J1714:P1714" si="2014">SUM(J1709:J1713)</f>
        <v>638</v>
      </c>
      <c r="K1714" s="113">
        <f t="shared" si="2014"/>
        <v>232</v>
      </c>
      <c r="L1714" s="113">
        <f t="shared" si="2014"/>
        <v>61</v>
      </c>
      <c r="M1714" s="113">
        <f t="shared" si="2014"/>
        <v>141</v>
      </c>
      <c r="N1714" s="113">
        <f t="shared" si="2014"/>
        <v>31</v>
      </c>
      <c r="O1714" s="113">
        <f t="shared" si="2014"/>
        <v>63</v>
      </c>
      <c r="P1714" s="113">
        <f t="shared" si="2014"/>
        <v>13</v>
      </c>
      <c r="Q1714" s="115">
        <f>(K1714+L1714)/J1714</f>
        <v>0.45924764890282133</v>
      </c>
      <c r="R1714" s="116">
        <f t="shared" si="2001"/>
        <v>4.8589341692789965E-2</v>
      </c>
      <c r="S1714" s="116">
        <f t="shared" si="2002"/>
        <v>2.037617554858934E-2</v>
      </c>
      <c r="T1714" s="116">
        <f t="shared" si="2003"/>
        <v>9.8746081504702196E-2</v>
      </c>
      <c r="U1714" s="117">
        <f t="shared" si="2004"/>
        <v>0.62695924764890287</v>
      </c>
      <c r="V1714" s="127"/>
      <c r="W1714" s="88"/>
      <c r="X1714" s="88"/>
      <c r="Y1714" s="118"/>
    </row>
    <row r="1715" spans="2:25" ht="15.75" hidden="1" x14ac:dyDescent="0.2">
      <c r="B1715" s="711">
        <v>46197</v>
      </c>
      <c r="C1715" s="10" t="s">
        <v>153</v>
      </c>
      <c r="D1715" s="105" t="s">
        <v>23</v>
      </c>
      <c r="E1715" s="711">
        <v>46197</v>
      </c>
      <c r="G1715" s="830">
        <v>46197</v>
      </c>
      <c r="H1715" s="120" t="s">
        <v>16</v>
      </c>
      <c r="I1715" s="120" t="s">
        <v>151</v>
      </c>
      <c r="J1715" s="106">
        <v>50</v>
      </c>
      <c r="K1715" s="106">
        <f>J1715-L1715-M1715-N1715-O1715-P1715</f>
        <v>22</v>
      </c>
      <c r="L1715" s="106">
        <v>10</v>
      </c>
      <c r="M1715" s="106">
        <v>0</v>
      </c>
      <c r="N1715" s="106">
        <v>0</v>
      </c>
      <c r="O1715" s="106">
        <v>18</v>
      </c>
      <c r="P1715" s="106">
        <v>0</v>
      </c>
      <c r="Q1715" s="108">
        <f t="shared" ref="Q1715:Q1718" si="2015">(K1715+L1715)/J1715</f>
        <v>0.64</v>
      </c>
      <c r="R1715" s="109">
        <f t="shared" si="2001"/>
        <v>0</v>
      </c>
      <c r="S1715" s="109">
        <f t="shared" si="2002"/>
        <v>0</v>
      </c>
      <c r="T1715" s="109">
        <f t="shared" si="2003"/>
        <v>0.36</v>
      </c>
      <c r="U1715" s="110">
        <f t="shared" si="2004"/>
        <v>1</v>
      </c>
      <c r="V1715" s="136"/>
    </row>
    <row r="1716" spans="2:25" ht="15.75" hidden="1" x14ac:dyDescent="0.2">
      <c r="B1716" s="711">
        <v>46197</v>
      </c>
      <c r="C1716" s="10" t="s">
        <v>153</v>
      </c>
      <c r="D1716" s="105" t="s">
        <v>23</v>
      </c>
      <c r="E1716" s="711">
        <v>46197</v>
      </c>
      <c r="G1716" s="831"/>
      <c r="H1716" s="120" t="s">
        <v>14</v>
      </c>
      <c r="I1716" s="120" t="s">
        <v>106</v>
      </c>
      <c r="J1716" s="106">
        <v>45</v>
      </c>
      <c r="K1716" s="106">
        <f t="shared" ref="K1716:K1718" si="2016">J1716-L1716-M1716-N1716-O1716-P1716</f>
        <v>19</v>
      </c>
      <c r="L1716" s="106">
        <v>11</v>
      </c>
      <c r="M1716" s="106">
        <v>0</v>
      </c>
      <c r="N1716" s="106">
        <v>0</v>
      </c>
      <c r="O1716" s="106">
        <v>15</v>
      </c>
      <c r="P1716" s="106">
        <v>0</v>
      </c>
      <c r="Q1716" s="108">
        <f t="shared" si="2015"/>
        <v>0.66666666666666663</v>
      </c>
      <c r="R1716" s="109">
        <f t="shared" si="2001"/>
        <v>0</v>
      </c>
      <c r="S1716" s="109">
        <f t="shared" si="2002"/>
        <v>0</v>
      </c>
      <c r="T1716" s="109">
        <f t="shared" si="2003"/>
        <v>0.33333333333333331</v>
      </c>
      <c r="U1716" s="110">
        <f t="shared" si="2004"/>
        <v>1</v>
      </c>
      <c r="V1716" s="136"/>
    </row>
    <row r="1717" spans="2:25" ht="15.75" hidden="1" x14ac:dyDescent="0.2">
      <c r="B1717" s="711">
        <v>46197</v>
      </c>
      <c r="C1717" s="10" t="s">
        <v>153</v>
      </c>
      <c r="D1717" s="105" t="s">
        <v>23</v>
      </c>
      <c r="E1717" s="711">
        <v>46197</v>
      </c>
      <c r="G1717" s="831"/>
      <c r="H1717" s="120" t="s">
        <v>118</v>
      </c>
      <c r="I1717" s="120" t="s">
        <v>43</v>
      </c>
      <c r="J1717" s="106">
        <v>19</v>
      </c>
      <c r="K1717" s="106">
        <f t="shared" si="2016"/>
        <v>19</v>
      </c>
      <c r="L1717" s="106">
        <v>0</v>
      </c>
      <c r="M1717" s="106">
        <v>0</v>
      </c>
      <c r="N1717" s="106">
        <v>0</v>
      </c>
      <c r="O1717" s="106">
        <v>0</v>
      </c>
      <c r="P1717" s="106">
        <v>0</v>
      </c>
      <c r="Q1717" s="108">
        <f t="shared" si="2015"/>
        <v>1</v>
      </c>
      <c r="R1717" s="109">
        <f t="shared" si="2001"/>
        <v>0</v>
      </c>
      <c r="S1717" s="109">
        <f t="shared" si="2002"/>
        <v>0</v>
      </c>
      <c r="T1717" s="109">
        <f t="shared" si="2003"/>
        <v>0</v>
      </c>
      <c r="U1717" s="110">
        <f t="shared" si="2004"/>
        <v>1</v>
      </c>
      <c r="V1717" s="136"/>
    </row>
    <row r="1718" spans="2:25" ht="15.75" hidden="1" x14ac:dyDescent="0.2">
      <c r="B1718" s="711">
        <v>46197</v>
      </c>
      <c r="C1718" s="10" t="s">
        <v>153</v>
      </c>
      <c r="D1718" s="105" t="s">
        <v>23</v>
      </c>
      <c r="E1718" s="711">
        <v>46197</v>
      </c>
      <c r="G1718" s="832"/>
      <c r="H1718" s="120" t="s">
        <v>17</v>
      </c>
      <c r="I1718" s="120" t="s">
        <v>105</v>
      </c>
      <c r="J1718" s="106">
        <v>170</v>
      </c>
      <c r="K1718" s="106">
        <f t="shared" si="2016"/>
        <v>117</v>
      </c>
      <c r="L1718" s="106">
        <v>25</v>
      </c>
      <c r="M1718" s="106">
        <v>18</v>
      </c>
      <c r="N1718" s="106">
        <v>0</v>
      </c>
      <c r="O1718" s="106">
        <v>10</v>
      </c>
      <c r="P1718" s="106">
        <v>0</v>
      </c>
      <c r="Q1718" s="108">
        <f t="shared" si="2015"/>
        <v>0.83529411764705885</v>
      </c>
      <c r="R1718" s="109">
        <f t="shared" si="2001"/>
        <v>0</v>
      </c>
      <c r="S1718" s="109">
        <f t="shared" si="2002"/>
        <v>0</v>
      </c>
      <c r="T1718" s="109">
        <f t="shared" si="2003"/>
        <v>5.8823529411764705E-2</v>
      </c>
      <c r="U1718" s="110">
        <f t="shared" si="2004"/>
        <v>0.89411764705882357</v>
      </c>
      <c r="V1718" s="136" t="s">
        <v>21</v>
      </c>
    </row>
    <row r="1719" spans="2:25" ht="15.75" hidden="1" x14ac:dyDescent="0.2">
      <c r="B1719" s="711">
        <v>46197</v>
      </c>
      <c r="C1719" s="10" t="s">
        <v>153</v>
      </c>
      <c r="D1719" s="105" t="s">
        <v>23</v>
      </c>
      <c r="E1719" s="711">
        <v>46197</v>
      </c>
      <c r="G1719" s="190"/>
      <c r="H1719" s="840" t="s">
        <v>19</v>
      </c>
      <c r="I1719" s="841"/>
      <c r="J1719" s="113">
        <f>SUM(J1715:J1718)</f>
        <v>284</v>
      </c>
      <c r="K1719" s="113">
        <f t="shared" ref="K1719:N1719" si="2017">SUM(K1715:K1718)</f>
        <v>177</v>
      </c>
      <c r="L1719" s="113">
        <f t="shared" si="2017"/>
        <v>46</v>
      </c>
      <c r="M1719" s="113">
        <f t="shared" si="2017"/>
        <v>18</v>
      </c>
      <c r="N1719" s="113">
        <f t="shared" si="2017"/>
        <v>0</v>
      </c>
      <c r="O1719" s="113">
        <f>SUM(O1715:O1718)</f>
        <v>43</v>
      </c>
      <c r="P1719" s="113">
        <f t="shared" ref="P1719" si="2018">SUM(P1715:P1718)</f>
        <v>0</v>
      </c>
      <c r="Q1719" s="115">
        <f>(K1719+L1719)/J1719</f>
        <v>0.78521126760563376</v>
      </c>
      <c r="R1719" s="116">
        <f t="shared" ref="R1719" si="2019">N1719/J1719</f>
        <v>0</v>
      </c>
      <c r="S1719" s="116">
        <f t="shared" ref="S1719" si="2020">P1719/J1719</f>
        <v>0</v>
      </c>
      <c r="T1719" s="116">
        <f t="shared" ref="T1719" si="2021">O1719/J1719</f>
        <v>0.15140845070422534</v>
      </c>
      <c r="U1719" s="117">
        <f t="shared" ref="U1719" si="2022">S1719+R1719+Q1719+T1719</f>
        <v>0.93661971830985913</v>
      </c>
      <c r="V1719" s="127"/>
    </row>
    <row r="1720" spans="2:25" ht="15.75" hidden="1" x14ac:dyDescent="0.2">
      <c r="B1720" s="711">
        <v>46197</v>
      </c>
      <c r="C1720" s="10" t="s">
        <v>153</v>
      </c>
      <c r="D1720" s="105" t="s">
        <v>23</v>
      </c>
      <c r="E1720" s="711">
        <v>46198</v>
      </c>
      <c r="G1720" s="830">
        <v>46198</v>
      </c>
      <c r="H1720" s="120" t="s">
        <v>16</v>
      </c>
      <c r="I1720" s="120" t="s">
        <v>151</v>
      </c>
      <c r="J1720" s="106">
        <v>182</v>
      </c>
      <c r="K1720" s="106">
        <f>J1720-L1720-M1720-N1720-O1720-P1720</f>
        <v>81</v>
      </c>
      <c r="L1720" s="106">
        <v>27</v>
      </c>
      <c r="M1720" s="106">
        <v>73</v>
      </c>
      <c r="N1720" s="106">
        <v>0</v>
      </c>
      <c r="O1720" s="106">
        <v>0</v>
      </c>
      <c r="P1720" s="106">
        <v>1</v>
      </c>
      <c r="Q1720" s="108">
        <f t="shared" ref="Q1720:Q1723" si="2023">(K1720+L1720)/J1720</f>
        <v>0.59340659340659341</v>
      </c>
      <c r="R1720" s="109">
        <f t="shared" ref="R1720:R1730" si="2024">N1720/J1720</f>
        <v>0</v>
      </c>
      <c r="S1720" s="109">
        <f t="shared" ref="S1720:S1730" si="2025">P1720/J1720</f>
        <v>5.4945054945054949E-3</v>
      </c>
      <c r="T1720" s="109">
        <f t="shared" ref="T1720:T1730" si="2026">O1720/J1720</f>
        <v>0</v>
      </c>
      <c r="U1720" s="110">
        <f t="shared" ref="U1720:U1730" si="2027">S1720+R1720+Q1720+T1720</f>
        <v>0.59890109890109888</v>
      </c>
      <c r="V1720" s="136"/>
    </row>
    <row r="1721" spans="2:25" ht="15.75" hidden="1" x14ac:dyDescent="0.2">
      <c r="B1721" s="711">
        <v>46197</v>
      </c>
      <c r="C1721" s="10" t="s">
        <v>153</v>
      </c>
      <c r="D1721" s="105" t="s">
        <v>23</v>
      </c>
      <c r="E1721" s="711">
        <v>46198</v>
      </c>
      <c r="G1721" s="831"/>
      <c r="H1721" s="120" t="s">
        <v>14</v>
      </c>
      <c r="I1721" s="120" t="s">
        <v>106</v>
      </c>
      <c r="J1721" s="106">
        <v>193</v>
      </c>
      <c r="K1721" s="106">
        <f t="shared" ref="K1721:K1723" si="2028">J1721-L1721-M1721-N1721-O1721-P1721</f>
        <v>11</v>
      </c>
      <c r="L1721" s="106">
        <v>4</v>
      </c>
      <c r="M1721" s="106">
        <v>158</v>
      </c>
      <c r="N1721" s="106">
        <v>11</v>
      </c>
      <c r="O1721" s="106">
        <v>0</v>
      </c>
      <c r="P1721" s="106">
        <v>9</v>
      </c>
      <c r="Q1721" s="108">
        <f t="shared" si="2023"/>
        <v>7.7720207253886009E-2</v>
      </c>
      <c r="R1721" s="109">
        <f t="shared" si="2024"/>
        <v>5.6994818652849742E-2</v>
      </c>
      <c r="S1721" s="109">
        <f t="shared" si="2025"/>
        <v>4.6632124352331605E-2</v>
      </c>
      <c r="T1721" s="109">
        <f t="shared" si="2026"/>
        <v>0</v>
      </c>
      <c r="U1721" s="110">
        <f t="shared" si="2027"/>
        <v>0.18134715025906736</v>
      </c>
      <c r="V1721" s="136"/>
    </row>
    <row r="1722" spans="2:25" ht="15.75" hidden="1" x14ac:dyDescent="0.2">
      <c r="B1722" s="711">
        <v>46197</v>
      </c>
      <c r="C1722" s="10" t="s">
        <v>153</v>
      </c>
      <c r="D1722" s="105" t="s">
        <v>23</v>
      </c>
      <c r="E1722" s="711">
        <v>46198</v>
      </c>
      <c r="G1722" s="831"/>
      <c r="H1722" s="120" t="s">
        <v>118</v>
      </c>
      <c r="I1722" s="120" t="s">
        <v>43</v>
      </c>
      <c r="J1722" s="106">
        <v>64</v>
      </c>
      <c r="K1722" s="106">
        <f t="shared" si="2028"/>
        <v>0</v>
      </c>
      <c r="L1722" s="106">
        <v>0</v>
      </c>
      <c r="M1722" s="106">
        <v>52</v>
      </c>
      <c r="N1722" s="106">
        <v>0</v>
      </c>
      <c r="O1722" s="106">
        <v>0</v>
      </c>
      <c r="P1722" s="106">
        <v>12</v>
      </c>
      <c r="Q1722" s="108">
        <f t="shared" si="2023"/>
        <v>0</v>
      </c>
      <c r="R1722" s="109">
        <f t="shared" si="2024"/>
        <v>0</v>
      </c>
      <c r="S1722" s="109">
        <f t="shared" si="2025"/>
        <v>0.1875</v>
      </c>
      <c r="T1722" s="109">
        <f t="shared" si="2026"/>
        <v>0</v>
      </c>
      <c r="U1722" s="110">
        <f t="shared" si="2027"/>
        <v>0.1875</v>
      </c>
      <c r="V1722" s="136"/>
    </row>
    <row r="1723" spans="2:25" ht="15.75" hidden="1" x14ac:dyDescent="0.2">
      <c r="B1723" s="711">
        <v>46197</v>
      </c>
      <c r="C1723" s="10" t="s">
        <v>153</v>
      </c>
      <c r="D1723" s="105" t="s">
        <v>23</v>
      </c>
      <c r="E1723" s="711">
        <v>46198</v>
      </c>
      <c r="G1723" s="832"/>
      <c r="H1723" s="120" t="s">
        <v>17</v>
      </c>
      <c r="I1723" s="120" t="s">
        <v>105</v>
      </c>
      <c r="J1723" s="106">
        <v>188</v>
      </c>
      <c r="K1723" s="106">
        <f t="shared" si="2028"/>
        <v>0</v>
      </c>
      <c r="L1723" s="106">
        <v>0</v>
      </c>
      <c r="M1723" s="106">
        <v>188</v>
      </c>
      <c r="N1723" s="106">
        <v>0</v>
      </c>
      <c r="O1723" s="106">
        <v>0</v>
      </c>
      <c r="P1723" s="106">
        <v>0</v>
      </c>
      <c r="Q1723" s="108">
        <f t="shared" si="2023"/>
        <v>0</v>
      </c>
      <c r="R1723" s="109">
        <f t="shared" si="2024"/>
        <v>0</v>
      </c>
      <c r="S1723" s="109">
        <f t="shared" si="2025"/>
        <v>0</v>
      </c>
      <c r="T1723" s="109">
        <f t="shared" si="2026"/>
        <v>0</v>
      </c>
      <c r="U1723" s="110">
        <f t="shared" si="2027"/>
        <v>0</v>
      </c>
      <c r="V1723" s="136"/>
    </row>
    <row r="1724" spans="2:25" ht="15.75" hidden="1" x14ac:dyDescent="0.2">
      <c r="B1724" s="711">
        <v>46197</v>
      </c>
      <c r="C1724" s="10" t="s">
        <v>153</v>
      </c>
      <c r="D1724" s="105" t="s">
        <v>23</v>
      </c>
      <c r="E1724" s="711">
        <v>46198</v>
      </c>
      <c r="G1724" s="190"/>
      <c r="H1724" s="840" t="s">
        <v>19</v>
      </c>
      <c r="I1724" s="841"/>
      <c r="J1724" s="113">
        <f t="shared" ref="J1724:P1724" si="2029">SUM(J1720:J1723)</f>
        <v>627</v>
      </c>
      <c r="K1724" s="113">
        <f t="shared" si="2029"/>
        <v>92</v>
      </c>
      <c r="L1724" s="113">
        <f t="shared" si="2029"/>
        <v>31</v>
      </c>
      <c r="M1724" s="113">
        <f t="shared" si="2029"/>
        <v>471</v>
      </c>
      <c r="N1724" s="113">
        <f t="shared" si="2029"/>
        <v>11</v>
      </c>
      <c r="O1724" s="113">
        <f t="shared" si="2029"/>
        <v>0</v>
      </c>
      <c r="P1724" s="113">
        <f t="shared" si="2029"/>
        <v>22</v>
      </c>
      <c r="Q1724" s="115">
        <f>(K1724+L1724)/J1724</f>
        <v>0.19617224880382775</v>
      </c>
      <c r="R1724" s="116">
        <f t="shared" si="2024"/>
        <v>1.7543859649122806E-2</v>
      </c>
      <c r="S1724" s="116">
        <f t="shared" si="2025"/>
        <v>3.5087719298245612E-2</v>
      </c>
      <c r="T1724" s="116">
        <f t="shared" si="2026"/>
        <v>0</v>
      </c>
      <c r="U1724" s="117">
        <f t="shared" si="2027"/>
        <v>0.24880382775119617</v>
      </c>
      <c r="V1724" s="127"/>
    </row>
    <row r="1725" spans="2:25" ht="15.75" hidden="1" x14ac:dyDescent="0.2">
      <c r="B1725" s="711">
        <v>46197</v>
      </c>
      <c r="C1725" s="105" t="s">
        <v>18</v>
      </c>
      <c r="D1725" s="105" t="s">
        <v>129</v>
      </c>
      <c r="E1725" s="711">
        <v>46196</v>
      </c>
      <c r="G1725" s="714">
        <v>46197</v>
      </c>
      <c r="H1725" s="120" t="s">
        <v>17</v>
      </c>
      <c r="I1725" s="120" t="s">
        <v>105</v>
      </c>
      <c r="J1725" s="106">
        <f>SUM(K1725:P1725)</f>
        <v>35</v>
      </c>
      <c r="K1725" s="106">
        <v>18</v>
      </c>
      <c r="L1725" s="106">
        <v>17</v>
      </c>
      <c r="M1725" s="106">
        <v>0</v>
      </c>
      <c r="N1725" s="106">
        <v>0</v>
      </c>
      <c r="O1725" s="106">
        <v>0</v>
      </c>
      <c r="P1725" s="106">
        <v>0</v>
      </c>
      <c r="Q1725" s="108">
        <f t="shared" ref="Q1725:Q1729" si="2030">(K1725+L1725)/J1725</f>
        <v>1</v>
      </c>
      <c r="R1725" s="109">
        <f t="shared" si="2024"/>
        <v>0</v>
      </c>
      <c r="S1725" s="109">
        <f t="shared" si="2025"/>
        <v>0</v>
      </c>
      <c r="T1725" s="109">
        <f t="shared" si="2026"/>
        <v>0</v>
      </c>
      <c r="U1725" s="110">
        <f t="shared" si="2027"/>
        <v>1</v>
      </c>
      <c r="V1725" s="136"/>
    </row>
    <row r="1726" spans="2:25" ht="15.75" hidden="1" x14ac:dyDescent="0.2">
      <c r="B1726" s="711">
        <v>46197</v>
      </c>
      <c r="C1726" s="105" t="s">
        <v>18</v>
      </c>
      <c r="D1726" s="105" t="s">
        <v>129</v>
      </c>
      <c r="E1726" s="711">
        <v>46197</v>
      </c>
      <c r="G1726" s="830">
        <v>46198</v>
      </c>
      <c r="H1726" s="120" t="s">
        <v>16</v>
      </c>
      <c r="I1726" s="120" t="s">
        <v>151</v>
      </c>
      <c r="J1726" s="106">
        <v>182</v>
      </c>
      <c r="K1726" s="106">
        <v>0</v>
      </c>
      <c r="L1726" s="106">
        <v>0</v>
      </c>
      <c r="M1726" s="106">
        <v>35</v>
      </c>
      <c r="N1726" s="106">
        <v>18</v>
      </c>
      <c r="O1726" s="106">
        <v>20</v>
      </c>
      <c r="P1726" s="106">
        <v>1</v>
      </c>
      <c r="Q1726" s="108">
        <f t="shared" si="2030"/>
        <v>0</v>
      </c>
      <c r="R1726" s="109">
        <f t="shared" si="2024"/>
        <v>9.8901098901098897E-2</v>
      </c>
      <c r="S1726" s="109">
        <f t="shared" si="2025"/>
        <v>5.4945054945054949E-3</v>
      </c>
      <c r="T1726" s="109">
        <f t="shared" si="2026"/>
        <v>0.10989010989010989</v>
      </c>
      <c r="U1726" s="110">
        <f t="shared" si="2027"/>
        <v>0.21428571428571427</v>
      </c>
      <c r="V1726" s="136"/>
    </row>
    <row r="1727" spans="2:25" ht="15.75" hidden="1" x14ac:dyDescent="0.2">
      <c r="B1727" s="711">
        <v>46197</v>
      </c>
      <c r="C1727" s="105" t="s">
        <v>18</v>
      </c>
      <c r="D1727" s="105" t="s">
        <v>129</v>
      </c>
      <c r="E1727" s="711">
        <v>46198</v>
      </c>
      <c r="G1727" s="831"/>
      <c r="H1727" s="120" t="s">
        <v>14</v>
      </c>
      <c r="I1727" s="120" t="s">
        <v>106</v>
      </c>
      <c r="J1727" s="106">
        <v>193</v>
      </c>
      <c r="K1727" s="106">
        <v>104</v>
      </c>
      <c r="L1727" s="106">
        <v>29</v>
      </c>
      <c r="M1727" s="106">
        <v>0</v>
      </c>
      <c r="N1727" s="106">
        <v>0</v>
      </c>
      <c r="O1727" s="106">
        <v>15</v>
      </c>
      <c r="P1727" s="106">
        <v>9</v>
      </c>
      <c r="Q1727" s="108">
        <f t="shared" si="2030"/>
        <v>0.68911917098445596</v>
      </c>
      <c r="R1727" s="109">
        <f t="shared" si="2024"/>
        <v>0</v>
      </c>
      <c r="S1727" s="109">
        <f t="shared" si="2025"/>
        <v>4.6632124352331605E-2</v>
      </c>
      <c r="T1727" s="109">
        <f t="shared" si="2026"/>
        <v>7.7720207253886009E-2</v>
      </c>
      <c r="U1727" s="110">
        <f t="shared" si="2027"/>
        <v>0.81347150259067358</v>
      </c>
      <c r="V1727" s="136"/>
    </row>
    <row r="1728" spans="2:25" ht="15.75" hidden="1" x14ac:dyDescent="0.2">
      <c r="B1728" s="711">
        <v>46197</v>
      </c>
      <c r="C1728" s="105" t="s">
        <v>18</v>
      </c>
      <c r="D1728" s="105" t="s">
        <v>129</v>
      </c>
      <c r="E1728" s="711">
        <v>46198</v>
      </c>
      <c r="G1728" s="831"/>
      <c r="H1728" s="120" t="s">
        <v>118</v>
      </c>
      <c r="I1728" s="120" t="s">
        <v>43</v>
      </c>
      <c r="J1728" s="106">
        <v>64</v>
      </c>
      <c r="K1728" s="106">
        <v>47</v>
      </c>
      <c r="L1728" s="106">
        <v>1</v>
      </c>
      <c r="M1728" s="106">
        <v>4</v>
      </c>
      <c r="N1728" s="106">
        <v>0</v>
      </c>
      <c r="O1728" s="106">
        <v>0</v>
      </c>
      <c r="P1728" s="106">
        <v>12</v>
      </c>
      <c r="Q1728" s="108">
        <f t="shared" si="2030"/>
        <v>0.75</v>
      </c>
      <c r="R1728" s="109">
        <f t="shared" si="2024"/>
        <v>0</v>
      </c>
      <c r="S1728" s="109">
        <f t="shared" si="2025"/>
        <v>0.1875</v>
      </c>
      <c r="T1728" s="109">
        <f t="shared" si="2026"/>
        <v>0</v>
      </c>
      <c r="U1728" s="110">
        <f t="shared" si="2027"/>
        <v>0.9375</v>
      </c>
      <c r="V1728" s="136"/>
    </row>
    <row r="1729" spans="2:25" ht="15.75" hidden="1" x14ac:dyDescent="0.2">
      <c r="B1729" s="711">
        <v>46197</v>
      </c>
      <c r="C1729" s="105" t="s">
        <v>18</v>
      </c>
      <c r="D1729" s="105" t="s">
        <v>129</v>
      </c>
      <c r="E1729" s="711">
        <v>46198</v>
      </c>
      <c r="G1729" s="832"/>
      <c r="H1729" s="120" t="s">
        <v>17</v>
      </c>
      <c r="I1729" s="120" t="s">
        <v>105</v>
      </c>
      <c r="J1729" s="106">
        <v>201</v>
      </c>
      <c r="K1729" s="106">
        <v>20</v>
      </c>
      <c r="L1729" s="106">
        <v>15</v>
      </c>
      <c r="M1729" s="106">
        <v>111</v>
      </c>
      <c r="N1729" s="106">
        <v>23</v>
      </c>
      <c r="O1729" s="106">
        <v>33</v>
      </c>
      <c r="P1729" s="106">
        <v>0</v>
      </c>
      <c r="Q1729" s="108">
        <f t="shared" si="2030"/>
        <v>0.17412935323383086</v>
      </c>
      <c r="R1729" s="109">
        <f t="shared" si="2024"/>
        <v>0.11442786069651742</v>
      </c>
      <c r="S1729" s="109">
        <f t="shared" si="2025"/>
        <v>0</v>
      </c>
      <c r="T1729" s="109">
        <f t="shared" si="2026"/>
        <v>0.16417910447761194</v>
      </c>
      <c r="U1729" s="110">
        <f t="shared" si="2027"/>
        <v>0.45273631840796025</v>
      </c>
      <c r="V1729" s="136"/>
    </row>
    <row r="1730" spans="2:25" s="97" customFormat="1" ht="16.5" hidden="1" customHeight="1" x14ac:dyDescent="0.2">
      <c r="B1730" s="711">
        <v>46197</v>
      </c>
      <c r="C1730" s="105" t="s">
        <v>18</v>
      </c>
      <c r="D1730" s="105" t="s">
        <v>129</v>
      </c>
      <c r="E1730" s="711">
        <v>46198</v>
      </c>
      <c r="F1730" s="89"/>
      <c r="G1730" s="190"/>
      <c r="H1730" s="840" t="s">
        <v>19</v>
      </c>
      <c r="I1730" s="841"/>
      <c r="J1730" s="113">
        <f t="shared" ref="J1730:P1730" si="2031">SUM(J1725:J1729)</f>
        <v>675</v>
      </c>
      <c r="K1730" s="113">
        <f t="shared" si="2031"/>
        <v>189</v>
      </c>
      <c r="L1730" s="113">
        <f t="shared" si="2031"/>
        <v>62</v>
      </c>
      <c r="M1730" s="113">
        <f t="shared" si="2031"/>
        <v>150</v>
      </c>
      <c r="N1730" s="113">
        <f t="shared" si="2031"/>
        <v>41</v>
      </c>
      <c r="O1730" s="113">
        <f t="shared" si="2031"/>
        <v>68</v>
      </c>
      <c r="P1730" s="113">
        <f t="shared" si="2031"/>
        <v>22</v>
      </c>
      <c r="Q1730" s="115">
        <f>(K1730+L1730)/J1730</f>
        <v>0.37185185185185188</v>
      </c>
      <c r="R1730" s="116">
        <f t="shared" si="2024"/>
        <v>6.0740740740740741E-2</v>
      </c>
      <c r="S1730" s="116">
        <f t="shared" si="2025"/>
        <v>3.259259259259259E-2</v>
      </c>
      <c r="T1730" s="116">
        <f t="shared" si="2026"/>
        <v>0.10074074074074074</v>
      </c>
      <c r="U1730" s="117">
        <f t="shared" si="2027"/>
        <v>0.56592592592592594</v>
      </c>
      <c r="V1730" s="127"/>
      <c r="W1730" s="88"/>
      <c r="X1730" s="88"/>
      <c r="Y1730" s="118"/>
    </row>
    <row r="1731" spans="2:25" ht="15.75" hidden="1" x14ac:dyDescent="0.2">
      <c r="B1731" s="10">
        <v>46198</v>
      </c>
      <c r="C1731" s="10" t="s">
        <v>154</v>
      </c>
      <c r="D1731" s="10" t="s">
        <v>150</v>
      </c>
      <c r="E1731" s="711">
        <v>46198</v>
      </c>
      <c r="G1731" s="830">
        <v>46198</v>
      </c>
      <c r="H1731" s="120" t="s">
        <v>16</v>
      </c>
      <c r="I1731" s="120" t="s">
        <v>151</v>
      </c>
      <c r="J1731" s="106">
        <v>182</v>
      </c>
      <c r="K1731" s="106">
        <f>182-1-20-1</f>
        <v>160</v>
      </c>
      <c r="L1731" s="106">
        <v>0</v>
      </c>
      <c r="M1731" s="106">
        <v>1</v>
      </c>
      <c r="N1731" s="106">
        <v>0</v>
      </c>
      <c r="O1731" s="106">
        <v>20</v>
      </c>
      <c r="P1731" s="106">
        <v>1</v>
      </c>
      <c r="Q1731" s="108">
        <f t="shared" ref="Q1731:Q1736" si="2032">(K1731+L1731)/J1731</f>
        <v>0.87912087912087911</v>
      </c>
      <c r="R1731" s="109">
        <f t="shared" ref="R1731:R1737" si="2033">N1731/J1731</f>
        <v>0</v>
      </c>
      <c r="S1731" s="109">
        <f t="shared" ref="S1731:S1737" si="2034">P1731/J1731</f>
        <v>5.4945054945054949E-3</v>
      </c>
      <c r="T1731" s="109">
        <f t="shared" ref="T1731:T1737" si="2035">O1731/J1731</f>
        <v>0.10989010989010989</v>
      </c>
      <c r="U1731" s="110">
        <f t="shared" ref="U1731:U1737" si="2036">S1731+R1731+Q1731+T1731</f>
        <v>0.99450549450549453</v>
      </c>
      <c r="V1731" s="127"/>
    </row>
    <row r="1732" spans="2:25" ht="15.75" hidden="1" x14ac:dyDescent="0.2">
      <c r="B1732" s="10">
        <v>46198</v>
      </c>
      <c r="C1732" s="10" t="s">
        <v>154</v>
      </c>
      <c r="D1732" s="10" t="s">
        <v>150</v>
      </c>
      <c r="E1732" s="711">
        <v>46198</v>
      </c>
      <c r="G1732" s="831"/>
      <c r="H1732" s="120" t="s">
        <v>14</v>
      </c>
      <c r="I1732" s="120" t="s">
        <v>106</v>
      </c>
      <c r="J1732" s="106">
        <v>193</v>
      </c>
      <c r="K1732" s="106">
        <f>193-12-15-1</f>
        <v>165</v>
      </c>
      <c r="L1732" s="106">
        <v>12</v>
      </c>
      <c r="M1732" s="106">
        <v>0</v>
      </c>
      <c r="N1732" s="106">
        <v>0</v>
      </c>
      <c r="O1732" s="106">
        <v>15</v>
      </c>
      <c r="P1732" s="106">
        <v>1</v>
      </c>
      <c r="Q1732" s="108">
        <f t="shared" si="2032"/>
        <v>0.91709844559585496</v>
      </c>
      <c r="R1732" s="109">
        <f t="shared" si="2033"/>
        <v>0</v>
      </c>
      <c r="S1732" s="109">
        <f t="shared" si="2034"/>
        <v>5.1813471502590676E-3</v>
      </c>
      <c r="T1732" s="109">
        <f t="shared" si="2035"/>
        <v>7.7720207253886009E-2</v>
      </c>
      <c r="U1732" s="110">
        <f t="shared" si="2036"/>
        <v>1</v>
      </c>
      <c r="V1732" s="136"/>
    </row>
    <row r="1733" spans="2:25" ht="15.75" hidden="1" x14ac:dyDescent="0.2">
      <c r="B1733" s="10">
        <v>46198</v>
      </c>
      <c r="C1733" s="10" t="s">
        <v>154</v>
      </c>
      <c r="D1733" s="10" t="s">
        <v>150</v>
      </c>
      <c r="E1733" s="711">
        <v>46198</v>
      </c>
      <c r="G1733" s="831"/>
      <c r="H1733" s="120" t="s">
        <v>118</v>
      </c>
      <c r="I1733" s="120" t="s">
        <v>43</v>
      </c>
      <c r="J1733" s="106">
        <v>21</v>
      </c>
      <c r="K1733" s="106">
        <v>9</v>
      </c>
      <c r="L1733" s="106">
        <v>0</v>
      </c>
      <c r="M1733" s="106">
        <v>0</v>
      </c>
      <c r="N1733" s="106">
        <v>0</v>
      </c>
      <c r="O1733" s="106">
        <v>0</v>
      </c>
      <c r="P1733" s="106">
        <v>12</v>
      </c>
      <c r="Q1733" s="108">
        <f t="shared" si="2032"/>
        <v>0.42857142857142855</v>
      </c>
      <c r="R1733" s="109">
        <f t="shared" si="2033"/>
        <v>0</v>
      </c>
      <c r="S1733" s="109">
        <f t="shared" si="2034"/>
        <v>0.5714285714285714</v>
      </c>
      <c r="T1733" s="109">
        <f t="shared" si="2035"/>
        <v>0</v>
      </c>
      <c r="U1733" s="110">
        <f t="shared" si="2036"/>
        <v>1</v>
      </c>
      <c r="V1733" s="136"/>
    </row>
    <row r="1734" spans="2:25" ht="15.75" hidden="1" x14ac:dyDescent="0.2">
      <c r="B1734" s="10">
        <v>46198</v>
      </c>
      <c r="C1734" s="10" t="s">
        <v>154</v>
      </c>
      <c r="D1734" s="10" t="s">
        <v>150</v>
      </c>
      <c r="E1734" s="711">
        <v>46198</v>
      </c>
      <c r="G1734" s="831"/>
      <c r="H1734" s="120" t="s">
        <v>155</v>
      </c>
      <c r="I1734" s="120" t="s">
        <v>43</v>
      </c>
      <c r="J1734" s="106">
        <v>16</v>
      </c>
      <c r="K1734" s="106">
        <v>16</v>
      </c>
      <c r="L1734" s="106">
        <v>0</v>
      </c>
      <c r="M1734" s="106">
        <v>0</v>
      </c>
      <c r="N1734" s="106">
        <v>0</v>
      </c>
      <c r="O1734" s="106">
        <v>0</v>
      </c>
      <c r="P1734" s="106">
        <v>0</v>
      </c>
      <c r="Q1734" s="108">
        <f t="shared" si="2032"/>
        <v>1</v>
      </c>
      <c r="R1734" s="109">
        <f t="shared" si="2033"/>
        <v>0</v>
      </c>
      <c r="S1734" s="109">
        <f t="shared" si="2034"/>
        <v>0</v>
      </c>
      <c r="T1734" s="109">
        <f t="shared" si="2035"/>
        <v>0</v>
      </c>
      <c r="U1734" s="110">
        <f t="shared" si="2036"/>
        <v>1</v>
      </c>
      <c r="V1734" s="136"/>
    </row>
    <row r="1735" spans="2:25" ht="15.75" hidden="1" x14ac:dyDescent="0.2">
      <c r="B1735" s="10">
        <v>46198</v>
      </c>
      <c r="C1735" s="10" t="s">
        <v>154</v>
      </c>
      <c r="D1735" s="10" t="s">
        <v>150</v>
      </c>
      <c r="E1735" s="711">
        <v>46198</v>
      </c>
      <c r="G1735" s="832"/>
      <c r="H1735" s="120" t="s">
        <v>17</v>
      </c>
      <c r="I1735" s="120" t="s">
        <v>105</v>
      </c>
      <c r="J1735" s="106">
        <v>201</v>
      </c>
      <c r="K1735" s="106">
        <f>201-14-33-44-33</f>
        <v>77</v>
      </c>
      <c r="L1735" s="106">
        <v>14</v>
      </c>
      <c r="M1735" s="106">
        <v>33</v>
      </c>
      <c r="N1735" s="106">
        <v>44</v>
      </c>
      <c r="O1735" s="106">
        <v>33</v>
      </c>
      <c r="P1735" s="106">
        <v>0</v>
      </c>
      <c r="Q1735" s="108">
        <f t="shared" si="2032"/>
        <v>0.45273631840796019</v>
      </c>
      <c r="R1735" s="109">
        <f t="shared" si="2033"/>
        <v>0.21890547263681592</v>
      </c>
      <c r="S1735" s="109">
        <f t="shared" si="2034"/>
        <v>0</v>
      </c>
      <c r="T1735" s="109">
        <f t="shared" si="2035"/>
        <v>0.16417910447761194</v>
      </c>
      <c r="U1735" s="110">
        <f t="shared" si="2036"/>
        <v>0.83582089552238803</v>
      </c>
      <c r="V1735" s="136"/>
    </row>
    <row r="1736" spans="2:25" ht="15.75" hidden="1" x14ac:dyDescent="0.2">
      <c r="B1736" s="10">
        <v>46198</v>
      </c>
      <c r="C1736" s="10" t="s">
        <v>154</v>
      </c>
      <c r="D1736" s="10" t="s">
        <v>150</v>
      </c>
      <c r="E1736" s="711">
        <v>46198</v>
      </c>
      <c r="G1736" s="706">
        <v>46199</v>
      </c>
      <c r="H1736" s="318" t="s">
        <v>16</v>
      </c>
      <c r="I1736" s="120" t="s">
        <v>151</v>
      </c>
      <c r="J1736" s="258">
        <v>194</v>
      </c>
      <c r="K1736" s="258">
        <v>11</v>
      </c>
      <c r="L1736" s="258">
        <v>0</v>
      </c>
      <c r="M1736" s="258">
        <v>144</v>
      </c>
      <c r="N1736" s="258">
        <v>18</v>
      </c>
      <c r="O1736" s="258">
        <v>0</v>
      </c>
      <c r="P1736" s="258">
        <v>0</v>
      </c>
      <c r="Q1736" s="259">
        <f t="shared" si="2032"/>
        <v>5.6701030927835051E-2</v>
      </c>
      <c r="R1736" s="260">
        <f t="shared" si="2033"/>
        <v>9.2783505154639179E-2</v>
      </c>
      <c r="S1736" s="260">
        <f t="shared" si="2034"/>
        <v>0</v>
      </c>
      <c r="T1736" s="260">
        <f t="shared" si="2035"/>
        <v>0</v>
      </c>
      <c r="U1736" s="261">
        <f t="shared" si="2036"/>
        <v>0.14948453608247422</v>
      </c>
      <c r="V1736" s="136"/>
    </row>
    <row r="1737" spans="2:25" ht="15.75" hidden="1" x14ac:dyDescent="0.2">
      <c r="B1737" s="10">
        <v>46198</v>
      </c>
      <c r="C1737" s="10" t="s">
        <v>154</v>
      </c>
      <c r="D1737" s="10" t="s">
        <v>150</v>
      </c>
      <c r="E1737" s="711">
        <v>46198</v>
      </c>
      <c r="G1737" s="190"/>
      <c r="H1737" s="840" t="s">
        <v>19</v>
      </c>
      <c r="I1737" s="841"/>
      <c r="J1737" s="113">
        <f t="shared" ref="J1737:P1737" si="2037">SUM(J1731:J1736)</f>
        <v>807</v>
      </c>
      <c r="K1737" s="113">
        <f t="shared" si="2037"/>
        <v>438</v>
      </c>
      <c r="L1737" s="113">
        <f t="shared" si="2037"/>
        <v>26</v>
      </c>
      <c r="M1737" s="113">
        <f t="shared" si="2037"/>
        <v>178</v>
      </c>
      <c r="N1737" s="113">
        <f t="shared" si="2037"/>
        <v>62</v>
      </c>
      <c r="O1737" s="113">
        <f t="shared" si="2037"/>
        <v>68</v>
      </c>
      <c r="P1737" s="113">
        <f t="shared" si="2037"/>
        <v>14</v>
      </c>
      <c r="Q1737" s="115">
        <f>(K1737+L1737)/J1737</f>
        <v>0.57496902106567538</v>
      </c>
      <c r="R1737" s="116">
        <f t="shared" si="2033"/>
        <v>7.6827757125154897E-2</v>
      </c>
      <c r="S1737" s="116">
        <f t="shared" si="2034"/>
        <v>1.7348203221809171E-2</v>
      </c>
      <c r="T1737" s="116">
        <f t="shared" si="2035"/>
        <v>8.4262701363073109E-2</v>
      </c>
      <c r="U1737" s="117">
        <f t="shared" si="2036"/>
        <v>0.75340768277571257</v>
      </c>
      <c r="V1737" s="127"/>
    </row>
    <row r="1738" spans="2:25" ht="12.75" hidden="1" customHeight="1" x14ac:dyDescent="0.2">
      <c r="B1738" s="10">
        <v>46198</v>
      </c>
      <c r="C1738" s="10" t="s">
        <v>12</v>
      </c>
      <c r="D1738" s="10" t="s">
        <v>150</v>
      </c>
      <c r="E1738" s="706">
        <v>46199</v>
      </c>
      <c r="G1738" s="830">
        <v>46198</v>
      </c>
      <c r="H1738" s="120" t="s">
        <v>16</v>
      </c>
      <c r="I1738" s="120" t="s">
        <v>151</v>
      </c>
      <c r="J1738" s="106">
        <v>206</v>
      </c>
      <c r="K1738" s="106">
        <f>J1738-L1738-M1738-N1738-O1738-P1738</f>
        <v>124</v>
      </c>
      <c r="L1738" s="106">
        <v>35</v>
      </c>
      <c r="M1738" s="106">
        <v>47</v>
      </c>
      <c r="N1738" s="106">
        <v>0</v>
      </c>
      <c r="O1738" s="106">
        <v>0</v>
      </c>
      <c r="P1738" s="106">
        <v>0</v>
      </c>
      <c r="Q1738" s="108">
        <f t="shared" ref="Q1738" si="2038">(K1738+L1738)/J1738</f>
        <v>0.77184466019417475</v>
      </c>
      <c r="R1738" s="109">
        <f t="shared" ref="R1738:R1746" si="2039">N1738/J1738</f>
        <v>0</v>
      </c>
      <c r="S1738" s="109">
        <f t="shared" ref="S1738:S1746" si="2040">P1738/J1738</f>
        <v>0</v>
      </c>
      <c r="T1738" s="109">
        <f t="shared" ref="T1738:T1746" si="2041">O1738/J1738</f>
        <v>0</v>
      </c>
      <c r="U1738" s="110">
        <f t="shared" ref="U1738:U1746" si="2042">S1738+R1738+Q1738+T1738</f>
        <v>0.77184466019417475</v>
      </c>
      <c r="V1738" s="127"/>
    </row>
    <row r="1739" spans="2:25" ht="15.75" hidden="1" x14ac:dyDescent="0.2">
      <c r="B1739" s="10">
        <v>46198</v>
      </c>
      <c r="C1739" s="10" t="s">
        <v>12</v>
      </c>
      <c r="D1739" s="10" t="s">
        <v>150</v>
      </c>
      <c r="E1739" s="706">
        <v>46199</v>
      </c>
      <c r="G1739" s="831"/>
      <c r="H1739" s="120" t="s">
        <v>14</v>
      </c>
      <c r="I1739" s="120" t="s">
        <v>156</v>
      </c>
      <c r="J1739" s="106">
        <v>200</v>
      </c>
      <c r="K1739" s="106">
        <f t="shared" ref="K1739:K1740" si="2043">J1739-L1739-M1739-N1739-O1739-P1739</f>
        <v>18</v>
      </c>
      <c r="L1739" s="106">
        <v>3</v>
      </c>
      <c r="M1739" s="106">
        <v>171</v>
      </c>
      <c r="N1739" s="106">
        <v>0</v>
      </c>
      <c r="O1739" s="106">
        <v>0</v>
      </c>
      <c r="P1739" s="106">
        <v>8</v>
      </c>
      <c r="Q1739" s="108">
        <f t="shared" ref="Q1739:Q1740" si="2044">(K1739+L1739)/J1739</f>
        <v>0.105</v>
      </c>
      <c r="R1739" s="109">
        <f t="shared" ref="R1739:R1740" si="2045">N1739/J1739</f>
        <v>0</v>
      </c>
      <c r="S1739" s="109">
        <f t="shared" ref="S1739:S1740" si="2046">P1739/J1739</f>
        <v>0.04</v>
      </c>
      <c r="T1739" s="109">
        <f t="shared" ref="T1739:T1740" si="2047">O1739/J1739</f>
        <v>0</v>
      </c>
      <c r="U1739" s="110">
        <f t="shared" si="2042"/>
        <v>0.14499999999999999</v>
      </c>
      <c r="V1739" s="136"/>
    </row>
    <row r="1740" spans="2:25" ht="15.75" hidden="1" x14ac:dyDescent="0.2">
      <c r="B1740" s="10">
        <v>46198</v>
      </c>
      <c r="C1740" s="10" t="s">
        <v>12</v>
      </c>
      <c r="D1740" s="10" t="s">
        <v>150</v>
      </c>
      <c r="E1740" s="706">
        <v>46199</v>
      </c>
      <c r="G1740" s="832"/>
      <c r="H1740" s="120" t="s">
        <v>25</v>
      </c>
      <c r="I1740" s="120" t="s">
        <v>18</v>
      </c>
      <c r="J1740" s="106">
        <v>182</v>
      </c>
      <c r="K1740" s="106">
        <f t="shared" si="2043"/>
        <v>0</v>
      </c>
      <c r="L1740" s="106">
        <v>0</v>
      </c>
      <c r="M1740" s="106">
        <v>182</v>
      </c>
      <c r="N1740" s="106">
        <v>0</v>
      </c>
      <c r="O1740" s="106">
        <v>0</v>
      </c>
      <c r="P1740" s="106">
        <v>0</v>
      </c>
      <c r="Q1740" s="108">
        <f t="shared" si="2044"/>
        <v>0</v>
      </c>
      <c r="R1740" s="109">
        <f t="shared" si="2045"/>
        <v>0</v>
      </c>
      <c r="S1740" s="109">
        <f t="shared" si="2046"/>
        <v>0</v>
      </c>
      <c r="T1740" s="109">
        <f t="shared" si="2047"/>
        <v>0</v>
      </c>
      <c r="U1740" s="110">
        <f t="shared" si="2042"/>
        <v>0</v>
      </c>
      <c r="V1740" s="136"/>
    </row>
    <row r="1741" spans="2:25" ht="15.75" hidden="1" x14ac:dyDescent="0.2">
      <c r="B1741" s="10">
        <v>46198</v>
      </c>
      <c r="C1741" s="10" t="s">
        <v>12</v>
      </c>
      <c r="D1741" s="10" t="s">
        <v>150</v>
      </c>
      <c r="E1741" s="706">
        <v>46199</v>
      </c>
      <c r="G1741" s="190"/>
      <c r="H1741" s="840" t="s">
        <v>19</v>
      </c>
      <c r="I1741" s="841"/>
      <c r="J1741" s="113">
        <f t="shared" ref="J1741:P1741" si="2048">SUM(J1738:J1740)</f>
        <v>588</v>
      </c>
      <c r="K1741" s="113">
        <f t="shared" si="2048"/>
        <v>142</v>
      </c>
      <c r="L1741" s="113">
        <f t="shared" si="2048"/>
        <v>38</v>
      </c>
      <c r="M1741" s="113">
        <f t="shared" si="2048"/>
        <v>400</v>
      </c>
      <c r="N1741" s="113">
        <f t="shared" si="2048"/>
        <v>0</v>
      </c>
      <c r="O1741" s="113">
        <f t="shared" si="2048"/>
        <v>0</v>
      </c>
      <c r="P1741" s="113">
        <f t="shared" si="2048"/>
        <v>8</v>
      </c>
      <c r="Q1741" s="115">
        <f>(K1741+L1741)/J1741</f>
        <v>0.30612244897959184</v>
      </c>
      <c r="R1741" s="116">
        <f t="shared" si="2039"/>
        <v>0</v>
      </c>
      <c r="S1741" s="116">
        <f t="shared" si="2040"/>
        <v>1.3605442176870748E-2</v>
      </c>
      <c r="T1741" s="116">
        <f t="shared" si="2041"/>
        <v>0</v>
      </c>
      <c r="U1741" s="117">
        <f t="shared" si="2042"/>
        <v>0.31972789115646261</v>
      </c>
      <c r="V1741" s="127"/>
    </row>
    <row r="1742" spans="2:25" ht="15.75" hidden="1" x14ac:dyDescent="0.2">
      <c r="B1742" s="10">
        <v>46198</v>
      </c>
      <c r="C1742" s="105" t="s">
        <v>18</v>
      </c>
      <c r="D1742" s="105" t="s">
        <v>129</v>
      </c>
      <c r="E1742" s="711">
        <v>46196</v>
      </c>
      <c r="G1742" s="714">
        <v>46198</v>
      </c>
      <c r="H1742" s="120" t="s">
        <v>17</v>
      </c>
      <c r="I1742" s="120" t="s">
        <v>18</v>
      </c>
      <c r="J1742" s="106">
        <f>SUM(K1742:P1742)</f>
        <v>39</v>
      </c>
      <c r="K1742" s="106">
        <v>29</v>
      </c>
      <c r="L1742" s="106">
        <v>10</v>
      </c>
      <c r="M1742" s="106">
        <v>0</v>
      </c>
      <c r="N1742" s="106">
        <v>0</v>
      </c>
      <c r="O1742" s="106">
        <v>0</v>
      </c>
      <c r="P1742" s="106">
        <v>0</v>
      </c>
      <c r="Q1742" s="108">
        <f t="shared" ref="Q1742:Q1745" si="2049">(K1742+L1742)/J1742</f>
        <v>1</v>
      </c>
      <c r="R1742" s="109">
        <f t="shared" si="2039"/>
        <v>0</v>
      </c>
      <c r="S1742" s="109">
        <f t="shared" si="2040"/>
        <v>0</v>
      </c>
      <c r="T1742" s="109">
        <f t="shared" si="2041"/>
        <v>0</v>
      </c>
      <c r="U1742" s="110">
        <f t="shared" si="2042"/>
        <v>1</v>
      </c>
      <c r="V1742" s="136"/>
    </row>
    <row r="1743" spans="2:25" ht="15.75" hidden="1" x14ac:dyDescent="0.2">
      <c r="B1743" s="10">
        <v>46198</v>
      </c>
      <c r="C1743" s="105" t="s">
        <v>18</v>
      </c>
      <c r="D1743" s="105" t="s">
        <v>129</v>
      </c>
      <c r="E1743" s="711">
        <v>46197</v>
      </c>
      <c r="G1743" s="830">
        <v>46199</v>
      </c>
      <c r="H1743" s="120" t="s">
        <v>16</v>
      </c>
      <c r="I1743" s="120" t="s">
        <v>151</v>
      </c>
      <c r="J1743" s="106">
        <v>182</v>
      </c>
      <c r="K1743" s="106">
        <v>0</v>
      </c>
      <c r="L1743" s="106">
        <v>0</v>
      </c>
      <c r="M1743" s="106">
        <v>5</v>
      </c>
      <c r="N1743" s="106">
        <v>23</v>
      </c>
      <c r="O1743" s="106">
        <v>20</v>
      </c>
      <c r="P1743" s="106">
        <v>0</v>
      </c>
      <c r="Q1743" s="108">
        <f t="shared" si="2049"/>
        <v>0</v>
      </c>
      <c r="R1743" s="109">
        <f t="shared" si="2039"/>
        <v>0.12637362637362637</v>
      </c>
      <c r="S1743" s="109">
        <f t="shared" si="2040"/>
        <v>0</v>
      </c>
      <c r="T1743" s="109">
        <f t="shared" si="2041"/>
        <v>0.10989010989010989</v>
      </c>
      <c r="U1743" s="110">
        <f t="shared" si="2042"/>
        <v>0.23626373626373626</v>
      </c>
      <c r="V1743" s="136"/>
    </row>
    <row r="1744" spans="2:25" ht="15.75" hidden="1" x14ac:dyDescent="0.2">
      <c r="B1744" s="10">
        <v>46198</v>
      </c>
      <c r="C1744" s="105" t="s">
        <v>18</v>
      </c>
      <c r="D1744" s="105" t="s">
        <v>129</v>
      </c>
      <c r="E1744" s="711">
        <v>46198</v>
      </c>
      <c r="G1744" s="832"/>
      <c r="H1744" s="120" t="s">
        <v>14</v>
      </c>
      <c r="I1744" s="120" t="s">
        <v>15</v>
      </c>
      <c r="J1744" s="106">
        <v>193</v>
      </c>
      <c r="K1744" s="106">
        <v>129</v>
      </c>
      <c r="L1744" s="106">
        <v>29</v>
      </c>
      <c r="M1744" s="106">
        <v>3</v>
      </c>
      <c r="N1744" s="106">
        <v>0</v>
      </c>
      <c r="O1744" s="106">
        <v>13</v>
      </c>
      <c r="P1744" s="106">
        <v>8</v>
      </c>
      <c r="Q1744" s="108">
        <f t="shared" si="2049"/>
        <v>0.81865284974093266</v>
      </c>
      <c r="R1744" s="109">
        <f t="shared" si="2039"/>
        <v>0</v>
      </c>
      <c r="S1744" s="109">
        <f t="shared" si="2040"/>
        <v>4.145077720207254E-2</v>
      </c>
      <c r="T1744" s="109">
        <f t="shared" si="2041"/>
        <v>6.7357512953367879E-2</v>
      </c>
      <c r="U1744" s="110">
        <f t="shared" si="2042"/>
        <v>0.92746113989637313</v>
      </c>
      <c r="V1744" s="136"/>
    </row>
    <row r="1745" spans="2:25" ht="15.75" hidden="1" x14ac:dyDescent="0.2">
      <c r="B1745" s="10">
        <v>46198</v>
      </c>
      <c r="C1745" s="105" t="s">
        <v>18</v>
      </c>
      <c r="D1745" s="105" t="s">
        <v>129</v>
      </c>
      <c r="E1745" s="711">
        <v>46198</v>
      </c>
      <c r="G1745" s="713" t="s">
        <v>157</v>
      </c>
      <c r="H1745" s="120" t="s">
        <v>25</v>
      </c>
      <c r="I1745" s="120" t="s">
        <v>18</v>
      </c>
      <c r="J1745" s="106">
        <v>201</v>
      </c>
      <c r="K1745" s="106">
        <v>8</v>
      </c>
      <c r="L1745" s="106">
        <v>8</v>
      </c>
      <c r="M1745" s="106">
        <v>159</v>
      </c>
      <c r="N1745" s="106">
        <v>27</v>
      </c>
      <c r="O1745" s="106">
        <v>23</v>
      </c>
      <c r="P1745" s="106">
        <v>3</v>
      </c>
      <c r="Q1745" s="108">
        <f t="shared" si="2049"/>
        <v>7.9601990049751242E-2</v>
      </c>
      <c r="R1745" s="109">
        <f t="shared" si="2039"/>
        <v>0.13432835820895522</v>
      </c>
      <c r="S1745" s="109">
        <f t="shared" si="2040"/>
        <v>1.4925373134328358E-2</v>
      </c>
      <c r="T1745" s="109">
        <f t="shared" si="2041"/>
        <v>0.11442786069651742</v>
      </c>
      <c r="U1745" s="110">
        <f t="shared" si="2042"/>
        <v>0.34328358208955223</v>
      </c>
      <c r="V1745" s="136"/>
    </row>
    <row r="1746" spans="2:25" s="97" customFormat="1" ht="16.5" hidden="1" customHeight="1" x14ac:dyDescent="0.2">
      <c r="B1746" s="10">
        <v>46198</v>
      </c>
      <c r="C1746" s="105" t="s">
        <v>18</v>
      </c>
      <c r="D1746" s="105" t="s">
        <v>129</v>
      </c>
      <c r="E1746" s="711">
        <v>46198</v>
      </c>
      <c r="F1746" s="89"/>
      <c r="G1746" s="190"/>
      <c r="H1746" s="840" t="s">
        <v>19</v>
      </c>
      <c r="I1746" s="841"/>
      <c r="J1746" s="113">
        <f t="shared" ref="J1746:P1746" si="2050">SUM(J1742:J1745)</f>
        <v>615</v>
      </c>
      <c r="K1746" s="113">
        <f t="shared" si="2050"/>
        <v>166</v>
      </c>
      <c r="L1746" s="113">
        <f t="shared" si="2050"/>
        <v>47</v>
      </c>
      <c r="M1746" s="113">
        <f t="shared" si="2050"/>
        <v>167</v>
      </c>
      <c r="N1746" s="113">
        <f t="shared" si="2050"/>
        <v>50</v>
      </c>
      <c r="O1746" s="113">
        <f t="shared" si="2050"/>
        <v>56</v>
      </c>
      <c r="P1746" s="113">
        <f t="shared" si="2050"/>
        <v>11</v>
      </c>
      <c r="Q1746" s="115">
        <f>(K1746+L1746)/J1746</f>
        <v>0.34634146341463412</v>
      </c>
      <c r="R1746" s="116">
        <f t="shared" si="2039"/>
        <v>8.1300813008130079E-2</v>
      </c>
      <c r="S1746" s="116">
        <f t="shared" si="2040"/>
        <v>1.7886178861788619E-2</v>
      </c>
      <c r="T1746" s="116">
        <f t="shared" si="2041"/>
        <v>9.1056910569105698E-2</v>
      </c>
      <c r="U1746" s="117">
        <f t="shared" si="2042"/>
        <v>0.53658536585365857</v>
      </c>
      <c r="V1746" s="127"/>
      <c r="W1746" s="88"/>
      <c r="X1746" s="88"/>
      <c r="Y1746" s="118"/>
    </row>
    <row r="1747" spans="2:25" ht="15.75" hidden="1" x14ac:dyDescent="0.2">
      <c r="B1747" s="10">
        <v>46199</v>
      </c>
      <c r="C1747" s="105" t="s">
        <v>22</v>
      </c>
      <c r="D1747" s="105" t="s">
        <v>23</v>
      </c>
      <c r="E1747" s="711">
        <v>46199</v>
      </c>
      <c r="G1747" s="833">
        <v>46199</v>
      </c>
      <c r="H1747" s="120" t="s">
        <v>16</v>
      </c>
      <c r="I1747" s="120" t="s">
        <v>15</v>
      </c>
      <c r="J1747" s="106">
        <v>182</v>
      </c>
      <c r="K1747" s="106">
        <f>182-67</f>
        <v>115</v>
      </c>
      <c r="L1747" s="106">
        <v>42</v>
      </c>
      <c r="M1747" s="106">
        <v>5</v>
      </c>
      <c r="N1747" s="106">
        <v>0</v>
      </c>
      <c r="O1747" s="106">
        <v>20</v>
      </c>
      <c r="P1747" s="106">
        <v>0</v>
      </c>
      <c r="Q1747" s="108">
        <f t="shared" ref="Q1747:Q1749" si="2051">(K1747+L1747)/J1747</f>
        <v>0.86263736263736268</v>
      </c>
      <c r="R1747" s="109">
        <f t="shared" ref="R1747:R1750" si="2052">N1747/J1747</f>
        <v>0</v>
      </c>
      <c r="S1747" s="109">
        <f t="shared" ref="S1747:S1750" si="2053">P1747/J1747</f>
        <v>0</v>
      </c>
      <c r="T1747" s="109">
        <f t="shared" ref="T1747:T1750" si="2054">O1747/J1747</f>
        <v>0.10989010989010989</v>
      </c>
      <c r="U1747" s="110">
        <f t="shared" ref="U1747:U1750" si="2055">S1747+R1747+Q1747+T1747</f>
        <v>0.97252747252747263</v>
      </c>
      <c r="V1747" s="136"/>
    </row>
    <row r="1748" spans="2:25" ht="15.75" hidden="1" x14ac:dyDescent="0.2">
      <c r="B1748" s="10">
        <v>46199</v>
      </c>
      <c r="C1748" s="105" t="s">
        <v>22</v>
      </c>
      <c r="D1748" s="105" t="s">
        <v>23</v>
      </c>
      <c r="E1748" s="711">
        <v>46199</v>
      </c>
      <c r="G1748" s="834"/>
      <c r="H1748" s="120" t="s">
        <v>14</v>
      </c>
      <c r="I1748" s="120" t="s">
        <v>15</v>
      </c>
      <c r="J1748" s="106">
        <v>193</v>
      </c>
      <c r="K1748" s="106">
        <f>193-46</f>
        <v>147</v>
      </c>
      <c r="L1748" s="106">
        <v>20</v>
      </c>
      <c r="M1748" s="106">
        <v>5</v>
      </c>
      <c r="N1748" s="106">
        <v>0</v>
      </c>
      <c r="O1748" s="106">
        <v>14</v>
      </c>
      <c r="P1748" s="106">
        <v>7</v>
      </c>
      <c r="Q1748" s="108">
        <f t="shared" si="2051"/>
        <v>0.86528497409326421</v>
      </c>
      <c r="R1748" s="109">
        <f t="shared" si="2052"/>
        <v>0</v>
      </c>
      <c r="S1748" s="109">
        <f t="shared" si="2053"/>
        <v>3.6269430051813469E-2</v>
      </c>
      <c r="T1748" s="109">
        <f t="shared" si="2054"/>
        <v>7.2538860103626937E-2</v>
      </c>
      <c r="U1748" s="110">
        <f t="shared" si="2055"/>
        <v>0.97409326424870468</v>
      </c>
      <c r="V1748" s="136"/>
    </row>
    <row r="1749" spans="2:25" ht="15.75" hidden="1" x14ac:dyDescent="0.2">
      <c r="B1749" s="10">
        <v>46199</v>
      </c>
      <c r="C1749" s="105" t="s">
        <v>22</v>
      </c>
      <c r="D1749" s="105" t="s">
        <v>23</v>
      </c>
      <c r="E1749" s="711">
        <v>46199</v>
      </c>
      <c r="G1749" s="834"/>
      <c r="H1749" s="120" t="s">
        <v>25</v>
      </c>
      <c r="I1749" s="120" t="s">
        <v>18</v>
      </c>
      <c r="J1749" s="106">
        <v>174</v>
      </c>
      <c r="K1749" s="106">
        <v>40</v>
      </c>
      <c r="L1749" s="106">
        <v>13</v>
      </c>
      <c r="M1749" s="106">
        <v>14</v>
      </c>
      <c r="N1749" s="106">
        <v>83</v>
      </c>
      <c r="O1749" s="106">
        <v>21</v>
      </c>
      <c r="P1749" s="106">
        <v>3</v>
      </c>
      <c r="Q1749" s="108">
        <f t="shared" si="2051"/>
        <v>0.3045977011494253</v>
      </c>
      <c r="R1749" s="109">
        <f t="shared" si="2052"/>
        <v>0.47701149425287354</v>
      </c>
      <c r="S1749" s="109">
        <f t="shared" si="2053"/>
        <v>1.7241379310344827E-2</v>
      </c>
      <c r="T1749" s="109">
        <f t="shared" si="2054"/>
        <v>0.1206896551724138</v>
      </c>
      <c r="U1749" s="110">
        <f t="shared" si="2055"/>
        <v>0.91954022988505746</v>
      </c>
      <c r="V1749" s="136"/>
    </row>
    <row r="1750" spans="2:25" s="97" customFormat="1" ht="16.5" hidden="1" customHeight="1" x14ac:dyDescent="0.2">
      <c r="B1750" s="10">
        <v>46199</v>
      </c>
      <c r="C1750" s="105" t="s">
        <v>22</v>
      </c>
      <c r="D1750" s="105" t="s">
        <v>23</v>
      </c>
      <c r="E1750" s="711">
        <v>46199</v>
      </c>
      <c r="F1750" s="89"/>
      <c r="G1750" s="190"/>
      <c r="H1750" s="840" t="s">
        <v>19</v>
      </c>
      <c r="I1750" s="841"/>
      <c r="J1750" s="113">
        <f t="shared" ref="J1750:P1750" si="2056">SUM(J1747:J1749)</f>
        <v>549</v>
      </c>
      <c r="K1750" s="113">
        <f t="shared" si="2056"/>
        <v>302</v>
      </c>
      <c r="L1750" s="113">
        <f t="shared" si="2056"/>
        <v>75</v>
      </c>
      <c r="M1750" s="113">
        <f t="shared" si="2056"/>
        <v>24</v>
      </c>
      <c r="N1750" s="113">
        <f t="shared" si="2056"/>
        <v>83</v>
      </c>
      <c r="O1750" s="113">
        <f t="shared" si="2056"/>
        <v>55</v>
      </c>
      <c r="P1750" s="113">
        <f t="shared" si="2056"/>
        <v>10</v>
      </c>
      <c r="Q1750" s="115">
        <f>(K1750+L1750)/J1750</f>
        <v>0.68670309653916206</v>
      </c>
      <c r="R1750" s="116">
        <f t="shared" si="2052"/>
        <v>0.151183970856102</v>
      </c>
      <c r="S1750" s="116">
        <f t="shared" si="2053"/>
        <v>1.8214936247723135E-2</v>
      </c>
      <c r="T1750" s="116">
        <f t="shared" si="2054"/>
        <v>0.10018214936247723</v>
      </c>
      <c r="U1750" s="117">
        <f t="shared" si="2055"/>
        <v>0.95628415300546443</v>
      </c>
      <c r="V1750" s="127"/>
      <c r="W1750" s="88"/>
      <c r="X1750" s="88"/>
      <c r="Y1750" s="118"/>
    </row>
    <row r="1751" spans="2:25" ht="15.75" hidden="1" x14ac:dyDescent="0.2">
      <c r="B1751" s="10">
        <v>46199</v>
      </c>
      <c r="C1751" s="105" t="s">
        <v>22</v>
      </c>
      <c r="D1751" s="105" t="s">
        <v>23</v>
      </c>
      <c r="E1751" s="711">
        <v>46200</v>
      </c>
      <c r="G1751" s="833">
        <v>46200</v>
      </c>
      <c r="H1751" s="120" t="s">
        <v>16</v>
      </c>
      <c r="I1751" s="120" t="s">
        <v>15</v>
      </c>
      <c r="J1751" s="106">
        <v>197</v>
      </c>
      <c r="K1751" s="106">
        <v>0</v>
      </c>
      <c r="L1751" s="106">
        <v>0</v>
      </c>
      <c r="M1751" s="106">
        <v>99</v>
      </c>
      <c r="N1751" s="106">
        <v>78</v>
      </c>
      <c r="O1751" s="106">
        <v>20</v>
      </c>
      <c r="P1751" s="106">
        <v>0</v>
      </c>
      <c r="Q1751" s="108">
        <f t="shared" ref="Q1751:Q1754" si="2057">(K1751+L1751)/J1751</f>
        <v>0</v>
      </c>
      <c r="R1751" s="109">
        <f t="shared" ref="R1751:R1757" si="2058">N1751/J1751</f>
        <v>0.39593908629441626</v>
      </c>
      <c r="S1751" s="109">
        <f t="shared" ref="S1751:S1757" si="2059">P1751/J1751</f>
        <v>0</v>
      </c>
      <c r="T1751" s="109">
        <f t="shared" ref="T1751:T1757" si="2060">O1751/J1751</f>
        <v>0.10152284263959391</v>
      </c>
      <c r="U1751" s="110">
        <f t="shared" ref="U1751:U1757" si="2061">S1751+R1751+Q1751+T1751</f>
        <v>0.4974619289340102</v>
      </c>
      <c r="V1751" s="136"/>
    </row>
    <row r="1752" spans="2:25" ht="15.75" hidden="1" x14ac:dyDescent="0.2">
      <c r="B1752" s="10">
        <v>46199</v>
      </c>
      <c r="C1752" s="105" t="s">
        <v>22</v>
      </c>
      <c r="D1752" s="105" t="s">
        <v>23</v>
      </c>
      <c r="E1752" s="711">
        <v>46200</v>
      </c>
      <c r="G1752" s="834"/>
      <c r="H1752" s="120" t="s">
        <v>14</v>
      </c>
      <c r="I1752" s="120" t="s">
        <v>12</v>
      </c>
      <c r="J1752" s="106">
        <v>174</v>
      </c>
      <c r="K1752" s="106">
        <v>0</v>
      </c>
      <c r="L1752" s="106">
        <v>0</v>
      </c>
      <c r="M1752" s="106">
        <v>161</v>
      </c>
      <c r="N1752" s="106">
        <v>0</v>
      </c>
      <c r="O1752" s="106">
        <v>9</v>
      </c>
      <c r="P1752" s="106">
        <v>4</v>
      </c>
      <c r="Q1752" s="108">
        <f t="shared" si="2057"/>
        <v>0</v>
      </c>
      <c r="R1752" s="109">
        <f t="shared" si="2058"/>
        <v>0</v>
      </c>
      <c r="S1752" s="109">
        <f t="shared" si="2059"/>
        <v>2.2988505747126436E-2</v>
      </c>
      <c r="T1752" s="109">
        <f t="shared" si="2060"/>
        <v>5.1724137931034482E-2</v>
      </c>
      <c r="U1752" s="110">
        <f t="shared" si="2061"/>
        <v>7.4712643678160912E-2</v>
      </c>
      <c r="V1752" s="136"/>
    </row>
    <row r="1753" spans="2:25" ht="15.75" hidden="1" x14ac:dyDescent="0.2">
      <c r="B1753" s="10">
        <v>46199</v>
      </c>
      <c r="C1753" s="105" t="s">
        <v>22</v>
      </c>
      <c r="D1753" s="105" t="s">
        <v>23</v>
      </c>
      <c r="E1753" s="711">
        <v>46200</v>
      </c>
      <c r="G1753" s="834"/>
      <c r="H1753" s="120" t="s">
        <v>17</v>
      </c>
      <c r="I1753" s="120" t="s">
        <v>18</v>
      </c>
      <c r="J1753" s="106">
        <v>315</v>
      </c>
      <c r="K1753" s="106">
        <v>0</v>
      </c>
      <c r="L1753" s="106">
        <v>1</v>
      </c>
      <c r="M1753" s="106">
        <v>246</v>
      </c>
      <c r="N1753" s="106">
        <v>23</v>
      </c>
      <c r="O1753" s="106">
        <v>45</v>
      </c>
      <c r="P1753" s="106">
        <v>0</v>
      </c>
      <c r="Q1753" s="108">
        <f t="shared" si="2057"/>
        <v>3.1746031746031746E-3</v>
      </c>
      <c r="R1753" s="109">
        <f t="shared" si="2058"/>
        <v>7.301587301587302E-2</v>
      </c>
      <c r="S1753" s="109">
        <f t="shared" si="2059"/>
        <v>0</v>
      </c>
      <c r="T1753" s="109">
        <f t="shared" si="2060"/>
        <v>0.14285714285714285</v>
      </c>
      <c r="U1753" s="110">
        <f t="shared" si="2061"/>
        <v>0.21904761904761905</v>
      </c>
      <c r="V1753" s="136"/>
    </row>
    <row r="1754" spans="2:25" ht="15.75" hidden="1" x14ac:dyDescent="0.2">
      <c r="B1754" s="10">
        <v>46199</v>
      </c>
      <c r="C1754" s="105" t="s">
        <v>22</v>
      </c>
      <c r="D1754" s="105" t="s">
        <v>23</v>
      </c>
      <c r="E1754" s="711">
        <v>46200</v>
      </c>
      <c r="G1754" s="835"/>
      <c r="H1754" s="120" t="s">
        <v>25</v>
      </c>
      <c r="I1754" s="120" t="s">
        <v>22</v>
      </c>
      <c r="J1754" s="106">
        <v>66</v>
      </c>
      <c r="K1754" s="106">
        <v>7</v>
      </c>
      <c r="L1754" s="106">
        <v>2</v>
      </c>
      <c r="M1754" s="106">
        <v>21</v>
      </c>
      <c r="N1754" s="106">
        <v>18</v>
      </c>
      <c r="O1754" s="106">
        <v>18</v>
      </c>
      <c r="P1754" s="106">
        <v>0</v>
      </c>
      <c r="Q1754" s="108">
        <f t="shared" si="2057"/>
        <v>0.13636363636363635</v>
      </c>
      <c r="R1754" s="109">
        <f t="shared" si="2058"/>
        <v>0.27272727272727271</v>
      </c>
      <c r="S1754" s="109">
        <f t="shared" si="2059"/>
        <v>0</v>
      </c>
      <c r="T1754" s="109">
        <f t="shared" si="2060"/>
        <v>0.27272727272727271</v>
      </c>
      <c r="U1754" s="110">
        <f t="shared" si="2061"/>
        <v>0.68181818181818177</v>
      </c>
      <c r="V1754" s="136"/>
    </row>
    <row r="1755" spans="2:25" s="97" customFormat="1" ht="16.5" hidden="1" customHeight="1" x14ac:dyDescent="0.2">
      <c r="B1755" s="10">
        <v>46199</v>
      </c>
      <c r="C1755" s="105" t="s">
        <v>22</v>
      </c>
      <c r="D1755" s="105" t="s">
        <v>23</v>
      </c>
      <c r="E1755" s="711">
        <v>46200</v>
      </c>
      <c r="F1755" s="89"/>
      <c r="G1755" s="190"/>
      <c r="H1755" s="840" t="s">
        <v>19</v>
      </c>
      <c r="I1755" s="841"/>
      <c r="J1755" s="113">
        <f>SUM(J1751:J1754)</f>
        <v>752</v>
      </c>
      <c r="K1755" s="113">
        <f t="shared" ref="K1755:P1755" si="2062">SUM(K1751:K1754)</f>
        <v>7</v>
      </c>
      <c r="L1755" s="113">
        <f t="shared" si="2062"/>
        <v>3</v>
      </c>
      <c r="M1755" s="113">
        <f t="shared" si="2062"/>
        <v>527</v>
      </c>
      <c r="N1755" s="113">
        <f t="shared" si="2062"/>
        <v>119</v>
      </c>
      <c r="O1755" s="113">
        <f t="shared" si="2062"/>
        <v>92</v>
      </c>
      <c r="P1755" s="113">
        <f t="shared" si="2062"/>
        <v>4</v>
      </c>
      <c r="Q1755" s="115">
        <f>(K1755+L1755)/J1755</f>
        <v>1.3297872340425532E-2</v>
      </c>
      <c r="R1755" s="116">
        <f t="shared" si="2058"/>
        <v>0.15824468085106383</v>
      </c>
      <c r="S1755" s="116">
        <f t="shared" si="2059"/>
        <v>5.3191489361702126E-3</v>
      </c>
      <c r="T1755" s="116">
        <f t="shared" si="2060"/>
        <v>0.12234042553191489</v>
      </c>
      <c r="U1755" s="117">
        <f t="shared" si="2061"/>
        <v>0.29920212765957449</v>
      </c>
      <c r="V1755" s="127"/>
      <c r="W1755" s="88"/>
      <c r="X1755" s="88"/>
      <c r="Y1755" s="118"/>
    </row>
    <row r="1756" spans="2:25" ht="15.75" hidden="1" x14ac:dyDescent="0.2">
      <c r="B1756" s="10">
        <v>46199</v>
      </c>
      <c r="C1756" s="105" t="s">
        <v>12</v>
      </c>
      <c r="D1756" s="105" t="s">
        <v>23</v>
      </c>
      <c r="E1756" s="711">
        <v>46199</v>
      </c>
      <c r="G1756" s="323">
        <v>46199</v>
      </c>
      <c r="H1756" s="120" t="s">
        <v>25</v>
      </c>
      <c r="I1756" s="120" t="s">
        <v>18</v>
      </c>
      <c r="J1756" s="106">
        <v>141</v>
      </c>
      <c r="K1756" s="106">
        <f>J1756-L1756-M1756-N1756-O1756-P1756</f>
        <v>55</v>
      </c>
      <c r="L1756" s="106">
        <v>15</v>
      </c>
      <c r="M1756" s="106">
        <v>22</v>
      </c>
      <c r="N1756" s="106">
        <v>46</v>
      </c>
      <c r="O1756" s="106">
        <v>0</v>
      </c>
      <c r="P1756" s="106">
        <v>3</v>
      </c>
      <c r="Q1756" s="108">
        <f t="shared" ref="Q1756" si="2063">(K1756+L1756)/J1756</f>
        <v>0.49645390070921985</v>
      </c>
      <c r="R1756" s="109">
        <f t="shared" si="2058"/>
        <v>0.32624113475177308</v>
      </c>
      <c r="S1756" s="109">
        <f t="shared" si="2059"/>
        <v>2.1276595744680851E-2</v>
      </c>
      <c r="T1756" s="109">
        <f t="shared" si="2060"/>
        <v>0</v>
      </c>
      <c r="U1756" s="110">
        <f t="shared" si="2061"/>
        <v>0.84397163120567376</v>
      </c>
      <c r="V1756" s="136"/>
    </row>
    <row r="1757" spans="2:25" ht="15.75" hidden="1" x14ac:dyDescent="0.2">
      <c r="B1757" s="10">
        <v>46199</v>
      </c>
      <c r="C1757" s="105" t="s">
        <v>12</v>
      </c>
      <c r="D1757" s="105" t="s">
        <v>23</v>
      </c>
      <c r="E1757" s="711">
        <v>46199</v>
      </c>
      <c r="G1757" s="190"/>
      <c r="H1757" s="840" t="s">
        <v>19</v>
      </c>
      <c r="I1757" s="841"/>
      <c r="J1757" s="113">
        <f t="shared" ref="J1757:P1757" si="2064">SUM(J1756:J1756)</f>
        <v>141</v>
      </c>
      <c r="K1757" s="113">
        <f t="shared" si="2064"/>
        <v>55</v>
      </c>
      <c r="L1757" s="113">
        <f t="shared" si="2064"/>
        <v>15</v>
      </c>
      <c r="M1757" s="113">
        <f t="shared" si="2064"/>
        <v>22</v>
      </c>
      <c r="N1757" s="113">
        <f t="shared" si="2064"/>
        <v>46</v>
      </c>
      <c r="O1757" s="113">
        <f t="shared" si="2064"/>
        <v>0</v>
      </c>
      <c r="P1757" s="113">
        <f t="shared" si="2064"/>
        <v>3</v>
      </c>
      <c r="Q1757" s="115">
        <f>(K1757+L1757)/J1757</f>
        <v>0.49645390070921985</v>
      </c>
      <c r="R1757" s="116">
        <f t="shared" si="2058"/>
        <v>0.32624113475177308</v>
      </c>
      <c r="S1757" s="116">
        <f t="shared" si="2059"/>
        <v>2.1276595744680851E-2</v>
      </c>
      <c r="T1757" s="116">
        <f t="shared" si="2060"/>
        <v>0</v>
      </c>
      <c r="U1757" s="117">
        <f t="shared" si="2061"/>
        <v>0.84397163120567376</v>
      </c>
      <c r="V1757" s="127"/>
    </row>
    <row r="1758" spans="2:25" ht="15.75" hidden="1" x14ac:dyDescent="0.2">
      <c r="B1758" s="10">
        <v>46200</v>
      </c>
      <c r="C1758" s="105" t="s">
        <v>12</v>
      </c>
      <c r="D1758" s="105" t="s">
        <v>23</v>
      </c>
      <c r="E1758" s="711">
        <v>46200</v>
      </c>
      <c r="G1758" s="833">
        <v>46200</v>
      </c>
      <c r="H1758" s="120" t="s">
        <v>16</v>
      </c>
      <c r="I1758" s="120" t="s">
        <v>15</v>
      </c>
      <c r="J1758" s="106">
        <v>197</v>
      </c>
      <c r="K1758" s="106">
        <f>J1758-L1758-M1758-N1758-O1758-P1758</f>
        <v>130</v>
      </c>
      <c r="L1758" s="106">
        <v>38</v>
      </c>
      <c r="M1758" s="106">
        <v>29</v>
      </c>
      <c r="N1758" s="106">
        <v>0</v>
      </c>
      <c r="O1758" s="106">
        <v>0</v>
      </c>
      <c r="P1758" s="106">
        <v>0</v>
      </c>
      <c r="Q1758" s="108">
        <f t="shared" ref="Q1758:Q1761" si="2065">(K1758+L1758)/J1758</f>
        <v>0.85279187817258884</v>
      </c>
      <c r="R1758" s="109">
        <f t="shared" ref="R1758:R1769" si="2066">N1758/J1758</f>
        <v>0</v>
      </c>
      <c r="S1758" s="109">
        <f t="shared" ref="S1758:S1769" si="2067">P1758/J1758</f>
        <v>0</v>
      </c>
      <c r="T1758" s="109">
        <f t="shared" ref="T1758:T1769" si="2068">O1758/J1758</f>
        <v>0</v>
      </c>
      <c r="U1758" s="110">
        <f t="shared" ref="U1758:U1769" si="2069">S1758+R1758+Q1758+T1758</f>
        <v>0.85279187817258884</v>
      </c>
      <c r="V1758" s="136"/>
    </row>
    <row r="1759" spans="2:25" ht="15.75" hidden="1" x14ac:dyDescent="0.2">
      <c r="B1759" s="10">
        <v>46200</v>
      </c>
      <c r="C1759" s="105" t="s">
        <v>12</v>
      </c>
      <c r="D1759" s="105" t="s">
        <v>23</v>
      </c>
      <c r="E1759" s="711">
        <v>46200</v>
      </c>
      <c r="G1759" s="834"/>
      <c r="H1759" s="120" t="s">
        <v>14</v>
      </c>
      <c r="I1759" s="120" t="s">
        <v>12</v>
      </c>
      <c r="J1759" s="106">
        <v>174</v>
      </c>
      <c r="K1759" s="106">
        <f t="shared" ref="K1759:K1761" si="2070">J1759-L1759-M1759-N1759-O1759-P1759</f>
        <v>8</v>
      </c>
      <c r="L1759" s="106">
        <v>10</v>
      </c>
      <c r="M1759" s="106">
        <v>152</v>
      </c>
      <c r="N1759" s="106">
        <v>0</v>
      </c>
      <c r="O1759" s="106">
        <v>0</v>
      </c>
      <c r="P1759" s="106">
        <v>4</v>
      </c>
      <c r="Q1759" s="108">
        <f t="shared" si="2065"/>
        <v>0.10344827586206896</v>
      </c>
      <c r="R1759" s="109">
        <f t="shared" si="2066"/>
        <v>0</v>
      </c>
      <c r="S1759" s="109">
        <f t="shared" si="2067"/>
        <v>2.2988505747126436E-2</v>
      </c>
      <c r="T1759" s="109">
        <f t="shared" si="2068"/>
        <v>0</v>
      </c>
      <c r="U1759" s="110">
        <f t="shared" si="2069"/>
        <v>0.12643678160919541</v>
      </c>
      <c r="V1759" s="136"/>
    </row>
    <row r="1760" spans="2:25" ht="15.75" hidden="1" x14ac:dyDescent="0.2">
      <c r="B1760" s="10">
        <v>46200</v>
      </c>
      <c r="C1760" s="105" t="s">
        <v>12</v>
      </c>
      <c r="D1760" s="105" t="s">
        <v>23</v>
      </c>
      <c r="E1760" s="711">
        <v>46200</v>
      </c>
      <c r="G1760" s="834"/>
      <c r="H1760" s="120" t="s">
        <v>17</v>
      </c>
      <c r="I1760" s="120" t="s">
        <v>18</v>
      </c>
      <c r="J1760" s="106">
        <v>171</v>
      </c>
      <c r="K1760" s="106">
        <f t="shared" si="2070"/>
        <v>0</v>
      </c>
      <c r="L1760" s="106">
        <v>0</v>
      </c>
      <c r="M1760" s="106">
        <v>148</v>
      </c>
      <c r="N1760" s="106">
        <v>23</v>
      </c>
      <c r="O1760" s="106">
        <v>0</v>
      </c>
      <c r="P1760" s="106">
        <v>0</v>
      </c>
      <c r="Q1760" s="108">
        <f t="shared" si="2065"/>
        <v>0</v>
      </c>
      <c r="R1760" s="109">
        <f t="shared" si="2066"/>
        <v>0.13450292397660818</v>
      </c>
      <c r="S1760" s="109">
        <f t="shared" si="2067"/>
        <v>0</v>
      </c>
      <c r="T1760" s="109">
        <f t="shared" si="2068"/>
        <v>0</v>
      </c>
      <c r="U1760" s="110">
        <f t="shared" si="2069"/>
        <v>0.13450292397660818</v>
      </c>
      <c r="V1760" s="136"/>
    </row>
    <row r="1761" spans="2:25" ht="15.75" hidden="1" x14ac:dyDescent="0.2">
      <c r="B1761" s="10">
        <v>46200</v>
      </c>
      <c r="C1761" s="105" t="s">
        <v>12</v>
      </c>
      <c r="D1761" s="105" t="s">
        <v>23</v>
      </c>
      <c r="E1761" s="711">
        <v>46200</v>
      </c>
      <c r="G1761" s="835"/>
      <c r="H1761" s="120" t="s">
        <v>25</v>
      </c>
      <c r="I1761" s="120" t="s">
        <v>22</v>
      </c>
      <c r="J1761" s="106">
        <v>37</v>
      </c>
      <c r="K1761" s="106">
        <f t="shared" si="2070"/>
        <v>0</v>
      </c>
      <c r="L1761" s="106">
        <v>23</v>
      </c>
      <c r="M1761" s="106">
        <v>14</v>
      </c>
      <c r="N1761" s="106">
        <v>0</v>
      </c>
      <c r="O1761" s="106">
        <v>0</v>
      </c>
      <c r="P1761" s="106">
        <v>0</v>
      </c>
      <c r="Q1761" s="108">
        <f t="shared" si="2065"/>
        <v>0.6216216216216216</v>
      </c>
      <c r="R1761" s="109">
        <f t="shared" si="2066"/>
        <v>0</v>
      </c>
      <c r="S1761" s="109">
        <f t="shared" si="2067"/>
        <v>0</v>
      </c>
      <c r="T1761" s="109">
        <f t="shared" si="2068"/>
        <v>0</v>
      </c>
      <c r="U1761" s="110">
        <f t="shared" si="2069"/>
        <v>0.6216216216216216</v>
      </c>
      <c r="V1761" s="136"/>
    </row>
    <row r="1762" spans="2:25" ht="15.75" hidden="1" x14ac:dyDescent="0.2">
      <c r="B1762" s="10">
        <v>46200</v>
      </c>
      <c r="C1762" s="105" t="s">
        <v>12</v>
      </c>
      <c r="D1762" s="105" t="s">
        <v>23</v>
      </c>
      <c r="E1762" s="711">
        <v>46200</v>
      </c>
      <c r="G1762" s="190"/>
      <c r="H1762" s="840" t="s">
        <v>19</v>
      </c>
      <c r="I1762" s="841"/>
      <c r="J1762" s="113">
        <f>SUM(J1758:J1761)</f>
        <v>579</v>
      </c>
      <c r="K1762" s="113">
        <f t="shared" ref="K1762:P1762" si="2071">SUM(K1758:K1761)</f>
        <v>138</v>
      </c>
      <c r="L1762" s="113">
        <f t="shared" si="2071"/>
        <v>71</v>
      </c>
      <c r="M1762" s="113">
        <f t="shared" si="2071"/>
        <v>343</v>
      </c>
      <c r="N1762" s="113">
        <f t="shared" si="2071"/>
        <v>23</v>
      </c>
      <c r="O1762" s="113">
        <f t="shared" si="2071"/>
        <v>0</v>
      </c>
      <c r="P1762" s="113">
        <f t="shared" si="2071"/>
        <v>4</v>
      </c>
      <c r="Q1762" s="115">
        <f>(K1762+L1762)/J1762</f>
        <v>0.36096718480138168</v>
      </c>
      <c r="R1762" s="116">
        <f t="shared" si="2066"/>
        <v>3.9723661485319514E-2</v>
      </c>
      <c r="S1762" s="116">
        <f t="shared" si="2067"/>
        <v>6.9084628670120895E-3</v>
      </c>
      <c r="T1762" s="116">
        <f t="shared" si="2068"/>
        <v>0</v>
      </c>
      <c r="U1762" s="117">
        <f t="shared" si="2069"/>
        <v>0.40759930915371329</v>
      </c>
      <c r="V1762" s="127"/>
    </row>
    <row r="1763" spans="2:25" ht="15.75" hidden="1" x14ac:dyDescent="0.2">
      <c r="B1763" s="10">
        <v>46199</v>
      </c>
      <c r="C1763" s="105" t="s">
        <v>18</v>
      </c>
      <c r="D1763" s="105" t="s">
        <v>129</v>
      </c>
      <c r="E1763" s="711">
        <v>46199</v>
      </c>
      <c r="G1763" s="714" t="s">
        <v>157</v>
      </c>
      <c r="H1763" s="120" t="s">
        <v>25</v>
      </c>
      <c r="I1763" s="120" t="s">
        <v>18</v>
      </c>
      <c r="J1763" s="106">
        <f>SUM(K1763:P1763)</f>
        <v>113</v>
      </c>
      <c r="K1763" s="106">
        <v>62</v>
      </c>
      <c r="L1763" s="106">
        <v>28</v>
      </c>
      <c r="M1763" s="106">
        <v>2</v>
      </c>
      <c r="N1763" s="106">
        <v>0</v>
      </c>
      <c r="O1763" s="106">
        <v>15</v>
      </c>
      <c r="P1763" s="106">
        <v>6</v>
      </c>
      <c r="Q1763" s="108">
        <f t="shared" ref="Q1763:Q1768" si="2072">(K1763+L1763)/J1763</f>
        <v>0.79646017699115046</v>
      </c>
      <c r="R1763" s="109">
        <f t="shared" si="2066"/>
        <v>0</v>
      </c>
      <c r="S1763" s="109">
        <f t="shared" si="2067"/>
        <v>5.3097345132743362E-2</v>
      </c>
      <c r="T1763" s="109">
        <f t="shared" si="2068"/>
        <v>0.13274336283185842</v>
      </c>
      <c r="U1763" s="110">
        <f t="shared" si="2069"/>
        <v>0.98230088495575218</v>
      </c>
      <c r="V1763" s="136"/>
    </row>
    <row r="1764" spans="2:25" ht="15.75" hidden="1" x14ac:dyDescent="0.2">
      <c r="B1764" s="10">
        <v>46199</v>
      </c>
      <c r="C1764" s="105" t="s">
        <v>18</v>
      </c>
      <c r="D1764" s="105" t="s">
        <v>129</v>
      </c>
      <c r="E1764" s="711">
        <v>46200</v>
      </c>
      <c r="G1764" s="830">
        <v>46200</v>
      </c>
      <c r="H1764" s="120" t="s">
        <v>16</v>
      </c>
      <c r="I1764" s="120" t="s">
        <v>151</v>
      </c>
      <c r="J1764" s="106">
        <v>182</v>
      </c>
      <c r="K1764" s="106">
        <v>0</v>
      </c>
      <c r="L1764" s="106">
        <v>0</v>
      </c>
      <c r="M1764" s="106">
        <v>11</v>
      </c>
      <c r="N1764" s="106">
        <v>0</v>
      </c>
      <c r="O1764" s="106">
        <v>20</v>
      </c>
      <c r="P1764" s="106">
        <v>0</v>
      </c>
      <c r="Q1764" s="108">
        <f t="shared" si="2072"/>
        <v>0</v>
      </c>
      <c r="R1764" s="109">
        <f t="shared" si="2066"/>
        <v>0</v>
      </c>
      <c r="S1764" s="109">
        <f t="shared" si="2067"/>
        <v>0</v>
      </c>
      <c r="T1764" s="109">
        <f t="shared" si="2068"/>
        <v>0.10989010989010989</v>
      </c>
      <c r="U1764" s="110">
        <f t="shared" si="2069"/>
        <v>0.10989010989010989</v>
      </c>
      <c r="V1764" s="136"/>
    </row>
    <row r="1765" spans="2:25" ht="15.75" hidden="1" x14ac:dyDescent="0.2">
      <c r="B1765" s="10">
        <v>46199</v>
      </c>
      <c r="C1765" s="105" t="s">
        <v>18</v>
      </c>
      <c r="D1765" s="105" t="s">
        <v>129</v>
      </c>
      <c r="E1765" s="711">
        <v>46200</v>
      </c>
      <c r="G1765" s="831"/>
      <c r="H1765" s="120" t="s">
        <v>14</v>
      </c>
      <c r="I1765" s="120" t="s">
        <v>15</v>
      </c>
      <c r="J1765" s="106">
        <v>193</v>
      </c>
      <c r="K1765" s="106">
        <v>117</v>
      </c>
      <c r="L1765" s="106">
        <v>16</v>
      </c>
      <c r="M1765" s="106">
        <v>5</v>
      </c>
      <c r="N1765" s="106">
        <v>0</v>
      </c>
      <c r="O1765" s="106">
        <v>9</v>
      </c>
      <c r="P1765" s="106">
        <v>10</v>
      </c>
      <c r="Q1765" s="108">
        <f t="shared" si="2072"/>
        <v>0.68911917098445596</v>
      </c>
      <c r="R1765" s="109">
        <f t="shared" si="2066"/>
        <v>0</v>
      </c>
      <c r="S1765" s="109">
        <f t="shared" si="2067"/>
        <v>5.181347150259067E-2</v>
      </c>
      <c r="T1765" s="109">
        <f t="shared" si="2068"/>
        <v>4.6632124352331605E-2</v>
      </c>
      <c r="U1765" s="110">
        <f t="shared" si="2069"/>
        <v>0.78756476683937815</v>
      </c>
      <c r="V1765" s="136"/>
    </row>
    <row r="1766" spans="2:25" ht="15.75" hidden="1" x14ac:dyDescent="0.2">
      <c r="B1766" s="10">
        <v>46199</v>
      </c>
      <c r="C1766" s="105" t="s">
        <v>18</v>
      </c>
      <c r="D1766" s="105" t="s">
        <v>129</v>
      </c>
      <c r="E1766" s="711">
        <v>46200</v>
      </c>
      <c r="G1766" s="832"/>
      <c r="H1766" s="120" t="s">
        <v>17</v>
      </c>
      <c r="I1766" s="120" t="s">
        <v>18</v>
      </c>
      <c r="J1766" s="106">
        <v>201</v>
      </c>
      <c r="K1766" s="106">
        <v>14</v>
      </c>
      <c r="L1766" s="106">
        <v>18</v>
      </c>
      <c r="M1766" s="106">
        <v>97</v>
      </c>
      <c r="N1766" s="106">
        <v>16</v>
      </c>
      <c r="O1766" s="106">
        <v>26</v>
      </c>
      <c r="P1766" s="106">
        <v>5</v>
      </c>
      <c r="Q1766" s="108">
        <f t="shared" ref="Q1766:Q1767" si="2073">(K1766+L1766)/J1766</f>
        <v>0.15920398009950248</v>
      </c>
      <c r="R1766" s="109">
        <f t="shared" ref="R1766:R1767" si="2074">N1766/J1766</f>
        <v>7.9601990049751242E-2</v>
      </c>
      <c r="S1766" s="109">
        <f t="shared" ref="S1766:S1767" si="2075">P1766/J1766</f>
        <v>2.4875621890547265E-2</v>
      </c>
      <c r="T1766" s="109">
        <f t="shared" ref="T1766:T1767" si="2076">O1766/J1766</f>
        <v>0.12935323383084577</v>
      </c>
      <c r="U1766" s="110">
        <f t="shared" ref="U1766:U1767" si="2077">S1766+R1766+Q1766+T1766</f>
        <v>0.39303482587064675</v>
      </c>
      <c r="V1766" s="136"/>
    </row>
    <row r="1767" spans="2:25" ht="15.75" hidden="1" x14ac:dyDescent="0.2">
      <c r="B1767" s="10">
        <v>46199</v>
      </c>
      <c r="C1767" s="105" t="s">
        <v>18</v>
      </c>
      <c r="D1767" s="105" t="s">
        <v>129</v>
      </c>
      <c r="E1767" s="711">
        <v>46200</v>
      </c>
      <c r="G1767" s="713">
        <v>46201</v>
      </c>
      <c r="H1767" s="120" t="s">
        <v>118</v>
      </c>
      <c r="I1767" s="120" t="s">
        <v>43</v>
      </c>
      <c r="J1767" s="106">
        <v>31</v>
      </c>
      <c r="K1767" s="106">
        <v>28</v>
      </c>
      <c r="L1767" s="106">
        <v>2</v>
      </c>
      <c r="M1767" s="106">
        <v>1</v>
      </c>
      <c r="N1767" s="106">
        <v>0</v>
      </c>
      <c r="O1767" s="106">
        <v>0</v>
      </c>
      <c r="P1767" s="106">
        <v>0</v>
      </c>
      <c r="Q1767" s="108">
        <f t="shared" si="2073"/>
        <v>0.967741935483871</v>
      </c>
      <c r="R1767" s="109">
        <f t="shared" si="2074"/>
        <v>0</v>
      </c>
      <c r="S1767" s="109">
        <f t="shared" si="2075"/>
        <v>0</v>
      </c>
      <c r="T1767" s="109">
        <f t="shared" si="2076"/>
        <v>0</v>
      </c>
      <c r="U1767" s="110">
        <f t="shared" si="2077"/>
        <v>0.967741935483871</v>
      </c>
      <c r="V1767" s="136"/>
    </row>
    <row r="1768" spans="2:25" ht="15.75" hidden="1" x14ac:dyDescent="0.2">
      <c r="B1768" s="10">
        <v>46199</v>
      </c>
      <c r="C1768" s="105" t="s">
        <v>18</v>
      </c>
      <c r="D1768" s="105" t="s">
        <v>129</v>
      </c>
      <c r="E1768" s="711">
        <v>46200</v>
      </c>
      <c r="G1768" s="713">
        <v>46202</v>
      </c>
      <c r="H1768" s="120" t="s">
        <v>16</v>
      </c>
      <c r="I1768" s="120" t="s">
        <v>151</v>
      </c>
      <c r="J1768" s="106">
        <v>218</v>
      </c>
      <c r="K1768" s="106">
        <v>0</v>
      </c>
      <c r="L1768" s="106">
        <v>0</v>
      </c>
      <c r="M1768" s="106">
        <v>184</v>
      </c>
      <c r="N1768" s="106">
        <v>14</v>
      </c>
      <c r="O1768" s="106">
        <v>20</v>
      </c>
      <c r="P1768" s="106">
        <v>0</v>
      </c>
      <c r="Q1768" s="108">
        <f t="shared" si="2072"/>
        <v>0</v>
      </c>
      <c r="R1768" s="109">
        <f t="shared" si="2066"/>
        <v>6.4220183486238536E-2</v>
      </c>
      <c r="S1768" s="109">
        <f t="shared" si="2067"/>
        <v>0</v>
      </c>
      <c r="T1768" s="109">
        <f t="shared" si="2068"/>
        <v>9.1743119266055051E-2</v>
      </c>
      <c r="U1768" s="110">
        <f t="shared" si="2069"/>
        <v>0.15596330275229359</v>
      </c>
      <c r="V1768" s="136"/>
    </row>
    <row r="1769" spans="2:25" s="97" customFormat="1" ht="16.5" hidden="1" customHeight="1" x14ac:dyDescent="0.2">
      <c r="B1769" s="10">
        <v>46199</v>
      </c>
      <c r="C1769" s="105" t="s">
        <v>18</v>
      </c>
      <c r="D1769" s="105" t="s">
        <v>129</v>
      </c>
      <c r="E1769" s="711">
        <v>46199</v>
      </c>
      <c r="F1769" s="89"/>
      <c r="G1769" s="190"/>
      <c r="H1769" s="840" t="s">
        <v>19</v>
      </c>
      <c r="I1769" s="841"/>
      <c r="J1769" s="113">
        <f t="shared" ref="J1769:P1769" si="2078">SUM(J1763:J1768)</f>
        <v>938</v>
      </c>
      <c r="K1769" s="113">
        <f t="shared" si="2078"/>
        <v>221</v>
      </c>
      <c r="L1769" s="113">
        <f t="shared" si="2078"/>
        <v>64</v>
      </c>
      <c r="M1769" s="113">
        <f t="shared" si="2078"/>
        <v>300</v>
      </c>
      <c r="N1769" s="113">
        <f t="shared" si="2078"/>
        <v>30</v>
      </c>
      <c r="O1769" s="113">
        <f t="shared" si="2078"/>
        <v>90</v>
      </c>
      <c r="P1769" s="113">
        <f t="shared" si="2078"/>
        <v>21</v>
      </c>
      <c r="Q1769" s="115">
        <f>(K1769+L1769)/J1769</f>
        <v>0.30383795309168443</v>
      </c>
      <c r="R1769" s="116">
        <f t="shared" si="2066"/>
        <v>3.1982942430703626E-2</v>
      </c>
      <c r="S1769" s="116">
        <f t="shared" si="2067"/>
        <v>2.2388059701492536E-2</v>
      </c>
      <c r="T1769" s="116">
        <f t="shared" si="2068"/>
        <v>9.5948827292110878E-2</v>
      </c>
      <c r="U1769" s="117">
        <f t="shared" si="2069"/>
        <v>0.45415778251599148</v>
      </c>
      <c r="V1769" s="127"/>
      <c r="W1769" s="88"/>
      <c r="X1769" s="88"/>
      <c r="Y1769" s="118"/>
    </row>
    <row r="1770" spans="2:25" ht="15.75" hidden="1" x14ac:dyDescent="0.2">
      <c r="B1770" s="10">
        <v>46200</v>
      </c>
      <c r="C1770" s="105" t="s">
        <v>22</v>
      </c>
      <c r="D1770" s="105" t="s">
        <v>23</v>
      </c>
      <c r="E1770" s="711">
        <v>46200</v>
      </c>
      <c r="G1770" s="833" t="s">
        <v>158</v>
      </c>
      <c r="H1770" s="120" t="s">
        <v>16</v>
      </c>
      <c r="I1770" s="120" t="s">
        <v>15</v>
      </c>
      <c r="J1770" s="106">
        <v>197</v>
      </c>
      <c r="K1770" s="106">
        <f>197-43</f>
        <v>154</v>
      </c>
      <c r="L1770" s="106">
        <v>28</v>
      </c>
      <c r="M1770" s="106">
        <v>2</v>
      </c>
      <c r="N1770" s="106">
        <v>2</v>
      </c>
      <c r="O1770" s="106">
        <v>11</v>
      </c>
      <c r="P1770" s="106">
        <v>0</v>
      </c>
      <c r="Q1770" s="108">
        <f t="shared" ref="Q1770:Q1773" si="2079">(K1770+L1770)/J1770</f>
        <v>0.92385786802030456</v>
      </c>
      <c r="R1770" s="109">
        <f t="shared" ref="R1770:R1774" si="2080">N1770/J1770</f>
        <v>1.015228426395939E-2</v>
      </c>
      <c r="S1770" s="109">
        <f t="shared" ref="S1770:S1774" si="2081">P1770/J1770</f>
        <v>0</v>
      </c>
      <c r="T1770" s="109">
        <f t="shared" ref="T1770:T1774" si="2082">O1770/J1770</f>
        <v>5.5837563451776651E-2</v>
      </c>
      <c r="U1770" s="110">
        <f t="shared" ref="U1770:U1774" si="2083">S1770+R1770+Q1770+T1770</f>
        <v>0.98984771573604058</v>
      </c>
      <c r="V1770" s="136"/>
    </row>
    <row r="1771" spans="2:25" ht="15.75" hidden="1" x14ac:dyDescent="0.2">
      <c r="B1771" s="10">
        <v>46200</v>
      </c>
      <c r="C1771" s="105" t="s">
        <v>22</v>
      </c>
      <c r="D1771" s="105" t="s">
        <v>23</v>
      </c>
      <c r="E1771" s="711">
        <v>46200</v>
      </c>
      <c r="G1771" s="834"/>
      <c r="H1771" s="120" t="s">
        <v>14</v>
      </c>
      <c r="I1771" s="120" t="s">
        <v>12</v>
      </c>
      <c r="J1771" s="106">
        <v>174</v>
      </c>
      <c r="K1771" s="106">
        <f>174-53</f>
        <v>121</v>
      </c>
      <c r="L1771" s="106">
        <v>30</v>
      </c>
      <c r="M1771" s="106">
        <v>0</v>
      </c>
      <c r="N1771" s="106">
        <v>0</v>
      </c>
      <c r="O1771" s="106">
        <v>13</v>
      </c>
      <c r="P1771" s="106">
        <v>10</v>
      </c>
      <c r="Q1771" s="108">
        <f t="shared" si="2079"/>
        <v>0.86781609195402298</v>
      </c>
      <c r="R1771" s="109">
        <f t="shared" si="2080"/>
        <v>0</v>
      </c>
      <c r="S1771" s="109">
        <f t="shared" si="2081"/>
        <v>5.7471264367816091E-2</v>
      </c>
      <c r="T1771" s="109">
        <f t="shared" si="2082"/>
        <v>7.4712643678160925E-2</v>
      </c>
      <c r="U1771" s="110">
        <f t="shared" si="2083"/>
        <v>1</v>
      </c>
      <c r="V1771" s="136"/>
    </row>
    <row r="1772" spans="2:25" ht="15.75" hidden="1" x14ac:dyDescent="0.2">
      <c r="B1772" s="10">
        <v>46200</v>
      </c>
      <c r="C1772" s="105" t="s">
        <v>22</v>
      </c>
      <c r="D1772" s="105" t="s">
        <v>23</v>
      </c>
      <c r="E1772" s="711">
        <v>46200</v>
      </c>
      <c r="G1772" s="834"/>
      <c r="H1772" s="120" t="s">
        <v>17</v>
      </c>
      <c r="I1772" s="120" t="s">
        <v>18</v>
      </c>
      <c r="J1772" s="106">
        <v>315</v>
      </c>
      <c r="K1772" s="106">
        <f>315-133</f>
        <v>182</v>
      </c>
      <c r="L1772" s="106">
        <v>45</v>
      </c>
      <c r="M1772" s="106">
        <v>2</v>
      </c>
      <c r="N1772" s="106">
        <v>57</v>
      </c>
      <c r="O1772" s="106">
        <v>25</v>
      </c>
      <c r="P1772" s="106">
        <v>4</v>
      </c>
      <c r="Q1772" s="108">
        <f t="shared" si="2079"/>
        <v>0.72063492063492063</v>
      </c>
      <c r="R1772" s="109">
        <f t="shared" si="2080"/>
        <v>0.18095238095238095</v>
      </c>
      <c r="S1772" s="109">
        <f t="shared" si="2081"/>
        <v>1.2698412698412698E-2</v>
      </c>
      <c r="T1772" s="109">
        <f t="shared" si="2082"/>
        <v>7.9365079365079361E-2</v>
      </c>
      <c r="U1772" s="110">
        <f t="shared" si="2083"/>
        <v>0.99365079365079367</v>
      </c>
      <c r="V1772" s="136"/>
    </row>
    <row r="1773" spans="2:25" ht="15.75" hidden="1" x14ac:dyDescent="0.2">
      <c r="B1773" s="10">
        <v>46200</v>
      </c>
      <c r="C1773" s="105" t="s">
        <v>22</v>
      </c>
      <c r="D1773" s="105" t="s">
        <v>23</v>
      </c>
      <c r="E1773" s="711">
        <v>46200</v>
      </c>
      <c r="G1773" s="835"/>
      <c r="H1773" s="120" t="s">
        <v>25</v>
      </c>
      <c r="I1773" s="120" t="s">
        <v>22</v>
      </c>
      <c r="J1773" s="106">
        <v>66</v>
      </c>
      <c r="K1773" s="106">
        <f>66-47</f>
        <v>19</v>
      </c>
      <c r="L1773" s="106">
        <v>27</v>
      </c>
      <c r="M1773" s="106">
        <v>0</v>
      </c>
      <c r="N1773" s="106">
        <v>0</v>
      </c>
      <c r="O1773" s="106">
        <v>20</v>
      </c>
      <c r="P1773" s="106">
        <v>0</v>
      </c>
      <c r="Q1773" s="108">
        <f t="shared" si="2079"/>
        <v>0.69696969696969702</v>
      </c>
      <c r="R1773" s="109">
        <f t="shared" si="2080"/>
        <v>0</v>
      </c>
      <c r="S1773" s="109">
        <f t="shared" si="2081"/>
        <v>0</v>
      </c>
      <c r="T1773" s="109">
        <f t="shared" si="2082"/>
        <v>0.30303030303030304</v>
      </c>
      <c r="U1773" s="110">
        <f t="shared" si="2083"/>
        <v>1</v>
      </c>
      <c r="V1773" s="136"/>
    </row>
    <row r="1774" spans="2:25" s="97" customFormat="1" ht="16.5" hidden="1" customHeight="1" x14ac:dyDescent="0.2">
      <c r="B1774" s="10">
        <v>46200</v>
      </c>
      <c r="C1774" s="105" t="s">
        <v>22</v>
      </c>
      <c r="D1774" s="105" t="s">
        <v>23</v>
      </c>
      <c r="E1774" s="711">
        <v>46200</v>
      </c>
      <c r="F1774" s="89"/>
      <c r="G1774" s="190"/>
      <c r="H1774" s="840" t="s">
        <v>19</v>
      </c>
      <c r="I1774" s="841"/>
      <c r="J1774" s="113">
        <f t="shared" ref="J1774:P1774" si="2084">SUM(J1770:J1773)</f>
        <v>752</v>
      </c>
      <c r="K1774" s="113">
        <f t="shared" si="2084"/>
        <v>476</v>
      </c>
      <c r="L1774" s="113">
        <f t="shared" si="2084"/>
        <v>130</v>
      </c>
      <c r="M1774" s="113">
        <f t="shared" si="2084"/>
        <v>4</v>
      </c>
      <c r="N1774" s="113">
        <f t="shared" si="2084"/>
        <v>59</v>
      </c>
      <c r="O1774" s="113">
        <f t="shared" si="2084"/>
        <v>69</v>
      </c>
      <c r="P1774" s="113">
        <f t="shared" si="2084"/>
        <v>14</v>
      </c>
      <c r="Q1774" s="115">
        <f>(K1774+L1774)/J1774</f>
        <v>0.80585106382978722</v>
      </c>
      <c r="R1774" s="116">
        <f t="shared" si="2080"/>
        <v>7.8457446808510634E-2</v>
      </c>
      <c r="S1774" s="116">
        <f t="shared" si="2081"/>
        <v>1.8617021276595744E-2</v>
      </c>
      <c r="T1774" s="116">
        <f t="shared" si="2082"/>
        <v>9.1755319148936171E-2</v>
      </c>
      <c r="U1774" s="117">
        <f t="shared" si="2083"/>
        <v>0.99468085106382975</v>
      </c>
      <c r="V1774" s="127"/>
      <c r="W1774" s="88"/>
      <c r="X1774" s="88"/>
      <c r="Y1774" s="118"/>
    </row>
    <row r="1775" spans="2:25" ht="15.75" hidden="1" x14ac:dyDescent="0.2">
      <c r="B1775" s="10">
        <v>46200</v>
      </c>
      <c r="C1775" s="105" t="s">
        <v>12</v>
      </c>
      <c r="D1775" s="105" t="s">
        <v>23</v>
      </c>
      <c r="E1775" s="711">
        <v>46201</v>
      </c>
      <c r="G1775" s="833">
        <v>46201</v>
      </c>
      <c r="H1775" s="120" t="s">
        <v>14</v>
      </c>
      <c r="I1775" s="120" t="s">
        <v>12</v>
      </c>
      <c r="J1775" s="106">
        <v>153</v>
      </c>
      <c r="K1775" s="106">
        <f>J1775-L1775-M1775-N1775-O1775-P1775</f>
        <v>0</v>
      </c>
      <c r="L1775" s="106">
        <v>0</v>
      </c>
      <c r="M1775" s="106">
        <v>115</v>
      </c>
      <c r="N1775" s="106">
        <v>34</v>
      </c>
      <c r="O1775" s="106">
        <v>0</v>
      </c>
      <c r="P1775" s="106">
        <v>4</v>
      </c>
      <c r="Q1775" s="108">
        <f t="shared" ref="Q1775:Q1776" si="2085">(K1775+L1775)/J1775</f>
        <v>0</v>
      </c>
      <c r="R1775" s="109">
        <f t="shared" ref="R1775:R1777" si="2086">N1775/J1775</f>
        <v>0.22222222222222221</v>
      </c>
      <c r="S1775" s="109">
        <f t="shared" ref="S1775:S1777" si="2087">P1775/J1775</f>
        <v>2.6143790849673203E-2</v>
      </c>
      <c r="T1775" s="109">
        <f t="shared" ref="T1775:T1777" si="2088">O1775/J1775</f>
        <v>0</v>
      </c>
      <c r="U1775" s="110">
        <f t="shared" ref="U1775:U1777" si="2089">S1775+R1775+Q1775+T1775</f>
        <v>0.2483660130718954</v>
      </c>
      <c r="V1775" s="136"/>
    </row>
    <row r="1776" spans="2:25" ht="15.75" hidden="1" x14ac:dyDescent="0.2">
      <c r="B1776" s="10">
        <v>46200</v>
      </c>
      <c r="C1776" s="105" t="s">
        <v>12</v>
      </c>
      <c r="D1776" s="105" t="s">
        <v>23</v>
      </c>
      <c r="E1776" s="711">
        <v>46201</v>
      </c>
      <c r="G1776" s="834"/>
      <c r="H1776" s="120" t="s">
        <v>17</v>
      </c>
      <c r="I1776" s="120" t="s">
        <v>160</v>
      </c>
      <c r="J1776" s="106">
        <v>230</v>
      </c>
      <c r="K1776" s="106">
        <f>J1776-L1776-M1776-N1776-O1776-P1776</f>
        <v>0</v>
      </c>
      <c r="L1776" s="106">
        <v>0</v>
      </c>
      <c r="M1776" s="106">
        <v>183</v>
      </c>
      <c r="N1776" s="106">
        <v>41</v>
      </c>
      <c r="O1776" s="106">
        <v>0</v>
      </c>
      <c r="P1776" s="106">
        <v>6</v>
      </c>
      <c r="Q1776" s="108">
        <f t="shared" si="2085"/>
        <v>0</v>
      </c>
      <c r="R1776" s="109">
        <f t="shared" si="2086"/>
        <v>0.17826086956521739</v>
      </c>
      <c r="S1776" s="109">
        <f t="shared" si="2087"/>
        <v>2.6086956521739129E-2</v>
      </c>
      <c r="T1776" s="109">
        <f t="shared" si="2088"/>
        <v>0</v>
      </c>
      <c r="U1776" s="110">
        <f t="shared" si="2089"/>
        <v>0.20434782608695651</v>
      </c>
      <c r="V1776" s="136"/>
    </row>
    <row r="1777" spans="2:25" ht="15.75" hidden="1" x14ac:dyDescent="0.2">
      <c r="B1777" s="10">
        <v>46200</v>
      </c>
      <c r="C1777" s="105" t="s">
        <v>12</v>
      </c>
      <c r="D1777" s="105" t="s">
        <v>23</v>
      </c>
      <c r="E1777" s="711">
        <v>46201</v>
      </c>
      <c r="G1777" s="190"/>
      <c r="H1777" s="840" t="s">
        <v>19</v>
      </c>
      <c r="I1777" s="841"/>
      <c r="J1777" s="113">
        <f t="shared" ref="J1777:P1777" si="2090">SUM(J1775:J1776)</f>
        <v>383</v>
      </c>
      <c r="K1777" s="113">
        <f t="shared" si="2090"/>
        <v>0</v>
      </c>
      <c r="L1777" s="113">
        <f t="shared" si="2090"/>
        <v>0</v>
      </c>
      <c r="M1777" s="113">
        <f t="shared" si="2090"/>
        <v>298</v>
      </c>
      <c r="N1777" s="113">
        <f t="shared" si="2090"/>
        <v>75</v>
      </c>
      <c r="O1777" s="113">
        <f t="shared" si="2090"/>
        <v>0</v>
      </c>
      <c r="P1777" s="113">
        <f t="shared" si="2090"/>
        <v>10</v>
      </c>
      <c r="Q1777" s="115">
        <f>(K1777+L1777)/J1777</f>
        <v>0</v>
      </c>
      <c r="R1777" s="116">
        <f t="shared" si="2086"/>
        <v>0.195822454308094</v>
      </c>
      <c r="S1777" s="116">
        <f t="shared" si="2087"/>
        <v>2.6109660574412531E-2</v>
      </c>
      <c r="T1777" s="116">
        <f t="shared" si="2088"/>
        <v>0</v>
      </c>
      <c r="U1777" s="117">
        <f t="shared" si="2089"/>
        <v>0.22193211488250653</v>
      </c>
      <c r="V1777" s="127"/>
    </row>
    <row r="1778" spans="2:25" ht="15.75" hidden="1" x14ac:dyDescent="0.2">
      <c r="B1778" s="10">
        <v>46200</v>
      </c>
      <c r="C1778" s="105" t="s">
        <v>12</v>
      </c>
      <c r="D1778" s="105" t="s">
        <v>23</v>
      </c>
      <c r="E1778" s="711">
        <v>46202</v>
      </c>
      <c r="G1778" s="833" t="s">
        <v>159</v>
      </c>
      <c r="H1778" s="120" t="s">
        <v>16</v>
      </c>
      <c r="I1778" s="120" t="s">
        <v>15</v>
      </c>
      <c r="J1778" s="106">
        <v>206</v>
      </c>
      <c r="K1778" s="106">
        <f>J1778-L1778-M1778-N1778-O1778-P1778</f>
        <v>7</v>
      </c>
      <c r="L1778" s="106">
        <v>3</v>
      </c>
      <c r="M1778" s="106">
        <v>154</v>
      </c>
      <c r="N1778" s="106">
        <v>42</v>
      </c>
      <c r="O1778" s="106">
        <v>0</v>
      </c>
      <c r="P1778" s="106">
        <v>0</v>
      </c>
      <c r="Q1778" s="108">
        <f t="shared" ref="Q1778:Q1783" si="2091">(K1778+L1778)/J1778</f>
        <v>4.8543689320388349E-2</v>
      </c>
      <c r="R1778" s="109">
        <f t="shared" ref="R1778:R1789" si="2092">N1778/J1778</f>
        <v>0.20388349514563106</v>
      </c>
      <c r="S1778" s="109">
        <f t="shared" ref="S1778:S1789" si="2093">P1778/J1778</f>
        <v>0</v>
      </c>
      <c r="T1778" s="109">
        <f t="shared" ref="T1778:T1789" si="2094">O1778/J1778</f>
        <v>0</v>
      </c>
      <c r="U1778" s="110">
        <f t="shared" ref="U1778:U1789" si="2095">S1778+R1778+Q1778+T1778</f>
        <v>0.25242718446601942</v>
      </c>
      <c r="V1778" s="136"/>
    </row>
    <row r="1779" spans="2:25" ht="15.75" hidden="1" x14ac:dyDescent="0.2">
      <c r="B1779" s="10">
        <v>46200</v>
      </c>
      <c r="C1779" s="105" t="s">
        <v>12</v>
      </c>
      <c r="D1779" s="105" t="s">
        <v>23</v>
      </c>
      <c r="E1779" s="711">
        <v>46202</v>
      </c>
      <c r="G1779" s="834"/>
      <c r="H1779" s="120" t="s">
        <v>14</v>
      </c>
      <c r="I1779" s="120" t="s">
        <v>12</v>
      </c>
      <c r="J1779" s="106">
        <v>137</v>
      </c>
      <c r="K1779" s="106">
        <f t="shared" ref="K1779:K1783" si="2096">J1779-L1779-M1779-N1779-O1779-P1779</f>
        <v>0</v>
      </c>
      <c r="L1779" s="106">
        <v>0</v>
      </c>
      <c r="M1779" s="106">
        <v>137</v>
      </c>
      <c r="N1779" s="106">
        <v>0</v>
      </c>
      <c r="O1779" s="106">
        <v>0</v>
      </c>
      <c r="P1779" s="106">
        <v>0</v>
      </c>
      <c r="Q1779" s="108">
        <f t="shared" si="2091"/>
        <v>0</v>
      </c>
      <c r="R1779" s="109">
        <f t="shared" si="2092"/>
        <v>0</v>
      </c>
      <c r="S1779" s="109">
        <f t="shared" si="2093"/>
        <v>0</v>
      </c>
      <c r="T1779" s="109">
        <f t="shared" si="2094"/>
        <v>0</v>
      </c>
      <c r="U1779" s="110">
        <f t="shared" si="2095"/>
        <v>0</v>
      </c>
      <c r="V1779" s="136"/>
    </row>
    <row r="1780" spans="2:25" ht="15.75" hidden="1" x14ac:dyDescent="0.2">
      <c r="B1780" s="10">
        <v>46200</v>
      </c>
      <c r="C1780" s="105" t="s">
        <v>12</v>
      </c>
      <c r="D1780" s="105" t="s">
        <v>23</v>
      </c>
      <c r="E1780" s="711">
        <v>46202</v>
      </c>
      <c r="G1780" s="834"/>
      <c r="H1780" s="120" t="s">
        <v>17</v>
      </c>
      <c r="I1780" s="120" t="s">
        <v>22</v>
      </c>
      <c r="J1780" s="106">
        <v>65</v>
      </c>
      <c r="K1780" s="106">
        <f t="shared" si="2096"/>
        <v>0</v>
      </c>
      <c r="L1780" s="106">
        <v>0</v>
      </c>
      <c r="M1780" s="106">
        <v>65</v>
      </c>
      <c r="N1780" s="106">
        <v>0</v>
      </c>
      <c r="O1780" s="106">
        <v>0</v>
      </c>
      <c r="P1780" s="106">
        <v>0</v>
      </c>
      <c r="Q1780" s="108">
        <f t="shared" si="2091"/>
        <v>0</v>
      </c>
      <c r="R1780" s="109">
        <f t="shared" si="2092"/>
        <v>0</v>
      </c>
      <c r="S1780" s="109">
        <f t="shared" si="2093"/>
        <v>0</v>
      </c>
      <c r="T1780" s="109">
        <f t="shared" si="2094"/>
        <v>0</v>
      </c>
      <c r="U1780" s="110">
        <f t="shared" si="2095"/>
        <v>0</v>
      </c>
      <c r="V1780" s="136"/>
    </row>
    <row r="1781" spans="2:25" ht="15.75" hidden="1" x14ac:dyDescent="0.2">
      <c r="B1781" s="10">
        <v>46200</v>
      </c>
      <c r="C1781" s="105" t="s">
        <v>12</v>
      </c>
      <c r="D1781" s="105" t="s">
        <v>23</v>
      </c>
      <c r="E1781" s="711">
        <v>46202</v>
      </c>
      <c r="G1781" s="834"/>
      <c r="H1781" s="120" t="s">
        <v>120</v>
      </c>
      <c r="I1781" s="120" t="s">
        <v>43</v>
      </c>
      <c r="J1781" s="106">
        <v>32</v>
      </c>
      <c r="K1781" s="106">
        <f t="shared" ref="K1781:K1782" si="2097">J1781-L1781-M1781-N1781-O1781-P1781</f>
        <v>0</v>
      </c>
      <c r="L1781" s="106">
        <v>0</v>
      </c>
      <c r="M1781" s="106">
        <v>32</v>
      </c>
      <c r="N1781" s="106">
        <v>0</v>
      </c>
      <c r="O1781" s="106">
        <v>0</v>
      </c>
      <c r="P1781" s="106">
        <v>0</v>
      </c>
      <c r="Q1781" s="108">
        <f t="shared" ref="Q1781:Q1782" si="2098">(K1781+L1781)/J1781</f>
        <v>0</v>
      </c>
      <c r="R1781" s="109">
        <f t="shared" ref="R1781:R1782" si="2099">N1781/J1781</f>
        <v>0</v>
      </c>
      <c r="S1781" s="109">
        <f t="shared" ref="S1781:S1782" si="2100">P1781/J1781</f>
        <v>0</v>
      </c>
      <c r="T1781" s="109">
        <f t="shared" ref="T1781:T1782" si="2101">O1781/J1781</f>
        <v>0</v>
      </c>
      <c r="U1781" s="110">
        <f t="shared" ref="U1781:U1782" si="2102">S1781+R1781+Q1781+T1781</f>
        <v>0</v>
      </c>
      <c r="V1781" s="136"/>
    </row>
    <row r="1782" spans="2:25" ht="15.75" hidden="1" x14ac:dyDescent="0.2">
      <c r="B1782" s="10">
        <v>46200</v>
      </c>
      <c r="C1782" s="105" t="s">
        <v>12</v>
      </c>
      <c r="D1782" s="105" t="s">
        <v>23</v>
      </c>
      <c r="E1782" s="711">
        <v>46202</v>
      </c>
      <c r="G1782" s="834"/>
      <c r="H1782" s="120" t="s">
        <v>155</v>
      </c>
      <c r="I1782" s="120" t="s">
        <v>43</v>
      </c>
      <c r="J1782" s="106">
        <v>51</v>
      </c>
      <c r="K1782" s="106">
        <f t="shared" si="2097"/>
        <v>0</v>
      </c>
      <c r="L1782" s="106">
        <v>0</v>
      </c>
      <c r="M1782" s="106">
        <v>51</v>
      </c>
      <c r="N1782" s="106">
        <v>0</v>
      </c>
      <c r="O1782" s="106">
        <v>0</v>
      </c>
      <c r="P1782" s="106">
        <v>0</v>
      </c>
      <c r="Q1782" s="108">
        <f t="shared" si="2098"/>
        <v>0</v>
      </c>
      <c r="R1782" s="109">
        <f t="shared" si="2099"/>
        <v>0</v>
      </c>
      <c r="S1782" s="109">
        <f t="shared" si="2100"/>
        <v>0</v>
      </c>
      <c r="T1782" s="109">
        <f t="shared" si="2101"/>
        <v>0</v>
      </c>
      <c r="U1782" s="110">
        <f t="shared" si="2102"/>
        <v>0</v>
      </c>
      <c r="V1782" s="136"/>
    </row>
    <row r="1783" spans="2:25" ht="15.75" hidden="1" x14ac:dyDescent="0.2">
      <c r="B1783" s="10">
        <v>46200</v>
      </c>
      <c r="C1783" s="105" t="s">
        <v>12</v>
      </c>
      <c r="D1783" s="105" t="s">
        <v>23</v>
      </c>
      <c r="E1783" s="711">
        <v>46202</v>
      </c>
      <c r="G1783" s="835"/>
      <c r="H1783" s="120" t="s">
        <v>25</v>
      </c>
      <c r="I1783" s="120" t="s">
        <v>18</v>
      </c>
      <c r="J1783" s="106">
        <v>165</v>
      </c>
      <c r="K1783" s="106">
        <f t="shared" si="2096"/>
        <v>17</v>
      </c>
      <c r="L1783" s="106">
        <v>0</v>
      </c>
      <c r="M1783" s="106">
        <v>148</v>
      </c>
      <c r="N1783" s="106">
        <v>0</v>
      </c>
      <c r="O1783" s="106">
        <v>0</v>
      </c>
      <c r="P1783" s="106">
        <v>0</v>
      </c>
      <c r="Q1783" s="108">
        <f t="shared" si="2091"/>
        <v>0.10303030303030303</v>
      </c>
      <c r="R1783" s="109">
        <f t="shared" si="2092"/>
        <v>0</v>
      </c>
      <c r="S1783" s="109">
        <f t="shared" si="2093"/>
        <v>0</v>
      </c>
      <c r="T1783" s="109">
        <f t="shared" si="2094"/>
        <v>0</v>
      </c>
      <c r="U1783" s="110">
        <f t="shared" si="2095"/>
        <v>0.10303030303030303</v>
      </c>
      <c r="V1783" s="136"/>
    </row>
    <row r="1784" spans="2:25" ht="15.75" hidden="1" x14ac:dyDescent="0.2">
      <c r="B1784" s="10">
        <v>46200</v>
      </c>
      <c r="C1784" s="105" t="s">
        <v>12</v>
      </c>
      <c r="D1784" s="105" t="s">
        <v>23</v>
      </c>
      <c r="E1784" s="711">
        <v>46202</v>
      </c>
      <c r="G1784" s="190"/>
      <c r="H1784" s="840" t="s">
        <v>19</v>
      </c>
      <c r="I1784" s="841"/>
      <c r="J1784" s="113">
        <f t="shared" ref="J1784" si="2103">SUM(J1778:J1783)</f>
        <v>656</v>
      </c>
      <c r="K1784" s="113">
        <f t="shared" ref="K1784" si="2104">SUM(K1778:K1783)</f>
        <v>24</v>
      </c>
      <c r="L1784" s="113">
        <f t="shared" ref="L1784" si="2105">SUM(L1778:L1783)</f>
        <v>3</v>
      </c>
      <c r="M1784" s="113">
        <f t="shared" ref="M1784" si="2106">SUM(M1778:M1783)</f>
        <v>587</v>
      </c>
      <c r="N1784" s="113">
        <f t="shared" ref="N1784" si="2107">SUM(N1778:N1783)</f>
        <v>42</v>
      </c>
      <c r="O1784" s="113">
        <f t="shared" ref="O1784" si="2108">SUM(O1778:O1783)</f>
        <v>0</v>
      </c>
      <c r="P1784" s="113">
        <f t="shared" ref="P1784" si="2109">SUM(P1778:P1783)</f>
        <v>0</v>
      </c>
      <c r="Q1784" s="115">
        <f>(K1784+L1784)/J1784</f>
        <v>4.1158536585365856E-2</v>
      </c>
      <c r="R1784" s="116">
        <f t="shared" si="2092"/>
        <v>6.402439024390244E-2</v>
      </c>
      <c r="S1784" s="116">
        <f t="shared" si="2093"/>
        <v>0</v>
      </c>
      <c r="T1784" s="116">
        <f t="shared" si="2094"/>
        <v>0</v>
      </c>
      <c r="U1784" s="117">
        <f t="shared" si="2095"/>
        <v>0.1051829268292683</v>
      </c>
      <c r="V1784" s="127"/>
    </row>
    <row r="1785" spans="2:25" ht="15.75" hidden="1" x14ac:dyDescent="0.2">
      <c r="B1785" s="10">
        <v>46200</v>
      </c>
      <c r="C1785" s="105" t="s">
        <v>18</v>
      </c>
      <c r="D1785" s="105" t="s">
        <v>129</v>
      </c>
      <c r="E1785" s="711">
        <v>46200</v>
      </c>
      <c r="G1785" s="714">
        <v>46200</v>
      </c>
      <c r="H1785" s="120" t="s">
        <v>17</v>
      </c>
      <c r="I1785" s="120" t="s">
        <v>18</v>
      </c>
      <c r="J1785" s="106">
        <f>SUM(K1785:P1785)</f>
        <v>30</v>
      </c>
      <c r="K1785" s="106">
        <v>22</v>
      </c>
      <c r="L1785" s="106">
        <v>6</v>
      </c>
      <c r="M1785" s="106">
        <v>0</v>
      </c>
      <c r="N1785" s="106">
        <v>0</v>
      </c>
      <c r="O1785" s="106">
        <v>0</v>
      </c>
      <c r="P1785" s="106">
        <v>2</v>
      </c>
      <c r="Q1785" s="108">
        <f t="shared" ref="Q1785:Q1788" si="2110">(K1785+L1785)/J1785</f>
        <v>0.93333333333333335</v>
      </c>
      <c r="R1785" s="109">
        <f t="shared" si="2092"/>
        <v>0</v>
      </c>
      <c r="S1785" s="109">
        <f t="shared" si="2093"/>
        <v>6.6666666666666666E-2</v>
      </c>
      <c r="T1785" s="109">
        <f t="shared" si="2094"/>
        <v>0</v>
      </c>
      <c r="U1785" s="110">
        <f t="shared" si="2095"/>
        <v>1</v>
      </c>
      <c r="V1785" s="136"/>
    </row>
    <row r="1786" spans="2:25" ht="15.75" hidden="1" x14ac:dyDescent="0.2">
      <c r="B1786" s="10">
        <v>46200</v>
      </c>
      <c r="C1786" s="105" t="s">
        <v>18</v>
      </c>
      <c r="D1786" s="105" t="s">
        <v>129</v>
      </c>
      <c r="E1786" s="711">
        <v>46201</v>
      </c>
      <c r="G1786" s="830">
        <v>46201</v>
      </c>
      <c r="H1786" s="120" t="s">
        <v>17</v>
      </c>
      <c r="I1786" s="120" t="s">
        <v>160</v>
      </c>
      <c r="J1786" s="106">
        <v>230</v>
      </c>
      <c r="K1786" s="106">
        <v>113</v>
      </c>
      <c r="L1786" s="106">
        <v>43</v>
      </c>
      <c r="M1786" s="106">
        <f>103+27</f>
        <v>130</v>
      </c>
      <c r="N1786" s="106">
        <v>2</v>
      </c>
      <c r="O1786" s="106">
        <v>27</v>
      </c>
      <c r="P1786" s="106">
        <v>5</v>
      </c>
      <c r="Q1786" s="108">
        <f t="shared" si="2110"/>
        <v>0.67826086956521736</v>
      </c>
      <c r="R1786" s="109">
        <f t="shared" si="2092"/>
        <v>8.6956521739130436E-3</v>
      </c>
      <c r="S1786" s="109">
        <f t="shared" si="2093"/>
        <v>2.1739130434782608E-2</v>
      </c>
      <c r="T1786" s="109">
        <f t="shared" si="2094"/>
        <v>0.11739130434782609</v>
      </c>
      <c r="U1786" s="110">
        <f t="shared" si="2095"/>
        <v>0.82608695652173914</v>
      </c>
      <c r="V1786" s="136"/>
    </row>
    <row r="1787" spans="2:25" ht="15.75" hidden="1" x14ac:dyDescent="0.2">
      <c r="B1787" s="10">
        <v>46200</v>
      </c>
      <c r="C1787" s="105" t="s">
        <v>18</v>
      </c>
      <c r="D1787" s="105" t="s">
        <v>129</v>
      </c>
      <c r="E1787" s="711">
        <v>46201</v>
      </c>
      <c r="G1787" s="832"/>
      <c r="H1787" s="120" t="s">
        <v>14</v>
      </c>
      <c r="I1787" s="120" t="s">
        <v>12</v>
      </c>
      <c r="J1787" s="106">
        <v>153</v>
      </c>
      <c r="K1787" s="106">
        <v>13</v>
      </c>
      <c r="L1787" s="106">
        <v>0</v>
      </c>
      <c r="M1787" s="106">
        <f>95-19</f>
        <v>76</v>
      </c>
      <c r="N1787" s="106">
        <v>19</v>
      </c>
      <c r="O1787" s="106">
        <v>8</v>
      </c>
      <c r="P1787" s="106">
        <v>4</v>
      </c>
      <c r="Q1787" s="108">
        <f t="shared" si="2110"/>
        <v>8.4967320261437912E-2</v>
      </c>
      <c r="R1787" s="109">
        <f t="shared" si="2092"/>
        <v>0.12418300653594772</v>
      </c>
      <c r="S1787" s="109">
        <f t="shared" si="2093"/>
        <v>2.6143790849673203E-2</v>
      </c>
      <c r="T1787" s="109">
        <f t="shared" si="2094"/>
        <v>5.2287581699346407E-2</v>
      </c>
      <c r="U1787" s="110">
        <f t="shared" si="2095"/>
        <v>0.28758169934640521</v>
      </c>
      <c r="V1787" s="136"/>
    </row>
    <row r="1788" spans="2:25" ht="15.75" hidden="1" x14ac:dyDescent="0.2">
      <c r="B1788" s="10">
        <v>46200</v>
      </c>
      <c r="C1788" s="105" t="s">
        <v>18</v>
      </c>
      <c r="D1788" s="105" t="s">
        <v>129</v>
      </c>
      <c r="E1788" s="711">
        <v>46202</v>
      </c>
      <c r="G1788" s="713">
        <v>46202</v>
      </c>
      <c r="H1788" s="120" t="s">
        <v>16</v>
      </c>
      <c r="I1788" s="120" t="s">
        <v>151</v>
      </c>
      <c r="J1788" s="106">
        <v>218</v>
      </c>
      <c r="K1788" s="106">
        <v>0</v>
      </c>
      <c r="L1788" s="106">
        <v>0</v>
      </c>
      <c r="M1788" s="106">
        <v>87</v>
      </c>
      <c r="N1788" s="106">
        <f>91-42</f>
        <v>49</v>
      </c>
      <c r="O1788" s="106">
        <v>20</v>
      </c>
      <c r="P1788" s="106">
        <v>0</v>
      </c>
      <c r="Q1788" s="108">
        <f t="shared" si="2110"/>
        <v>0</v>
      </c>
      <c r="R1788" s="109">
        <f t="shared" si="2092"/>
        <v>0.22477064220183487</v>
      </c>
      <c r="S1788" s="109">
        <f t="shared" si="2093"/>
        <v>0</v>
      </c>
      <c r="T1788" s="109">
        <f t="shared" si="2094"/>
        <v>9.1743119266055051E-2</v>
      </c>
      <c r="U1788" s="110">
        <f t="shared" si="2095"/>
        <v>0.3165137614678899</v>
      </c>
      <c r="V1788" s="136"/>
    </row>
    <row r="1789" spans="2:25" s="97" customFormat="1" ht="16.5" hidden="1" customHeight="1" x14ac:dyDescent="0.2">
      <c r="B1789" s="10">
        <v>46200</v>
      </c>
      <c r="C1789" s="105" t="s">
        <v>18</v>
      </c>
      <c r="D1789" s="105" t="s">
        <v>129</v>
      </c>
      <c r="E1789" s="711">
        <v>46200</v>
      </c>
      <c r="F1789" s="89"/>
      <c r="G1789" s="190"/>
      <c r="H1789" s="840" t="s">
        <v>19</v>
      </c>
      <c r="I1789" s="841"/>
      <c r="J1789" s="113">
        <f t="shared" ref="J1789:P1789" si="2111">SUM(J1785:J1788)</f>
        <v>631</v>
      </c>
      <c r="K1789" s="113">
        <f t="shared" si="2111"/>
        <v>148</v>
      </c>
      <c r="L1789" s="113">
        <f t="shared" si="2111"/>
        <v>49</v>
      </c>
      <c r="M1789" s="113">
        <f t="shared" si="2111"/>
        <v>293</v>
      </c>
      <c r="N1789" s="113">
        <f t="shared" si="2111"/>
        <v>70</v>
      </c>
      <c r="O1789" s="113">
        <f t="shared" si="2111"/>
        <v>55</v>
      </c>
      <c r="P1789" s="113">
        <f t="shared" si="2111"/>
        <v>11</v>
      </c>
      <c r="Q1789" s="115">
        <f>(K1789+L1789)/J1789</f>
        <v>0.312202852614897</v>
      </c>
      <c r="R1789" s="116">
        <f t="shared" si="2092"/>
        <v>0.11093502377179081</v>
      </c>
      <c r="S1789" s="116">
        <f t="shared" si="2093"/>
        <v>1.7432646592709985E-2</v>
      </c>
      <c r="T1789" s="116">
        <f t="shared" si="2094"/>
        <v>8.7163232963549928E-2</v>
      </c>
      <c r="U1789" s="117">
        <f t="shared" si="2095"/>
        <v>0.52773375594294769</v>
      </c>
      <c r="V1789" s="127"/>
      <c r="W1789" s="88"/>
      <c r="X1789" s="88"/>
      <c r="Y1789" s="118"/>
    </row>
    <row r="1790" spans="2:25" ht="15.75" hidden="1" x14ac:dyDescent="0.2">
      <c r="B1790" s="10">
        <v>46201</v>
      </c>
      <c r="C1790" s="10" t="s">
        <v>22</v>
      </c>
      <c r="D1790" s="10" t="s">
        <v>13</v>
      </c>
      <c r="E1790" s="711">
        <v>46201</v>
      </c>
      <c r="G1790" s="830">
        <v>46201</v>
      </c>
      <c r="H1790" s="120" t="s">
        <v>17</v>
      </c>
      <c r="I1790" s="120" t="s">
        <v>160</v>
      </c>
      <c r="J1790" s="106">
        <v>230</v>
      </c>
      <c r="K1790" s="106">
        <v>113</v>
      </c>
      <c r="L1790" s="106">
        <v>29</v>
      </c>
      <c r="M1790" s="106">
        <v>39</v>
      </c>
      <c r="N1790" s="106">
        <v>2</v>
      </c>
      <c r="O1790" s="106">
        <v>33</v>
      </c>
      <c r="P1790" s="106">
        <v>4</v>
      </c>
      <c r="Q1790" s="108">
        <f t="shared" ref="Q1790:Q1792" si="2112">(K1790+L1790)/J1790</f>
        <v>0.61739130434782608</v>
      </c>
      <c r="R1790" s="109">
        <f t="shared" ref="R1790:R1793" si="2113">N1790/J1790</f>
        <v>8.6956521739130436E-3</v>
      </c>
      <c r="S1790" s="109">
        <f t="shared" ref="S1790:S1793" si="2114">P1790/J1790</f>
        <v>1.7391304347826087E-2</v>
      </c>
      <c r="T1790" s="109">
        <f t="shared" ref="T1790:T1793" si="2115">O1790/J1790</f>
        <v>0.14347826086956522</v>
      </c>
      <c r="U1790" s="110">
        <f t="shared" ref="U1790:U1793" si="2116">S1790+R1790+Q1790+T1790</f>
        <v>0.78695652173913033</v>
      </c>
      <c r="V1790" s="136"/>
    </row>
    <row r="1791" spans="2:25" ht="15.75" hidden="1" x14ac:dyDescent="0.2">
      <c r="B1791" s="10">
        <v>46201</v>
      </c>
      <c r="C1791" s="10" t="s">
        <v>22</v>
      </c>
      <c r="D1791" s="10" t="s">
        <v>13</v>
      </c>
      <c r="E1791" s="711">
        <v>46201</v>
      </c>
      <c r="G1791" s="832"/>
      <c r="H1791" s="120" t="s">
        <v>14</v>
      </c>
      <c r="I1791" s="120" t="s">
        <v>12</v>
      </c>
      <c r="J1791" s="106">
        <v>153</v>
      </c>
      <c r="K1791" s="106">
        <v>93</v>
      </c>
      <c r="L1791" s="106">
        <v>13</v>
      </c>
      <c r="M1791" s="106">
        <f>27-15</f>
        <v>12</v>
      </c>
      <c r="N1791" s="106">
        <v>4</v>
      </c>
      <c r="O1791" s="106">
        <v>15</v>
      </c>
      <c r="P1791" s="106">
        <v>4</v>
      </c>
      <c r="Q1791" s="108">
        <f t="shared" si="2112"/>
        <v>0.69281045751633985</v>
      </c>
      <c r="R1791" s="109">
        <f t="shared" si="2113"/>
        <v>2.6143790849673203E-2</v>
      </c>
      <c r="S1791" s="109">
        <f t="shared" si="2114"/>
        <v>2.6143790849673203E-2</v>
      </c>
      <c r="T1791" s="109">
        <f t="shared" si="2115"/>
        <v>9.8039215686274508E-2</v>
      </c>
      <c r="U1791" s="110">
        <f t="shared" si="2116"/>
        <v>0.84313725490196079</v>
      </c>
      <c r="V1791" s="136"/>
    </row>
    <row r="1792" spans="2:25" ht="15.75" hidden="1" x14ac:dyDescent="0.2">
      <c r="B1792" s="10">
        <v>46201</v>
      </c>
      <c r="C1792" s="10" t="s">
        <v>22</v>
      </c>
      <c r="D1792" s="10" t="s">
        <v>13</v>
      </c>
      <c r="E1792" s="711">
        <v>46202</v>
      </c>
      <c r="G1792" s="713">
        <v>46202</v>
      </c>
      <c r="H1792" s="120" t="s">
        <v>16</v>
      </c>
      <c r="I1792" s="120" t="s">
        <v>151</v>
      </c>
      <c r="J1792" s="106">
        <v>218</v>
      </c>
      <c r="K1792" s="106">
        <v>0</v>
      </c>
      <c r="L1792" s="106">
        <v>0</v>
      </c>
      <c r="M1792" s="106">
        <v>85</v>
      </c>
      <c r="N1792" s="106">
        <v>92</v>
      </c>
      <c r="O1792" s="106">
        <v>20</v>
      </c>
      <c r="P1792" s="106">
        <v>0</v>
      </c>
      <c r="Q1792" s="108">
        <f t="shared" si="2112"/>
        <v>0</v>
      </c>
      <c r="R1792" s="109">
        <f t="shared" si="2113"/>
        <v>0.42201834862385323</v>
      </c>
      <c r="S1792" s="109">
        <f t="shared" si="2114"/>
        <v>0</v>
      </c>
      <c r="T1792" s="109">
        <f t="shared" si="2115"/>
        <v>9.1743119266055051E-2</v>
      </c>
      <c r="U1792" s="110">
        <f t="shared" si="2116"/>
        <v>0.51376146788990829</v>
      </c>
      <c r="V1792" s="136"/>
    </row>
    <row r="1793" spans="2:22" ht="15.75" hidden="1" x14ac:dyDescent="0.2">
      <c r="B1793" s="10">
        <v>46201</v>
      </c>
      <c r="C1793" s="10" t="s">
        <v>22</v>
      </c>
      <c r="D1793" s="10" t="s">
        <v>13</v>
      </c>
      <c r="E1793" s="711">
        <v>46202</v>
      </c>
      <c r="G1793" s="190"/>
      <c r="H1793" s="840" t="s">
        <v>19</v>
      </c>
      <c r="I1793" s="841"/>
      <c r="J1793" s="113">
        <f>SUM(J1790:J1792)</f>
        <v>601</v>
      </c>
      <c r="K1793" s="113">
        <f t="shared" ref="K1793:P1793" si="2117">SUM(K1790:K1792)</f>
        <v>206</v>
      </c>
      <c r="L1793" s="113">
        <f t="shared" si="2117"/>
        <v>42</v>
      </c>
      <c r="M1793" s="113">
        <f>SUM(M1790:M1792)</f>
        <v>136</v>
      </c>
      <c r="N1793" s="113">
        <f t="shared" si="2117"/>
        <v>98</v>
      </c>
      <c r="O1793" s="113">
        <f t="shared" si="2117"/>
        <v>68</v>
      </c>
      <c r="P1793" s="113">
        <f t="shared" si="2117"/>
        <v>8</v>
      </c>
      <c r="Q1793" s="115">
        <f>(K1793+L1793)/J1793</f>
        <v>0.41264559068219636</v>
      </c>
      <c r="R1793" s="116">
        <f t="shared" si="2113"/>
        <v>0.16306156405990016</v>
      </c>
      <c r="S1793" s="116">
        <f t="shared" si="2114"/>
        <v>1.3311148086522463E-2</v>
      </c>
      <c r="T1793" s="116">
        <f t="shared" si="2115"/>
        <v>0.11314475873544093</v>
      </c>
      <c r="U1793" s="117">
        <f t="shared" si="2116"/>
        <v>0.70216306156405994</v>
      </c>
      <c r="V1793" s="127"/>
    </row>
    <row r="1794" spans="2:22" ht="15.75" hidden="1" x14ac:dyDescent="0.2">
      <c r="B1794" s="10">
        <v>46201</v>
      </c>
      <c r="C1794" s="10" t="s">
        <v>12</v>
      </c>
      <c r="D1794" s="10" t="s">
        <v>23</v>
      </c>
      <c r="E1794" s="711">
        <v>46201</v>
      </c>
      <c r="G1794" s="833">
        <v>46201</v>
      </c>
      <c r="H1794" s="120" t="s">
        <v>14</v>
      </c>
      <c r="I1794" s="120" t="s">
        <v>12</v>
      </c>
      <c r="J1794" s="106">
        <v>153</v>
      </c>
      <c r="K1794" s="106">
        <f>153-26</f>
        <v>127</v>
      </c>
      <c r="L1794" s="106">
        <v>12</v>
      </c>
      <c r="M1794" s="106">
        <v>3</v>
      </c>
      <c r="N1794" s="106">
        <v>0</v>
      </c>
      <c r="O1794" s="106">
        <v>8</v>
      </c>
      <c r="P1794" s="106">
        <v>3</v>
      </c>
      <c r="Q1794" s="108">
        <f t="shared" ref="Q1794:Q1795" si="2118">(K1794+L1794)/J1794</f>
        <v>0.90849673202614378</v>
      </c>
      <c r="R1794" s="109">
        <f t="shared" ref="R1794:R1796" si="2119">N1794/J1794</f>
        <v>0</v>
      </c>
      <c r="S1794" s="109">
        <f t="shared" ref="S1794:S1796" si="2120">P1794/J1794</f>
        <v>1.9607843137254902E-2</v>
      </c>
      <c r="T1794" s="109">
        <f t="shared" ref="T1794:T1796" si="2121">O1794/J1794</f>
        <v>5.2287581699346407E-2</v>
      </c>
      <c r="U1794" s="110">
        <f t="shared" ref="U1794:U1796" si="2122">S1794+R1794+Q1794+T1794</f>
        <v>0.98039215686274517</v>
      </c>
      <c r="V1794" s="136"/>
    </row>
    <row r="1795" spans="2:22" ht="15.75" hidden="1" x14ac:dyDescent="0.2">
      <c r="B1795" s="10">
        <v>46201</v>
      </c>
      <c r="C1795" s="10" t="s">
        <v>12</v>
      </c>
      <c r="D1795" s="10" t="s">
        <v>23</v>
      </c>
      <c r="E1795" s="711">
        <v>46201</v>
      </c>
      <c r="G1795" s="834"/>
      <c r="H1795" s="120" t="s">
        <v>17</v>
      </c>
      <c r="I1795" s="120" t="s">
        <v>100</v>
      </c>
      <c r="J1795" s="106">
        <v>230</v>
      </c>
      <c r="K1795" s="106">
        <f>230-82</f>
        <v>148</v>
      </c>
      <c r="L1795" s="106">
        <v>38</v>
      </c>
      <c r="M1795" s="106">
        <v>10</v>
      </c>
      <c r="N1795" s="106">
        <v>0</v>
      </c>
      <c r="O1795" s="106">
        <v>30</v>
      </c>
      <c r="P1795" s="106">
        <v>4</v>
      </c>
      <c r="Q1795" s="108">
        <f t="shared" si="2118"/>
        <v>0.80869565217391304</v>
      </c>
      <c r="R1795" s="109">
        <f t="shared" si="2119"/>
        <v>0</v>
      </c>
      <c r="S1795" s="109">
        <f t="shared" si="2120"/>
        <v>1.7391304347826087E-2</v>
      </c>
      <c r="T1795" s="109">
        <f t="shared" si="2121"/>
        <v>0.13043478260869565</v>
      </c>
      <c r="U1795" s="110">
        <f t="shared" si="2122"/>
        <v>0.95652173913043481</v>
      </c>
      <c r="V1795" s="136"/>
    </row>
    <row r="1796" spans="2:22" ht="15.75" hidden="1" x14ac:dyDescent="0.2">
      <c r="B1796" s="10">
        <v>46201</v>
      </c>
      <c r="C1796" s="10" t="s">
        <v>12</v>
      </c>
      <c r="D1796" s="10" t="s">
        <v>23</v>
      </c>
      <c r="E1796" s="711">
        <v>46201</v>
      </c>
      <c r="G1796" s="190"/>
      <c r="H1796" s="840" t="s">
        <v>19</v>
      </c>
      <c r="I1796" s="841"/>
      <c r="J1796" s="113">
        <f t="shared" ref="J1796:P1796" si="2123">SUM(J1794:J1795)</f>
        <v>383</v>
      </c>
      <c r="K1796" s="113">
        <f t="shared" si="2123"/>
        <v>275</v>
      </c>
      <c r="L1796" s="113">
        <f t="shared" si="2123"/>
        <v>50</v>
      </c>
      <c r="M1796" s="113">
        <f t="shared" si="2123"/>
        <v>13</v>
      </c>
      <c r="N1796" s="113">
        <f t="shared" si="2123"/>
        <v>0</v>
      </c>
      <c r="O1796" s="113">
        <f t="shared" si="2123"/>
        <v>38</v>
      </c>
      <c r="P1796" s="113">
        <f t="shared" si="2123"/>
        <v>7</v>
      </c>
      <c r="Q1796" s="115">
        <f>(K1796+L1796)/J1796</f>
        <v>0.84856396866840733</v>
      </c>
      <c r="R1796" s="116">
        <f t="shared" si="2119"/>
        <v>0</v>
      </c>
      <c r="S1796" s="116">
        <f t="shared" si="2120"/>
        <v>1.8276762402088774E-2</v>
      </c>
      <c r="T1796" s="116">
        <f t="shared" si="2121"/>
        <v>9.921671018276762E-2</v>
      </c>
      <c r="U1796" s="117">
        <f t="shared" si="2122"/>
        <v>0.96605744125326365</v>
      </c>
      <c r="V1796" s="127"/>
    </row>
    <row r="1797" spans="2:22" ht="15.75" hidden="1" x14ac:dyDescent="0.2">
      <c r="B1797" s="10">
        <v>46201</v>
      </c>
      <c r="C1797" s="10" t="s">
        <v>12</v>
      </c>
      <c r="D1797" s="10" t="s">
        <v>23</v>
      </c>
      <c r="E1797" s="711">
        <v>46202</v>
      </c>
      <c r="G1797" s="830">
        <v>46202</v>
      </c>
      <c r="H1797" s="120" t="s">
        <v>16</v>
      </c>
      <c r="I1797" s="120" t="s">
        <v>15</v>
      </c>
      <c r="J1797" s="106">
        <v>204</v>
      </c>
      <c r="K1797" s="106">
        <v>0</v>
      </c>
      <c r="L1797" s="106">
        <v>6</v>
      </c>
      <c r="M1797" s="106">
        <v>85</v>
      </c>
      <c r="N1797" s="106">
        <v>91</v>
      </c>
      <c r="O1797" s="106">
        <v>22</v>
      </c>
      <c r="P1797" s="106">
        <v>0</v>
      </c>
      <c r="Q1797" s="108">
        <f t="shared" ref="Q1797:Q1802" si="2124">(K1797+L1797)/J1797</f>
        <v>2.9411764705882353E-2</v>
      </c>
      <c r="R1797" s="109">
        <f t="shared" ref="R1797:R1811" si="2125">N1797/J1797</f>
        <v>0.44607843137254904</v>
      </c>
      <c r="S1797" s="109">
        <f t="shared" ref="S1797:S1811" si="2126">P1797/J1797</f>
        <v>0</v>
      </c>
      <c r="T1797" s="109">
        <f t="shared" ref="T1797:T1811" si="2127">O1797/J1797</f>
        <v>0.10784313725490197</v>
      </c>
      <c r="U1797" s="110">
        <f t="shared" ref="U1797:U1811" si="2128">S1797+R1797+Q1797+T1797</f>
        <v>0.58333333333333337</v>
      </c>
      <c r="V1797" s="136"/>
    </row>
    <row r="1798" spans="2:22" ht="15.75" hidden="1" x14ac:dyDescent="0.2">
      <c r="B1798" s="10">
        <v>46201</v>
      </c>
      <c r="C1798" s="10" t="s">
        <v>12</v>
      </c>
      <c r="D1798" s="10" t="s">
        <v>23</v>
      </c>
      <c r="E1798" s="711">
        <v>46202</v>
      </c>
      <c r="G1798" s="831"/>
      <c r="H1798" s="120" t="s">
        <v>14</v>
      </c>
      <c r="I1798" s="120" t="s">
        <v>12</v>
      </c>
      <c r="J1798" s="106">
        <v>162</v>
      </c>
      <c r="K1798" s="106">
        <v>0</v>
      </c>
      <c r="L1798" s="106">
        <v>0</v>
      </c>
      <c r="M1798" s="106">
        <v>150</v>
      </c>
      <c r="N1798" s="106">
        <v>0</v>
      </c>
      <c r="O1798" s="106">
        <v>9</v>
      </c>
      <c r="P1798" s="106">
        <v>3</v>
      </c>
      <c r="Q1798" s="108">
        <f t="shared" si="2124"/>
        <v>0</v>
      </c>
      <c r="R1798" s="109">
        <f t="shared" si="2125"/>
        <v>0</v>
      </c>
      <c r="S1798" s="109">
        <f t="shared" si="2126"/>
        <v>1.8518518518518517E-2</v>
      </c>
      <c r="T1798" s="109">
        <f t="shared" si="2127"/>
        <v>5.5555555555555552E-2</v>
      </c>
      <c r="U1798" s="110">
        <f t="shared" si="2128"/>
        <v>7.407407407407407E-2</v>
      </c>
      <c r="V1798" s="136"/>
    </row>
    <row r="1799" spans="2:22" ht="15.75" hidden="1" x14ac:dyDescent="0.2">
      <c r="B1799" s="10">
        <v>46201</v>
      </c>
      <c r="C1799" s="10" t="s">
        <v>12</v>
      </c>
      <c r="D1799" s="10" t="s">
        <v>23</v>
      </c>
      <c r="E1799" s="711">
        <v>46202</v>
      </c>
      <c r="G1799" s="831"/>
      <c r="H1799" s="120" t="s">
        <v>17</v>
      </c>
      <c r="I1799" s="120" t="s">
        <v>22</v>
      </c>
      <c r="J1799" s="106">
        <v>86</v>
      </c>
      <c r="K1799" s="106">
        <v>22</v>
      </c>
      <c r="L1799" s="106">
        <v>11</v>
      </c>
      <c r="M1799" s="106">
        <v>20</v>
      </c>
      <c r="N1799" s="106">
        <v>0</v>
      </c>
      <c r="O1799" s="106">
        <v>32</v>
      </c>
      <c r="P1799" s="106">
        <v>1</v>
      </c>
      <c r="Q1799" s="108">
        <f t="shared" ref="Q1799:Q1801" si="2129">(K1799+L1799)/J1799</f>
        <v>0.38372093023255816</v>
      </c>
      <c r="R1799" s="109">
        <f t="shared" ref="R1799:R1801" si="2130">N1799/J1799</f>
        <v>0</v>
      </c>
      <c r="S1799" s="109">
        <f t="shared" ref="S1799:S1801" si="2131">P1799/J1799</f>
        <v>1.1627906976744186E-2</v>
      </c>
      <c r="T1799" s="109">
        <f t="shared" ref="T1799:T1801" si="2132">O1799/J1799</f>
        <v>0.37209302325581395</v>
      </c>
      <c r="U1799" s="110">
        <f t="shared" ref="U1799:U1801" si="2133">S1799+R1799+Q1799+T1799</f>
        <v>0.76744186046511631</v>
      </c>
      <c r="V1799" s="136"/>
    </row>
    <row r="1800" spans="2:22" ht="15.75" hidden="1" x14ac:dyDescent="0.2">
      <c r="B1800" s="10">
        <v>46201</v>
      </c>
      <c r="C1800" s="10" t="s">
        <v>12</v>
      </c>
      <c r="D1800" s="10" t="s">
        <v>23</v>
      </c>
      <c r="E1800" s="711">
        <v>46202</v>
      </c>
      <c r="G1800" s="831"/>
      <c r="H1800" s="120" t="s">
        <v>120</v>
      </c>
      <c r="I1800" s="120" t="s">
        <v>43</v>
      </c>
      <c r="J1800" s="106">
        <v>34</v>
      </c>
      <c r="K1800" s="106">
        <v>0</v>
      </c>
      <c r="L1800" s="106">
        <v>0</v>
      </c>
      <c r="M1800" s="106">
        <v>32</v>
      </c>
      <c r="N1800" s="106">
        <v>0</v>
      </c>
      <c r="O1800" s="106">
        <v>0</v>
      </c>
      <c r="P1800" s="106">
        <v>2</v>
      </c>
      <c r="Q1800" s="108">
        <f t="shared" si="2129"/>
        <v>0</v>
      </c>
      <c r="R1800" s="109">
        <f t="shared" si="2130"/>
        <v>0</v>
      </c>
      <c r="S1800" s="109">
        <f t="shared" si="2131"/>
        <v>5.8823529411764705E-2</v>
      </c>
      <c r="T1800" s="109">
        <f t="shared" si="2132"/>
        <v>0</v>
      </c>
      <c r="U1800" s="110">
        <f t="shared" si="2133"/>
        <v>5.8823529411764705E-2</v>
      </c>
      <c r="V1800" s="136"/>
    </row>
    <row r="1801" spans="2:22" ht="15.75" hidden="1" x14ac:dyDescent="0.2">
      <c r="B1801" s="10">
        <v>46201</v>
      </c>
      <c r="C1801" s="10" t="s">
        <v>12</v>
      </c>
      <c r="D1801" s="10" t="s">
        <v>23</v>
      </c>
      <c r="E1801" s="711">
        <v>46202</v>
      </c>
      <c r="G1801" s="831"/>
      <c r="H1801" s="120" t="s">
        <v>161</v>
      </c>
      <c r="I1801" s="120" t="s">
        <v>43</v>
      </c>
      <c r="J1801" s="106">
        <v>51</v>
      </c>
      <c r="K1801" s="106">
        <v>0</v>
      </c>
      <c r="L1801" s="106">
        <v>0</v>
      </c>
      <c r="M1801" s="106">
        <v>49</v>
      </c>
      <c r="N1801" s="106">
        <v>0</v>
      </c>
      <c r="O1801" s="106">
        <v>0</v>
      </c>
      <c r="P1801" s="106">
        <v>2</v>
      </c>
      <c r="Q1801" s="108">
        <f t="shared" si="2129"/>
        <v>0</v>
      </c>
      <c r="R1801" s="109">
        <f t="shared" si="2130"/>
        <v>0</v>
      </c>
      <c r="S1801" s="109">
        <f t="shared" si="2131"/>
        <v>3.9215686274509803E-2</v>
      </c>
      <c r="T1801" s="109">
        <f t="shared" si="2132"/>
        <v>0</v>
      </c>
      <c r="U1801" s="110">
        <f t="shared" si="2133"/>
        <v>3.9215686274509803E-2</v>
      </c>
      <c r="V1801" s="136"/>
    </row>
    <row r="1802" spans="2:22" ht="15.75" hidden="1" x14ac:dyDescent="0.2">
      <c r="B1802" s="10">
        <v>46201</v>
      </c>
      <c r="C1802" s="10" t="s">
        <v>12</v>
      </c>
      <c r="D1802" s="10" t="s">
        <v>23</v>
      </c>
      <c r="E1802" s="711">
        <v>46202</v>
      </c>
      <c r="G1802" s="832"/>
      <c r="H1802" s="120" t="s">
        <v>25</v>
      </c>
      <c r="I1802" s="120" t="s">
        <v>12</v>
      </c>
      <c r="J1802" s="106">
        <v>164</v>
      </c>
      <c r="K1802" s="106">
        <v>0</v>
      </c>
      <c r="L1802" s="106">
        <v>0</v>
      </c>
      <c r="M1802" s="106">
        <v>164</v>
      </c>
      <c r="N1802" s="106">
        <v>0</v>
      </c>
      <c r="O1802" s="106">
        <v>0</v>
      </c>
      <c r="P1802" s="106">
        <v>0</v>
      </c>
      <c r="Q1802" s="108">
        <f t="shared" si="2124"/>
        <v>0</v>
      </c>
      <c r="R1802" s="109">
        <f t="shared" si="2125"/>
        <v>0</v>
      </c>
      <c r="S1802" s="109">
        <f t="shared" si="2126"/>
        <v>0</v>
      </c>
      <c r="T1802" s="109">
        <f t="shared" si="2127"/>
        <v>0</v>
      </c>
      <c r="U1802" s="110">
        <f t="shared" si="2128"/>
        <v>0</v>
      </c>
      <c r="V1802" s="136"/>
    </row>
    <row r="1803" spans="2:22" ht="15.75" hidden="1" x14ac:dyDescent="0.2">
      <c r="B1803" s="10">
        <v>46201</v>
      </c>
      <c r="C1803" s="10" t="s">
        <v>12</v>
      </c>
      <c r="D1803" s="10" t="s">
        <v>23</v>
      </c>
      <c r="E1803" s="711">
        <v>46202</v>
      </c>
      <c r="G1803" s="190"/>
      <c r="H1803" s="840" t="s">
        <v>19</v>
      </c>
      <c r="I1803" s="841"/>
      <c r="J1803" s="113">
        <f>SUM(J1797:J1802)</f>
        <v>701</v>
      </c>
      <c r="K1803" s="113">
        <f t="shared" ref="K1803:L1803" si="2134">SUM(K1797:K1802)</f>
        <v>22</v>
      </c>
      <c r="L1803" s="113">
        <f t="shared" si="2134"/>
        <v>17</v>
      </c>
      <c r="M1803" s="113">
        <f>SUM(M1797:M1802)</f>
        <v>500</v>
      </c>
      <c r="N1803" s="113">
        <f t="shared" ref="N1803:P1803" si="2135">SUM(N1797:N1802)</f>
        <v>91</v>
      </c>
      <c r="O1803" s="113">
        <f t="shared" si="2135"/>
        <v>63</v>
      </c>
      <c r="P1803" s="113">
        <f t="shared" si="2135"/>
        <v>8</v>
      </c>
      <c r="Q1803" s="115">
        <f>(K1803+L1803)/J1803</f>
        <v>5.5634807417974323E-2</v>
      </c>
      <c r="R1803" s="116">
        <f t="shared" si="2125"/>
        <v>0.12981455064194009</v>
      </c>
      <c r="S1803" s="116">
        <f t="shared" si="2126"/>
        <v>1.1412268188302425E-2</v>
      </c>
      <c r="T1803" s="116">
        <f t="shared" si="2127"/>
        <v>8.98716119828816E-2</v>
      </c>
      <c r="U1803" s="117">
        <f t="shared" si="2128"/>
        <v>0.28673323823109842</v>
      </c>
      <c r="V1803" s="127"/>
    </row>
    <row r="1804" spans="2:22" ht="15.75" hidden="1" x14ac:dyDescent="0.2">
      <c r="B1804" s="10">
        <v>46201</v>
      </c>
      <c r="C1804" s="105" t="s">
        <v>18</v>
      </c>
      <c r="D1804" s="105" t="s">
        <v>20</v>
      </c>
      <c r="E1804" s="711">
        <v>46201</v>
      </c>
      <c r="G1804" s="714">
        <v>46201</v>
      </c>
      <c r="H1804" s="120" t="s">
        <v>17</v>
      </c>
      <c r="I1804" s="120" t="s">
        <v>18</v>
      </c>
      <c r="J1804" s="106">
        <f>SUM(K1804:P1804)</f>
        <v>36</v>
      </c>
      <c r="K1804" s="106">
        <v>16</v>
      </c>
      <c r="L1804" s="106">
        <v>16</v>
      </c>
      <c r="M1804" s="106">
        <v>0</v>
      </c>
      <c r="N1804" s="106">
        <v>0</v>
      </c>
      <c r="O1804" s="106">
        <v>0</v>
      </c>
      <c r="P1804" s="106">
        <v>4</v>
      </c>
      <c r="Q1804" s="108">
        <f t="shared" ref="Q1804:Q1810" si="2136">(K1804+L1804)/J1804</f>
        <v>0.88888888888888884</v>
      </c>
      <c r="R1804" s="109">
        <f t="shared" si="2125"/>
        <v>0</v>
      </c>
      <c r="S1804" s="109">
        <f t="shared" si="2126"/>
        <v>0.1111111111111111</v>
      </c>
      <c r="T1804" s="109">
        <f t="shared" si="2127"/>
        <v>0</v>
      </c>
      <c r="U1804" s="110">
        <f t="shared" si="2128"/>
        <v>1</v>
      </c>
      <c r="V1804" s="220"/>
    </row>
    <row r="1805" spans="2:22" ht="15.75" hidden="1" x14ac:dyDescent="0.2">
      <c r="B1805" s="10">
        <v>46201</v>
      </c>
      <c r="C1805" s="105" t="s">
        <v>18</v>
      </c>
      <c r="D1805" s="105" t="s">
        <v>20</v>
      </c>
      <c r="E1805" s="711">
        <v>46202</v>
      </c>
      <c r="G1805" s="830">
        <v>46202</v>
      </c>
      <c r="H1805" s="120" t="s">
        <v>75</v>
      </c>
      <c r="I1805" s="120" t="s">
        <v>151</v>
      </c>
      <c r="J1805" s="106">
        <v>204</v>
      </c>
      <c r="K1805" s="106">
        <v>110</v>
      </c>
      <c r="L1805" s="106">
        <v>47</v>
      </c>
      <c r="M1805" s="106">
        <v>28</v>
      </c>
      <c r="N1805" s="106">
        <v>0</v>
      </c>
      <c r="O1805" s="106">
        <v>20</v>
      </c>
      <c r="P1805" s="106">
        <v>0</v>
      </c>
      <c r="Q1805" s="108">
        <f t="shared" si="2136"/>
        <v>0.76960784313725494</v>
      </c>
      <c r="R1805" s="109">
        <f t="shared" si="2125"/>
        <v>0</v>
      </c>
      <c r="S1805" s="109">
        <f t="shared" si="2126"/>
        <v>0</v>
      </c>
      <c r="T1805" s="109">
        <f t="shared" si="2127"/>
        <v>9.8039215686274508E-2</v>
      </c>
      <c r="U1805" s="110">
        <f t="shared" si="2128"/>
        <v>0.86764705882352944</v>
      </c>
      <c r="V1805" s="136"/>
    </row>
    <row r="1806" spans="2:22" ht="15.75" hidden="1" x14ac:dyDescent="0.2">
      <c r="B1806" s="10">
        <v>46201</v>
      </c>
      <c r="C1806" s="105" t="s">
        <v>18</v>
      </c>
      <c r="D1806" s="105" t="s">
        <v>20</v>
      </c>
      <c r="E1806" s="711">
        <v>46202</v>
      </c>
      <c r="G1806" s="831"/>
      <c r="H1806" s="120" t="s">
        <v>17</v>
      </c>
      <c r="I1806" s="120" t="s">
        <v>22</v>
      </c>
      <c r="J1806" s="106">
        <v>53</v>
      </c>
      <c r="K1806" s="106">
        <v>14</v>
      </c>
      <c r="L1806" s="106">
        <v>10</v>
      </c>
      <c r="M1806" s="106">
        <v>0</v>
      </c>
      <c r="N1806" s="106">
        <v>0</v>
      </c>
      <c r="O1806" s="106">
        <v>31</v>
      </c>
      <c r="P1806" s="106">
        <v>1</v>
      </c>
      <c r="Q1806" s="108">
        <f t="shared" ref="Q1806:Q1809" si="2137">(K1806+L1806)/J1806</f>
        <v>0.45283018867924529</v>
      </c>
      <c r="R1806" s="109">
        <f t="shared" ref="R1806:R1809" si="2138">N1806/J1806</f>
        <v>0</v>
      </c>
      <c r="S1806" s="109">
        <f t="shared" ref="S1806:S1809" si="2139">P1806/J1806</f>
        <v>1.8867924528301886E-2</v>
      </c>
      <c r="T1806" s="109">
        <f t="shared" ref="T1806:T1809" si="2140">O1806/J1806</f>
        <v>0.58490566037735847</v>
      </c>
      <c r="U1806" s="110">
        <f t="shared" ref="U1806:U1809" si="2141">S1806+R1806+Q1806+T1806</f>
        <v>1.0566037735849056</v>
      </c>
      <c r="V1806" s="136" t="s">
        <v>21</v>
      </c>
    </row>
    <row r="1807" spans="2:22" ht="15.75" hidden="1" x14ac:dyDescent="0.2">
      <c r="B1807" s="10">
        <v>46201</v>
      </c>
      <c r="C1807" s="105" t="s">
        <v>18</v>
      </c>
      <c r="D1807" s="105" t="s">
        <v>20</v>
      </c>
      <c r="E1807" s="711">
        <v>46202</v>
      </c>
      <c r="G1807" s="831"/>
      <c r="H1807" s="120" t="s">
        <v>123</v>
      </c>
      <c r="I1807" s="120" t="s">
        <v>22</v>
      </c>
      <c r="J1807" s="106">
        <v>51</v>
      </c>
      <c r="K1807" s="106">
        <v>0</v>
      </c>
      <c r="L1807" s="106">
        <v>0</v>
      </c>
      <c r="M1807" s="106">
        <v>0</v>
      </c>
      <c r="N1807" s="106">
        <v>49</v>
      </c>
      <c r="O1807" s="106">
        <v>0</v>
      </c>
      <c r="P1807" s="106">
        <v>2</v>
      </c>
      <c r="Q1807" s="108">
        <f t="shared" si="2137"/>
        <v>0</v>
      </c>
      <c r="R1807" s="109">
        <f t="shared" si="2138"/>
        <v>0.96078431372549022</v>
      </c>
      <c r="S1807" s="109">
        <f t="shared" si="2139"/>
        <v>3.9215686274509803E-2</v>
      </c>
      <c r="T1807" s="109">
        <f t="shared" si="2140"/>
        <v>0</v>
      </c>
      <c r="U1807" s="110">
        <f t="shared" si="2141"/>
        <v>1</v>
      </c>
      <c r="V1807" s="136"/>
    </row>
    <row r="1808" spans="2:22" ht="15.75" hidden="1" x14ac:dyDescent="0.2">
      <c r="B1808" s="10">
        <v>46201</v>
      </c>
      <c r="C1808" s="105" t="s">
        <v>18</v>
      </c>
      <c r="D1808" s="105" t="s">
        <v>20</v>
      </c>
      <c r="E1808" s="711">
        <v>46202</v>
      </c>
      <c r="G1808" s="831"/>
      <c r="H1808" s="120" t="s">
        <v>120</v>
      </c>
      <c r="I1808" s="120" t="s">
        <v>43</v>
      </c>
      <c r="J1808" s="106">
        <v>37</v>
      </c>
      <c r="K1808" s="106">
        <v>0</v>
      </c>
      <c r="L1808" s="106">
        <v>0</v>
      </c>
      <c r="M1808" s="106">
        <v>20</v>
      </c>
      <c r="N1808" s="106">
        <v>15</v>
      </c>
      <c r="O1808" s="106">
        <v>0</v>
      </c>
      <c r="P1808" s="106">
        <v>2</v>
      </c>
      <c r="Q1808" s="108">
        <f t="shared" si="2137"/>
        <v>0</v>
      </c>
      <c r="R1808" s="109">
        <f t="shared" si="2138"/>
        <v>0.40540540540540543</v>
      </c>
      <c r="S1808" s="109">
        <f t="shared" si="2139"/>
        <v>5.4054054054054057E-2</v>
      </c>
      <c r="T1808" s="109">
        <f t="shared" si="2140"/>
        <v>0</v>
      </c>
      <c r="U1808" s="110">
        <f t="shared" si="2141"/>
        <v>0.45945945945945948</v>
      </c>
      <c r="V1808" s="136"/>
    </row>
    <row r="1809" spans="2:25" ht="15.75" hidden="1" x14ac:dyDescent="0.2">
      <c r="B1809" s="10">
        <v>46201</v>
      </c>
      <c r="C1809" s="105" t="s">
        <v>18</v>
      </c>
      <c r="D1809" s="105" t="s">
        <v>20</v>
      </c>
      <c r="E1809" s="711">
        <v>46202</v>
      </c>
      <c r="G1809" s="831"/>
      <c r="H1809" s="120" t="s">
        <v>14</v>
      </c>
      <c r="I1809" s="120" t="s">
        <v>12</v>
      </c>
      <c r="J1809" s="106">
        <v>162</v>
      </c>
      <c r="K1809" s="106">
        <v>0</v>
      </c>
      <c r="L1809" s="106">
        <v>0</v>
      </c>
      <c r="M1809" s="106">
        <v>150</v>
      </c>
      <c r="N1809" s="106">
        <v>0</v>
      </c>
      <c r="O1809" s="106">
        <v>9</v>
      </c>
      <c r="P1809" s="106">
        <v>3</v>
      </c>
      <c r="Q1809" s="108">
        <f t="shared" si="2137"/>
        <v>0</v>
      </c>
      <c r="R1809" s="109">
        <f t="shared" si="2138"/>
        <v>0</v>
      </c>
      <c r="S1809" s="109">
        <f t="shared" si="2139"/>
        <v>1.8518518518518517E-2</v>
      </c>
      <c r="T1809" s="109">
        <f t="shared" si="2140"/>
        <v>5.5555555555555552E-2</v>
      </c>
      <c r="U1809" s="110">
        <f t="shared" si="2141"/>
        <v>7.407407407407407E-2</v>
      </c>
      <c r="V1809" s="136"/>
    </row>
    <row r="1810" spans="2:25" ht="15.75" hidden="1" x14ac:dyDescent="0.2">
      <c r="B1810" s="10">
        <v>46201</v>
      </c>
      <c r="C1810" s="105" t="s">
        <v>18</v>
      </c>
      <c r="D1810" s="105" t="s">
        <v>20</v>
      </c>
      <c r="E1810" s="711">
        <v>46202</v>
      </c>
      <c r="G1810" s="832"/>
      <c r="H1810" s="120" t="s">
        <v>25</v>
      </c>
      <c r="I1810" s="120" t="s">
        <v>18</v>
      </c>
      <c r="J1810" s="106">
        <v>164</v>
      </c>
      <c r="K1810" s="106">
        <v>1</v>
      </c>
      <c r="L1810" s="106">
        <v>0</v>
      </c>
      <c r="M1810" s="106">
        <v>139</v>
      </c>
      <c r="N1810" s="106">
        <v>0</v>
      </c>
      <c r="O1810" s="106">
        <v>20</v>
      </c>
      <c r="P1810" s="106">
        <v>5</v>
      </c>
      <c r="Q1810" s="108">
        <f t="shared" si="2136"/>
        <v>6.0975609756097563E-3</v>
      </c>
      <c r="R1810" s="109">
        <f t="shared" si="2125"/>
        <v>0</v>
      </c>
      <c r="S1810" s="109">
        <f t="shared" si="2126"/>
        <v>3.048780487804878E-2</v>
      </c>
      <c r="T1810" s="109">
        <f t="shared" si="2127"/>
        <v>0.12195121951219512</v>
      </c>
      <c r="U1810" s="110">
        <f t="shared" si="2128"/>
        <v>0.15853658536585366</v>
      </c>
      <c r="V1810" s="328"/>
    </row>
    <row r="1811" spans="2:25" s="97" customFormat="1" ht="16.5" hidden="1" customHeight="1" x14ac:dyDescent="0.2">
      <c r="B1811" s="10">
        <v>46201</v>
      </c>
      <c r="C1811" s="105" t="s">
        <v>18</v>
      </c>
      <c r="D1811" s="105" t="s">
        <v>20</v>
      </c>
      <c r="E1811" s="711">
        <v>46202</v>
      </c>
      <c r="F1811" s="89"/>
      <c r="G1811" s="190"/>
      <c r="H1811" s="840" t="s">
        <v>19</v>
      </c>
      <c r="I1811" s="841"/>
      <c r="J1811" s="113">
        <f t="shared" ref="J1811:P1811" si="2142">SUM(J1804:J1810)</f>
        <v>707</v>
      </c>
      <c r="K1811" s="113">
        <f t="shared" si="2142"/>
        <v>141</v>
      </c>
      <c r="L1811" s="113">
        <f t="shared" si="2142"/>
        <v>73</v>
      </c>
      <c r="M1811" s="113">
        <f t="shared" si="2142"/>
        <v>337</v>
      </c>
      <c r="N1811" s="113">
        <f t="shared" si="2142"/>
        <v>64</v>
      </c>
      <c r="O1811" s="113">
        <f t="shared" si="2142"/>
        <v>80</v>
      </c>
      <c r="P1811" s="113">
        <f t="shared" si="2142"/>
        <v>17</v>
      </c>
      <c r="Q1811" s="115">
        <f>(K1811+L1811)/J1811</f>
        <v>0.3026874115983027</v>
      </c>
      <c r="R1811" s="116">
        <f t="shared" si="2125"/>
        <v>9.0523338048090526E-2</v>
      </c>
      <c r="S1811" s="116">
        <f t="shared" si="2126"/>
        <v>2.4045261669024046E-2</v>
      </c>
      <c r="T1811" s="116">
        <f t="shared" si="2127"/>
        <v>0.11315417256011315</v>
      </c>
      <c r="U1811" s="117">
        <f t="shared" si="2128"/>
        <v>0.53041018387553041</v>
      </c>
      <c r="V1811" s="213"/>
      <c r="W1811" s="88"/>
      <c r="X1811" s="88"/>
      <c r="Y1811" s="118"/>
    </row>
    <row r="1812" spans="2:25" ht="15.75" hidden="1" x14ac:dyDescent="0.2">
      <c r="B1812" s="10">
        <v>46202</v>
      </c>
      <c r="C1812" s="105" t="s">
        <v>22</v>
      </c>
      <c r="D1812" s="105" t="s">
        <v>13</v>
      </c>
      <c r="E1812" s="711">
        <v>46202</v>
      </c>
      <c r="G1812" s="830">
        <v>46202</v>
      </c>
      <c r="H1812" s="120" t="s">
        <v>75</v>
      </c>
      <c r="I1812" s="120" t="s">
        <v>151</v>
      </c>
      <c r="J1812" s="106">
        <v>204</v>
      </c>
      <c r="K1812" s="106">
        <v>103</v>
      </c>
      <c r="L1812" s="106">
        <v>81</v>
      </c>
      <c r="M1812" s="106">
        <v>0</v>
      </c>
      <c r="N1812" s="106">
        <v>0</v>
      </c>
      <c r="O1812" s="106">
        <v>20</v>
      </c>
      <c r="P1812" s="106">
        <v>0</v>
      </c>
      <c r="Q1812" s="108">
        <f t="shared" ref="Q1812:Q1817" si="2143">(K1812+L1812)/J1812</f>
        <v>0.90196078431372551</v>
      </c>
      <c r="R1812" s="109">
        <f t="shared" ref="R1812:R1817" si="2144">N1812/J1812</f>
        <v>0</v>
      </c>
      <c r="S1812" s="109">
        <f t="shared" ref="S1812:S1817" si="2145">P1812/J1812</f>
        <v>0</v>
      </c>
      <c r="T1812" s="109">
        <f t="shared" ref="T1812:T1817" si="2146">O1812/J1812</f>
        <v>9.8039215686274508E-2</v>
      </c>
      <c r="U1812" s="110">
        <f t="shared" ref="U1812:U1817" si="2147">S1812+R1812+Q1812+T1812</f>
        <v>1</v>
      </c>
      <c r="V1812" s="136"/>
    </row>
    <row r="1813" spans="2:25" ht="15.75" hidden="1" x14ac:dyDescent="0.2">
      <c r="B1813" s="10">
        <v>46202</v>
      </c>
      <c r="C1813" s="105" t="s">
        <v>22</v>
      </c>
      <c r="D1813" s="105" t="s">
        <v>13</v>
      </c>
      <c r="E1813" s="711">
        <v>46202</v>
      </c>
      <c r="G1813" s="831"/>
      <c r="H1813" s="120" t="s">
        <v>17</v>
      </c>
      <c r="I1813" s="120" t="s">
        <v>22</v>
      </c>
      <c r="J1813" s="106">
        <v>86</v>
      </c>
      <c r="K1813" s="106">
        <v>29</v>
      </c>
      <c r="L1813" s="106">
        <v>25</v>
      </c>
      <c r="M1813" s="106">
        <v>0</v>
      </c>
      <c r="N1813" s="106">
        <v>0</v>
      </c>
      <c r="O1813" s="106">
        <v>31</v>
      </c>
      <c r="P1813" s="106">
        <v>1</v>
      </c>
      <c r="Q1813" s="108">
        <f t="shared" si="2143"/>
        <v>0.62790697674418605</v>
      </c>
      <c r="R1813" s="109">
        <f t="shared" si="2144"/>
        <v>0</v>
      </c>
      <c r="S1813" s="109">
        <f t="shared" si="2145"/>
        <v>1.1627906976744186E-2</v>
      </c>
      <c r="T1813" s="109">
        <f t="shared" si="2146"/>
        <v>0.36046511627906974</v>
      </c>
      <c r="U1813" s="110">
        <f t="shared" si="2147"/>
        <v>1</v>
      </c>
      <c r="V1813" s="136"/>
    </row>
    <row r="1814" spans="2:25" ht="15.75" hidden="1" x14ac:dyDescent="0.2">
      <c r="B1814" s="10">
        <v>46202</v>
      </c>
      <c r="C1814" s="105" t="s">
        <v>22</v>
      </c>
      <c r="D1814" s="105" t="s">
        <v>13</v>
      </c>
      <c r="E1814" s="711">
        <v>46202</v>
      </c>
      <c r="G1814" s="831"/>
      <c r="H1814" s="120" t="s">
        <v>123</v>
      </c>
      <c r="I1814" s="120" t="s">
        <v>22</v>
      </c>
      <c r="J1814" s="106">
        <v>51</v>
      </c>
      <c r="K1814" s="106">
        <v>49</v>
      </c>
      <c r="L1814" s="106">
        <v>0</v>
      </c>
      <c r="M1814" s="106">
        <v>0</v>
      </c>
      <c r="N1814" s="106">
        <v>0</v>
      </c>
      <c r="O1814" s="106">
        <v>0</v>
      </c>
      <c r="P1814" s="106">
        <v>2</v>
      </c>
      <c r="Q1814" s="108">
        <f t="shared" si="2143"/>
        <v>0.96078431372549022</v>
      </c>
      <c r="R1814" s="109">
        <f t="shared" si="2144"/>
        <v>0</v>
      </c>
      <c r="S1814" s="109">
        <f t="shared" si="2145"/>
        <v>3.9215686274509803E-2</v>
      </c>
      <c r="T1814" s="109">
        <f t="shared" si="2146"/>
        <v>0</v>
      </c>
      <c r="U1814" s="110">
        <f t="shared" si="2147"/>
        <v>1</v>
      </c>
      <c r="V1814" s="136"/>
    </row>
    <row r="1815" spans="2:25" ht="15.75" hidden="1" x14ac:dyDescent="0.2">
      <c r="B1815" s="10">
        <v>46202</v>
      </c>
      <c r="C1815" s="105" t="s">
        <v>22</v>
      </c>
      <c r="D1815" s="105" t="s">
        <v>13</v>
      </c>
      <c r="E1815" s="711">
        <v>46202</v>
      </c>
      <c r="G1815" s="831"/>
      <c r="H1815" s="120" t="s">
        <v>120</v>
      </c>
      <c r="I1815" s="120" t="s">
        <v>43</v>
      </c>
      <c r="J1815" s="106">
        <v>37</v>
      </c>
      <c r="K1815" s="106">
        <v>31</v>
      </c>
      <c r="L1815" s="106">
        <v>2</v>
      </c>
      <c r="M1815" s="106">
        <v>1</v>
      </c>
      <c r="N1815" s="106">
        <v>0</v>
      </c>
      <c r="O1815" s="106">
        <v>0</v>
      </c>
      <c r="P1815" s="106">
        <v>3</v>
      </c>
      <c r="Q1815" s="108">
        <f t="shared" si="2143"/>
        <v>0.89189189189189189</v>
      </c>
      <c r="R1815" s="109">
        <f t="shared" si="2144"/>
        <v>0</v>
      </c>
      <c r="S1815" s="109">
        <f t="shared" si="2145"/>
        <v>8.1081081081081086E-2</v>
      </c>
      <c r="T1815" s="109">
        <f t="shared" si="2146"/>
        <v>0</v>
      </c>
      <c r="U1815" s="110">
        <f t="shared" si="2147"/>
        <v>0.97297297297297303</v>
      </c>
      <c r="V1815" s="258" t="s">
        <v>162</v>
      </c>
    </row>
    <row r="1816" spans="2:25" ht="15.75" hidden="1" x14ac:dyDescent="0.2">
      <c r="B1816" s="10">
        <v>46202</v>
      </c>
      <c r="C1816" s="105" t="s">
        <v>22</v>
      </c>
      <c r="D1816" s="105" t="s">
        <v>13</v>
      </c>
      <c r="E1816" s="711">
        <v>46202</v>
      </c>
      <c r="G1816" s="831"/>
      <c r="H1816" s="120" t="s">
        <v>14</v>
      </c>
      <c r="I1816" s="120" t="s">
        <v>12</v>
      </c>
      <c r="J1816" s="106">
        <v>162</v>
      </c>
      <c r="K1816" s="106">
        <v>108</v>
      </c>
      <c r="L1816" s="106">
        <v>19</v>
      </c>
      <c r="M1816" s="106">
        <v>23</v>
      </c>
      <c r="N1816" s="106">
        <v>0</v>
      </c>
      <c r="O1816" s="106">
        <v>9</v>
      </c>
      <c r="P1816" s="106">
        <v>3</v>
      </c>
      <c r="Q1816" s="108">
        <f t="shared" si="2143"/>
        <v>0.78395061728395066</v>
      </c>
      <c r="R1816" s="109">
        <f t="shared" si="2144"/>
        <v>0</v>
      </c>
      <c r="S1816" s="109">
        <f t="shared" si="2145"/>
        <v>1.8518518518518517E-2</v>
      </c>
      <c r="T1816" s="109">
        <f t="shared" si="2146"/>
        <v>5.5555555555555552E-2</v>
      </c>
      <c r="U1816" s="110">
        <f t="shared" si="2147"/>
        <v>0.85802469135802473</v>
      </c>
      <c r="V1816" s="136"/>
    </row>
    <row r="1817" spans="2:25" ht="15.75" hidden="1" x14ac:dyDescent="0.2">
      <c r="B1817" s="10">
        <v>46202</v>
      </c>
      <c r="C1817" s="105" t="s">
        <v>22</v>
      </c>
      <c r="D1817" s="105" t="s">
        <v>13</v>
      </c>
      <c r="E1817" s="711">
        <v>46202</v>
      </c>
      <c r="G1817" s="832"/>
      <c r="H1817" s="120" t="s">
        <v>25</v>
      </c>
      <c r="I1817" s="120" t="s">
        <v>18</v>
      </c>
      <c r="J1817" s="106">
        <v>164</v>
      </c>
      <c r="K1817" s="106">
        <v>0</v>
      </c>
      <c r="L1817" s="106">
        <v>0</v>
      </c>
      <c r="M1817" s="106">
        <v>139</v>
      </c>
      <c r="N1817" s="106">
        <v>0</v>
      </c>
      <c r="O1817" s="106">
        <v>20</v>
      </c>
      <c r="P1817" s="106">
        <v>5</v>
      </c>
      <c r="Q1817" s="108">
        <f t="shared" si="2143"/>
        <v>0</v>
      </c>
      <c r="R1817" s="109">
        <f t="shared" si="2144"/>
        <v>0</v>
      </c>
      <c r="S1817" s="109">
        <f t="shared" si="2145"/>
        <v>3.048780487804878E-2</v>
      </c>
      <c r="T1817" s="109">
        <f t="shared" si="2146"/>
        <v>0.12195121951219512</v>
      </c>
      <c r="U1817" s="110">
        <f t="shared" si="2147"/>
        <v>0.1524390243902439</v>
      </c>
      <c r="V1817" s="328"/>
    </row>
    <row r="1818" spans="2:25" ht="15.75" hidden="1" x14ac:dyDescent="0.2">
      <c r="B1818" s="10">
        <v>46202</v>
      </c>
      <c r="C1818" s="105" t="s">
        <v>22</v>
      </c>
      <c r="D1818" s="105" t="s">
        <v>13</v>
      </c>
      <c r="E1818" s="711">
        <v>46202</v>
      </c>
      <c r="G1818" s="190"/>
      <c r="H1818" s="840" t="s">
        <v>19</v>
      </c>
      <c r="I1818" s="841"/>
      <c r="J1818" s="113">
        <f t="shared" ref="J1818:L1818" si="2148">SUM(J1812:J1817)</f>
        <v>704</v>
      </c>
      <c r="K1818" s="113">
        <f t="shared" si="2148"/>
        <v>320</v>
      </c>
      <c r="L1818" s="113">
        <f t="shared" si="2148"/>
        <v>127</v>
      </c>
      <c r="M1818" s="113">
        <f>SUM(M1812:M1817)</f>
        <v>163</v>
      </c>
      <c r="N1818" s="113">
        <f>SUM(N1812:N1817)</f>
        <v>0</v>
      </c>
      <c r="O1818" s="113">
        <f t="shared" ref="O1818:U1818" si="2149">SUM(O1812:O1817)</f>
        <v>80</v>
      </c>
      <c r="P1818" s="113">
        <f t="shared" si="2149"/>
        <v>14</v>
      </c>
      <c r="Q1818" s="116">
        <f>SUM(Q1812:Q1817)</f>
        <v>4.1664945839592447</v>
      </c>
      <c r="R1818" s="116">
        <f t="shared" si="2149"/>
        <v>0</v>
      </c>
      <c r="S1818" s="116">
        <f t="shared" si="2149"/>
        <v>0.18093099772890237</v>
      </c>
      <c r="T1818" s="116">
        <f t="shared" si="2149"/>
        <v>0.63601110703309494</v>
      </c>
      <c r="U1818" s="116">
        <f t="shared" si="2149"/>
        <v>4.9834366887212411</v>
      </c>
      <c r="V1818" s="213"/>
    </row>
    <row r="1819" spans="2:25" ht="15.75" hidden="1" x14ac:dyDescent="0.2">
      <c r="B1819" s="10">
        <v>46202</v>
      </c>
      <c r="C1819" s="105" t="s">
        <v>12</v>
      </c>
      <c r="D1819" s="105" t="s">
        <v>163</v>
      </c>
      <c r="E1819" s="711">
        <v>46202</v>
      </c>
      <c r="G1819" s="830">
        <v>46202</v>
      </c>
      <c r="H1819" s="120" t="s">
        <v>75</v>
      </c>
      <c r="I1819" s="120" t="s">
        <v>151</v>
      </c>
      <c r="J1819" s="106">
        <v>204</v>
      </c>
      <c r="K1819" s="106">
        <f>204-20</f>
        <v>184</v>
      </c>
      <c r="L1819" s="106">
        <v>0</v>
      </c>
      <c r="M1819" s="106">
        <v>0</v>
      </c>
      <c r="N1819" s="106">
        <v>0</v>
      </c>
      <c r="O1819" s="106">
        <v>20</v>
      </c>
      <c r="P1819" s="106">
        <v>0</v>
      </c>
      <c r="Q1819" s="108">
        <f t="shared" ref="Q1819:Q1821" si="2150">(K1819+L1819)/J1819</f>
        <v>0.90196078431372551</v>
      </c>
      <c r="R1819" s="109">
        <f t="shared" ref="R1819:R1821" si="2151">N1819/J1819</f>
        <v>0</v>
      </c>
      <c r="S1819" s="109">
        <f t="shared" ref="S1819:S1821" si="2152">P1819/J1819</f>
        <v>0</v>
      </c>
      <c r="T1819" s="109">
        <f t="shared" ref="T1819:T1821" si="2153">O1819/J1819</f>
        <v>9.8039215686274508E-2</v>
      </c>
      <c r="U1819" s="110">
        <f t="shared" ref="U1819:U1821" si="2154">S1819+R1819+Q1819+T1819</f>
        <v>1</v>
      </c>
      <c r="V1819" s="136"/>
    </row>
    <row r="1820" spans="2:25" ht="15.75" hidden="1" x14ac:dyDescent="0.2">
      <c r="B1820" s="10">
        <v>46202</v>
      </c>
      <c r="C1820" s="105" t="s">
        <v>12</v>
      </c>
      <c r="D1820" s="105" t="s">
        <v>163</v>
      </c>
      <c r="E1820" s="711">
        <v>46202</v>
      </c>
      <c r="G1820" s="831"/>
      <c r="H1820" s="120" t="s">
        <v>14</v>
      </c>
      <c r="I1820" s="120" t="s">
        <v>12</v>
      </c>
      <c r="J1820" s="106">
        <v>162</v>
      </c>
      <c r="K1820" s="106">
        <f>162-18</f>
        <v>144</v>
      </c>
      <c r="L1820" s="106">
        <v>0</v>
      </c>
      <c r="M1820" s="106">
        <v>18</v>
      </c>
      <c r="N1820" s="106">
        <v>0</v>
      </c>
      <c r="O1820" s="106">
        <v>15</v>
      </c>
      <c r="P1820" s="106">
        <v>3</v>
      </c>
      <c r="Q1820" s="108">
        <f t="shared" si="2150"/>
        <v>0.88888888888888884</v>
      </c>
      <c r="R1820" s="109">
        <f t="shared" si="2151"/>
        <v>0</v>
      </c>
      <c r="S1820" s="109">
        <f t="shared" si="2152"/>
        <v>1.8518518518518517E-2</v>
      </c>
      <c r="T1820" s="109">
        <f t="shared" si="2153"/>
        <v>9.2592592592592587E-2</v>
      </c>
      <c r="U1820" s="110">
        <f t="shared" si="2154"/>
        <v>0.99999999999999989</v>
      </c>
      <c r="V1820" s="136" t="s">
        <v>164</v>
      </c>
    </row>
    <row r="1821" spans="2:25" ht="15.75" hidden="1" x14ac:dyDescent="0.2">
      <c r="B1821" s="10">
        <v>46202</v>
      </c>
      <c r="C1821" s="105" t="s">
        <v>12</v>
      </c>
      <c r="D1821" s="105" t="s">
        <v>163</v>
      </c>
      <c r="E1821" s="711">
        <v>46202</v>
      </c>
      <c r="G1821" s="832"/>
      <c r="H1821" s="120" t="s">
        <v>25</v>
      </c>
      <c r="I1821" s="120" t="s">
        <v>18</v>
      </c>
      <c r="J1821" s="106">
        <v>164</v>
      </c>
      <c r="K1821" s="106">
        <f>164-18-5-30</f>
        <v>111</v>
      </c>
      <c r="L1821" s="106">
        <v>1</v>
      </c>
      <c r="M1821" s="106">
        <f>48-30</f>
        <v>18</v>
      </c>
      <c r="N1821" s="106">
        <v>0</v>
      </c>
      <c r="O1821" s="106">
        <v>30</v>
      </c>
      <c r="P1821" s="106">
        <v>5</v>
      </c>
      <c r="Q1821" s="108">
        <f t="shared" si="2150"/>
        <v>0.68292682926829273</v>
      </c>
      <c r="R1821" s="109">
        <f t="shared" si="2151"/>
        <v>0</v>
      </c>
      <c r="S1821" s="109">
        <f t="shared" si="2152"/>
        <v>3.048780487804878E-2</v>
      </c>
      <c r="T1821" s="109">
        <f t="shared" si="2153"/>
        <v>0.18292682926829268</v>
      </c>
      <c r="U1821" s="110">
        <f t="shared" si="2154"/>
        <v>0.89634146341463428</v>
      </c>
      <c r="V1821" s="136" t="s">
        <v>165</v>
      </c>
    </row>
    <row r="1822" spans="2:25" ht="15.75" hidden="1" x14ac:dyDescent="0.2">
      <c r="B1822" s="10">
        <v>46202</v>
      </c>
      <c r="C1822" s="105" t="s">
        <v>12</v>
      </c>
      <c r="D1822" s="105" t="s">
        <v>163</v>
      </c>
      <c r="E1822" s="711">
        <v>46202</v>
      </c>
      <c r="G1822" s="190"/>
      <c r="H1822" s="840" t="s">
        <v>19</v>
      </c>
      <c r="I1822" s="841"/>
      <c r="J1822" s="113">
        <f t="shared" ref="J1822:U1822" si="2155">SUM(J1819:J1821)</f>
        <v>530</v>
      </c>
      <c r="K1822" s="113">
        <f t="shared" si="2155"/>
        <v>439</v>
      </c>
      <c r="L1822" s="113">
        <f t="shared" si="2155"/>
        <v>1</v>
      </c>
      <c r="M1822" s="113">
        <f t="shared" si="2155"/>
        <v>36</v>
      </c>
      <c r="N1822" s="113">
        <f t="shared" si="2155"/>
        <v>0</v>
      </c>
      <c r="O1822" s="113">
        <f t="shared" si="2155"/>
        <v>65</v>
      </c>
      <c r="P1822" s="113">
        <f t="shared" si="2155"/>
        <v>8</v>
      </c>
      <c r="Q1822" s="116">
        <f t="shared" si="2155"/>
        <v>2.4737765024709071</v>
      </c>
      <c r="R1822" s="116">
        <f t="shared" si="2155"/>
        <v>0</v>
      </c>
      <c r="S1822" s="116">
        <f t="shared" si="2155"/>
        <v>4.9006323396567297E-2</v>
      </c>
      <c r="T1822" s="116">
        <f t="shared" si="2155"/>
        <v>0.37355863754715979</v>
      </c>
      <c r="U1822" s="116">
        <f t="shared" si="2155"/>
        <v>2.8963414634146343</v>
      </c>
      <c r="V1822" s="213"/>
    </row>
    <row r="1823" spans="2:25" ht="15.75" hidden="1" x14ac:dyDescent="0.2">
      <c r="B1823" s="10">
        <v>46202</v>
      </c>
      <c r="C1823" s="105" t="s">
        <v>18</v>
      </c>
      <c r="D1823" s="105" t="s">
        <v>20</v>
      </c>
      <c r="E1823" s="711">
        <v>46202</v>
      </c>
      <c r="G1823" s="714">
        <v>46202</v>
      </c>
      <c r="H1823" s="120" t="s">
        <v>25</v>
      </c>
      <c r="I1823" s="120" t="s">
        <v>18</v>
      </c>
      <c r="J1823" s="106">
        <f>SUM(K1823:P1823)</f>
        <v>62</v>
      </c>
      <c r="K1823" s="106">
        <v>48</v>
      </c>
      <c r="L1823" s="106">
        <v>11</v>
      </c>
      <c r="M1823" s="106">
        <v>0</v>
      </c>
      <c r="N1823" s="106">
        <v>0</v>
      </c>
      <c r="O1823" s="106">
        <v>0</v>
      </c>
      <c r="P1823" s="106">
        <v>3</v>
      </c>
      <c r="Q1823" s="108">
        <f t="shared" ref="Q1823:Q1827" si="2156">(K1823+L1823)/J1823</f>
        <v>0.95161290322580649</v>
      </c>
      <c r="R1823" s="109">
        <f t="shared" ref="R1823:R1828" si="2157">N1823/J1823</f>
        <v>0</v>
      </c>
      <c r="S1823" s="109">
        <f t="shared" ref="S1823:S1828" si="2158">P1823/J1823</f>
        <v>4.8387096774193547E-2</v>
      </c>
      <c r="T1823" s="109">
        <f t="shared" ref="T1823:T1828" si="2159">O1823/J1823</f>
        <v>0</v>
      </c>
      <c r="U1823" s="110">
        <f t="shared" ref="U1823:U1828" si="2160">S1823+R1823+Q1823+T1823</f>
        <v>1</v>
      </c>
      <c r="V1823" s="220"/>
    </row>
    <row r="1824" spans="2:25" ht="15.75" hidden="1" x14ac:dyDescent="0.2">
      <c r="B1824" s="10">
        <v>46202</v>
      </c>
      <c r="C1824" s="105" t="s">
        <v>18</v>
      </c>
      <c r="D1824" s="105" t="s">
        <v>20</v>
      </c>
      <c r="E1824" s="711">
        <v>46203</v>
      </c>
      <c r="G1824" s="830">
        <v>46203</v>
      </c>
      <c r="H1824" s="120" t="s">
        <v>75</v>
      </c>
      <c r="I1824" s="120" t="s">
        <v>151</v>
      </c>
      <c r="J1824" s="106">
        <v>223</v>
      </c>
      <c r="K1824" s="106">
        <v>0</v>
      </c>
      <c r="L1824" s="106">
        <v>0</v>
      </c>
      <c r="M1824" s="106">
        <v>106</v>
      </c>
      <c r="N1824" s="106">
        <v>97</v>
      </c>
      <c r="O1824" s="106">
        <v>20</v>
      </c>
      <c r="P1824" s="106">
        <v>0</v>
      </c>
      <c r="Q1824" s="108">
        <f t="shared" si="2156"/>
        <v>0</v>
      </c>
      <c r="R1824" s="109">
        <f t="shared" si="2157"/>
        <v>0.4349775784753363</v>
      </c>
      <c r="S1824" s="109">
        <f t="shared" si="2158"/>
        <v>0</v>
      </c>
      <c r="T1824" s="109">
        <f t="shared" si="2159"/>
        <v>8.9686098654708515E-2</v>
      </c>
      <c r="U1824" s="110">
        <f t="shared" si="2160"/>
        <v>0.5246636771300448</v>
      </c>
      <c r="V1824" s="136"/>
    </row>
    <row r="1825" spans="2:25" ht="15.75" hidden="1" x14ac:dyDescent="0.2">
      <c r="B1825" s="10">
        <v>46202</v>
      </c>
      <c r="C1825" s="105" t="s">
        <v>18</v>
      </c>
      <c r="D1825" s="105" t="s">
        <v>20</v>
      </c>
      <c r="E1825" s="711">
        <v>46203</v>
      </c>
      <c r="G1825" s="831"/>
      <c r="H1825" s="120" t="s">
        <v>14</v>
      </c>
      <c r="I1825" s="120" t="s">
        <v>151</v>
      </c>
      <c r="J1825" s="106">
        <v>233</v>
      </c>
      <c r="K1825" s="106">
        <v>60</v>
      </c>
      <c r="L1825" s="106">
        <v>19</v>
      </c>
      <c r="M1825" s="106">
        <v>144</v>
      </c>
      <c r="N1825" s="106">
        <v>0</v>
      </c>
      <c r="O1825" s="106">
        <v>11</v>
      </c>
      <c r="P1825" s="106">
        <v>0</v>
      </c>
      <c r="Q1825" s="108">
        <f t="shared" si="2156"/>
        <v>0.33905579399141633</v>
      </c>
      <c r="R1825" s="109">
        <f t="shared" si="2157"/>
        <v>0</v>
      </c>
      <c r="S1825" s="109">
        <f t="shared" si="2158"/>
        <v>0</v>
      </c>
      <c r="T1825" s="109">
        <f t="shared" si="2159"/>
        <v>4.7210300429184553E-2</v>
      </c>
      <c r="U1825" s="110">
        <f t="shared" si="2160"/>
        <v>0.38626609442060089</v>
      </c>
      <c r="V1825" s="136"/>
    </row>
    <row r="1826" spans="2:25" ht="15.75" hidden="1" x14ac:dyDescent="0.2">
      <c r="B1826" s="10">
        <v>46202</v>
      </c>
      <c r="C1826" s="105" t="s">
        <v>18</v>
      </c>
      <c r="D1826" s="105" t="s">
        <v>20</v>
      </c>
      <c r="E1826" s="711">
        <v>46203</v>
      </c>
      <c r="G1826" s="831"/>
      <c r="H1826" s="120" t="s">
        <v>118</v>
      </c>
      <c r="I1826" s="120" t="s">
        <v>43</v>
      </c>
      <c r="J1826" s="106">
        <v>28</v>
      </c>
      <c r="K1826" s="106">
        <v>0</v>
      </c>
      <c r="L1826" s="106">
        <v>0</v>
      </c>
      <c r="M1826" s="106">
        <v>26</v>
      </c>
      <c r="N1826" s="106">
        <v>0</v>
      </c>
      <c r="O1826" s="106">
        <v>0</v>
      </c>
      <c r="P1826" s="106">
        <v>2</v>
      </c>
      <c r="Q1826" s="108">
        <f t="shared" si="2156"/>
        <v>0</v>
      </c>
      <c r="R1826" s="109">
        <f t="shared" si="2157"/>
        <v>0</v>
      </c>
      <c r="S1826" s="109">
        <f t="shared" si="2158"/>
        <v>7.1428571428571425E-2</v>
      </c>
      <c r="T1826" s="109">
        <f t="shared" si="2159"/>
        <v>0</v>
      </c>
      <c r="U1826" s="110">
        <f t="shared" si="2160"/>
        <v>7.1428571428571425E-2</v>
      </c>
      <c r="V1826" s="136"/>
    </row>
    <row r="1827" spans="2:25" ht="15.75" hidden="1" x14ac:dyDescent="0.2">
      <c r="B1827" s="10">
        <v>46202</v>
      </c>
      <c r="C1827" s="105" t="s">
        <v>18</v>
      </c>
      <c r="D1827" s="105" t="s">
        <v>20</v>
      </c>
      <c r="E1827" s="711">
        <v>46203</v>
      </c>
      <c r="G1827" s="832"/>
      <c r="H1827" s="120" t="s">
        <v>17</v>
      </c>
      <c r="I1827" s="120" t="s">
        <v>18</v>
      </c>
      <c r="J1827" s="106">
        <v>173</v>
      </c>
      <c r="K1827" s="106">
        <v>0</v>
      </c>
      <c r="L1827" s="106">
        <v>0</v>
      </c>
      <c r="M1827" s="106">
        <v>142</v>
      </c>
      <c r="N1827" s="106">
        <v>0</v>
      </c>
      <c r="O1827" s="106">
        <v>28</v>
      </c>
      <c r="P1827" s="106">
        <v>3</v>
      </c>
      <c r="Q1827" s="108">
        <f t="shared" si="2156"/>
        <v>0</v>
      </c>
      <c r="R1827" s="109">
        <f t="shared" si="2157"/>
        <v>0</v>
      </c>
      <c r="S1827" s="109">
        <f t="shared" si="2158"/>
        <v>1.7341040462427744E-2</v>
      </c>
      <c r="T1827" s="109">
        <f t="shared" si="2159"/>
        <v>0.16184971098265896</v>
      </c>
      <c r="U1827" s="110">
        <f t="shared" si="2160"/>
        <v>0.1791907514450867</v>
      </c>
      <c r="V1827" s="328"/>
    </row>
    <row r="1828" spans="2:25" s="97" customFormat="1" ht="16.5" hidden="1" customHeight="1" x14ac:dyDescent="0.2">
      <c r="B1828" s="10">
        <v>46202</v>
      </c>
      <c r="C1828" s="105" t="s">
        <v>18</v>
      </c>
      <c r="D1828" s="105" t="s">
        <v>20</v>
      </c>
      <c r="E1828" s="711">
        <v>46202</v>
      </c>
      <c r="F1828" s="89"/>
      <c r="G1828" s="190"/>
      <c r="H1828" s="840" t="s">
        <v>19</v>
      </c>
      <c r="I1828" s="841"/>
      <c r="J1828" s="113">
        <f t="shared" ref="J1828:P1828" si="2161">SUM(J1823:J1827)</f>
        <v>719</v>
      </c>
      <c r="K1828" s="113">
        <f t="shared" si="2161"/>
        <v>108</v>
      </c>
      <c r="L1828" s="113">
        <f t="shared" si="2161"/>
        <v>30</v>
      </c>
      <c r="M1828" s="113">
        <f t="shared" si="2161"/>
        <v>418</v>
      </c>
      <c r="N1828" s="113">
        <f t="shared" si="2161"/>
        <v>97</v>
      </c>
      <c r="O1828" s="113">
        <f t="shared" si="2161"/>
        <v>59</v>
      </c>
      <c r="P1828" s="113">
        <f t="shared" si="2161"/>
        <v>8</v>
      </c>
      <c r="Q1828" s="115">
        <f>(K1828+L1828)/J1828</f>
        <v>0.19193324061196107</v>
      </c>
      <c r="R1828" s="116">
        <f t="shared" si="2157"/>
        <v>0.13490959666203059</v>
      </c>
      <c r="S1828" s="116">
        <f t="shared" si="2158"/>
        <v>1.1126564673157162E-2</v>
      </c>
      <c r="T1828" s="116">
        <f t="shared" si="2159"/>
        <v>8.2058414464534074E-2</v>
      </c>
      <c r="U1828" s="117">
        <f t="shared" si="2160"/>
        <v>0.42002781641168296</v>
      </c>
      <c r="V1828" s="213"/>
      <c r="W1828" s="88"/>
      <c r="X1828" s="88"/>
      <c r="Y1828" s="118"/>
    </row>
    <row r="1829" spans="2:25" ht="15.75" hidden="1" x14ac:dyDescent="0.2">
      <c r="B1829" s="10">
        <v>46203</v>
      </c>
      <c r="C1829" s="105" t="s">
        <v>22</v>
      </c>
      <c r="D1829" s="105" t="s">
        <v>20</v>
      </c>
      <c r="E1829" s="711">
        <v>46203</v>
      </c>
      <c r="G1829" s="830">
        <v>46203</v>
      </c>
      <c r="H1829" s="120" t="s">
        <v>75</v>
      </c>
      <c r="I1829" s="120" t="s">
        <v>151</v>
      </c>
      <c r="J1829" s="106">
        <v>223</v>
      </c>
      <c r="K1829" s="106">
        <f>223-94</f>
        <v>129</v>
      </c>
      <c r="L1829" s="106">
        <v>74</v>
      </c>
      <c r="M1829" s="106">
        <v>0</v>
      </c>
      <c r="N1829" s="106">
        <v>0</v>
      </c>
      <c r="O1829" s="106">
        <v>20</v>
      </c>
      <c r="P1829" s="106">
        <v>0</v>
      </c>
      <c r="Q1829" s="108">
        <f t="shared" ref="Q1829:Q1832" si="2162">(K1829+L1829)/J1829</f>
        <v>0.91031390134529144</v>
      </c>
      <c r="R1829" s="109">
        <f t="shared" ref="R1829:R1833" si="2163">N1829/J1829</f>
        <v>0</v>
      </c>
      <c r="S1829" s="109">
        <f t="shared" ref="S1829:S1833" si="2164">P1829/J1829</f>
        <v>0</v>
      </c>
      <c r="T1829" s="109">
        <f t="shared" ref="T1829:T1833" si="2165">O1829/J1829</f>
        <v>8.9686098654708515E-2</v>
      </c>
      <c r="U1829" s="110">
        <f t="shared" ref="U1829:U1833" si="2166">S1829+R1829+Q1829+T1829</f>
        <v>1</v>
      </c>
      <c r="V1829" s="136"/>
    </row>
    <row r="1830" spans="2:25" ht="15.75" hidden="1" x14ac:dyDescent="0.2">
      <c r="B1830" s="10">
        <v>46203</v>
      </c>
      <c r="C1830" s="105" t="s">
        <v>22</v>
      </c>
      <c r="D1830" s="105" t="s">
        <v>20</v>
      </c>
      <c r="E1830" s="711">
        <v>46203</v>
      </c>
      <c r="G1830" s="831"/>
      <c r="H1830" s="120" t="s">
        <v>14</v>
      </c>
      <c r="I1830" s="120" t="s">
        <v>151</v>
      </c>
      <c r="J1830" s="106">
        <v>233</v>
      </c>
      <c r="K1830" s="106">
        <f>233-87</f>
        <v>146</v>
      </c>
      <c r="L1830" s="106">
        <v>39</v>
      </c>
      <c r="M1830" s="106">
        <v>37</v>
      </c>
      <c r="N1830" s="106">
        <v>0</v>
      </c>
      <c r="O1830" s="106">
        <v>11</v>
      </c>
      <c r="P1830" s="106">
        <v>0</v>
      </c>
      <c r="Q1830" s="108">
        <f t="shared" si="2162"/>
        <v>0.79399141630901282</v>
      </c>
      <c r="R1830" s="109">
        <f t="shared" si="2163"/>
        <v>0</v>
      </c>
      <c r="S1830" s="109">
        <f t="shared" si="2164"/>
        <v>0</v>
      </c>
      <c r="T1830" s="109">
        <f t="shared" si="2165"/>
        <v>4.7210300429184553E-2</v>
      </c>
      <c r="U1830" s="110">
        <f t="shared" si="2166"/>
        <v>0.84120171673819732</v>
      </c>
      <c r="V1830" s="136"/>
    </row>
    <row r="1831" spans="2:25" ht="15.75" hidden="1" x14ac:dyDescent="0.2">
      <c r="B1831" s="10">
        <v>46203</v>
      </c>
      <c r="C1831" s="105" t="s">
        <v>22</v>
      </c>
      <c r="D1831" s="105" t="s">
        <v>20</v>
      </c>
      <c r="E1831" s="711">
        <v>46203</v>
      </c>
      <c r="G1831" s="831"/>
      <c r="H1831" s="120" t="s">
        <v>118</v>
      </c>
      <c r="I1831" s="120" t="s">
        <v>43</v>
      </c>
      <c r="J1831" s="106">
        <v>28</v>
      </c>
      <c r="K1831" s="106">
        <v>0</v>
      </c>
      <c r="L1831" s="106">
        <v>0</v>
      </c>
      <c r="M1831" s="106">
        <v>26</v>
      </c>
      <c r="N1831" s="106">
        <v>0</v>
      </c>
      <c r="O1831" s="106">
        <v>0</v>
      </c>
      <c r="P1831" s="106">
        <v>2</v>
      </c>
      <c r="Q1831" s="108">
        <f t="shared" si="2162"/>
        <v>0</v>
      </c>
      <c r="R1831" s="109">
        <f t="shared" si="2163"/>
        <v>0</v>
      </c>
      <c r="S1831" s="109">
        <f t="shared" si="2164"/>
        <v>7.1428571428571425E-2</v>
      </c>
      <c r="T1831" s="109">
        <f t="shared" si="2165"/>
        <v>0</v>
      </c>
      <c r="U1831" s="110">
        <f t="shared" si="2166"/>
        <v>7.1428571428571425E-2</v>
      </c>
      <c r="V1831" s="136"/>
    </row>
    <row r="1832" spans="2:25" ht="15.75" hidden="1" x14ac:dyDescent="0.2">
      <c r="B1832" s="10">
        <v>46203</v>
      </c>
      <c r="C1832" s="105" t="s">
        <v>22</v>
      </c>
      <c r="D1832" s="105" t="s">
        <v>20</v>
      </c>
      <c r="E1832" s="711">
        <v>46203</v>
      </c>
      <c r="G1832" s="832"/>
      <c r="H1832" s="120" t="s">
        <v>17</v>
      </c>
      <c r="I1832" s="120" t="s">
        <v>18</v>
      </c>
      <c r="J1832" s="106">
        <v>173</v>
      </c>
      <c r="K1832" s="106">
        <v>0</v>
      </c>
      <c r="L1832" s="106">
        <v>0</v>
      </c>
      <c r="M1832" s="106">
        <v>142</v>
      </c>
      <c r="N1832" s="106">
        <v>0</v>
      </c>
      <c r="O1832" s="106">
        <v>28</v>
      </c>
      <c r="P1832" s="106">
        <v>3</v>
      </c>
      <c r="Q1832" s="108">
        <f t="shared" si="2162"/>
        <v>0</v>
      </c>
      <c r="R1832" s="109">
        <f t="shared" si="2163"/>
        <v>0</v>
      </c>
      <c r="S1832" s="109">
        <f t="shared" si="2164"/>
        <v>1.7341040462427744E-2</v>
      </c>
      <c r="T1832" s="109">
        <f t="shared" si="2165"/>
        <v>0.16184971098265896</v>
      </c>
      <c r="U1832" s="110">
        <f t="shared" si="2166"/>
        <v>0.1791907514450867</v>
      </c>
      <c r="V1832" s="328"/>
    </row>
    <row r="1833" spans="2:25" ht="15.75" hidden="1" x14ac:dyDescent="0.2">
      <c r="B1833" s="10">
        <v>46203</v>
      </c>
      <c r="C1833" s="105" t="s">
        <v>22</v>
      </c>
      <c r="D1833" s="105" t="s">
        <v>20</v>
      </c>
      <c r="E1833" s="711">
        <v>46203</v>
      </c>
      <c r="G1833" s="190"/>
      <c r="H1833" s="840" t="s">
        <v>19</v>
      </c>
      <c r="I1833" s="841"/>
      <c r="J1833" s="113">
        <f t="shared" ref="J1833" si="2167">SUM(J1828:J1832)</f>
        <v>1376</v>
      </c>
      <c r="K1833" s="113">
        <f t="shared" ref="K1833" si="2168">SUM(K1828:K1832)</f>
        <v>383</v>
      </c>
      <c r="L1833" s="113">
        <f t="shared" ref="L1833" si="2169">SUM(L1828:L1832)</f>
        <v>143</v>
      </c>
      <c r="M1833" s="113">
        <f t="shared" ref="M1833" si="2170">SUM(M1828:M1832)</f>
        <v>623</v>
      </c>
      <c r="N1833" s="113">
        <f t="shared" ref="N1833" si="2171">SUM(N1828:N1832)</f>
        <v>97</v>
      </c>
      <c r="O1833" s="113">
        <f t="shared" ref="O1833" si="2172">SUM(O1828:O1832)</f>
        <v>118</v>
      </c>
      <c r="P1833" s="113">
        <f t="shared" ref="P1833" si="2173">SUM(P1828:P1832)</f>
        <v>13</v>
      </c>
      <c r="Q1833" s="115">
        <f>(K1833+L1833)/J1833</f>
        <v>0.38226744186046513</v>
      </c>
      <c r="R1833" s="116">
        <f t="shared" si="2163"/>
        <v>7.0494186046511628E-2</v>
      </c>
      <c r="S1833" s="116">
        <f t="shared" si="2164"/>
        <v>9.4476744186046506E-3</v>
      </c>
      <c r="T1833" s="116">
        <f t="shared" si="2165"/>
        <v>8.5755813953488372E-2</v>
      </c>
      <c r="U1833" s="117">
        <f t="shared" si="2166"/>
        <v>0.54796511627906985</v>
      </c>
      <c r="V1833" s="213"/>
    </row>
    <row r="1834" spans="2:25" ht="15.75" hidden="1" x14ac:dyDescent="0.2">
      <c r="B1834" s="10">
        <v>46203</v>
      </c>
      <c r="C1834" s="105" t="s">
        <v>12</v>
      </c>
      <c r="D1834" s="105" t="s">
        <v>163</v>
      </c>
      <c r="E1834" s="711">
        <v>46203</v>
      </c>
      <c r="G1834" s="830">
        <v>46203</v>
      </c>
      <c r="H1834" s="120" t="s">
        <v>75</v>
      </c>
      <c r="I1834" s="120" t="s">
        <v>151</v>
      </c>
      <c r="J1834" s="106">
        <v>223</v>
      </c>
      <c r="K1834" s="106">
        <f>223-94</f>
        <v>129</v>
      </c>
      <c r="L1834" s="106">
        <v>69</v>
      </c>
      <c r="M1834" s="106">
        <v>0</v>
      </c>
      <c r="N1834" s="106">
        <v>0</v>
      </c>
      <c r="O1834" s="106">
        <v>20</v>
      </c>
      <c r="P1834" s="106">
        <v>0</v>
      </c>
      <c r="Q1834" s="108">
        <f t="shared" ref="Q1834:Q1836" si="2174">(K1834+L1834)/J1834</f>
        <v>0.88789237668161436</v>
      </c>
      <c r="R1834" s="109">
        <f t="shared" ref="R1834:R1844" si="2175">N1834/J1834</f>
        <v>0</v>
      </c>
      <c r="S1834" s="109">
        <f t="shared" ref="S1834:S1844" si="2176">P1834/J1834</f>
        <v>0</v>
      </c>
      <c r="T1834" s="109">
        <f t="shared" ref="T1834:T1844" si="2177">O1834/J1834</f>
        <v>8.9686098654708515E-2</v>
      </c>
      <c r="U1834" s="110">
        <f t="shared" ref="U1834:U1844" si="2178">S1834+R1834+Q1834+T1834</f>
        <v>0.97757847533632292</v>
      </c>
    </row>
    <row r="1835" spans="2:25" ht="15.75" hidden="1" x14ac:dyDescent="0.2">
      <c r="B1835" s="10">
        <v>46203</v>
      </c>
      <c r="C1835" s="105" t="s">
        <v>12</v>
      </c>
      <c r="D1835" s="105" t="s">
        <v>163</v>
      </c>
      <c r="E1835" s="711">
        <v>46203</v>
      </c>
      <c r="G1835" s="831"/>
      <c r="H1835" s="120" t="s">
        <v>14</v>
      </c>
      <c r="I1835" s="120" t="s">
        <v>151</v>
      </c>
      <c r="J1835" s="106">
        <v>233</v>
      </c>
      <c r="K1835" s="106">
        <f>233-87</f>
        <v>146</v>
      </c>
      <c r="L1835" s="106">
        <v>50</v>
      </c>
      <c r="M1835" s="106">
        <v>0</v>
      </c>
      <c r="N1835" s="106">
        <v>0</v>
      </c>
      <c r="O1835" s="106">
        <v>11</v>
      </c>
      <c r="P1835" s="106">
        <v>0</v>
      </c>
      <c r="Q1835" s="108">
        <f t="shared" si="2174"/>
        <v>0.84120171673819744</v>
      </c>
      <c r="R1835" s="109">
        <f t="shared" si="2175"/>
        <v>0</v>
      </c>
      <c r="S1835" s="109">
        <f t="shared" si="2176"/>
        <v>0</v>
      </c>
      <c r="T1835" s="109">
        <f t="shared" si="2177"/>
        <v>4.7210300429184553E-2</v>
      </c>
      <c r="U1835" s="110">
        <f t="shared" si="2178"/>
        <v>0.88841201716738194</v>
      </c>
    </row>
    <row r="1836" spans="2:25" ht="15.75" hidden="1" x14ac:dyDescent="0.2">
      <c r="B1836" s="10">
        <v>46203</v>
      </c>
      <c r="C1836" s="105" t="s">
        <v>12</v>
      </c>
      <c r="D1836" s="105" t="s">
        <v>163</v>
      </c>
      <c r="E1836" s="711">
        <v>46203</v>
      </c>
      <c r="G1836" s="832"/>
      <c r="H1836" s="120" t="s">
        <v>17</v>
      </c>
      <c r="I1836" s="120" t="s">
        <v>18</v>
      </c>
      <c r="J1836" s="106">
        <v>173</v>
      </c>
      <c r="K1836" s="106">
        <f>173-49</f>
        <v>124</v>
      </c>
      <c r="L1836" s="106">
        <v>2</v>
      </c>
      <c r="M1836" s="106">
        <v>49</v>
      </c>
      <c r="N1836" s="106">
        <v>0</v>
      </c>
      <c r="O1836" s="106">
        <v>28</v>
      </c>
      <c r="P1836" s="106">
        <v>3</v>
      </c>
      <c r="Q1836" s="108">
        <f t="shared" si="2174"/>
        <v>0.72832369942196529</v>
      </c>
      <c r="R1836" s="109">
        <f t="shared" si="2175"/>
        <v>0</v>
      </c>
      <c r="S1836" s="109">
        <f t="shared" si="2176"/>
        <v>1.7341040462427744E-2</v>
      </c>
      <c r="T1836" s="109">
        <f t="shared" si="2177"/>
        <v>0.16184971098265896</v>
      </c>
      <c r="U1836" s="110">
        <f t="shared" si="2178"/>
        <v>0.90751445086705207</v>
      </c>
    </row>
    <row r="1837" spans="2:25" ht="15.75" hidden="1" x14ac:dyDescent="0.2">
      <c r="B1837" s="10">
        <v>46203</v>
      </c>
      <c r="C1837" s="105" t="s">
        <v>12</v>
      </c>
      <c r="D1837" s="105" t="s">
        <v>163</v>
      </c>
      <c r="E1837" s="711">
        <v>46203</v>
      </c>
      <c r="G1837" s="190"/>
      <c r="H1837" s="840" t="s">
        <v>19</v>
      </c>
      <c r="I1837" s="841"/>
      <c r="J1837" s="113">
        <f t="shared" ref="J1837:P1837" si="2179">SUM(J1833:J1836)</f>
        <v>2005</v>
      </c>
      <c r="K1837" s="113">
        <f t="shared" si="2179"/>
        <v>782</v>
      </c>
      <c r="L1837" s="113">
        <f t="shared" si="2179"/>
        <v>264</v>
      </c>
      <c r="M1837" s="113">
        <f t="shared" si="2179"/>
        <v>672</v>
      </c>
      <c r="N1837" s="113">
        <f t="shared" si="2179"/>
        <v>97</v>
      </c>
      <c r="O1837" s="113">
        <f t="shared" si="2179"/>
        <v>177</v>
      </c>
      <c r="P1837" s="113">
        <f t="shared" si="2179"/>
        <v>16</v>
      </c>
      <c r="Q1837" s="115">
        <f>(K1837+L1837)/J1837</f>
        <v>0.52169576059850375</v>
      </c>
      <c r="R1837" s="116">
        <f t="shared" si="2175"/>
        <v>4.8379052369077309E-2</v>
      </c>
      <c r="S1837" s="116">
        <f t="shared" si="2176"/>
        <v>7.9800498753117202E-3</v>
      </c>
      <c r="T1837" s="116">
        <f t="shared" si="2177"/>
        <v>8.8279301745635905E-2</v>
      </c>
      <c r="U1837" s="117">
        <f t="shared" si="2178"/>
        <v>0.66633416458852868</v>
      </c>
    </row>
    <row r="1838" spans="2:25" ht="15.75" hidden="1" x14ac:dyDescent="0.2">
      <c r="B1838" s="10">
        <v>46203</v>
      </c>
      <c r="C1838" s="105" t="s">
        <v>18</v>
      </c>
      <c r="D1838" s="105" t="s">
        <v>20</v>
      </c>
      <c r="E1838" s="711">
        <v>46203</v>
      </c>
      <c r="G1838" s="714" t="s">
        <v>166</v>
      </c>
      <c r="H1838" s="120" t="s">
        <v>17</v>
      </c>
      <c r="I1838" s="120" t="s">
        <v>167</v>
      </c>
      <c r="J1838" s="106">
        <f>SUM(K1838:P1838)</f>
        <v>238</v>
      </c>
      <c r="K1838" s="106">
        <v>121</v>
      </c>
      <c r="L1838" s="106">
        <v>58</v>
      </c>
      <c r="M1838" s="106">
        <v>14</v>
      </c>
      <c r="N1838" s="106">
        <v>0</v>
      </c>
      <c r="O1838" s="106">
        <v>35</v>
      </c>
      <c r="P1838" s="106">
        <v>10</v>
      </c>
      <c r="Q1838" s="108">
        <f t="shared" ref="Q1838:Q1843" si="2180">(K1838+L1838)/J1838</f>
        <v>0.75210084033613445</v>
      </c>
      <c r="R1838" s="109">
        <f t="shared" si="2175"/>
        <v>0</v>
      </c>
      <c r="S1838" s="109">
        <f t="shared" si="2176"/>
        <v>4.2016806722689079E-2</v>
      </c>
      <c r="T1838" s="109">
        <f t="shared" si="2177"/>
        <v>0.14705882352941177</v>
      </c>
      <c r="U1838" s="110">
        <f t="shared" si="2178"/>
        <v>0.94117647058823528</v>
      </c>
      <c r="V1838" s="220"/>
    </row>
    <row r="1839" spans="2:25" ht="15.75" hidden="1" x14ac:dyDescent="0.2">
      <c r="B1839" s="10">
        <v>46203</v>
      </c>
      <c r="C1839" s="105" t="s">
        <v>18</v>
      </c>
      <c r="D1839" s="105" t="s">
        <v>20</v>
      </c>
      <c r="E1839" s="711">
        <v>46204</v>
      </c>
      <c r="G1839" s="830">
        <v>46204</v>
      </c>
      <c r="H1839" s="120" t="s">
        <v>75</v>
      </c>
      <c r="I1839" s="120" t="s">
        <v>151</v>
      </c>
      <c r="J1839" s="106">
        <v>234</v>
      </c>
      <c r="K1839" s="106">
        <v>0</v>
      </c>
      <c r="L1839" s="106">
        <v>0</v>
      </c>
      <c r="M1839" s="106">
        <f>147-18</f>
        <v>129</v>
      </c>
      <c r="N1839" s="106">
        <v>87</v>
      </c>
      <c r="O1839" s="106">
        <v>18</v>
      </c>
      <c r="P1839" s="106">
        <v>0</v>
      </c>
      <c r="Q1839" s="108">
        <f t="shared" si="2180"/>
        <v>0</v>
      </c>
      <c r="R1839" s="109">
        <f t="shared" si="2175"/>
        <v>0.37179487179487181</v>
      </c>
      <c r="S1839" s="109">
        <f t="shared" si="2176"/>
        <v>0</v>
      </c>
      <c r="T1839" s="109">
        <f t="shared" si="2177"/>
        <v>7.6923076923076927E-2</v>
      </c>
      <c r="U1839" s="110">
        <f t="shared" si="2178"/>
        <v>0.44871794871794873</v>
      </c>
      <c r="V1839" s="136"/>
    </row>
    <row r="1840" spans="2:25" ht="15.75" hidden="1" x14ac:dyDescent="0.2">
      <c r="B1840" s="10">
        <v>46203</v>
      </c>
      <c r="C1840" s="105" t="s">
        <v>18</v>
      </c>
      <c r="D1840" s="105" t="s">
        <v>20</v>
      </c>
      <c r="E1840" s="711">
        <v>46204</v>
      </c>
      <c r="G1840" s="831"/>
      <c r="H1840" s="120" t="s">
        <v>14</v>
      </c>
      <c r="I1840" s="120" t="s">
        <v>151</v>
      </c>
      <c r="J1840" s="106">
        <v>158</v>
      </c>
      <c r="K1840" s="106">
        <v>0</v>
      </c>
      <c r="L1840" s="106">
        <v>0</v>
      </c>
      <c r="M1840" s="106">
        <v>142</v>
      </c>
      <c r="N1840" s="106">
        <v>0</v>
      </c>
      <c r="O1840" s="106">
        <v>10</v>
      </c>
      <c r="P1840" s="106">
        <v>6</v>
      </c>
      <c r="Q1840" s="108">
        <f t="shared" si="2180"/>
        <v>0</v>
      </c>
      <c r="R1840" s="109">
        <f t="shared" si="2175"/>
        <v>0</v>
      </c>
      <c r="S1840" s="109">
        <f t="shared" si="2176"/>
        <v>3.7974683544303799E-2</v>
      </c>
      <c r="T1840" s="109">
        <f t="shared" si="2177"/>
        <v>6.3291139240506333E-2</v>
      </c>
      <c r="U1840" s="110">
        <f t="shared" si="2178"/>
        <v>0.10126582278481014</v>
      </c>
      <c r="V1840" s="136"/>
    </row>
    <row r="1841" spans="2:25" ht="15.75" hidden="1" x14ac:dyDescent="0.2">
      <c r="B1841" s="10">
        <v>46203</v>
      </c>
      <c r="C1841" s="105" t="s">
        <v>18</v>
      </c>
      <c r="D1841" s="105" t="s">
        <v>20</v>
      </c>
      <c r="E1841" s="711">
        <v>46204</v>
      </c>
      <c r="G1841" s="831"/>
      <c r="H1841" s="120" t="s">
        <v>118</v>
      </c>
      <c r="I1841" s="120" t="s">
        <v>43</v>
      </c>
      <c r="J1841" s="106">
        <v>39</v>
      </c>
      <c r="K1841" s="106">
        <v>0</v>
      </c>
      <c r="L1841" s="106">
        <v>0</v>
      </c>
      <c r="M1841" s="106">
        <v>37</v>
      </c>
      <c r="N1841" s="106">
        <v>0</v>
      </c>
      <c r="O1841" s="106">
        <v>0</v>
      </c>
      <c r="P1841" s="106">
        <v>2</v>
      </c>
      <c r="Q1841" s="108">
        <f t="shared" si="2180"/>
        <v>0</v>
      </c>
      <c r="R1841" s="109">
        <f t="shared" si="2175"/>
        <v>0</v>
      </c>
      <c r="S1841" s="109">
        <f t="shared" si="2176"/>
        <v>5.128205128205128E-2</v>
      </c>
      <c r="T1841" s="109">
        <f t="shared" si="2177"/>
        <v>0</v>
      </c>
      <c r="U1841" s="110">
        <f t="shared" si="2178"/>
        <v>5.128205128205128E-2</v>
      </c>
      <c r="V1841" s="136"/>
    </row>
    <row r="1842" spans="2:25" ht="15.75" hidden="1" x14ac:dyDescent="0.2">
      <c r="B1842" s="10">
        <v>46203</v>
      </c>
      <c r="C1842" s="105" t="s">
        <v>18</v>
      </c>
      <c r="D1842" s="105" t="s">
        <v>20</v>
      </c>
      <c r="E1842" s="711">
        <v>46204</v>
      </c>
      <c r="G1842" s="831"/>
      <c r="H1842" s="120" t="s">
        <v>120</v>
      </c>
      <c r="I1842" s="120" t="s">
        <v>43</v>
      </c>
      <c r="J1842" s="106">
        <v>26</v>
      </c>
      <c r="K1842" s="106">
        <v>0</v>
      </c>
      <c r="L1842" s="106">
        <v>0</v>
      </c>
      <c r="M1842" s="106">
        <v>16</v>
      </c>
      <c r="N1842" s="106">
        <v>0</v>
      </c>
      <c r="O1842" s="106">
        <v>0</v>
      </c>
      <c r="P1842" s="106">
        <v>10</v>
      </c>
      <c r="Q1842" s="108">
        <f t="shared" si="2180"/>
        <v>0</v>
      </c>
      <c r="R1842" s="109">
        <f t="shared" si="2175"/>
        <v>0</v>
      </c>
      <c r="S1842" s="109">
        <f t="shared" si="2176"/>
        <v>0.38461538461538464</v>
      </c>
      <c r="T1842" s="109">
        <f t="shared" si="2177"/>
        <v>0</v>
      </c>
      <c r="U1842" s="110">
        <f t="shared" si="2178"/>
        <v>0.38461538461538464</v>
      </c>
      <c r="V1842" s="136"/>
    </row>
    <row r="1843" spans="2:25" ht="15.75" hidden="1" x14ac:dyDescent="0.2">
      <c r="B1843" s="10">
        <v>46203</v>
      </c>
      <c r="C1843" s="105" t="s">
        <v>18</v>
      </c>
      <c r="D1843" s="105" t="s">
        <v>20</v>
      </c>
      <c r="E1843" s="711">
        <v>46204</v>
      </c>
      <c r="G1843" s="832"/>
      <c r="H1843" s="120" t="s">
        <v>25</v>
      </c>
      <c r="I1843" s="120" t="s">
        <v>18</v>
      </c>
      <c r="J1843" s="106">
        <v>167</v>
      </c>
      <c r="K1843" s="106">
        <v>0</v>
      </c>
      <c r="L1843" s="106">
        <v>0</v>
      </c>
      <c r="M1843" s="106">
        <v>147</v>
      </c>
      <c r="N1843" s="106">
        <v>0</v>
      </c>
      <c r="O1843" s="106">
        <v>18</v>
      </c>
      <c r="P1843" s="106">
        <v>2</v>
      </c>
      <c r="Q1843" s="108">
        <f t="shared" si="2180"/>
        <v>0</v>
      </c>
      <c r="R1843" s="109">
        <f t="shared" si="2175"/>
        <v>0</v>
      </c>
      <c r="S1843" s="109">
        <f t="shared" si="2176"/>
        <v>1.1976047904191617E-2</v>
      </c>
      <c r="T1843" s="109">
        <f t="shared" si="2177"/>
        <v>0.10778443113772455</v>
      </c>
      <c r="U1843" s="110">
        <f t="shared" si="2178"/>
        <v>0.11976047904191617</v>
      </c>
      <c r="V1843" s="328"/>
    </row>
    <row r="1844" spans="2:25" s="97" customFormat="1" ht="16.5" hidden="1" customHeight="1" x14ac:dyDescent="0.2">
      <c r="B1844" s="10">
        <v>46203</v>
      </c>
      <c r="C1844" s="105" t="s">
        <v>18</v>
      </c>
      <c r="D1844" s="105" t="s">
        <v>20</v>
      </c>
      <c r="E1844" s="711">
        <v>46204</v>
      </c>
      <c r="F1844" s="89"/>
      <c r="G1844" s="190"/>
      <c r="H1844" s="840" t="s">
        <v>19</v>
      </c>
      <c r="I1844" s="841"/>
      <c r="J1844" s="113">
        <f t="shared" ref="J1844:P1844" si="2181">SUM(J1838:J1843)</f>
        <v>862</v>
      </c>
      <c r="K1844" s="113">
        <f t="shared" si="2181"/>
        <v>121</v>
      </c>
      <c r="L1844" s="113">
        <f t="shared" si="2181"/>
        <v>58</v>
      </c>
      <c r="M1844" s="113">
        <f t="shared" si="2181"/>
        <v>485</v>
      </c>
      <c r="N1844" s="113">
        <f t="shared" si="2181"/>
        <v>87</v>
      </c>
      <c r="O1844" s="113">
        <f t="shared" si="2181"/>
        <v>81</v>
      </c>
      <c r="P1844" s="113">
        <f t="shared" si="2181"/>
        <v>30</v>
      </c>
      <c r="Q1844" s="115">
        <f>(K1844+L1844)/J1844</f>
        <v>0.20765661252900233</v>
      </c>
      <c r="R1844" s="116">
        <f t="shared" si="2175"/>
        <v>0.10092807424593968</v>
      </c>
      <c r="S1844" s="116">
        <f t="shared" si="2176"/>
        <v>3.4802784222737818E-2</v>
      </c>
      <c r="T1844" s="116">
        <f t="shared" si="2177"/>
        <v>9.3967517401392114E-2</v>
      </c>
      <c r="U1844" s="117">
        <f t="shared" si="2178"/>
        <v>0.43735498839907194</v>
      </c>
      <c r="V1844" s="213"/>
      <c r="W1844" s="88"/>
      <c r="X1844" s="88"/>
      <c r="Y1844" s="118"/>
    </row>
    <row r="1845" spans="2:25" ht="15.75" hidden="1" x14ac:dyDescent="0.2">
      <c r="B1845" s="711">
        <v>46204</v>
      </c>
      <c r="C1845" s="105" t="s">
        <v>22</v>
      </c>
      <c r="D1845" s="105" t="s">
        <v>13</v>
      </c>
      <c r="E1845" s="711">
        <v>46204</v>
      </c>
      <c r="G1845" s="830">
        <v>46204</v>
      </c>
      <c r="H1845" s="120" t="s">
        <v>75</v>
      </c>
      <c r="I1845" s="120" t="s">
        <v>151</v>
      </c>
      <c r="J1845" s="106">
        <v>234</v>
      </c>
      <c r="K1845" s="106">
        <f>234-110</f>
        <v>124</v>
      </c>
      <c r="L1845" s="106">
        <v>74</v>
      </c>
      <c r="M1845" s="106">
        <v>18</v>
      </c>
      <c r="N1845" s="106">
        <v>0</v>
      </c>
      <c r="O1845" s="106">
        <v>18</v>
      </c>
      <c r="P1845" s="106">
        <v>0</v>
      </c>
      <c r="Q1845" s="108">
        <f t="shared" ref="Q1845:Q1849" si="2182">(K1845+L1845)/J1845</f>
        <v>0.84615384615384615</v>
      </c>
      <c r="R1845" s="109">
        <f t="shared" ref="R1845:R1850" si="2183">N1845/J1845</f>
        <v>0</v>
      </c>
      <c r="S1845" s="109">
        <f t="shared" ref="S1845:S1850" si="2184">P1845/J1845</f>
        <v>0</v>
      </c>
      <c r="T1845" s="109">
        <f t="shared" ref="T1845:T1850" si="2185">O1845/J1845</f>
        <v>7.6923076923076927E-2</v>
      </c>
      <c r="U1845" s="110">
        <f t="shared" ref="U1845:U1850" si="2186">S1845+R1845+Q1845+T1845</f>
        <v>0.92307692307692313</v>
      </c>
      <c r="V1845" s="136"/>
    </row>
    <row r="1846" spans="2:25" ht="15.75" hidden="1" x14ac:dyDescent="0.2">
      <c r="B1846" s="711">
        <v>46204</v>
      </c>
      <c r="C1846" s="105" t="s">
        <v>22</v>
      </c>
      <c r="D1846" s="105" t="s">
        <v>13</v>
      </c>
      <c r="E1846" s="711">
        <v>46204</v>
      </c>
      <c r="G1846" s="831"/>
      <c r="H1846" s="120" t="s">
        <v>14</v>
      </c>
      <c r="I1846" s="120" t="s">
        <v>151</v>
      </c>
      <c r="J1846" s="106">
        <v>158</v>
      </c>
      <c r="K1846" s="106">
        <f>158-141</f>
        <v>17</v>
      </c>
      <c r="L1846" s="106">
        <v>16</v>
      </c>
      <c r="M1846" s="106">
        <v>88</v>
      </c>
      <c r="N1846" s="106">
        <v>24</v>
      </c>
      <c r="O1846" s="106">
        <v>10</v>
      </c>
      <c r="P1846" s="106">
        <v>3</v>
      </c>
      <c r="Q1846" s="108">
        <f t="shared" si="2182"/>
        <v>0.20886075949367089</v>
      </c>
      <c r="R1846" s="109">
        <f t="shared" si="2183"/>
        <v>0.15189873417721519</v>
      </c>
      <c r="S1846" s="109">
        <f t="shared" si="2184"/>
        <v>1.8987341772151899E-2</v>
      </c>
      <c r="T1846" s="109">
        <f t="shared" si="2185"/>
        <v>6.3291139240506333E-2</v>
      </c>
      <c r="U1846" s="110">
        <f t="shared" si="2186"/>
        <v>0.44303797468354433</v>
      </c>
      <c r="V1846" s="136"/>
    </row>
    <row r="1847" spans="2:25" ht="15.75" hidden="1" x14ac:dyDescent="0.2">
      <c r="B1847" s="711">
        <v>46204</v>
      </c>
      <c r="C1847" s="105" t="s">
        <v>22</v>
      </c>
      <c r="D1847" s="105" t="s">
        <v>13</v>
      </c>
      <c r="E1847" s="711">
        <v>46204</v>
      </c>
      <c r="G1847" s="831"/>
      <c r="H1847" s="120" t="s">
        <v>118</v>
      </c>
      <c r="I1847" s="120" t="s">
        <v>43</v>
      </c>
      <c r="J1847" s="106">
        <f>39+7</f>
        <v>46</v>
      </c>
      <c r="K1847" s="106">
        <v>28</v>
      </c>
      <c r="L1847" s="106">
        <v>8</v>
      </c>
      <c r="M1847" s="106">
        <v>8</v>
      </c>
      <c r="N1847" s="106">
        <v>0</v>
      </c>
      <c r="O1847" s="106">
        <v>0</v>
      </c>
      <c r="P1847" s="106">
        <v>2</v>
      </c>
      <c r="Q1847" s="108">
        <f t="shared" si="2182"/>
        <v>0.78260869565217395</v>
      </c>
      <c r="R1847" s="109">
        <f t="shared" si="2183"/>
        <v>0</v>
      </c>
      <c r="S1847" s="109">
        <f t="shared" si="2184"/>
        <v>4.3478260869565216E-2</v>
      </c>
      <c r="T1847" s="109">
        <f t="shared" si="2185"/>
        <v>0</v>
      </c>
      <c r="U1847" s="110">
        <f t="shared" si="2186"/>
        <v>0.82608695652173914</v>
      </c>
      <c r="V1847" s="136"/>
    </row>
    <row r="1848" spans="2:25" ht="15.75" hidden="1" x14ac:dyDescent="0.2">
      <c r="B1848" s="711">
        <v>46204</v>
      </c>
      <c r="C1848" s="105" t="s">
        <v>22</v>
      </c>
      <c r="D1848" s="105" t="s">
        <v>13</v>
      </c>
      <c r="E1848" s="711">
        <v>46204</v>
      </c>
      <c r="G1848" s="831"/>
      <c r="H1848" s="120" t="s">
        <v>120</v>
      </c>
      <c r="I1848" s="120" t="s">
        <v>43</v>
      </c>
      <c r="J1848" s="106">
        <v>26</v>
      </c>
      <c r="K1848" s="106">
        <v>0</v>
      </c>
      <c r="L1848" s="106">
        <v>0</v>
      </c>
      <c r="M1848" s="106">
        <v>16</v>
      </c>
      <c r="N1848" s="106">
        <v>0</v>
      </c>
      <c r="O1848" s="106">
        <v>0</v>
      </c>
      <c r="P1848" s="106">
        <v>10</v>
      </c>
      <c r="Q1848" s="108">
        <f t="shared" si="2182"/>
        <v>0</v>
      </c>
      <c r="R1848" s="109">
        <f t="shared" si="2183"/>
        <v>0</v>
      </c>
      <c r="S1848" s="109">
        <f t="shared" si="2184"/>
        <v>0.38461538461538464</v>
      </c>
      <c r="T1848" s="109">
        <f t="shared" si="2185"/>
        <v>0</v>
      </c>
      <c r="U1848" s="110">
        <f t="shared" si="2186"/>
        <v>0.38461538461538464</v>
      </c>
      <c r="V1848" s="136"/>
    </row>
    <row r="1849" spans="2:25" ht="15.75" hidden="1" x14ac:dyDescent="0.2">
      <c r="B1849" s="711">
        <v>46204</v>
      </c>
      <c r="C1849" s="105" t="s">
        <v>22</v>
      </c>
      <c r="D1849" s="105" t="s">
        <v>13</v>
      </c>
      <c r="E1849" s="711">
        <v>46204</v>
      </c>
      <c r="G1849" s="832"/>
      <c r="H1849" s="120" t="s">
        <v>25</v>
      </c>
      <c r="I1849" s="120" t="s">
        <v>18</v>
      </c>
      <c r="J1849" s="106">
        <v>167</v>
      </c>
      <c r="K1849" s="106">
        <v>0</v>
      </c>
      <c r="L1849" s="106">
        <v>0</v>
      </c>
      <c r="M1849" s="106">
        <v>147</v>
      </c>
      <c r="N1849" s="106">
        <v>0</v>
      </c>
      <c r="O1849" s="106">
        <v>18</v>
      </c>
      <c r="P1849" s="106">
        <v>2</v>
      </c>
      <c r="Q1849" s="108">
        <f t="shared" si="2182"/>
        <v>0</v>
      </c>
      <c r="R1849" s="109">
        <f t="shared" si="2183"/>
        <v>0</v>
      </c>
      <c r="S1849" s="109">
        <f t="shared" si="2184"/>
        <v>1.1976047904191617E-2</v>
      </c>
      <c r="T1849" s="109">
        <f t="shared" si="2185"/>
        <v>0.10778443113772455</v>
      </c>
      <c r="U1849" s="110">
        <f t="shared" si="2186"/>
        <v>0.11976047904191617</v>
      </c>
      <c r="V1849" s="328"/>
    </row>
    <row r="1850" spans="2:25" ht="15.75" hidden="1" x14ac:dyDescent="0.2">
      <c r="B1850" s="711">
        <v>46204</v>
      </c>
      <c r="C1850" s="105" t="s">
        <v>22</v>
      </c>
      <c r="D1850" s="105" t="s">
        <v>13</v>
      </c>
      <c r="E1850" s="711">
        <v>46204</v>
      </c>
      <c r="G1850" s="190"/>
      <c r="H1850" s="840" t="s">
        <v>19</v>
      </c>
      <c r="I1850" s="841"/>
      <c r="J1850" s="113">
        <f t="shared" ref="J1850:P1850" si="2187">SUM(J1845:J1849)</f>
        <v>631</v>
      </c>
      <c r="K1850" s="113">
        <f t="shared" si="2187"/>
        <v>169</v>
      </c>
      <c r="L1850" s="113">
        <f t="shared" si="2187"/>
        <v>98</v>
      </c>
      <c r="M1850" s="113">
        <f t="shared" si="2187"/>
        <v>277</v>
      </c>
      <c r="N1850" s="113">
        <f t="shared" si="2187"/>
        <v>24</v>
      </c>
      <c r="O1850" s="113">
        <f t="shared" si="2187"/>
        <v>46</v>
      </c>
      <c r="P1850" s="113">
        <f t="shared" si="2187"/>
        <v>17</v>
      </c>
      <c r="Q1850" s="115">
        <f>(K1850+L1850)/J1850</f>
        <v>0.42313787638668782</v>
      </c>
      <c r="R1850" s="116">
        <f t="shared" si="2183"/>
        <v>3.8034865293185421E-2</v>
      </c>
      <c r="S1850" s="116">
        <f t="shared" si="2184"/>
        <v>2.694136291600634E-2</v>
      </c>
      <c r="T1850" s="116">
        <f t="shared" si="2185"/>
        <v>7.2900158478605384E-2</v>
      </c>
      <c r="U1850" s="117">
        <f t="shared" si="2186"/>
        <v>0.56101426307448499</v>
      </c>
      <c r="V1850" s="213"/>
    </row>
    <row r="1851" spans="2:25" ht="15.75" hidden="1" x14ac:dyDescent="0.2">
      <c r="B1851" s="711">
        <v>46204</v>
      </c>
      <c r="C1851" s="105" t="s">
        <v>12</v>
      </c>
      <c r="D1851" s="105" t="s">
        <v>163</v>
      </c>
      <c r="E1851" s="711">
        <v>46204</v>
      </c>
      <c r="G1851" s="830">
        <v>46204</v>
      </c>
      <c r="H1851" s="120" t="s">
        <v>75</v>
      </c>
      <c r="I1851" s="120" t="s">
        <v>15</v>
      </c>
      <c r="J1851" s="106">
        <v>234</v>
      </c>
      <c r="K1851" s="106">
        <f>234-60</f>
        <v>174</v>
      </c>
      <c r="L1851" s="106">
        <v>40</v>
      </c>
      <c r="M1851" s="106">
        <v>2</v>
      </c>
      <c r="N1851" s="106">
        <v>0</v>
      </c>
      <c r="O1851" s="106">
        <v>18</v>
      </c>
      <c r="P1851" s="106">
        <v>0</v>
      </c>
      <c r="Q1851" s="108">
        <f t="shared" ref="Q1851:Q1854" si="2188">(K1851+L1851)/J1851</f>
        <v>0.9145299145299145</v>
      </c>
      <c r="R1851" s="109">
        <f t="shared" ref="R1851:R1861" si="2189">N1851/J1851</f>
        <v>0</v>
      </c>
      <c r="S1851" s="109">
        <f t="shared" ref="S1851:S1861" si="2190">P1851/J1851</f>
        <v>0</v>
      </c>
      <c r="T1851" s="109">
        <f t="shared" ref="T1851:T1861" si="2191">O1851/J1851</f>
        <v>7.6923076923076927E-2</v>
      </c>
      <c r="U1851" s="110">
        <f t="shared" ref="U1851:U1861" si="2192">S1851+R1851+Q1851+T1851</f>
        <v>0.99145299145299148</v>
      </c>
      <c r="V1851" s="136"/>
    </row>
    <row r="1852" spans="2:25" ht="15.75" hidden="1" x14ac:dyDescent="0.2">
      <c r="B1852" s="711">
        <v>46204</v>
      </c>
      <c r="C1852" s="105" t="s">
        <v>12</v>
      </c>
      <c r="D1852" s="105" t="s">
        <v>163</v>
      </c>
      <c r="E1852" s="711">
        <v>46204</v>
      </c>
      <c r="G1852" s="831"/>
      <c r="H1852" s="120" t="s">
        <v>14</v>
      </c>
      <c r="I1852" s="120" t="s">
        <v>12</v>
      </c>
      <c r="J1852" s="106">
        <v>158</v>
      </c>
      <c r="K1852" s="106">
        <f>158-66</f>
        <v>92</v>
      </c>
      <c r="L1852" s="106">
        <v>52</v>
      </c>
      <c r="M1852" s="106">
        <v>2</v>
      </c>
      <c r="N1852" s="106">
        <v>0</v>
      </c>
      <c r="O1852" s="106">
        <v>10</v>
      </c>
      <c r="P1852" s="106">
        <v>2</v>
      </c>
      <c r="Q1852" s="108">
        <f t="shared" si="2188"/>
        <v>0.91139240506329111</v>
      </c>
      <c r="R1852" s="109">
        <f t="shared" si="2189"/>
        <v>0</v>
      </c>
      <c r="S1852" s="109">
        <f t="shared" si="2190"/>
        <v>1.2658227848101266E-2</v>
      </c>
      <c r="T1852" s="109">
        <f t="shared" si="2191"/>
        <v>6.3291139240506333E-2</v>
      </c>
      <c r="U1852" s="110">
        <f t="shared" si="2192"/>
        <v>0.98734177215189867</v>
      </c>
      <c r="V1852" s="136"/>
    </row>
    <row r="1853" spans="2:25" ht="15.75" hidden="1" x14ac:dyDescent="0.2">
      <c r="B1853" s="711">
        <v>46204</v>
      </c>
      <c r="C1853" s="105" t="s">
        <v>12</v>
      </c>
      <c r="D1853" s="105" t="s">
        <v>163</v>
      </c>
      <c r="E1853" s="711">
        <v>46204</v>
      </c>
      <c r="G1853" s="831"/>
      <c r="H1853" s="120" t="s">
        <v>120</v>
      </c>
      <c r="I1853" s="120" t="s">
        <v>43</v>
      </c>
      <c r="J1853" s="106">
        <v>26</v>
      </c>
      <c r="K1853" s="106">
        <v>0</v>
      </c>
      <c r="L1853" s="106">
        <v>0</v>
      </c>
      <c r="M1853" s="106">
        <v>16</v>
      </c>
      <c r="N1853" s="106">
        <v>0</v>
      </c>
      <c r="O1853" s="106">
        <v>0</v>
      </c>
      <c r="P1853" s="106">
        <v>10</v>
      </c>
      <c r="Q1853" s="108">
        <f t="shared" si="2188"/>
        <v>0</v>
      </c>
      <c r="R1853" s="109">
        <f t="shared" si="2189"/>
        <v>0</v>
      </c>
      <c r="S1853" s="109">
        <f t="shared" si="2190"/>
        <v>0.38461538461538464</v>
      </c>
      <c r="T1853" s="109">
        <f t="shared" si="2191"/>
        <v>0</v>
      </c>
      <c r="U1853" s="110">
        <f t="shared" si="2192"/>
        <v>0.38461538461538464</v>
      </c>
      <c r="V1853" s="136"/>
    </row>
    <row r="1854" spans="2:25" ht="15.75" hidden="1" x14ac:dyDescent="0.2">
      <c r="B1854" s="711">
        <v>46204</v>
      </c>
      <c r="C1854" s="105" t="s">
        <v>12</v>
      </c>
      <c r="D1854" s="105" t="s">
        <v>163</v>
      </c>
      <c r="E1854" s="711">
        <v>46204</v>
      </c>
      <c r="G1854" s="832"/>
      <c r="H1854" s="120" t="s">
        <v>25</v>
      </c>
      <c r="I1854" s="120" t="s">
        <v>18</v>
      </c>
      <c r="J1854" s="106">
        <v>167</v>
      </c>
      <c r="K1854" s="106">
        <f>167-139</f>
        <v>28</v>
      </c>
      <c r="L1854" s="106">
        <v>3</v>
      </c>
      <c r="M1854" s="106">
        <v>116</v>
      </c>
      <c r="N1854" s="106">
        <v>0</v>
      </c>
      <c r="O1854" s="106">
        <v>18</v>
      </c>
      <c r="P1854" s="106">
        <v>2</v>
      </c>
      <c r="Q1854" s="108">
        <f t="shared" si="2188"/>
        <v>0.18562874251497005</v>
      </c>
      <c r="R1854" s="109">
        <f t="shared" si="2189"/>
        <v>0</v>
      </c>
      <c r="S1854" s="109">
        <f t="shared" si="2190"/>
        <v>1.1976047904191617E-2</v>
      </c>
      <c r="T1854" s="109">
        <f t="shared" si="2191"/>
        <v>0.10778443113772455</v>
      </c>
      <c r="U1854" s="110">
        <f t="shared" si="2192"/>
        <v>0.30538922155688625</v>
      </c>
      <c r="V1854" s="328"/>
    </row>
    <row r="1855" spans="2:25" ht="15.75" hidden="1" x14ac:dyDescent="0.2">
      <c r="B1855" s="711">
        <v>46204</v>
      </c>
      <c r="C1855" s="105" t="s">
        <v>12</v>
      </c>
      <c r="D1855" s="105" t="s">
        <v>163</v>
      </c>
      <c r="E1855" s="711">
        <v>46204</v>
      </c>
      <c r="G1855" s="190"/>
      <c r="H1855" s="840" t="s">
        <v>19</v>
      </c>
      <c r="I1855" s="841"/>
      <c r="J1855" s="113">
        <f t="shared" ref="J1855:P1855" si="2193">SUM(J1851:J1854)</f>
        <v>585</v>
      </c>
      <c r="K1855" s="113">
        <f t="shared" si="2193"/>
        <v>294</v>
      </c>
      <c r="L1855" s="113">
        <f t="shared" si="2193"/>
        <v>95</v>
      </c>
      <c r="M1855" s="113">
        <f t="shared" si="2193"/>
        <v>136</v>
      </c>
      <c r="N1855" s="113">
        <f t="shared" si="2193"/>
        <v>0</v>
      </c>
      <c r="O1855" s="113">
        <f t="shared" si="2193"/>
        <v>46</v>
      </c>
      <c r="P1855" s="113">
        <f t="shared" si="2193"/>
        <v>14</v>
      </c>
      <c r="Q1855" s="115">
        <f>(K1855+L1855)/J1855</f>
        <v>0.66495726495726493</v>
      </c>
      <c r="R1855" s="116">
        <f t="shared" si="2189"/>
        <v>0</v>
      </c>
      <c r="S1855" s="116">
        <f t="shared" si="2190"/>
        <v>2.3931623931623933E-2</v>
      </c>
      <c r="T1855" s="116">
        <f t="shared" si="2191"/>
        <v>7.8632478632478631E-2</v>
      </c>
      <c r="U1855" s="117">
        <f t="shared" si="2192"/>
        <v>0.76752136752136746</v>
      </c>
      <c r="V1855" s="213"/>
    </row>
    <row r="1856" spans="2:25" ht="15.75" hidden="1" x14ac:dyDescent="0.2">
      <c r="B1856" s="711">
        <v>46204</v>
      </c>
      <c r="C1856" s="105" t="s">
        <v>18</v>
      </c>
      <c r="D1856" s="105" t="s">
        <v>20</v>
      </c>
      <c r="E1856" s="711">
        <v>46204</v>
      </c>
      <c r="G1856" s="714">
        <v>46204</v>
      </c>
      <c r="H1856" s="120" t="s">
        <v>25</v>
      </c>
      <c r="I1856" s="120" t="s">
        <v>167</v>
      </c>
      <c r="J1856" s="106">
        <f>SUM(K1856:P1856)</f>
        <v>117</v>
      </c>
      <c r="K1856" s="106">
        <v>100</v>
      </c>
      <c r="L1856" s="106">
        <v>15</v>
      </c>
      <c r="M1856" s="106">
        <v>0</v>
      </c>
      <c r="N1856" s="106">
        <v>0</v>
      </c>
      <c r="O1856" s="106">
        <v>0</v>
      </c>
      <c r="P1856" s="106">
        <v>2</v>
      </c>
      <c r="Q1856" s="108">
        <f t="shared" ref="Q1856:Q1860" si="2194">(K1856+L1856)/J1856</f>
        <v>0.98290598290598286</v>
      </c>
      <c r="R1856" s="109">
        <f t="shared" si="2189"/>
        <v>0</v>
      </c>
      <c r="S1856" s="109">
        <f t="shared" si="2190"/>
        <v>1.7094017094017096E-2</v>
      </c>
      <c r="T1856" s="109">
        <f t="shared" si="2191"/>
        <v>0</v>
      </c>
      <c r="U1856" s="110">
        <f t="shared" si="2192"/>
        <v>1</v>
      </c>
      <c r="V1856" s="220"/>
    </row>
    <row r="1857" spans="2:25" ht="15.75" hidden="1" x14ac:dyDescent="0.2">
      <c r="B1857" s="711">
        <v>46204</v>
      </c>
      <c r="C1857" s="105" t="s">
        <v>18</v>
      </c>
      <c r="D1857" s="105" t="s">
        <v>20</v>
      </c>
      <c r="E1857" s="711">
        <v>46205</v>
      </c>
      <c r="G1857" s="830">
        <v>46205</v>
      </c>
      <c r="H1857" s="120" t="s">
        <v>75</v>
      </c>
      <c r="I1857" s="120" t="s">
        <v>151</v>
      </c>
      <c r="J1857" s="106">
        <v>231</v>
      </c>
      <c r="K1857" s="106">
        <v>0</v>
      </c>
      <c r="L1857" s="106">
        <v>0</v>
      </c>
      <c r="M1857" s="106">
        <f>210-19</f>
        <v>191</v>
      </c>
      <c r="N1857" s="106">
        <v>21</v>
      </c>
      <c r="O1857" s="106">
        <v>19</v>
      </c>
      <c r="P1857" s="106">
        <v>0</v>
      </c>
      <c r="Q1857" s="108">
        <f t="shared" si="2194"/>
        <v>0</v>
      </c>
      <c r="R1857" s="109">
        <f t="shared" si="2189"/>
        <v>9.0909090909090912E-2</v>
      </c>
      <c r="S1857" s="109">
        <f t="shared" si="2190"/>
        <v>0</v>
      </c>
      <c r="T1857" s="109">
        <f t="shared" si="2191"/>
        <v>8.2251082251082255E-2</v>
      </c>
      <c r="U1857" s="110">
        <f t="shared" si="2192"/>
        <v>0.17316017316017318</v>
      </c>
      <c r="V1857" s="136"/>
    </row>
    <row r="1858" spans="2:25" ht="15.75" hidden="1" x14ac:dyDescent="0.2">
      <c r="B1858" s="711">
        <v>46204</v>
      </c>
      <c r="C1858" s="105" t="s">
        <v>18</v>
      </c>
      <c r="D1858" s="105" t="s">
        <v>20</v>
      </c>
      <c r="E1858" s="711">
        <v>46205</v>
      </c>
      <c r="G1858" s="831"/>
      <c r="H1858" s="120" t="s">
        <v>14</v>
      </c>
      <c r="I1858" s="120" t="s">
        <v>151</v>
      </c>
      <c r="J1858" s="106">
        <v>115</v>
      </c>
      <c r="K1858" s="106">
        <v>77</v>
      </c>
      <c r="L1858" s="106">
        <v>14</v>
      </c>
      <c r="M1858" s="106">
        <v>5</v>
      </c>
      <c r="N1858" s="106">
        <v>0</v>
      </c>
      <c r="O1858" s="106">
        <v>14</v>
      </c>
      <c r="P1858" s="106">
        <v>4</v>
      </c>
      <c r="Q1858" s="108">
        <f t="shared" si="2194"/>
        <v>0.79130434782608694</v>
      </c>
      <c r="R1858" s="109">
        <f t="shared" si="2189"/>
        <v>0</v>
      </c>
      <c r="S1858" s="109">
        <f t="shared" si="2190"/>
        <v>3.4782608695652174E-2</v>
      </c>
      <c r="T1858" s="109">
        <f t="shared" si="2191"/>
        <v>0.12173913043478261</v>
      </c>
      <c r="U1858" s="110">
        <f t="shared" si="2192"/>
        <v>0.94782608695652171</v>
      </c>
      <c r="V1858" s="136"/>
    </row>
    <row r="1859" spans="2:25" ht="15.75" hidden="1" x14ac:dyDescent="0.2">
      <c r="B1859" s="711">
        <v>46204</v>
      </c>
      <c r="C1859" s="105" t="s">
        <v>18</v>
      </c>
      <c r="D1859" s="105" t="s">
        <v>20</v>
      </c>
      <c r="E1859" s="711">
        <v>46205</v>
      </c>
      <c r="G1859" s="831"/>
      <c r="H1859" s="120" t="s">
        <v>120</v>
      </c>
      <c r="I1859" s="120" t="s">
        <v>43</v>
      </c>
      <c r="J1859" s="106">
        <v>56</v>
      </c>
      <c r="K1859" s="106">
        <v>0</v>
      </c>
      <c r="L1859" s="106">
        <v>0</v>
      </c>
      <c r="M1859" s="106">
        <v>54</v>
      </c>
      <c r="N1859" s="106">
        <v>0</v>
      </c>
      <c r="O1859" s="106">
        <v>0</v>
      </c>
      <c r="P1859" s="106">
        <v>2</v>
      </c>
      <c r="Q1859" s="108">
        <f t="shared" si="2194"/>
        <v>0</v>
      </c>
      <c r="R1859" s="109">
        <f t="shared" si="2189"/>
        <v>0</v>
      </c>
      <c r="S1859" s="109">
        <f t="shared" si="2190"/>
        <v>3.5714285714285712E-2</v>
      </c>
      <c r="T1859" s="109">
        <f t="shared" si="2191"/>
        <v>0</v>
      </c>
      <c r="U1859" s="110">
        <f t="shared" si="2192"/>
        <v>3.5714285714285712E-2</v>
      </c>
      <c r="V1859" s="136"/>
    </row>
    <row r="1860" spans="2:25" ht="15.75" hidden="1" x14ac:dyDescent="0.2">
      <c r="B1860" s="711">
        <v>46204</v>
      </c>
      <c r="C1860" s="105" t="s">
        <v>18</v>
      </c>
      <c r="D1860" s="105" t="s">
        <v>20</v>
      </c>
      <c r="E1860" s="711">
        <v>46205</v>
      </c>
      <c r="G1860" s="832"/>
      <c r="H1860" s="120" t="s">
        <v>17</v>
      </c>
      <c r="I1860" s="120" t="s">
        <v>18</v>
      </c>
      <c r="J1860" s="106">
        <v>212</v>
      </c>
      <c r="K1860" s="106">
        <v>0</v>
      </c>
      <c r="L1860" s="106">
        <v>8</v>
      </c>
      <c r="M1860" s="106">
        <f>194-24</f>
        <v>170</v>
      </c>
      <c r="N1860" s="106">
        <v>0</v>
      </c>
      <c r="O1860" s="106">
        <v>24</v>
      </c>
      <c r="P1860" s="106">
        <v>11</v>
      </c>
      <c r="Q1860" s="108">
        <f t="shared" si="2194"/>
        <v>3.7735849056603772E-2</v>
      </c>
      <c r="R1860" s="109">
        <f t="shared" si="2189"/>
        <v>0</v>
      </c>
      <c r="S1860" s="109">
        <f t="shared" si="2190"/>
        <v>5.1886792452830191E-2</v>
      </c>
      <c r="T1860" s="109">
        <f t="shared" si="2191"/>
        <v>0.11320754716981132</v>
      </c>
      <c r="U1860" s="110">
        <f t="shared" si="2192"/>
        <v>0.20283018867924529</v>
      </c>
      <c r="V1860" s="328"/>
    </row>
    <row r="1861" spans="2:25" s="97" customFormat="1" ht="16.5" hidden="1" customHeight="1" x14ac:dyDescent="0.2">
      <c r="B1861" s="711">
        <v>46204</v>
      </c>
      <c r="C1861" s="105" t="s">
        <v>18</v>
      </c>
      <c r="D1861" s="105" t="s">
        <v>20</v>
      </c>
      <c r="E1861" s="711">
        <v>46205</v>
      </c>
      <c r="F1861" s="89"/>
      <c r="G1861" s="190"/>
      <c r="H1861" s="840" t="s">
        <v>19</v>
      </c>
      <c r="I1861" s="841"/>
      <c r="J1861" s="113">
        <f t="shared" ref="J1861:P1861" si="2195">SUM(J1856:J1860)</f>
        <v>731</v>
      </c>
      <c r="K1861" s="113">
        <f t="shared" si="2195"/>
        <v>177</v>
      </c>
      <c r="L1861" s="113">
        <f t="shared" si="2195"/>
        <v>37</v>
      </c>
      <c r="M1861" s="113">
        <f t="shared" si="2195"/>
        <v>420</v>
      </c>
      <c r="N1861" s="113">
        <f t="shared" si="2195"/>
        <v>21</v>
      </c>
      <c r="O1861" s="113">
        <f t="shared" si="2195"/>
        <v>57</v>
      </c>
      <c r="P1861" s="113">
        <f t="shared" si="2195"/>
        <v>19</v>
      </c>
      <c r="Q1861" s="115">
        <f>(K1861+L1861)/J1861</f>
        <v>0.292749658002736</v>
      </c>
      <c r="R1861" s="116">
        <f t="shared" si="2189"/>
        <v>2.8727770177838577E-2</v>
      </c>
      <c r="S1861" s="116">
        <f t="shared" si="2190"/>
        <v>2.5991792065663474E-2</v>
      </c>
      <c r="T1861" s="116">
        <f t="shared" si="2191"/>
        <v>7.7975376196990423E-2</v>
      </c>
      <c r="U1861" s="117">
        <f t="shared" si="2192"/>
        <v>0.42544459644322846</v>
      </c>
      <c r="V1861" s="213"/>
      <c r="W1861" s="88"/>
      <c r="X1861" s="88"/>
      <c r="Y1861" s="118"/>
    </row>
    <row r="1862" spans="2:25" ht="15.75" hidden="1" x14ac:dyDescent="0.2">
      <c r="B1862" s="711">
        <v>46205</v>
      </c>
      <c r="C1862" s="105" t="s">
        <v>22</v>
      </c>
      <c r="D1862" s="105" t="s">
        <v>13</v>
      </c>
      <c r="E1862" s="711">
        <v>46205</v>
      </c>
      <c r="G1862" s="830">
        <v>46205</v>
      </c>
      <c r="H1862" s="120" t="s">
        <v>75</v>
      </c>
      <c r="I1862" s="120" t="s">
        <v>151</v>
      </c>
      <c r="J1862" s="106">
        <v>231</v>
      </c>
      <c r="K1862" s="106">
        <f>231-106</f>
        <v>125</v>
      </c>
      <c r="L1862" s="106">
        <v>62</v>
      </c>
      <c r="M1862" s="106">
        <v>25</v>
      </c>
      <c r="N1862" s="106">
        <v>0</v>
      </c>
      <c r="O1862" s="106">
        <v>19</v>
      </c>
      <c r="P1862" s="106">
        <v>0</v>
      </c>
      <c r="Q1862" s="108">
        <f t="shared" ref="Q1862:Q1865" si="2196">(K1862+L1862)/J1862</f>
        <v>0.80952380952380953</v>
      </c>
      <c r="R1862" s="109">
        <f t="shared" ref="R1862:R1866" si="2197">N1862/J1862</f>
        <v>0</v>
      </c>
      <c r="S1862" s="109">
        <f t="shared" ref="S1862:S1866" si="2198">P1862/J1862</f>
        <v>0</v>
      </c>
      <c r="T1862" s="109">
        <f t="shared" ref="T1862:T1866" si="2199">O1862/J1862</f>
        <v>8.2251082251082255E-2</v>
      </c>
      <c r="U1862" s="110">
        <f t="shared" ref="U1862:U1866" si="2200">S1862+R1862+Q1862+T1862</f>
        <v>0.89177489177489178</v>
      </c>
      <c r="V1862" s="136"/>
    </row>
    <row r="1863" spans="2:25" ht="15.75" hidden="1" x14ac:dyDescent="0.2">
      <c r="B1863" s="711">
        <v>46205</v>
      </c>
      <c r="C1863" s="105" t="s">
        <v>12</v>
      </c>
      <c r="D1863" s="105" t="s">
        <v>13</v>
      </c>
      <c r="E1863" s="711">
        <v>46205</v>
      </c>
      <c r="G1863" s="831"/>
      <c r="H1863" s="120" t="s">
        <v>14</v>
      </c>
      <c r="I1863" s="120" t="s">
        <v>151</v>
      </c>
      <c r="J1863" s="106">
        <v>115</v>
      </c>
      <c r="K1863" s="106">
        <v>74</v>
      </c>
      <c r="L1863" s="106">
        <v>24</v>
      </c>
      <c r="M1863" s="106">
        <v>0</v>
      </c>
      <c r="N1863" s="106">
        <v>0</v>
      </c>
      <c r="O1863" s="106">
        <v>14</v>
      </c>
      <c r="P1863" s="106">
        <v>3</v>
      </c>
      <c r="Q1863" s="108">
        <f t="shared" si="2196"/>
        <v>0.85217391304347823</v>
      </c>
      <c r="R1863" s="109">
        <f t="shared" si="2197"/>
        <v>0</v>
      </c>
      <c r="S1863" s="109">
        <f t="shared" si="2198"/>
        <v>2.6086956521739129E-2</v>
      </c>
      <c r="T1863" s="109">
        <f t="shared" si="2199"/>
        <v>0.12173913043478261</v>
      </c>
      <c r="U1863" s="110">
        <f t="shared" si="2200"/>
        <v>0.99999999999999989</v>
      </c>
      <c r="V1863" s="136"/>
    </row>
    <row r="1864" spans="2:25" ht="15.75" hidden="1" x14ac:dyDescent="0.2">
      <c r="B1864" s="711">
        <v>46205</v>
      </c>
      <c r="C1864" s="105" t="s">
        <v>18</v>
      </c>
      <c r="D1864" s="105" t="s">
        <v>13</v>
      </c>
      <c r="E1864" s="711">
        <v>46205</v>
      </c>
      <c r="G1864" s="831"/>
      <c r="H1864" s="120" t="s">
        <v>120</v>
      </c>
      <c r="I1864" s="120" t="s">
        <v>43</v>
      </c>
      <c r="J1864" s="106">
        <v>52</v>
      </c>
      <c r="K1864" s="106">
        <v>12</v>
      </c>
      <c r="L1864" s="106">
        <v>0</v>
      </c>
      <c r="M1864" s="106">
        <v>38</v>
      </c>
      <c r="N1864" s="106">
        <v>0</v>
      </c>
      <c r="O1864" s="106">
        <v>0</v>
      </c>
      <c r="P1864" s="106">
        <v>2</v>
      </c>
      <c r="Q1864" s="108">
        <f t="shared" si="2196"/>
        <v>0.23076923076923078</v>
      </c>
      <c r="R1864" s="109">
        <f t="shared" si="2197"/>
        <v>0</v>
      </c>
      <c r="S1864" s="109">
        <f t="shared" si="2198"/>
        <v>3.8461538461538464E-2</v>
      </c>
      <c r="T1864" s="109">
        <f t="shared" si="2199"/>
        <v>0</v>
      </c>
      <c r="U1864" s="110">
        <f t="shared" si="2200"/>
        <v>0.26923076923076927</v>
      </c>
      <c r="V1864" s="136"/>
    </row>
    <row r="1865" spans="2:25" ht="15.75" hidden="1" x14ac:dyDescent="0.2">
      <c r="B1865" s="711">
        <v>46205</v>
      </c>
      <c r="C1865" s="105" t="s">
        <v>168</v>
      </c>
      <c r="D1865" s="105" t="s">
        <v>13</v>
      </c>
      <c r="E1865" s="711">
        <v>46205</v>
      </c>
      <c r="G1865" s="832"/>
      <c r="H1865" s="120" t="s">
        <v>17</v>
      </c>
      <c r="I1865" s="120" t="s">
        <v>18</v>
      </c>
      <c r="J1865" s="106">
        <v>212</v>
      </c>
      <c r="K1865" s="106">
        <v>16</v>
      </c>
      <c r="L1865" s="106">
        <v>4</v>
      </c>
      <c r="M1865" s="106">
        <v>157</v>
      </c>
      <c r="N1865" s="106">
        <v>0</v>
      </c>
      <c r="O1865" s="106">
        <v>25</v>
      </c>
      <c r="P1865" s="106">
        <v>10</v>
      </c>
      <c r="Q1865" s="108">
        <f t="shared" si="2196"/>
        <v>9.4339622641509441E-2</v>
      </c>
      <c r="R1865" s="109">
        <f t="shared" si="2197"/>
        <v>0</v>
      </c>
      <c r="S1865" s="109">
        <f t="shared" si="2198"/>
        <v>4.716981132075472E-2</v>
      </c>
      <c r="T1865" s="109">
        <f t="shared" si="2199"/>
        <v>0.11792452830188679</v>
      </c>
      <c r="U1865" s="110">
        <f t="shared" si="2200"/>
        <v>0.25943396226415094</v>
      </c>
      <c r="V1865" s="328"/>
    </row>
    <row r="1866" spans="2:25" ht="15.75" hidden="1" x14ac:dyDescent="0.2">
      <c r="B1866" s="711">
        <v>46205</v>
      </c>
      <c r="C1866" s="105" t="s">
        <v>169</v>
      </c>
      <c r="D1866" s="105" t="s">
        <v>13</v>
      </c>
      <c r="E1866" s="711">
        <v>46205</v>
      </c>
      <c r="G1866" s="190"/>
      <c r="H1866" s="840" t="s">
        <v>19</v>
      </c>
      <c r="I1866" s="841"/>
      <c r="J1866" s="113">
        <f>SUM(J1862:J1865)</f>
        <v>610</v>
      </c>
      <c r="K1866" s="113">
        <f t="shared" ref="K1866:P1866" si="2201">SUM(K1862:K1865)</f>
        <v>227</v>
      </c>
      <c r="L1866" s="113">
        <f t="shared" si="2201"/>
        <v>90</v>
      </c>
      <c r="M1866" s="113">
        <f t="shared" si="2201"/>
        <v>220</v>
      </c>
      <c r="N1866" s="113">
        <f t="shared" si="2201"/>
        <v>0</v>
      </c>
      <c r="O1866" s="113">
        <f t="shared" si="2201"/>
        <v>58</v>
      </c>
      <c r="P1866" s="113">
        <f t="shared" si="2201"/>
        <v>15</v>
      </c>
      <c r="Q1866" s="115">
        <f>(K1866+L1866)/J1866</f>
        <v>0.51967213114754096</v>
      </c>
      <c r="R1866" s="116">
        <f t="shared" si="2197"/>
        <v>0</v>
      </c>
      <c r="S1866" s="116">
        <f t="shared" si="2198"/>
        <v>2.4590163934426229E-2</v>
      </c>
      <c r="T1866" s="116">
        <f t="shared" si="2199"/>
        <v>9.5081967213114751E-2</v>
      </c>
      <c r="U1866" s="117">
        <f t="shared" si="2200"/>
        <v>0.63934426229508201</v>
      </c>
      <c r="V1866" s="213"/>
    </row>
    <row r="1867" spans="2:25" ht="15.75" hidden="1" x14ac:dyDescent="0.2">
      <c r="B1867" s="711">
        <v>46205</v>
      </c>
      <c r="C1867" s="105" t="s">
        <v>12</v>
      </c>
      <c r="D1867" s="105" t="s">
        <v>163</v>
      </c>
      <c r="E1867" s="711">
        <v>46205</v>
      </c>
      <c r="G1867" s="830">
        <v>46205</v>
      </c>
      <c r="H1867" s="120" t="s">
        <v>75</v>
      </c>
      <c r="I1867" s="120" t="s">
        <v>151</v>
      </c>
      <c r="J1867" s="106">
        <v>231</v>
      </c>
      <c r="K1867" s="106">
        <f>231-73</f>
        <v>158</v>
      </c>
      <c r="L1867" s="106">
        <v>49</v>
      </c>
      <c r="M1867" s="106">
        <v>5</v>
      </c>
      <c r="N1867" s="106">
        <v>0</v>
      </c>
      <c r="O1867" s="106">
        <v>19</v>
      </c>
      <c r="P1867" s="106">
        <v>0</v>
      </c>
      <c r="Q1867" s="108">
        <f t="shared" ref="Q1867:Q1870" si="2202">(K1867+L1867)/J1867</f>
        <v>0.89610389610389607</v>
      </c>
      <c r="R1867" s="109">
        <f t="shared" ref="R1867:R1874" si="2203">N1867/J1867</f>
        <v>0</v>
      </c>
      <c r="S1867" s="109">
        <f t="shared" ref="S1867:S1874" si="2204">P1867/J1867</f>
        <v>0</v>
      </c>
      <c r="T1867" s="109">
        <f t="shared" ref="T1867:T1874" si="2205">O1867/J1867</f>
        <v>8.2251082251082255E-2</v>
      </c>
      <c r="U1867" s="110">
        <f t="shared" ref="U1867:U1874" si="2206">S1867+R1867+Q1867+T1867</f>
        <v>0.97835497835497831</v>
      </c>
      <c r="V1867" s="136"/>
    </row>
    <row r="1868" spans="2:25" ht="15.75" hidden="1" x14ac:dyDescent="0.2">
      <c r="B1868" s="711">
        <v>46205</v>
      </c>
      <c r="C1868" s="105" t="s">
        <v>12</v>
      </c>
      <c r="D1868" s="105" t="s">
        <v>163</v>
      </c>
      <c r="E1868" s="711">
        <v>46205</v>
      </c>
      <c r="G1868" s="831"/>
      <c r="H1868" s="120" t="s">
        <v>14</v>
      </c>
      <c r="I1868" s="120" t="s">
        <v>151</v>
      </c>
      <c r="J1868" s="106">
        <v>115</v>
      </c>
      <c r="K1868" s="106">
        <v>80</v>
      </c>
      <c r="L1868" s="106">
        <v>18</v>
      </c>
      <c r="M1868" s="106">
        <v>0</v>
      </c>
      <c r="N1868" s="106">
        <v>0</v>
      </c>
      <c r="O1868" s="106">
        <v>14</v>
      </c>
      <c r="P1868" s="106">
        <v>3</v>
      </c>
      <c r="Q1868" s="108">
        <f t="shared" si="2202"/>
        <v>0.85217391304347823</v>
      </c>
      <c r="R1868" s="109">
        <f t="shared" si="2203"/>
        <v>0</v>
      </c>
      <c r="S1868" s="109">
        <f t="shared" si="2204"/>
        <v>2.6086956521739129E-2</v>
      </c>
      <c r="T1868" s="109">
        <f t="shared" si="2205"/>
        <v>0.12173913043478261</v>
      </c>
      <c r="U1868" s="110">
        <f t="shared" si="2206"/>
        <v>0.99999999999999989</v>
      </c>
      <c r="V1868" s="136"/>
    </row>
    <row r="1869" spans="2:25" ht="15.75" hidden="1" x14ac:dyDescent="0.2">
      <c r="B1869" s="711">
        <v>46205</v>
      </c>
      <c r="C1869" s="105" t="s">
        <v>12</v>
      </c>
      <c r="D1869" s="105" t="s">
        <v>163</v>
      </c>
      <c r="E1869" s="711">
        <v>46205</v>
      </c>
      <c r="G1869" s="831"/>
      <c r="H1869" s="120" t="s">
        <v>120</v>
      </c>
      <c r="I1869" s="120" t="s">
        <v>43</v>
      </c>
      <c r="J1869" s="106">
        <v>52</v>
      </c>
      <c r="K1869" s="106">
        <v>48</v>
      </c>
      <c r="L1869" s="106">
        <v>4</v>
      </c>
      <c r="M1869" s="106">
        <v>0</v>
      </c>
      <c r="N1869" s="106">
        <v>0</v>
      </c>
      <c r="O1869" s="106">
        <v>0</v>
      </c>
      <c r="P1869" s="106">
        <v>0</v>
      </c>
      <c r="Q1869" s="108">
        <f t="shared" si="2202"/>
        <v>1</v>
      </c>
      <c r="R1869" s="109">
        <f t="shared" si="2203"/>
        <v>0</v>
      </c>
      <c r="S1869" s="109">
        <f t="shared" si="2204"/>
        <v>0</v>
      </c>
      <c r="T1869" s="109">
        <f t="shared" si="2205"/>
        <v>0</v>
      </c>
      <c r="U1869" s="110">
        <f t="shared" si="2206"/>
        <v>1</v>
      </c>
      <c r="V1869" s="136"/>
    </row>
    <row r="1870" spans="2:25" ht="15.75" hidden="1" x14ac:dyDescent="0.2">
      <c r="B1870" s="711">
        <v>46205</v>
      </c>
      <c r="C1870" s="105" t="s">
        <v>12</v>
      </c>
      <c r="D1870" s="105" t="s">
        <v>163</v>
      </c>
      <c r="E1870" s="711">
        <v>46205</v>
      </c>
      <c r="G1870" s="832"/>
      <c r="H1870" s="120" t="s">
        <v>17</v>
      </c>
      <c r="I1870" s="120" t="s">
        <v>18</v>
      </c>
      <c r="J1870" s="106">
        <v>212</v>
      </c>
      <c r="K1870" s="106">
        <f>212-154</f>
        <v>58</v>
      </c>
      <c r="L1870" s="106">
        <v>51</v>
      </c>
      <c r="M1870" s="106">
        <v>68</v>
      </c>
      <c r="N1870" s="106">
        <v>0</v>
      </c>
      <c r="O1870" s="106">
        <v>25</v>
      </c>
      <c r="P1870" s="106">
        <v>10</v>
      </c>
      <c r="Q1870" s="108">
        <f t="shared" si="2202"/>
        <v>0.51415094339622647</v>
      </c>
      <c r="R1870" s="109">
        <f t="shared" si="2203"/>
        <v>0</v>
      </c>
      <c r="S1870" s="109">
        <f t="shared" si="2204"/>
        <v>4.716981132075472E-2</v>
      </c>
      <c r="T1870" s="109">
        <f t="shared" si="2205"/>
        <v>0.11792452830188679</v>
      </c>
      <c r="U1870" s="110">
        <f t="shared" si="2206"/>
        <v>0.679245283018868</v>
      </c>
      <c r="V1870" s="328"/>
    </row>
    <row r="1871" spans="2:25" ht="15.75" hidden="1" x14ac:dyDescent="0.2">
      <c r="B1871" s="711">
        <v>46205</v>
      </c>
      <c r="C1871" s="105" t="s">
        <v>12</v>
      </c>
      <c r="D1871" s="105" t="s">
        <v>163</v>
      </c>
      <c r="E1871" s="711">
        <v>46205</v>
      </c>
      <c r="G1871" s="190"/>
      <c r="H1871" s="840" t="s">
        <v>19</v>
      </c>
      <c r="I1871" s="841"/>
      <c r="J1871" s="113">
        <f>SUM(J1867:J1870)</f>
        <v>610</v>
      </c>
      <c r="K1871" s="113">
        <f t="shared" ref="K1871:P1871" si="2207">SUM(K1867:K1870)</f>
        <v>344</v>
      </c>
      <c r="L1871" s="113">
        <f t="shared" si="2207"/>
        <v>122</v>
      </c>
      <c r="M1871" s="113">
        <f t="shared" si="2207"/>
        <v>73</v>
      </c>
      <c r="N1871" s="113">
        <f t="shared" si="2207"/>
        <v>0</v>
      </c>
      <c r="O1871" s="113">
        <f t="shared" si="2207"/>
        <v>58</v>
      </c>
      <c r="P1871" s="113">
        <f t="shared" si="2207"/>
        <v>13</v>
      </c>
      <c r="Q1871" s="115">
        <f>(K1871+L1871)/J1871</f>
        <v>0.76393442622950825</v>
      </c>
      <c r="R1871" s="116">
        <f t="shared" si="2203"/>
        <v>0</v>
      </c>
      <c r="S1871" s="116">
        <f t="shared" si="2204"/>
        <v>2.1311475409836064E-2</v>
      </c>
      <c r="T1871" s="116">
        <f t="shared" si="2205"/>
        <v>9.5081967213114751E-2</v>
      </c>
      <c r="U1871" s="117">
        <f t="shared" si="2206"/>
        <v>0.88032786885245906</v>
      </c>
      <c r="V1871" s="213"/>
    </row>
    <row r="1872" spans="2:25" ht="15.75" hidden="1" x14ac:dyDescent="0.2">
      <c r="B1872" s="711">
        <v>46205</v>
      </c>
      <c r="C1872" s="105" t="s">
        <v>18</v>
      </c>
      <c r="D1872" s="105" t="s">
        <v>20</v>
      </c>
      <c r="E1872" s="711">
        <v>46204</v>
      </c>
      <c r="G1872" s="714" t="s">
        <v>170</v>
      </c>
      <c r="H1872" s="120" t="s">
        <v>17</v>
      </c>
      <c r="I1872" s="120" t="s">
        <v>167</v>
      </c>
      <c r="J1872" s="106">
        <f>SUM(K1872:P1872)</f>
        <v>104</v>
      </c>
      <c r="K1872" s="106">
        <v>49</v>
      </c>
      <c r="L1872" s="106">
        <v>21</v>
      </c>
      <c r="M1872" s="106">
        <v>0</v>
      </c>
      <c r="N1872" s="106">
        <v>0</v>
      </c>
      <c r="O1872" s="106">
        <v>27</v>
      </c>
      <c r="P1872" s="106">
        <v>7</v>
      </c>
      <c r="Q1872" s="108">
        <f t="shared" ref="Q1872:Q1873" si="2208">(K1872+L1872)/J1872</f>
        <v>0.67307692307692313</v>
      </c>
      <c r="R1872" s="109">
        <f t="shared" si="2203"/>
        <v>0</v>
      </c>
      <c r="S1872" s="109">
        <f t="shared" si="2204"/>
        <v>6.7307692307692304E-2</v>
      </c>
      <c r="T1872" s="109">
        <f t="shared" si="2205"/>
        <v>0.25961538461538464</v>
      </c>
      <c r="U1872" s="110">
        <f t="shared" si="2206"/>
        <v>1</v>
      </c>
      <c r="V1872" s="220" t="s">
        <v>21</v>
      </c>
    </row>
    <row r="1873" spans="2:25" ht="15.75" hidden="1" x14ac:dyDescent="0.2">
      <c r="B1873" s="711">
        <v>46205</v>
      </c>
      <c r="C1873" s="105" t="s">
        <v>18</v>
      </c>
      <c r="D1873" s="105" t="s">
        <v>20</v>
      </c>
      <c r="E1873" s="711">
        <v>46205</v>
      </c>
      <c r="G1873" s="705">
        <v>46206</v>
      </c>
      <c r="H1873" s="120" t="s">
        <v>16</v>
      </c>
      <c r="I1873" s="120" t="s">
        <v>83</v>
      </c>
      <c r="J1873" s="106">
        <v>249</v>
      </c>
      <c r="K1873" s="106">
        <v>100</v>
      </c>
      <c r="L1873" s="106">
        <v>39</v>
      </c>
      <c r="M1873" s="106">
        <v>85</v>
      </c>
      <c r="N1873" s="106">
        <v>6</v>
      </c>
      <c r="O1873" s="106">
        <v>20</v>
      </c>
      <c r="P1873" s="106">
        <v>0</v>
      </c>
      <c r="Q1873" s="108">
        <f t="shared" si="2208"/>
        <v>0.55823293172690758</v>
      </c>
      <c r="R1873" s="109">
        <f t="shared" si="2203"/>
        <v>2.4096385542168676E-2</v>
      </c>
      <c r="S1873" s="109">
        <f t="shared" si="2204"/>
        <v>0</v>
      </c>
      <c r="T1873" s="109">
        <f t="shared" si="2205"/>
        <v>8.0321285140562249E-2</v>
      </c>
      <c r="U1873" s="110">
        <f t="shared" si="2206"/>
        <v>0.66265060240963847</v>
      </c>
      <c r="V1873" s="136"/>
    </row>
    <row r="1874" spans="2:25" s="97" customFormat="1" ht="16.5" hidden="1" customHeight="1" x14ac:dyDescent="0.2">
      <c r="B1874" s="711">
        <v>46205</v>
      </c>
      <c r="C1874" s="105" t="s">
        <v>18</v>
      </c>
      <c r="D1874" s="105" t="s">
        <v>20</v>
      </c>
      <c r="E1874" s="711">
        <v>46205</v>
      </c>
      <c r="F1874" s="89"/>
      <c r="G1874" s="190"/>
      <c r="H1874" s="840" t="s">
        <v>19</v>
      </c>
      <c r="I1874" s="841"/>
      <c r="J1874" s="113">
        <f t="shared" ref="J1874:P1874" si="2209">SUM(J1872:J1873)</f>
        <v>353</v>
      </c>
      <c r="K1874" s="113">
        <f t="shared" si="2209"/>
        <v>149</v>
      </c>
      <c r="L1874" s="113">
        <f t="shared" si="2209"/>
        <v>60</v>
      </c>
      <c r="M1874" s="113">
        <f t="shared" si="2209"/>
        <v>85</v>
      </c>
      <c r="N1874" s="113">
        <f t="shared" si="2209"/>
        <v>6</v>
      </c>
      <c r="O1874" s="113">
        <f t="shared" si="2209"/>
        <v>47</v>
      </c>
      <c r="P1874" s="113">
        <f t="shared" si="2209"/>
        <v>7</v>
      </c>
      <c r="Q1874" s="115">
        <f>(K1874+L1874)/J1874</f>
        <v>0.59206798866855526</v>
      </c>
      <c r="R1874" s="116">
        <f t="shared" si="2203"/>
        <v>1.69971671388102E-2</v>
      </c>
      <c r="S1874" s="116">
        <f t="shared" si="2204"/>
        <v>1.9830028328611898E-2</v>
      </c>
      <c r="T1874" s="116">
        <f t="shared" si="2205"/>
        <v>0.13314447592067988</v>
      </c>
      <c r="U1874" s="117">
        <f t="shared" si="2206"/>
        <v>0.76203966005665724</v>
      </c>
      <c r="V1874" s="213"/>
      <c r="W1874" s="88"/>
      <c r="X1874" s="88"/>
      <c r="Y1874" s="118"/>
    </row>
    <row r="1875" spans="2:25" ht="15.75" hidden="1" x14ac:dyDescent="0.2">
      <c r="B1875" s="711">
        <v>46206</v>
      </c>
      <c r="C1875" s="105" t="s">
        <v>22</v>
      </c>
      <c r="D1875" s="105" t="s">
        <v>13</v>
      </c>
      <c r="E1875" s="711">
        <v>46206</v>
      </c>
      <c r="G1875" s="705">
        <v>46206</v>
      </c>
      <c r="H1875" s="60" t="s">
        <v>16</v>
      </c>
      <c r="I1875" s="60" t="s">
        <v>83</v>
      </c>
      <c r="J1875" s="106">
        <v>249</v>
      </c>
      <c r="K1875" s="106">
        <v>145</v>
      </c>
      <c r="L1875" s="106">
        <v>82</v>
      </c>
      <c r="M1875" s="106">
        <v>2</v>
      </c>
      <c r="N1875" s="106">
        <v>0</v>
      </c>
      <c r="O1875" s="106">
        <v>20</v>
      </c>
      <c r="P1875" s="106">
        <v>0</v>
      </c>
      <c r="Q1875" s="108">
        <f t="shared" ref="Q1875" si="2210">(K1875+L1875)/J1875</f>
        <v>0.91164658634538154</v>
      </c>
      <c r="R1875" s="109">
        <f t="shared" ref="R1875:R1878" si="2211">N1875/J1875</f>
        <v>0</v>
      </c>
      <c r="S1875" s="109">
        <f t="shared" ref="S1875:S1878" si="2212">P1875/J1875</f>
        <v>0</v>
      </c>
      <c r="T1875" s="109">
        <f t="shared" ref="T1875:T1878" si="2213">O1875/J1875</f>
        <v>8.0321285140562249E-2</v>
      </c>
      <c r="U1875" s="110">
        <f t="shared" ref="U1875:U1878" si="2214">S1875+R1875+Q1875+T1875</f>
        <v>0.99196787148594379</v>
      </c>
      <c r="V1875" s="136"/>
    </row>
    <row r="1876" spans="2:25" ht="15.75" hidden="1" x14ac:dyDescent="0.2">
      <c r="B1876" s="711">
        <v>46206</v>
      </c>
      <c r="C1876" s="105" t="s">
        <v>22</v>
      </c>
      <c r="D1876" s="105" t="s">
        <v>13</v>
      </c>
      <c r="E1876" s="711">
        <v>46206</v>
      </c>
      <c r="G1876" s="705"/>
      <c r="H1876" s="60" t="s">
        <v>17</v>
      </c>
      <c r="I1876" s="60" t="s">
        <v>100</v>
      </c>
      <c r="J1876" s="258">
        <v>48</v>
      </c>
      <c r="K1876" s="106">
        <v>5</v>
      </c>
      <c r="L1876" s="106">
        <v>11</v>
      </c>
      <c r="M1876" s="106">
        <v>0</v>
      </c>
      <c r="N1876" s="106">
        <v>0</v>
      </c>
      <c r="O1876" s="106">
        <v>32</v>
      </c>
      <c r="P1876" s="106">
        <v>0</v>
      </c>
      <c r="Q1876" s="108">
        <f t="shared" ref="Q1876" si="2215">(K1876+L1876)/J1876</f>
        <v>0.33333333333333331</v>
      </c>
      <c r="R1876" s="109">
        <f t="shared" ref="R1876" si="2216">N1876/J1876</f>
        <v>0</v>
      </c>
      <c r="S1876" s="109">
        <f t="shared" ref="S1876" si="2217">P1876/J1876</f>
        <v>0</v>
      </c>
      <c r="T1876" s="109">
        <f t="shared" ref="T1876" si="2218">O1876/J1876</f>
        <v>0.66666666666666663</v>
      </c>
      <c r="U1876" s="110">
        <f t="shared" ref="U1876" si="2219">S1876+R1876+Q1876+T1876</f>
        <v>1</v>
      </c>
      <c r="V1876" s="136"/>
    </row>
    <row r="1877" spans="2:25" ht="15.75" hidden="1" x14ac:dyDescent="0.2">
      <c r="B1877" s="711">
        <v>46206</v>
      </c>
      <c r="C1877" s="105" t="s">
        <v>22</v>
      </c>
      <c r="D1877" s="105" t="s">
        <v>13</v>
      </c>
      <c r="E1877" s="711">
        <v>46206</v>
      </c>
      <c r="G1877" s="190"/>
      <c r="H1877" s="775" t="s">
        <v>19</v>
      </c>
      <c r="I1877" s="777"/>
      <c r="J1877" s="113">
        <f>SUM(J1875:J1876)</f>
        <v>297</v>
      </c>
      <c r="K1877" s="113">
        <f t="shared" ref="K1877:P1877" si="2220">SUM(K1875:K1876)</f>
        <v>150</v>
      </c>
      <c r="L1877" s="113">
        <f t="shared" si="2220"/>
        <v>93</v>
      </c>
      <c r="M1877" s="113">
        <f t="shared" si="2220"/>
        <v>2</v>
      </c>
      <c r="N1877" s="113">
        <f t="shared" si="2220"/>
        <v>0</v>
      </c>
      <c r="O1877" s="113">
        <f t="shared" si="2220"/>
        <v>52</v>
      </c>
      <c r="P1877" s="113">
        <f t="shared" si="2220"/>
        <v>0</v>
      </c>
      <c r="Q1877" s="115">
        <f>(K1877+L1877)/J1877</f>
        <v>0.81818181818181823</v>
      </c>
      <c r="R1877" s="116">
        <f t="shared" si="2211"/>
        <v>0</v>
      </c>
      <c r="S1877" s="116">
        <f t="shared" si="2212"/>
        <v>0</v>
      </c>
      <c r="T1877" s="116">
        <f t="shared" si="2213"/>
        <v>0.17508417508417509</v>
      </c>
      <c r="U1877" s="117">
        <f t="shared" si="2214"/>
        <v>0.9932659932659933</v>
      </c>
      <c r="V1877" s="213"/>
    </row>
    <row r="1878" spans="2:25" ht="15.75" hidden="1" x14ac:dyDescent="0.2">
      <c r="B1878" s="711">
        <v>46206</v>
      </c>
      <c r="C1878" s="105" t="s">
        <v>22</v>
      </c>
      <c r="D1878" s="105" t="s">
        <v>13</v>
      </c>
      <c r="E1878" s="711">
        <v>46206</v>
      </c>
      <c r="G1878" s="705">
        <v>46207</v>
      </c>
      <c r="H1878" s="60" t="s">
        <v>17</v>
      </c>
      <c r="I1878" s="60" t="s">
        <v>100</v>
      </c>
      <c r="J1878" s="258">
        <v>147</v>
      </c>
      <c r="K1878" s="106">
        <v>60</v>
      </c>
      <c r="L1878" s="106">
        <v>22</v>
      </c>
      <c r="M1878" s="106">
        <v>17</v>
      </c>
      <c r="N1878" s="107">
        <v>21</v>
      </c>
      <c r="O1878" s="106">
        <v>27</v>
      </c>
      <c r="P1878" s="106">
        <v>0</v>
      </c>
      <c r="Q1878" s="108">
        <f t="shared" ref="Q1878" si="2221">(K1878+L1878)/J1878</f>
        <v>0.55782312925170063</v>
      </c>
      <c r="R1878" s="109">
        <f t="shared" si="2211"/>
        <v>0.14285714285714285</v>
      </c>
      <c r="S1878" s="109">
        <f t="shared" si="2212"/>
        <v>0</v>
      </c>
      <c r="T1878" s="109">
        <f t="shared" si="2213"/>
        <v>0.18367346938775511</v>
      </c>
      <c r="U1878" s="110">
        <f t="shared" si="2214"/>
        <v>0.88435374149659851</v>
      </c>
      <c r="V1878" s="136"/>
    </row>
    <row r="1879" spans="2:25" ht="15.75" hidden="1" x14ac:dyDescent="0.2">
      <c r="B1879" s="711">
        <v>46206</v>
      </c>
      <c r="C1879" s="105" t="s">
        <v>22</v>
      </c>
      <c r="D1879" s="105" t="s">
        <v>13</v>
      </c>
      <c r="E1879" s="711">
        <v>46206</v>
      </c>
      <c r="G1879" s="190"/>
      <c r="H1879" s="775" t="s">
        <v>19</v>
      </c>
      <c r="I1879" s="777"/>
      <c r="J1879" s="113">
        <f>SUM(J1877:J1878)</f>
        <v>444</v>
      </c>
      <c r="K1879" s="113">
        <f t="shared" ref="K1879" si="2222">SUM(K1877:K1878)</f>
        <v>210</v>
      </c>
      <c r="L1879" s="113">
        <f t="shared" ref="L1879" si="2223">SUM(L1877:L1878)</f>
        <v>115</v>
      </c>
      <c r="M1879" s="113">
        <f t="shared" ref="M1879" si="2224">SUM(M1877:M1878)</f>
        <v>19</v>
      </c>
      <c r="N1879" s="113">
        <f t="shared" ref="N1879" si="2225">SUM(N1877:N1878)</f>
        <v>21</v>
      </c>
      <c r="O1879" s="113">
        <f t="shared" ref="O1879" si="2226">SUM(O1877:O1878)</f>
        <v>79</v>
      </c>
      <c r="P1879" s="113">
        <f t="shared" ref="P1879" si="2227">SUM(P1877:P1878)</f>
        <v>0</v>
      </c>
      <c r="Q1879" s="115">
        <f>(K1879+L1879)/J1879</f>
        <v>0.73198198198198194</v>
      </c>
      <c r="R1879" s="116">
        <f t="shared" ref="R1879:R1894" si="2228">N1879/J1879</f>
        <v>4.72972972972973E-2</v>
      </c>
      <c r="S1879" s="116">
        <f t="shared" ref="S1879:S1894" si="2229">P1879/J1879</f>
        <v>0</v>
      </c>
      <c r="T1879" s="116">
        <f t="shared" ref="T1879:T1894" si="2230">O1879/J1879</f>
        <v>0.17792792792792791</v>
      </c>
      <c r="U1879" s="117">
        <f t="shared" ref="U1879:U1894" si="2231">S1879+R1879+Q1879+T1879</f>
        <v>0.95720720720720709</v>
      </c>
      <c r="V1879" s="213"/>
    </row>
    <row r="1880" spans="2:25" ht="15.75" hidden="1" x14ac:dyDescent="0.2">
      <c r="B1880" s="711">
        <v>46206</v>
      </c>
      <c r="C1880" s="105" t="s">
        <v>12</v>
      </c>
      <c r="D1880" s="105" t="s">
        <v>163</v>
      </c>
      <c r="E1880" s="711">
        <v>46207</v>
      </c>
      <c r="G1880" s="830">
        <v>46207</v>
      </c>
      <c r="H1880" s="60" t="s">
        <v>16</v>
      </c>
      <c r="I1880" s="60" t="s">
        <v>83</v>
      </c>
      <c r="J1880" s="106">
        <v>231</v>
      </c>
      <c r="K1880" s="106">
        <f>231-135</f>
        <v>96</v>
      </c>
      <c r="L1880" s="106">
        <v>42</v>
      </c>
      <c r="M1880" s="106">
        <v>67</v>
      </c>
      <c r="N1880" s="106">
        <v>5</v>
      </c>
      <c r="O1880" s="106">
        <v>20</v>
      </c>
      <c r="P1880" s="106">
        <v>1</v>
      </c>
      <c r="Q1880" s="108">
        <f t="shared" ref="Q1880:Q1882" si="2232">(K1880+L1880)/J1880</f>
        <v>0.59740259740259738</v>
      </c>
      <c r="R1880" s="109">
        <f t="shared" si="2228"/>
        <v>2.1645021645021644E-2</v>
      </c>
      <c r="S1880" s="109">
        <f t="shared" si="2229"/>
        <v>4.329004329004329E-3</v>
      </c>
      <c r="T1880" s="109">
        <f t="shared" si="2230"/>
        <v>8.6580086580086577E-2</v>
      </c>
      <c r="U1880" s="110">
        <f t="shared" si="2231"/>
        <v>0.7099567099567099</v>
      </c>
      <c r="V1880" s="136"/>
    </row>
    <row r="1881" spans="2:25" ht="15.75" hidden="1" x14ac:dyDescent="0.2">
      <c r="B1881" s="711">
        <v>46206</v>
      </c>
      <c r="C1881" s="105" t="s">
        <v>12</v>
      </c>
      <c r="D1881" s="105" t="s">
        <v>163</v>
      </c>
      <c r="E1881" s="711">
        <v>46207</v>
      </c>
      <c r="G1881" s="831"/>
      <c r="H1881" s="60" t="s">
        <v>120</v>
      </c>
      <c r="I1881" s="60" t="s">
        <v>43</v>
      </c>
      <c r="J1881" s="106">
        <v>38</v>
      </c>
      <c r="K1881" s="106">
        <v>0</v>
      </c>
      <c r="L1881" s="106">
        <v>0</v>
      </c>
      <c r="M1881" s="106">
        <v>34</v>
      </c>
      <c r="N1881" s="106">
        <v>0</v>
      </c>
      <c r="O1881" s="106">
        <v>0</v>
      </c>
      <c r="P1881" s="106">
        <v>4</v>
      </c>
      <c r="Q1881" s="108">
        <f t="shared" ref="Q1881" si="2233">(K1881+L1881)/J1881</f>
        <v>0</v>
      </c>
      <c r="R1881" s="109">
        <f t="shared" ref="R1881" si="2234">N1881/J1881</f>
        <v>0</v>
      </c>
      <c r="S1881" s="109">
        <f t="shared" ref="S1881" si="2235">P1881/J1881</f>
        <v>0.10526315789473684</v>
      </c>
      <c r="T1881" s="109">
        <f t="shared" ref="T1881" si="2236">O1881/J1881</f>
        <v>0</v>
      </c>
      <c r="U1881" s="110">
        <f t="shared" ref="U1881" si="2237">S1881+R1881+Q1881+T1881</f>
        <v>0.10526315789473684</v>
      </c>
      <c r="V1881" s="136"/>
    </row>
    <row r="1882" spans="2:25" ht="15.75" hidden="1" x14ac:dyDescent="0.2">
      <c r="B1882" s="711">
        <v>46206</v>
      </c>
      <c r="C1882" s="105" t="s">
        <v>12</v>
      </c>
      <c r="D1882" s="105" t="s">
        <v>163</v>
      </c>
      <c r="E1882" s="711">
        <v>46207</v>
      </c>
      <c r="G1882" s="831"/>
      <c r="H1882" s="60" t="s">
        <v>17</v>
      </c>
      <c r="I1882" s="60" t="s">
        <v>100</v>
      </c>
      <c r="J1882" s="258">
        <v>147</v>
      </c>
      <c r="K1882" s="106">
        <v>77</v>
      </c>
      <c r="L1882" s="106">
        <v>14</v>
      </c>
      <c r="M1882" s="106">
        <v>16</v>
      </c>
      <c r="N1882" s="106">
        <v>0</v>
      </c>
      <c r="O1882" s="106">
        <v>27</v>
      </c>
      <c r="P1882" s="106">
        <v>13</v>
      </c>
      <c r="Q1882" s="108">
        <f t="shared" si="2232"/>
        <v>0.61904761904761907</v>
      </c>
      <c r="R1882" s="109">
        <f t="shared" si="2228"/>
        <v>0</v>
      </c>
      <c r="S1882" s="109">
        <f t="shared" si="2229"/>
        <v>8.8435374149659865E-2</v>
      </c>
      <c r="T1882" s="109">
        <f t="shared" si="2230"/>
        <v>0.18367346938775511</v>
      </c>
      <c r="U1882" s="110">
        <f t="shared" si="2231"/>
        <v>0.891156462585034</v>
      </c>
      <c r="V1882" s="136"/>
    </row>
    <row r="1883" spans="2:25" ht="15.75" hidden="1" x14ac:dyDescent="0.2">
      <c r="B1883" s="711">
        <v>46206</v>
      </c>
      <c r="C1883" s="105" t="s">
        <v>12</v>
      </c>
      <c r="D1883" s="105" t="s">
        <v>163</v>
      </c>
      <c r="E1883" s="711">
        <v>46207</v>
      </c>
      <c r="G1883" s="190"/>
      <c r="H1883" s="775" t="s">
        <v>19</v>
      </c>
      <c r="I1883" s="777"/>
      <c r="J1883" s="113">
        <f>SUM(J1880:J1882)</f>
        <v>416</v>
      </c>
      <c r="K1883" s="113">
        <f t="shared" ref="K1883:P1883" si="2238">SUM(K1880:K1882)</f>
        <v>173</v>
      </c>
      <c r="L1883" s="113">
        <f t="shared" si="2238"/>
        <v>56</v>
      </c>
      <c r="M1883" s="113">
        <f t="shared" si="2238"/>
        <v>117</v>
      </c>
      <c r="N1883" s="113">
        <f t="shared" si="2238"/>
        <v>5</v>
      </c>
      <c r="O1883" s="113">
        <f t="shared" si="2238"/>
        <v>47</v>
      </c>
      <c r="P1883" s="113">
        <f t="shared" si="2238"/>
        <v>18</v>
      </c>
      <c r="Q1883" s="115">
        <f>(K1883+L1883)/J1883</f>
        <v>0.55048076923076927</v>
      </c>
      <c r="R1883" s="116">
        <f t="shared" si="2228"/>
        <v>1.201923076923077E-2</v>
      </c>
      <c r="S1883" s="116">
        <f t="shared" si="2229"/>
        <v>4.3269230769230768E-2</v>
      </c>
      <c r="T1883" s="116">
        <f t="shared" si="2230"/>
        <v>0.11298076923076923</v>
      </c>
      <c r="U1883" s="117">
        <f t="shared" si="2231"/>
        <v>0.71875000000000011</v>
      </c>
      <c r="V1883" s="213"/>
    </row>
    <row r="1884" spans="2:25" ht="15.75" hidden="1" x14ac:dyDescent="0.2">
      <c r="B1884" s="711">
        <v>46206</v>
      </c>
      <c r="C1884" s="105" t="s">
        <v>18</v>
      </c>
      <c r="D1884" s="105" t="s">
        <v>20</v>
      </c>
      <c r="E1884" s="711">
        <v>46206</v>
      </c>
      <c r="G1884" s="714" t="s">
        <v>173</v>
      </c>
      <c r="H1884" s="120" t="s">
        <v>17</v>
      </c>
      <c r="I1884" s="120" t="s">
        <v>167</v>
      </c>
      <c r="J1884" s="106">
        <f>SUM(K1884:P1884)</f>
        <v>64</v>
      </c>
      <c r="K1884" s="106">
        <v>22</v>
      </c>
      <c r="L1884" s="106">
        <v>14</v>
      </c>
      <c r="M1884" s="106">
        <v>0</v>
      </c>
      <c r="N1884" s="106">
        <v>0</v>
      </c>
      <c r="O1884" s="106">
        <v>24</v>
      </c>
      <c r="P1884" s="106">
        <v>4</v>
      </c>
      <c r="Q1884" s="108">
        <f t="shared" ref="Q1884" si="2239">(K1884+L1884)/J1884</f>
        <v>0.5625</v>
      </c>
      <c r="R1884" s="109">
        <f t="shared" si="2228"/>
        <v>0</v>
      </c>
      <c r="S1884" s="109">
        <f t="shared" si="2229"/>
        <v>6.25E-2</v>
      </c>
      <c r="T1884" s="109">
        <f t="shared" si="2230"/>
        <v>0.375</v>
      </c>
      <c r="U1884" s="110">
        <f t="shared" si="2231"/>
        <v>1</v>
      </c>
      <c r="V1884" s="220"/>
    </row>
    <row r="1885" spans="2:25" ht="15.75" hidden="1" x14ac:dyDescent="0.2">
      <c r="B1885" s="711">
        <v>46206</v>
      </c>
      <c r="C1885" s="105" t="s">
        <v>18</v>
      </c>
      <c r="D1885" s="105" t="s">
        <v>20</v>
      </c>
      <c r="E1885" s="711">
        <v>46207</v>
      </c>
      <c r="G1885" s="830">
        <v>46207</v>
      </c>
      <c r="H1885" s="120" t="s">
        <v>16</v>
      </c>
      <c r="I1885" s="120" t="s">
        <v>83</v>
      </c>
      <c r="J1885" s="106">
        <v>231</v>
      </c>
      <c r="K1885" s="106">
        <f>56+66</f>
        <v>122</v>
      </c>
      <c r="L1885" s="106">
        <f>44+42</f>
        <v>86</v>
      </c>
      <c r="M1885" s="106">
        <v>2</v>
      </c>
      <c r="N1885" s="106">
        <v>0</v>
      </c>
      <c r="O1885" s="106">
        <v>20</v>
      </c>
      <c r="P1885" s="106">
        <v>1</v>
      </c>
      <c r="Q1885" s="108">
        <f t="shared" ref="Q1885:Q1888" si="2240">(K1885+L1885)/J1885</f>
        <v>0.90043290043290047</v>
      </c>
      <c r="R1885" s="109">
        <f t="shared" ref="R1885:R1888" si="2241">N1885/J1885</f>
        <v>0</v>
      </c>
      <c r="S1885" s="109">
        <f t="shared" ref="S1885:S1888" si="2242">P1885/J1885</f>
        <v>4.329004329004329E-3</v>
      </c>
      <c r="T1885" s="109">
        <f t="shared" ref="T1885:T1888" si="2243">O1885/J1885</f>
        <v>8.6580086580086577E-2</v>
      </c>
      <c r="U1885" s="110">
        <f t="shared" ref="U1885:U1888" si="2244">S1885+R1885+Q1885+T1885</f>
        <v>0.9913419913419913</v>
      </c>
      <c r="V1885" s="136"/>
    </row>
    <row r="1886" spans="2:25" ht="15.75" hidden="1" x14ac:dyDescent="0.2">
      <c r="B1886" s="711">
        <v>46206</v>
      </c>
      <c r="C1886" s="105" t="s">
        <v>18</v>
      </c>
      <c r="D1886" s="105" t="s">
        <v>20</v>
      </c>
      <c r="E1886" s="711">
        <v>46207</v>
      </c>
      <c r="G1886" s="831"/>
      <c r="H1886" s="120" t="s">
        <v>120</v>
      </c>
      <c r="I1886" s="120" t="s">
        <v>43</v>
      </c>
      <c r="J1886" s="106">
        <v>38</v>
      </c>
      <c r="K1886" s="106">
        <v>0</v>
      </c>
      <c r="L1886" s="106">
        <v>0</v>
      </c>
      <c r="M1886" s="106">
        <v>5</v>
      </c>
      <c r="N1886" s="106">
        <v>29</v>
      </c>
      <c r="O1886" s="106">
        <v>0</v>
      </c>
      <c r="P1886" s="106">
        <v>4</v>
      </c>
      <c r="Q1886" s="108">
        <f t="shared" si="2240"/>
        <v>0</v>
      </c>
      <c r="R1886" s="109">
        <f t="shared" si="2241"/>
        <v>0.76315789473684215</v>
      </c>
      <c r="S1886" s="109">
        <f t="shared" si="2242"/>
        <v>0.10526315789473684</v>
      </c>
      <c r="T1886" s="109">
        <f t="shared" si="2243"/>
        <v>0</v>
      </c>
      <c r="U1886" s="110">
        <f t="shared" si="2244"/>
        <v>0.86842105263157898</v>
      </c>
      <c r="V1886" s="136"/>
    </row>
    <row r="1887" spans="2:25" ht="15.75" hidden="1" x14ac:dyDescent="0.2">
      <c r="B1887" s="711">
        <v>46206</v>
      </c>
      <c r="C1887" s="105" t="s">
        <v>18</v>
      </c>
      <c r="D1887" s="105" t="s">
        <v>20</v>
      </c>
      <c r="E1887" s="711">
        <v>46207</v>
      </c>
      <c r="G1887" s="832"/>
      <c r="H1887" s="120" t="s">
        <v>118</v>
      </c>
      <c r="I1887" s="120" t="s">
        <v>43</v>
      </c>
      <c r="J1887" s="106">
        <v>13</v>
      </c>
      <c r="K1887" s="106">
        <v>0</v>
      </c>
      <c r="L1887" s="106">
        <v>0</v>
      </c>
      <c r="M1887" s="106">
        <v>8</v>
      </c>
      <c r="N1887" s="106">
        <v>0</v>
      </c>
      <c r="O1887" s="106">
        <v>0</v>
      </c>
      <c r="P1887" s="106">
        <v>5</v>
      </c>
      <c r="Q1887" s="108">
        <f t="shared" ref="Q1887" si="2245">(K1887+L1887)/J1887</f>
        <v>0</v>
      </c>
      <c r="R1887" s="109">
        <f t="shared" ref="R1887" si="2246">N1887/J1887</f>
        <v>0</v>
      </c>
      <c r="S1887" s="109">
        <f t="shared" ref="S1887" si="2247">P1887/J1887</f>
        <v>0.38461538461538464</v>
      </c>
      <c r="T1887" s="109">
        <f t="shared" ref="T1887" si="2248">O1887/J1887</f>
        <v>0</v>
      </c>
      <c r="U1887" s="110">
        <f t="shared" ref="U1887" si="2249">S1887+R1887+Q1887+T1887</f>
        <v>0.38461538461538464</v>
      </c>
      <c r="V1887" s="136"/>
    </row>
    <row r="1888" spans="2:25" ht="15.75" hidden="1" x14ac:dyDescent="0.2">
      <c r="B1888" s="711">
        <v>46206</v>
      </c>
      <c r="C1888" s="105" t="s">
        <v>18</v>
      </c>
      <c r="D1888" s="105" t="s">
        <v>20</v>
      </c>
      <c r="E1888" s="711">
        <v>46207</v>
      </c>
      <c r="G1888" s="713">
        <v>46210</v>
      </c>
      <c r="H1888" s="120" t="s">
        <v>16</v>
      </c>
      <c r="I1888" s="120" t="s">
        <v>83</v>
      </c>
      <c r="J1888" s="106">
        <v>236</v>
      </c>
      <c r="K1888" s="106">
        <v>0</v>
      </c>
      <c r="L1888" s="106">
        <v>0</v>
      </c>
      <c r="M1888" s="106">
        <v>167</v>
      </c>
      <c r="N1888" s="106">
        <v>45</v>
      </c>
      <c r="O1888" s="106">
        <v>20</v>
      </c>
      <c r="P1888" s="106">
        <v>4</v>
      </c>
      <c r="Q1888" s="108">
        <f t="shared" si="2240"/>
        <v>0</v>
      </c>
      <c r="R1888" s="109">
        <f t="shared" si="2241"/>
        <v>0.19067796610169491</v>
      </c>
      <c r="S1888" s="109">
        <f t="shared" si="2242"/>
        <v>1.6949152542372881E-2</v>
      </c>
      <c r="T1888" s="109">
        <f t="shared" si="2243"/>
        <v>8.4745762711864403E-2</v>
      </c>
      <c r="U1888" s="110">
        <f t="shared" si="2244"/>
        <v>0.2923728813559322</v>
      </c>
      <c r="V1888" s="136"/>
    </row>
    <row r="1889" spans="2:25" s="97" customFormat="1" ht="16.5" hidden="1" customHeight="1" x14ac:dyDescent="0.2">
      <c r="B1889" s="711">
        <v>46206</v>
      </c>
      <c r="C1889" s="105" t="s">
        <v>18</v>
      </c>
      <c r="D1889" s="105" t="s">
        <v>20</v>
      </c>
      <c r="E1889" s="711">
        <v>46206</v>
      </c>
      <c r="F1889" s="89"/>
      <c r="G1889" s="190"/>
      <c r="H1889" s="840" t="s">
        <v>19</v>
      </c>
      <c r="I1889" s="841"/>
      <c r="J1889" s="113">
        <f t="shared" ref="J1889:P1889" si="2250">SUM(J1884:J1888)</f>
        <v>582</v>
      </c>
      <c r="K1889" s="113">
        <f t="shared" si="2250"/>
        <v>144</v>
      </c>
      <c r="L1889" s="113">
        <f t="shared" si="2250"/>
        <v>100</v>
      </c>
      <c r="M1889" s="113">
        <f t="shared" si="2250"/>
        <v>182</v>
      </c>
      <c r="N1889" s="113">
        <f t="shared" si="2250"/>
        <v>74</v>
      </c>
      <c r="O1889" s="113">
        <f t="shared" si="2250"/>
        <v>64</v>
      </c>
      <c r="P1889" s="113">
        <f t="shared" si="2250"/>
        <v>18</v>
      </c>
      <c r="Q1889" s="115">
        <f>(K1889+L1889)/J1889</f>
        <v>0.41924398625429554</v>
      </c>
      <c r="R1889" s="116">
        <f t="shared" si="2228"/>
        <v>0.12714776632302405</v>
      </c>
      <c r="S1889" s="116">
        <f t="shared" si="2229"/>
        <v>3.0927835051546393E-2</v>
      </c>
      <c r="T1889" s="116">
        <f t="shared" si="2230"/>
        <v>0.10996563573883161</v>
      </c>
      <c r="U1889" s="117">
        <f t="shared" si="2231"/>
        <v>0.6872852233676976</v>
      </c>
      <c r="V1889" s="213"/>
      <c r="W1889" s="88"/>
      <c r="X1889" s="88"/>
      <c r="Y1889" s="118"/>
    </row>
    <row r="1890" spans="2:25" ht="15.75" hidden="1" x14ac:dyDescent="0.2">
      <c r="B1890" s="711">
        <v>46207</v>
      </c>
      <c r="C1890" s="105" t="s">
        <v>22</v>
      </c>
      <c r="D1890" s="105" t="s">
        <v>13</v>
      </c>
      <c r="E1890" s="711">
        <v>46207</v>
      </c>
      <c r="G1890" s="833">
        <v>46207</v>
      </c>
      <c r="H1890" s="120" t="s">
        <v>16</v>
      </c>
      <c r="I1890" s="120" t="s">
        <v>83</v>
      </c>
      <c r="J1890" s="106">
        <v>231</v>
      </c>
      <c r="K1890" s="106">
        <v>144</v>
      </c>
      <c r="L1890" s="106">
        <v>66</v>
      </c>
      <c r="M1890" s="106">
        <v>0</v>
      </c>
      <c r="N1890" s="106">
        <v>0</v>
      </c>
      <c r="O1890" s="106">
        <v>20</v>
      </c>
      <c r="P1890" s="106">
        <v>1</v>
      </c>
      <c r="Q1890" s="108">
        <f t="shared" ref="Q1890:Q1894" si="2251">(K1890+L1890)/J1890</f>
        <v>0.90909090909090906</v>
      </c>
      <c r="R1890" s="109">
        <f t="shared" si="2228"/>
        <v>0</v>
      </c>
      <c r="S1890" s="109">
        <f t="shared" si="2229"/>
        <v>4.329004329004329E-3</v>
      </c>
      <c r="T1890" s="109">
        <f t="shared" si="2230"/>
        <v>8.6580086580086577E-2</v>
      </c>
      <c r="U1890" s="110">
        <f t="shared" si="2231"/>
        <v>0.99999999999999989</v>
      </c>
      <c r="V1890" s="136"/>
    </row>
    <row r="1891" spans="2:25" ht="15.75" hidden="1" x14ac:dyDescent="0.2">
      <c r="B1891" s="711">
        <v>46207</v>
      </c>
      <c r="C1891" s="105" t="s">
        <v>22</v>
      </c>
      <c r="D1891" s="105" t="s">
        <v>13</v>
      </c>
      <c r="E1891" s="711">
        <v>46207</v>
      </c>
      <c r="G1891" s="834"/>
      <c r="H1891" s="120" t="s">
        <v>17</v>
      </c>
      <c r="I1891" s="120" t="s">
        <v>100</v>
      </c>
      <c r="J1891" s="106">
        <v>64</v>
      </c>
      <c r="K1891" s="106">
        <v>19</v>
      </c>
      <c r="L1891" s="106">
        <v>12</v>
      </c>
      <c r="M1891" s="106">
        <v>5</v>
      </c>
      <c r="N1891" s="106">
        <v>0</v>
      </c>
      <c r="O1891" s="106">
        <v>24</v>
      </c>
      <c r="P1891" s="106">
        <v>4</v>
      </c>
      <c r="Q1891" s="108">
        <f t="shared" si="2251"/>
        <v>0.484375</v>
      </c>
      <c r="R1891" s="109">
        <f t="shared" si="2228"/>
        <v>0</v>
      </c>
      <c r="S1891" s="109">
        <f t="shared" si="2229"/>
        <v>6.25E-2</v>
      </c>
      <c r="T1891" s="109">
        <f t="shared" si="2230"/>
        <v>0.375</v>
      </c>
      <c r="U1891" s="110">
        <f t="shared" si="2231"/>
        <v>0.921875</v>
      </c>
      <c r="V1891" s="340" t="s">
        <v>177</v>
      </c>
    </row>
    <row r="1892" spans="2:25" ht="15.75" hidden="1" x14ac:dyDescent="0.2">
      <c r="B1892" s="711">
        <v>46207</v>
      </c>
      <c r="C1892" s="105" t="s">
        <v>22</v>
      </c>
      <c r="D1892" s="105" t="s">
        <v>13</v>
      </c>
      <c r="E1892" s="711">
        <v>46207</v>
      </c>
      <c r="G1892" s="834"/>
      <c r="H1892" s="120" t="s">
        <v>120</v>
      </c>
      <c r="I1892" s="120" t="s">
        <v>43</v>
      </c>
      <c r="J1892" s="106">
        <v>38</v>
      </c>
      <c r="K1892" s="106">
        <v>0</v>
      </c>
      <c r="L1892" s="106">
        <v>0</v>
      </c>
      <c r="M1892" s="106">
        <v>0</v>
      </c>
      <c r="N1892" s="107">
        <v>34</v>
      </c>
      <c r="O1892" s="106">
        <v>0</v>
      </c>
      <c r="P1892" s="106">
        <v>4</v>
      </c>
      <c r="Q1892" s="108">
        <f t="shared" si="2251"/>
        <v>0</v>
      </c>
      <c r="R1892" s="109">
        <f t="shared" si="2228"/>
        <v>0.89473684210526316</v>
      </c>
      <c r="S1892" s="109">
        <f t="shared" si="2229"/>
        <v>0.10526315789473684</v>
      </c>
      <c r="T1892" s="109">
        <f t="shared" si="2230"/>
        <v>0</v>
      </c>
      <c r="U1892" s="110">
        <f t="shared" si="2231"/>
        <v>1</v>
      </c>
      <c r="V1892" s="136"/>
    </row>
    <row r="1893" spans="2:25" ht="15.75" hidden="1" x14ac:dyDescent="0.2">
      <c r="B1893" s="711">
        <v>46207</v>
      </c>
      <c r="C1893" s="105" t="s">
        <v>22</v>
      </c>
      <c r="D1893" s="105" t="s">
        <v>13</v>
      </c>
      <c r="E1893" s="711">
        <v>46207</v>
      </c>
      <c r="G1893" s="835"/>
      <c r="H1893" s="257" t="s">
        <v>118</v>
      </c>
      <c r="I1893" s="257" t="s">
        <v>43</v>
      </c>
      <c r="J1893" s="258">
        <v>13</v>
      </c>
      <c r="K1893" s="258">
        <v>0</v>
      </c>
      <c r="L1893" s="258">
        <v>0</v>
      </c>
      <c r="M1893" s="258">
        <v>8</v>
      </c>
      <c r="N1893" s="258">
        <v>0</v>
      </c>
      <c r="O1893" s="258">
        <v>0</v>
      </c>
      <c r="P1893" s="258">
        <v>5</v>
      </c>
      <c r="Q1893" s="259">
        <f t="shared" si="2251"/>
        <v>0</v>
      </c>
      <c r="R1893" s="260">
        <f t="shared" si="2228"/>
        <v>0</v>
      </c>
      <c r="S1893" s="260">
        <f t="shared" si="2229"/>
        <v>0.38461538461538464</v>
      </c>
      <c r="T1893" s="260">
        <f t="shared" si="2230"/>
        <v>0</v>
      </c>
      <c r="U1893" s="261">
        <f t="shared" si="2231"/>
        <v>0.38461538461538464</v>
      </c>
      <c r="V1893" s="339"/>
    </row>
    <row r="1894" spans="2:25" ht="15.75" hidden="1" x14ac:dyDescent="0.2">
      <c r="B1894" s="711">
        <v>46207</v>
      </c>
      <c r="C1894" s="105" t="s">
        <v>22</v>
      </c>
      <c r="D1894" s="105" t="s">
        <v>13</v>
      </c>
      <c r="E1894" s="711">
        <v>46207</v>
      </c>
      <c r="G1894" s="342">
        <v>46210</v>
      </c>
      <c r="H1894" s="198" t="s">
        <v>16</v>
      </c>
      <c r="I1894" s="198" t="s">
        <v>83</v>
      </c>
      <c r="J1894" s="198">
        <v>236</v>
      </c>
      <c r="K1894" s="198">
        <v>30</v>
      </c>
      <c r="L1894" s="198">
        <v>7</v>
      </c>
      <c r="M1894" s="198">
        <v>121</v>
      </c>
      <c r="N1894" s="199">
        <v>55</v>
      </c>
      <c r="O1894" s="198">
        <v>20</v>
      </c>
      <c r="P1894" s="198">
        <v>3</v>
      </c>
      <c r="Q1894" s="200">
        <f t="shared" si="2251"/>
        <v>0.15677966101694915</v>
      </c>
      <c r="R1894" s="201">
        <f t="shared" si="2228"/>
        <v>0.23305084745762711</v>
      </c>
      <c r="S1894" s="201">
        <f t="shared" si="2229"/>
        <v>1.2711864406779662E-2</v>
      </c>
      <c r="T1894" s="201">
        <f t="shared" si="2230"/>
        <v>8.4745762711864403E-2</v>
      </c>
      <c r="U1894" s="202">
        <f t="shared" si="2231"/>
        <v>0.48728813559322032</v>
      </c>
      <c r="V1894" s="136"/>
    </row>
    <row r="1895" spans="2:25" ht="15.75" hidden="1" x14ac:dyDescent="0.2">
      <c r="B1895" s="711">
        <v>46207</v>
      </c>
      <c r="C1895" s="105" t="s">
        <v>22</v>
      </c>
      <c r="D1895" s="105" t="s">
        <v>13</v>
      </c>
      <c r="E1895" s="711">
        <v>46210</v>
      </c>
      <c r="G1895" s="190"/>
      <c r="H1895" s="840" t="s">
        <v>19</v>
      </c>
      <c r="I1895" s="841"/>
      <c r="J1895" s="113">
        <f>SUM(J1890:J1894)</f>
        <v>582</v>
      </c>
      <c r="K1895" s="113">
        <f t="shared" ref="K1895:P1895" si="2252">SUM(K1890:K1894)</f>
        <v>193</v>
      </c>
      <c r="L1895" s="113">
        <f t="shared" si="2252"/>
        <v>85</v>
      </c>
      <c r="M1895" s="113">
        <f t="shared" si="2252"/>
        <v>134</v>
      </c>
      <c r="N1895" s="113">
        <f t="shared" si="2252"/>
        <v>89</v>
      </c>
      <c r="O1895" s="113">
        <f t="shared" si="2252"/>
        <v>64</v>
      </c>
      <c r="P1895" s="113">
        <f t="shared" si="2252"/>
        <v>17</v>
      </c>
      <c r="Q1895" s="115">
        <f>(K1895+L1895)/J1895</f>
        <v>0.47766323024054985</v>
      </c>
      <c r="R1895" s="116">
        <f t="shared" ref="R1895:R1896" si="2253">N1895/J1895</f>
        <v>0.15292096219931273</v>
      </c>
      <c r="S1895" s="116">
        <f t="shared" ref="S1895:S1896" si="2254">P1895/J1895</f>
        <v>2.9209621993127148E-2</v>
      </c>
      <c r="T1895" s="116">
        <f t="shared" ref="T1895:T1896" si="2255">O1895/J1895</f>
        <v>0.10996563573883161</v>
      </c>
      <c r="U1895" s="117">
        <f t="shared" ref="U1895:U1896" si="2256">S1895+R1895+Q1895+T1895</f>
        <v>0.76975945017182146</v>
      </c>
      <c r="V1895" s="213"/>
    </row>
    <row r="1896" spans="2:25" ht="15.75" hidden="1" x14ac:dyDescent="0.2">
      <c r="B1896" s="711">
        <v>46207</v>
      </c>
      <c r="C1896" s="105" t="s">
        <v>12</v>
      </c>
      <c r="D1896" s="105" t="s">
        <v>163</v>
      </c>
      <c r="E1896" s="711">
        <v>46210</v>
      </c>
      <c r="G1896" s="342">
        <v>46210</v>
      </c>
      <c r="H1896" s="198" t="s">
        <v>16</v>
      </c>
      <c r="I1896" s="198" t="s">
        <v>83</v>
      </c>
      <c r="J1896" s="198">
        <v>236</v>
      </c>
      <c r="K1896" s="198">
        <f>236-97</f>
        <v>139</v>
      </c>
      <c r="L1896" s="198">
        <v>57</v>
      </c>
      <c r="M1896" s="198">
        <v>17</v>
      </c>
      <c r="N1896" s="199">
        <v>0</v>
      </c>
      <c r="O1896" s="198">
        <v>20</v>
      </c>
      <c r="P1896" s="198">
        <v>3</v>
      </c>
      <c r="Q1896" s="200">
        <f t="shared" ref="Q1896" si="2257">(K1896+L1896)/J1896</f>
        <v>0.83050847457627119</v>
      </c>
      <c r="R1896" s="201">
        <f t="shared" si="2253"/>
        <v>0</v>
      </c>
      <c r="S1896" s="201">
        <f t="shared" si="2254"/>
        <v>1.2711864406779662E-2</v>
      </c>
      <c r="T1896" s="201">
        <f t="shared" si="2255"/>
        <v>8.4745762711864403E-2</v>
      </c>
      <c r="U1896" s="202">
        <f t="shared" si="2256"/>
        <v>0.92796610169491522</v>
      </c>
      <c r="V1896" s="136"/>
    </row>
    <row r="1897" spans="2:25" ht="15.75" hidden="1" x14ac:dyDescent="0.2">
      <c r="B1897" s="711">
        <v>46207</v>
      </c>
      <c r="C1897" s="105" t="s">
        <v>12</v>
      </c>
      <c r="D1897" s="105" t="s">
        <v>163</v>
      </c>
      <c r="E1897" s="711">
        <v>46210</v>
      </c>
      <c r="G1897" s="190"/>
      <c r="H1897" s="840" t="s">
        <v>19</v>
      </c>
      <c r="I1897" s="841"/>
      <c r="J1897" s="113">
        <f t="shared" ref="J1897:P1897" si="2258">SUM(J1896:J1896)</f>
        <v>236</v>
      </c>
      <c r="K1897" s="113">
        <f t="shared" si="2258"/>
        <v>139</v>
      </c>
      <c r="L1897" s="113">
        <f t="shared" si="2258"/>
        <v>57</v>
      </c>
      <c r="M1897" s="113">
        <f t="shared" si="2258"/>
        <v>17</v>
      </c>
      <c r="N1897" s="113">
        <f t="shared" si="2258"/>
        <v>0</v>
      </c>
      <c r="O1897" s="113">
        <f t="shared" si="2258"/>
        <v>20</v>
      </c>
      <c r="P1897" s="113">
        <f t="shared" si="2258"/>
        <v>3</v>
      </c>
      <c r="Q1897" s="115">
        <f>(K1897+L1897)/J1897</f>
        <v>0.83050847457627119</v>
      </c>
      <c r="R1897" s="116">
        <f t="shared" ref="R1897:R1902" si="2259">N1897/J1897</f>
        <v>0</v>
      </c>
      <c r="S1897" s="116">
        <f t="shared" ref="S1897:S1902" si="2260">P1897/J1897</f>
        <v>1.2711864406779662E-2</v>
      </c>
      <c r="T1897" s="116">
        <f t="shared" ref="T1897:T1902" si="2261">O1897/J1897</f>
        <v>8.4745762711864403E-2</v>
      </c>
      <c r="U1897" s="117">
        <f t="shared" ref="U1897:U1902" si="2262">S1897+R1897+Q1897+T1897</f>
        <v>0.92796610169491522</v>
      </c>
      <c r="V1897" s="213"/>
    </row>
    <row r="1898" spans="2:25" ht="15.75" hidden="1" x14ac:dyDescent="0.2">
      <c r="B1898" s="711">
        <v>46207</v>
      </c>
      <c r="C1898" s="105" t="s">
        <v>18</v>
      </c>
      <c r="D1898" s="105" t="s">
        <v>20</v>
      </c>
      <c r="E1898" s="711">
        <v>46207</v>
      </c>
      <c r="G1898" s="830">
        <v>46207</v>
      </c>
      <c r="H1898" s="120" t="s">
        <v>17</v>
      </c>
      <c r="I1898" s="120" t="s">
        <v>167</v>
      </c>
      <c r="J1898" s="106">
        <f>SUM(K1898:P1898)</f>
        <v>35</v>
      </c>
      <c r="K1898" s="106">
        <v>20</v>
      </c>
      <c r="L1898" s="106">
        <f>19-7</f>
        <v>12</v>
      </c>
      <c r="M1898" s="106">
        <v>0</v>
      </c>
      <c r="N1898" s="106">
        <v>0</v>
      </c>
      <c r="O1898" s="106">
        <v>0</v>
      </c>
      <c r="P1898" s="106">
        <v>3</v>
      </c>
      <c r="Q1898" s="108">
        <f t="shared" ref="Q1898:Q1901" si="2263">(K1898+L1898)/J1898</f>
        <v>0.91428571428571426</v>
      </c>
      <c r="R1898" s="109">
        <f t="shared" si="2259"/>
        <v>0</v>
      </c>
      <c r="S1898" s="109">
        <f t="shared" si="2260"/>
        <v>8.5714285714285715E-2</v>
      </c>
      <c r="T1898" s="109">
        <f t="shared" si="2261"/>
        <v>0</v>
      </c>
      <c r="U1898" s="110">
        <f t="shared" si="2262"/>
        <v>1</v>
      </c>
      <c r="V1898" s="220"/>
    </row>
    <row r="1899" spans="2:25" ht="15.75" hidden="1" x14ac:dyDescent="0.2">
      <c r="B1899" s="711">
        <v>46207</v>
      </c>
      <c r="C1899" s="105" t="s">
        <v>18</v>
      </c>
      <c r="D1899" s="105" t="s">
        <v>20</v>
      </c>
      <c r="E1899" s="711">
        <v>46210</v>
      </c>
      <c r="G1899" s="832"/>
      <c r="H1899" s="120" t="s">
        <v>16</v>
      </c>
      <c r="I1899" s="120" t="s">
        <v>83</v>
      </c>
      <c r="J1899" s="106">
        <v>231</v>
      </c>
      <c r="K1899" s="106">
        <v>2</v>
      </c>
      <c r="L1899" s="106">
        <v>12</v>
      </c>
      <c r="M1899" s="106">
        <v>0</v>
      </c>
      <c r="N1899" s="106">
        <v>0</v>
      </c>
      <c r="O1899" s="106">
        <v>0</v>
      </c>
      <c r="P1899" s="106">
        <v>2</v>
      </c>
      <c r="Q1899" s="108">
        <f t="shared" si="2263"/>
        <v>6.0606060606060608E-2</v>
      </c>
      <c r="R1899" s="109">
        <f t="shared" si="2259"/>
        <v>0</v>
      </c>
      <c r="S1899" s="109">
        <f t="shared" si="2260"/>
        <v>8.658008658008658E-3</v>
      </c>
      <c r="T1899" s="109">
        <f t="shared" si="2261"/>
        <v>0</v>
      </c>
      <c r="U1899" s="110">
        <f t="shared" si="2262"/>
        <v>6.9264069264069264E-2</v>
      </c>
      <c r="V1899" s="136"/>
    </row>
    <row r="1900" spans="2:25" ht="15.75" hidden="1" x14ac:dyDescent="0.2">
      <c r="B1900" s="711">
        <v>46207</v>
      </c>
      <c r="C1900" s="105" t="s">
        <v>18</v>
      </c>
      <c r="D1900" s="105" t="s">
        <v>20</v>
      </c>
      <c r="E1900" s="711">
        <v>46210</v>
      </c>
      <c r="G1900" s="830">
        <v>46210</v>
      </c>
      <c r="H1900" s="120" t="s">
        <v>17</v>
      </c>
      <c r="I1900" s="120" t="s">
        <v>43</v>
      </c>
      <c r="J1900" s="106">
        <v>38</v>
      </c>
      <c r="K1900" s="106">
        <v>42</v>
      </c>
      <c r="L1900" s="106">
        <v>15</v>
      </c>
      <c r="M1900" s="106">
        <v>0</v>
      </c>
      <c r="N1900" s="106">
        <v>0</v>
      </c>
      <c r="O1900" s="106">
        <v>30</v>
      </c>
      <c r="P1900" s="106">
        <v>5</v>
      </c>
      <c r="Q1900" s="108">
        <f t="shared" si="2263"/>
        <v>1.5</v>
      </c>
      <c r="R1900" s="109">
        <f t="shared" si="2259"/>
        <v>0</v>
      </c>
      <c r="S1900" s="109">
        <f t="shared" si="2260"/>
        <v>0.13157894736842105</v>
      </c>
      <c r="T1900" s="109">
        <f t="shared" si="2261"/>
        <v>0.78947368421052633</v>
      </c>
      <c r="U1900" s="110">
        <f t="shared" si="2262"/>
        <v>2.4210526315789473</v>
      </c>
      <c r="V1900" s="136" t="s">
        <v>21</v>
      </c>
    </row>
    <row r="1901" spans="2:25" ht="15.75" hidden="1" x14ac:dyDescent="0.2">
      <c r="B1901" s="711">
        <v>46207</v>
      </c>
      <c r="C1901" s="105" t="s">
        <v>18</v>
      </c>
      <c r="D1901" s="105" t="s">
        <v>20</v>
      </c>
      <c r="E1901" s="711">
        <v>46210</v>
      </c>
      <c r="G1901" s="832"/>
      <c r="H1901" s="120" t="s">
        <v>16</v>
      </c>
      <c r="I1901" s="120" t="s">
        <v>83</v>
      </c>
      <c r="J1901" s="106">
        <v>13</v>
      </c>
      <c r="K1901" s="106">
        <v>9</v>
      </c>
      <c r="L1901" s="106">
        <v>6</v>
      </c>
      <c r="M1901" s="106">
        <v>0</v>
      </c>
      <c r="N1901" s="106">
        <v>0</v>
      </c>
      <c r="O1901" s="106">
        <v>20</v>
      </c>
      <c r="P1901" s="106">
        <v>3</v>
      </c>
      <c r="Q1901" s="108">
        <f t="shared" si="2263"/>
        <v>1.1538461538461537</v>
      </c>
      <c r="R1901" s="109">
        <f t="shared" si="2259"/>
        <v>0</v>
      </c>
      <c r="S1901" s="109">
        <f t="shared" si="2260"/>
        <v>0.23076923076923078</v>
      </c>
      <c r="T1901" s="109">
        <f t="shared" si="2261"/>
        <v>1.5384615384615385</v>
      </c>
      <c r="U1901" s="110">
        <f t="shared" si="2262"/>
        <v>2.9230769230769234</v>
      </c>
      <c r="V1901" s="136" t="s">
        <v>21</v>
      </c>
    </row>
    <row r="1902" spans="2:25" s="97" customFormat="1" ht="16.5" hidden="1" customHeight="1" x14ac:dyDescent="0.2">
      <c r="B1902" s="711">
        <v>46207</v>
      </c>
      <c r="C1902" s="105" t="s">
        <v>18</v>
      </c>
      <c r="D1902" s="105" t="s">
        <v>20</v>
      </c>
      <c r="E1902" s="711">
        <v>46207</v>
      </c>
      <c r="F1902" s="89"/>
      <c r="G1902" s="190"/>
      <c r="H1902" s="840" t="s">
        <v>19</v>
      </c>
      <c r="I1902" s="841"/>
      <c r="J1902" s="113">
        <f t="shared" ref="J1902:P1902" si="2264">SUM(J1898:J1901)</f>
        <v>317</v>
      </c>
      <c r="K1902" s="113">
        <f t="shared" si="2264"/>
        <v>73</v>
      </c>
      <c r="L1902" s="113">
        <f t="shared" si="2264"/>
        <v>45</v>
      </c>
      <c r="M1902" s="113">
        <f t="shared" si="2264"/>
        <v>0</v>
      </c>
      <c r="N1902" s="113">
        <f t="shared" si="2264"/>
        <v>0</v>
      </c>
      <c r="O1902" s="113">
        <f t="shared" si="2264"/>
        <v>50</v>
      </c>
      <c r="P1902" s="113">
        <f t="shared" si="2264"/>
        <v>13</v>
      </c>
      <c r="Q1902" s="115">
        <f>(K1902+L1902)/J1902</f>
        <v>0.37223974763406942</v>
      </c>
      <c r="R1902" s="116">
        <f t="shared" si="2259"/>
        <v>0</v>
      </c>
      <c r="S1902" s="116">
        <f t="shared" si="2260"/>
        <v>4.1009463722397478E-2</v>
      </c>
      <c r="T1902" s="116">
        <f t="shared" si="2261"/>
        <v>0.15772870662460567</v>
      </c>
      <c r="U1902" s="117">
        <f t="shared" si="2262"/>
        <v>0.57097791798107256</v>
      </c>
      <c r="V1902" s="213"/>
      <c r="W1902" s="88"/>
      <c r="X1902" s="88"/>
      <c r="Y1902" s="118"/>
    </row>
    <row r="1903" spans="2:25" ht="15.75" hidden="1" x14ac:dyDescent="0.2">
      <c r="B1903" s="711">
        <v>46209</v>
      </c>
      <c r="C1903" s="105" t="s">
        <v>18</v>
      </c>
      <c r="D1903" s="105" t="s">
        <v>20</v>
      </c>
      <c r="E1903" s="711">
        <v>46207</v>
      </c>
      <c r="G1903" s="830">
        <v>46210</v>
      </c>
      <c r="H1903" s="120" t="s">
        <v>16</v>
      </c>
      <c r="I1903" s="120" t="s">
        <v>83</v>
      </c>
      <c r="J1903" s="106">
        <f>SUM(K1903:P1903)</f>
        <v>49</v>
      </c>
      <c r="K1903" s="106">
        <v>0</v>
      </c>
      <c r="L1903" s="106">
        <v>0</v>
      </c>
      <c r="M1903" s="106">
        <v>0</v>
      </c>
      <c r="N1903" s="106">
        <v>26</v>
      </c>
      <c r="O1903" s="106">
        <v>20</v>
      </c>
      <c r="P1903" s="106">
        <v>3</v>
      </c>
      <c r="Q1903" s="108">
        <f t="shared" ref="Q1903:Q1905" si="2265">(K1903+L1903)/J1903</f>
        <v>0</v>
      </c>
      <c r="R1903" s="109">
        <f t="shared" ref="R1903:R1908" si="2266">N1903/J1903</f>
        <v>0.53061224489795922</v>
      </c>
      <c r="S1903" s="109">
        <f t="shared" ref="S1903:S1908" si="2267">P1903/J1903</f>
        <v>6.1224489795918366E-2</v>
      </c>
      <c r="T1903" s="109">
        <f t="shared" ref="T1903:T1908" si="2268">O1903/J1903</f>
        <v>0.40816326530612246</v>
      </c>
      <c r="U1903" s="110">
        <f t="shared" ref="U1903:U1908" si="2269">S1903+R1903+Q1903+T1903</f>
        <v>1</v>
      </c>
      <c r="V1903" s="220"/>
    </row>
    <row r="1904" spans="2:25" ht="15.75" hidden="1" x14ac:dyDescent="0.2">
      <c r="B1904" s="711">
        <v>46209</v>
      </c>
      <c r="C1904" s="105" t="s">
        <v>18</v>
      </c>
      <c r="D1904" s="105" t="s">
        <v>20</v>
      </c>
      <c r="E1904" s="711">
        <v>46210</v>
      </c>
      <c r="G1904" s="832"/>
      <c r="H1904" s="120" t="s">
        <v>118</v>
      </c>
      <c r="I1904" s="120" t="s">
        <v>43</v>
      </c>
      <c r="J1904" s="106">
        <v>266</v>
      </c>
      <c r="K1904" s="106">
        <v>0</v>
      </c>
      <c r="L1904" s="106">
        <v>0</v>
      </c>
      <c r="M1904" s="106">
        <v>29</v>
      </c>
      <c r="N1904" s="106">
        <v>161</v>
      </c>
      <c r="O1904" s="106">
        <v>8</v>
      </c>
      <c r="P1904" s="106">
        <v>68</v>
      </c>
      <c r="Q1904" s="108">
        <f t="shared" si="2265"/>
        <v>0</v>
      </c>
      <c r="R1904" s="109">
        <f t="shared" si="2266"/>
        <v>0.60526315789473684</v>
      </c>
      <c r="S1904" s="109">
        <f t="shared" si="2267"/>
        <v>0.25563909774436089</v>
      </c>
      <c r="T1904" s="109">
        <f t="shared" si="2268"/>
        <v>3.007518796992481E-2</v>
      </c>
      <c r="U1904" s="110">
        <f t="shared" si="2269"/>
        <v>0.89097744360902253</v>
      </c>
      <c r="V1904" s="136"/>
    </row>
    <row r="1905" spans="2:25" ht="15.75" hidden="1" x14ac:dyDescent="0.2">
      <c r="B1905" s="711">
        <v>46209</v>
      </c>
      <c r="C1905" s="105" t="s">
        <v>18</v>
      </c>
      <c r="D1905" s="105" t="s">
        <v>20</v>
      </c>
      <c r="E1905" s="711">
        <v>46210</v>
      </c>
      <c r="G1905" s="830">
        <v>46211</v>
      </c>
      <c r="H1905" s="120" t="s">
        <v>16</v>
      </c>
      <c r="I1905" s="120" t="s">
        <v>83</v>
      </c>
      <c r="J1905" s="106">
        <v>220</v>
      </c>
      <c r="K1905" s="106">
        <v>0</v>
      </c>
      <c r="L1905" s="106">
        <v>0</v>
      </c>
      <c r="M1905" s="106">
        <v>152</v>
      </c>
      <c r="N1905" s="106">
        <v>0</v>
      </c>
      <c r="O1905" s="106">
        <v>22</v>
      </c>
      <c r="P1905" s="106">
        <v>46</v>
      </c>
      <c r="Q1905" s="108">
        <f t="shared" si="2265"/>
        <v>0</v>
      </c>
      <c r="R1905" s="109">
        <f t="shared" si="2266"/>
        <v>0</v>
      </c>
      <c r="S1905" s="109">
        <f t="shared" si="2267"/>
        <v>0.20909090909090908</v>
      </c>
      <c r="T1905" s="109">
        <f t="shared" si="2268"/>
        <v>0.1</v>
      </c>
      <c r="U1905" s="110">
        <f t="shared" si="2269"/>
        <v>0.30909090909090908</v>
      </c>
      <c r="V1905" s="136"/>
    </row>
    <row r="1906" spans="2:25" ht="15.75" hidden="1" x14ac:dyDescent="0.2">
      <c r="B1906" s="711">
        <v>46209</v>
      </c>
      <c r="C1906" s="105" t="s">
        <v>18</v>
      </c>
      <c r="D1906" s="105" t="s">
        <v>20</v>
      </c>
      <c r="E1906" s="711">
        <v>46210</v>
      </c>
      <c r="G1906" s="831"/>
      <c r="H1906" s="120" t="s">
        <v>17</v>
      </c>
      <c r="I1906" s="120" t="s">
        <v>43</v>
      </c>
      <c r="J1906" s="106">
        <v>55</v>
      </c>
      <c r="K1906" s="106">
        <v>0</v>
      </c>
      <c r="L1906" s="106">
        <v>0</v>
      </c>
      <c r="M1906" s="106">
        <v>2</v>
      </c>
      <c r="N1906" s="106">
        <v>35</v>
      </c>
      <c r="O1906" s="106">
        <v>15</v>
      </c>
      <c r="P1906" s="106">
        <v>3</v>
      </c>
      <c r="Q1906" s="108">
        <f t="shared" ref="Q1906:Q1907" si="2270">(K1906+L1906)/J1906</f>
        <v>0</v>
      </c>
      <c r="R1906" s="109">
        <f t="shared" ref="R1906:R1907" si="2271">N1906/J1906</f>
        <v>0.63636363636363635</v>
      </c>
      <c r="S1906" s="109">
        <f t="shared" ref="S1906:S1907" si="2272">P1906/J1906</f>
        <v>5.4545454545454543E-2</v>
      </c>
      <c r="T1906" s="109">
        <f t="shared" ref="T1906:T1907" si="2273">O1906/J1906</f>
        <v>0.27272727272727271</v>
      </c>
      <c r="U1906" s="110">
        <f t="shared" ref="U1906:U1907" si="2274">S1906+R1906+Q1906+T1906</f>
        <v>0.96363636363636362</v>
      </c>
      <c r="V1906" s="136"/>
    </row>
    <row r="1907" spans="2:25" ht="15.75" hidden="1" x14ac:dyDescent="0.2">
      <c r="B1907" s="711">
        <v>46209</v>
      </c>
      <c r="C1907" s="105" t="s">
        <v>18</v>
      </c>
      <c r="D1907" s="105" t="s">
        <v>20</v>
      </c>
      <c r="E1907" s="711">
        <v>46210</v>
      </c>
      <c r="G1907" s="832"/>
      <c r="H1907" s="120" t="s">
        <v>84</v>
      </c>
      <c r="I1907" s="106" t="s">
        <v>15</v>
      </c>
      <c r="J1907" s="106">
        <v>283</v>
      </c>
      <c r="K1907" s="106">
        <v>0</v>
      </c>
      <c r="L1907" s="106">
        <v>0</v>
      </c>
      <c r="M1907" s="106">
        <v>283</v>
      </c>
      <c r="N1907" s="106">
        <v>0</v>
      </c>
      <c r="O1907" s="106">
        <v>0</v>
      </c>
      <c r="P1907" s="106">
        <v>0</v>
      </c>
      <c r="Q1907" s="108">
        <f t="shared" si="2270"/>
        <v>0</v>
      </c>
      <c r="R1907" s="109">
        <f t="shared" si="2271"/>
        <v>0</v>
      </c>
      <c r="S1907" s="109">
        <f t="shared" si="2272"/>
        <v>0</v>
      </c>
      <c r="T1907" s="109">
        <f t="shared" si="2273"/>
        <v>0</v>
      </c>
      <c r="U1907" s="110">
        <f t="shared" si="2274"/>
        <v>0</v>
      </c>
      <c r="V1907" s="136"/>
    </row>
    <row r="1908" spans="2:25" s="97" customFormat="1" ht="16.5" hidden="1" customHeight="1" x14ac:dyDescent="0.2">
      <c r="B1908" s="711">
        <v>46209</v>
      </c>
      <c r="C1908" s="105" t="s">
        <v>18</v>
      </c>
      <c r="D1908" s="105" t="s">
        <v>20</v>
      </c>
      <c r="E1908" s="711">
        <v>46207</v>
      </c>
      <c r="F1908" s="89"/>
      <c r="G1908" s="190"/>
      <c r="H1908" s="840" t="s">
        <v>19</v>
      </c>
      <c r="I1908" s="841"/>
      <c r="J1908" s="113">
        <f t="shared" ref="J1908" si="2275">SUM(J1903:J1907)</f>
        <v>873</v>
      </c>
      <c r="K1908" s="113">
        <f t="shared" ref="K1908" si="2276">SUM(K1903:K1907)</f>
        <v>0</v>
      </c>
      <c r="L1908" s="113">
        <f t="shared" ref="L1908" si="2277">SUM(L1903:L1907)</f>
        <v>0</v>
      </c>
      <c r="M1908" s="113">
        <f t="shared" ref="M1908" si="2278">SUM(M1903:M1907)</f>
        <v>466</v>
      </c>
      <c r="N1908" s="113">
        <f t="shared" ref="N1908" si="2279">SUM(N1903:N1907)</f>
        <v>222</v>
      </c>
      <c r="O1908" s="113">
        <f t="shared" ref="O1908" si="2280">SUM(O1903:O1907)</f>
        <v>65</v>
      </c>
      <c r="P1908" s="113">
        <f t="shared" ref="P1908" si="2281">SUM(P1903:P1907)</f>
        <v>120</v>
      </c>
      <c r="Q1908" s="115">
        <f>(K1908+L1908)/J1908</f>
        <v>0</v>
      </c>
      <c r="R1908" s="116">
        <f t="shared" si="2266"/>
        <v>0.25429553264604809</v>
      </c>
      <c r="S1908" s="116">
        <f t="shared" si="2267"/>
        <v>0.13745704467353953</v>
      </c>
      <c r="T1908" s="116">
        <f t="shared" si="2268"/>
        <v>7.4455899198167239E-2</v>
      </c>
      <c r="U1908" s="117">
        <f t="shared" si="2269"/>
        <v>0.46620847651775488</v>
      </c>
      <c r="V1908" s="213"/>
      <c r="W1908" s="88"/>
      <c r="X1908" s="88"/>
      <c r="Y1908" s="118"/>
    </row>
    <row r="1909" spans="2:25" ht="15.75" hidden="1" x14ac:dyDescent="0.2">
      <c r="B1909" s="711">
        <v>46210</v>
      </c>
      <c r="C1909" s="105" t="s">
        <v>22</v>
      </c>
      <c r="D1909" s="105" t="s">
        <v>13</v>
      </c>
      <c r="E1909" s="711">
        <v>46210</v>
      </c>
      <c r="G1909" s="833">
        <v>46210</v>
      </c>
      <c r="H1909" s="120" t="s">
        <v>16</v>
      </c>
      <c r="I1909" s="120" t="s">
        <v>83</v>
      </c>
      <c r="J1909" s="106">
        <v>23</v>
      </c>
      <c r="K1909" s="106">
        <v>0</v>
      </c>
      <c r="L1909" s="106">
        <v>0</v>
      </c>
      <c r="M1909" s="106">
        <v>0</v>
      </c>
      <c r="N1909" s="106">
        <v>0</v>
      </c>
      <c r="O1909" s="106">
        <v>20</v>
      </c>
      <c r="P1909" s="106">
        <v>3</v>
      </c>
      <c r="Q1909" s="108">
        <f t="shared" ref="Q1909:Q1914" si="2282">(K1909+L1909)/J1909</f>
        <v>0</v>
      </c>
      <c r="R1909" s="109">
        <f t="shared" ref="R1909:R1915" si="2283">N1909/J1909</f>
        <v>0</v>
      </c>
      <c r="S1909" s="109">
        <f t="shared" ref="S1909:S1915" si="2284">P1909/J1909</f>
        <v>0.13043478260869565</v>
      </c>
      <c r="T1909" s="109">
        <f t="shared" ref="T1909:T1915" si="2285">O1909/J1909</f>
        <v>0.86956521739130432</v>
      </c>
      <c r="U1909" s="110">
        <f t="shared" ref="U1909:U1915" si="2286">S1909+R1909+Q1909+T1909</f>
        <v>1</v>
      </c>
      <c r="V1909" s="220"/>
    </row>
    <row r="1910" spans="2:25" ht="15.75" hidden="1" x14ac:dyDescent="0.2">
      <c r="B1910" s="711">
        <v>46210</v>
      </c>
      <c r="C1910" s="105" t="s">
        <v>22</v>
      </c>
      <c r="D1910" s="105" t="s">
        <v>13</v>
      </c>
      <c r="E1910" s="711">
        <v>46210</v>
      </c>
      <c r="G1910" s="834"/>
      <c r="H1910" s="120" t="s">
        <v>17</v>
      </c>
      <c r="I1910" s="120" t="s">
        <v>43</v>
      </c>
      <c r="J1910" s="106">
        <v>45</v>
      </c>
      <c r="K1910" s="106">
        <v>0</v>
      </c>
      <c r="L1910" s="106">
        <v>0</v>
      </c>
      <c r="M1910" s="106">
        <v>20</v>
      </c>
      <c r="N1910" s="106">
        <v>0</v>
      </c>
      <c r="O1910" s="106">
        <v>20</v>
      </c>
      <c r="P1910" s="106">
        <v>5</v>
      </c>
      <c r="Q1910" s="108">
        <f t="shared" ref="Q1910:Q1912" si="2287">(K1910+L1910)/J1910</f>
        <v>0</v>
      </c>
      <c r="R1910" s="109">
        <f t="shared" ref="R1910" si="2288">N1910/J1910</f>
        <v>0</v>
      </c>
      <c r="S1910" s="109">
        <f t="shared" si="2284"/>
        <v>0.1111111111111111</v>
      </c>
      <c r="T1910" s="109">
        <f t="shared" si="2285"/>
        <v>0.44444444444444442</v>
      </c>
      <c r="U1910" s="110">
        <f t="shared" si="2286"/>
        <v>0.55555555555555558</v>
      </c>
      <c r="V1910" s="136"/>
    </row>
    <row r="1911" spans="2:25" ht="15.75" hidden="1" x14ac:dyDescent="0.2">
      <c r="B1911" s="711">
        <v>46210</v>
      </c>
      <c r="C1911" s="105" t="s">
        <v>22</v>
      </c>
      <c r="D1911" s="105" t="s">
        <v>13</v>
      </c>
      <c r="E1911" s="711">
        <v>46210</v>
      </c>
      <c r="G1911" s="835"/>
      <c r="H1911" s="120" t="s">
        <v>118</v>
      </c>
      <c r="I1911" s="120" t="s">
        <v>43</v>
      </c>
      <c r="J1911" s="106">
        <v>266</v>
      </c>
      <c r="K1911" s="106">
        <v>92</v>
      </c>
      <c r="L1911" s="106">
        <v>14</v>
      </c>
      <c r="M1911" s="106">
        <v>3</v>
      </c>
      <c r="N1911" s="107">
        <v>85</v>
      </c>
      <c r="O1911" s="106">
        <v>8</v>
      </c>
      <c r="P1911" s="106">
        <v>64</v>
      </c>
      <c r="Q1911" s="108">
        <f t="shared" si="2287"/>
        <v>0.39849624060150374</v>
      </c>
      <c r="R1911" s="109">
        <f t="shared" si="2283"/>
        <v>0.31954887218045114</v>
      </c>
      <c r="S1911" s="109">
        <f t="shared" si="2284"/>
        <v>0.24060150375939848</v>
      </c>
      <c r="T1911" s="109">
        <f t="shared" si="2285"/>
        <v>3.007518796992481E-2</v>
      </c>
      <c r="U1911" s="110">
        <f t="shared" si="2286"/>
        <v>0.98872180451127822</v>
      </c>
      <c r="V1911" s="136"/>
    </row>
    <row r="1912" spans="2:25" ht="15.75" hidden="1" x14ac:dyDescent="0.2">
      <c r="B1912" s="711">
        <v>46210</v>
      </c>
      <c r="C1912" s="105" t="s">
        <v>22</v>
      </c>
      <c r="D1912" s="105" t="s">
        <v>13</v>
      </c>
      <c r="E1912" s="711">
        <v>46211</v>
      </c>
      <c r="G1912" s="830">
        <v>46211</v>
      </c>
      <c r="H1912" s="120" t="s">
        <v>16</v>
      </c>
      <c r="I1912" s="120" t="s">
        <v>83</v>
      </c>
      <c r="J1912" s="106">
        <v>220</v>
      </c>
      <c r="K1912" s="106">
        <v>32</v>
      </c>
      <c r="L1912" s="106">
        <v>13</v>
      </c>
      <c r="M1912" s="106">
        <v>40</v>
      </c>
      <c r="N1912" s="107">
        <v>67</v>
      </c>
      <c r="O1912" s="106">
        <v>22</v>
      </c>
      <c r="P1912" s="106">
        <v>46</v>
      </c>
      <c r="Q1912" s="108">
        <f t="shared" si="2287"/>
        <v>0.20454545454545456</v>
      </c>
      <c r="R1912" s="109">
        <f t="shared" si="2283"/>
        <v>0.30454545454545456</v>
      </c>
      <c r="S1912" s="109">
        <f t="shared" si="2284"/>
        <v>0.20909090909090908</v>
      </c>
      <c r="T1912" s="109">
        <f t="shared" si="2285"/>
        <v>0.1</v>
      </c>
      <c r="U1912" s="110">
        <f t="shared" si="2286"/>
        <v>0.81818181818181823</v>
      </c>
      <c r="V1912" s="136"/>
    </row>
    <row r="1913" spans="2:25" ht="15.75" hidden="1" x14ac:dyDescent="0.2">
      <c r="B1913" s="711">
        <v>46210</v>
      </c>
      <c r="C1913" s="105" t="s">
        <v>22</v>
      </c>
      <c r="D1913" s="105" t="s">
        <v>13</v>
      </c>
      <c r="E1913" s="711">
        <v>46211</v>
      </c>
      <c r="G1913" s="831"/>
      <c r="H1913" s="120" t="s">
        <v>17</v>
      </c>
      <c r="I1913" s="120" t="s">
        <v>43</v>
      </c>
      <c r="J1913" s="106">
        <v>55</v>
      </c>
      <c r="K1913" s="106">
        <v>33</v>
      </c>
      <c r="L1913" s="106">
        <v>6</v>
      </c>
      <c r="M1913" s="106">
        <v>0</v>
      </c>
      <c r="N1913" s="106">
        <v>0</v>
      </c>
      <c r="O1913" s="106">
        <v>13</v>
      </c>
      <c r="P1913" s="106">
        <v>3</v>
      </c>
      <c r="Q1913" s="108">
        <f t="shared" si="2282"/>
        <v>0.70909090909090911</v>
      </c>
      <c r="R1913" s="109">
        <f t="shared" si="2283"/>
        <v>0</v>
      </c>
      <c r="S1913" s="109">
        <f t="shared" si="2284"/>
        <v>5.4545454545454543E-2</v>
      </c>
      <c r="T1913" s="109">
        <f t="shared" si="2285"/>
        <v>0.23636363636363636</v>
      </c>
      <c r="U1913" s="110">
        <f t="shared" si="2286"/>
        <v>1</v>
      </c>
      <c r="V1913" s="136"/>
    </row>
    <row r="1914" spans="2:25" ht="15.75" hidden="1" x14ac:dyDescent="0.2">
      <c r="B1914" s="711">
        <v>46210</v>
      </c>
      <c r="C1914" s="105" t="s">
        <v>22</v>
      </c>
      <c r="D1914" s="105" t="s">
        <v>13</v>
      </c>
      <c r="E1914" s="711">
        <v>46211</v>
      </c>
      <c r="G1914" s="832"/>
      <c r="H1914" s="120" t="s">
        <v>84</v>
      </c>
      <c r="I1914" s="106" t="s">
        <v>15</v>
      </c>
      <c r="J1914" s="106">
        <v>283</v>
      </c>
      <c r="K1914" s="106">
        <v>0</v>
      </c>
      <c r="L1914" s="106">
        <v>0</v>
      </c>
      <c r="M1914" s="106">
        <v>272</v>
      </c>
      <c r="N1914" s="106">
        <v>0</v>
      </c>
      <c r="O1914" s="106">
        <v>10</v>
      </c>
      <c r="P1914" s="106">
        <v>1</v>
      </c>
      <c r="Q1914" s="108">
        <f t="shared" si="2282"/>
        <v>0</v>
      </c>
      <c r="R1914" s="109">
        <f t="shared" si="2283"/>
        <v>0</v>
      </c>
      <c r="S1914" s="109">
        <f t="shared" si="2284"/>
        <v>3.5335689045936395E-3</v>
      </c>
      <c r="T1914" s="109">
        <f t="shared" si="2285"/>
        <v>3.5335689045936397E-2</v>
      </c>
      <c r="U1914" s="110">
        <f t="shared" si="2286"/>
        <v>3.8869257950530034E-2</v>
      </c>
      <c r="V1914" s="136"/>
    </row>
    <row r="1915" spans="2:25" ht="15.75" hidden="1" x14ac:dyDescent="0.2">
      <c r="B1915" s="711">
        <v>46210</v>
      </c>
      <c r="C1915" s="105" t="s">
        <v>22</v>
      </c>
      <c r="D1915" s="105" t="s">
        <v>13</v>
      </c>
      <c r="E1915" s="711">
        <v>46211</v>
      </c>
      <c r="G1915" s="190"/>
      <c r="H1915" s="840" t="s">
        <v>19</v>
      </c>
      <c r="I1915" s="841"/>
      <c r="J1915" s="113">
        <f t="shared" ref="J1915:P1915" si="2289">SUM(J1909:J1914)</f>
        <v>892</v>
      </c>
      <c r="K1915" s="113">
        <f t="shared" si="2289"/>
        <v>157</v>
      </c>
      <c r="L1915" s="113">
        <f t="shared" si="2289"/>
        <v>33</v>
      </c>
      <c r="M1915" s="113">
        <f t="shared" si="2289"/>
        <v>335</v>
      </c>
      <c r="N1915" s="113">
        <f t="shared" si="2289"/>
        <v>152</v>
      </c>
      <c r="O1915" s="113">
        <f t="shared" si="2289"/>
        <v>93</v>
      </c>
      <c r="P1915" s="113">
        <f t="shared" si="2289"/>
        <v>122</v>
      </c>
      <c r="Q1915" s="115">
        <f>(K1915+L1915)/J1915</f>
        <v>0.21300448430493274</v>
      </c>
      <c r="R1915" s="116">
        <f t="shared" si="2283"/>
        <v>0.17040358744394618</v>
      </c>
      <c r="S1915" s="116">
        <f t="shared" si="2284"/>
        <v>0.1367713004484305</v>
      </c>
      <c r="T1915" s="116">
        <f t="shared" si="2285"/>
        <v>0.10426008968609865</v>
      </c>
      <c r="U1915" s="117">
        <f t="shared" si="2286"/>
        <v>0.62443946188340804</v>
      </c>
      <c r="V1915" s="213"/>
    </row>
    <row r="1916" spans="2:25" ht="15.75" hidden="1" x14ac:dyDescent="0.2">
      <c r="B1916" s="711">
        <v>46210</v>
      </c>
      <c r="C1916" s="105" t="s">
        <v>12</v>
      </c>
      <c r="D1916" s="105" t="s">
        <v>163</v>
      </c>
      <c r="E1916" s="711">
        <v>46210</v>
      </c>
      <c r="G1916" s="833">
        <v>46210</v>
      </c>
      <c r="H1916" s="120" t="s">
        <v>16</v>
      </c>
      <c r="I1916" s="120" t="s">
        <v>83</v>
      </c>
      <c r="J1916" s="106">
        <f>2+35+20+3</f>
        <v>60</v>
      </c>
      <c r="K1916" s="106">
        <v>2</v>
      </c>
      <c r="L1916" s="106">
        <v>35</v>
      </c>
      <c r="M1916" s="106">
        <v>0</v>
      </c>
      <c r="N1916" s="106">
        <v>0</v>
      </c>
      <c r="O1916" s="106">
        <v>20</v>
      </c>
      <c r="P1916" s="106">
        <v>3</v>
      </c>
      <c r="Q1916" s="108">
        <f t="shared" ref="Q1916:Q1921" si="2290">(K1916+L1916)/J1916</f>
        <v>0.6166666666666667</v>
      </c>
      <c r="R1916" s="109">
        <f t="shared" ref="R1916:R1927" si="2291">N1916/J1916</f>
        <v>0</v>
      </c>
      <c r="S1916" s="109">
        <f t="shared" ref="S1916:S1927" si="2292">P1916/J1916</f>
        <v>0.05</v>
      </c>
      <c r="T1916" s="109">
        <f t="shared" ref="T1916:T1927" si="2293">O1916/J1916</f>
        <v>0.33333333333333331</v>
      </c>
      <c r="U1916" s="110">
        <f t="shared" ref="U1916:U1927" si="2294">S1916+R1916+Q1916+T1916</f>
        <v>1</v>
      </c>
      <c r="V1916" s="220"/>
    </row>
    <row r="1917" spans="2:25" ht="15.75" hidden="1" x14ac:dyDescent="0.2">
      <c r="B1917" s="711">
        <v>46210</v>
      </c>
      <c r="C1917" s="105" t="s">
        <v>12</v>
      </c>
      <c r="D1917" s="105" t="s">
        <v>163</v>
      </c>
      <c r="E1917" s="711">
        <v>46210</v>
      </c>
      <c r="G1917" s="834"/>
      <c r="H1917" s="120" t="s">
        <v>17</v>
      </c>
      <c r="I1917" s="120" t="s">
        <v>43</v>
      </c>
      <c r="J1917" s="106">
        <v>45</v>
      </c>
      <c r="K1917" s="106">
        <v>20</v>
      </c>
      <c r="L1917" s="106">
        <v>0</v>
      </c>
      <c r="M1917" s="106">
        <v>0</v>
      </c>
      <c r="N1917" s="106">
        <v>0</v>
      </c>
      <c r="O1917" s="106">
        <v>20</v>
      </c>
      <c r="P1917" s="106">
        <v>5</v>
      </c>
      <c r="Q1917" s="108">
        <f t="shared" si="2290"/>
        <v>0.44444444444444442</v>
      </c>
      <c r="R1917" s="109">
        <f t="shared" si="2291"/>
        <v>0</v>
      </c>
      <c r="S1917" s="109">
        <f t="shared" si="2292"/>
        <v>0.1111111111111111</v>
      </c>
      <c r="T1917" s="109">
        <f t="shared" si="2293"/>
        <v>0.44444444444444442</v>
      </c>
      <c r="U1917" s="110">
        <f t="shared" si="2294"/>
        <v>1</v>
      </c>
      <c r="V1917" s="136"/>
    </row>
    <row r="1918" spans="2:25" ht="15.75" hidden="1" x14ac:dyDescent="0.2">
      <c r="B1918" s="711">
        <v>46210</v>
      </c>
      <c r="C1918" s="105" t="s">
        <v>12</v>
      </c>
      <c r="D1918" s="105" t="s">
        <v>163</v>
      </c>
      <c r="E1918" s="711">
        <v>46210</v>
      </c>
      <c r="G1918" s="835"/>
      <c r="H1918" s="120" t="s">
        <v>118</v>
      </c>
      <c r="I1918" s="120" t="s">
        <v>43</v>
      </c>
      <c r="J1918" s="106">
        <v>266</v>
      </c>
      <c r="K1918" s="106">
        <f>266-14-3-29-64-8</f>
        <v>148</v>
      </c>
      <c r="L1918" s="106">
        <v>14</v>
      </c>
      <c r="M1918" s="106">
        <v>3</v>
      </c>
      <c r="N1918" s="107">
        <v>29</v>
      </c>
      <c r="O1918" s="106">
        <v>8</v>
      </c>
      <c r="P1918" s="106">
        <v>64</v>
      </c>
      <c r="Q1918" s="108">
        <f t="shared" si="2290"/>
        <v>0.60902255639097747</v>
      </c>
      <c r="R1918" s="109">
        <f t="shared" si="2291"/>
        <v>0.10902255639097744</v>
      </c>
      <c r="S1918" s="109">
        <f t="shared" si="2292"/>
        <v>0.24060150375939848</v>
      </c>
      <c r="T1918" s="109">
        <f t="shared" si="2293"/>
        <v>3.007518796992481E-2</v>
      </c>
      <c r="U1918" s="110">
        <f t="shared" si="2294"/>
        <v>0.98872180451127822</v>
      </c>
      <c r="V1918" s="136"/>
    </row>
    <row r="1919" spans="2:25" ht="15.75" hidden="1" x14ac:dyDescent="0.2">
      <c r="B1919" s="711">
        <v>46210</v>
      </c>
      <c r="C1919" s="105" t="s">
        <v>12</v>
      </c>
      <c r="D1919" s="105" t="s">
        <v>163</v>
      </c>
      <c r="E1919" s="711">
        <v>46211</v>
      </c>
      <c r="G1919" s="830">
        <v>46211</v>
      </c>
      <c r="H1919" s="120" t="s">
        <v>16</v>
      </c>
      <c r="I1919" s="120" t="s">
        <v>83</v>
      </c>
      <c r="J1919" s="106">
        <v>220</v>
      </c>
      <c r="K1919" s="106">
        <v>50</v>
      </c>
      <c r="L1919" s="106">
        <v>40</v>
      </c>
      <c r="M1919" s="106">
        <v>0</v>
      </c>
      <c r="N1919" s="107">
        <v>0</v>
      </c>
      <c r="O1919" s="106">
        <v>22</v>
      </c>
      <c r="P1919" s="106">
        <v>46</v>
      </c>
      <c r="Q1919" s="108">
        <f t="shared" si="2290"/>
        <v>0.40909090909090912</v>
      </c>
      <c r="R1919" s="109">
        <f t="shared" si="2291"/>
        <v>0</v>
      </c>
      <c r="S1919" s="109">
        <f t="shared" si="2292"/>
        <v>0.20909090909090908</v>
      </c>
      <c r="T1919" s="109">
        <f t="shared" si="2293"/>
        <v>0.1</v>
      </c>
      <c r="U1919" s="110">
        <f t="shared" si="2294"/>
        <v>0.71818181818181814</v>
      </c>
      <c r="V1919" s="136"/>
    </row>
    <row r="1920" spans="2:25" ht="15.75" hidden="1" x14ac:dyDescent="0.2">
      <c r="B1920" s="711">
        <v>46210</v>
      </c>
      <c r="C1920" s="105" t="s">
        <v>12</v>
      </c>
      <c r="D1920" s="105" t="s">
        <v>163</v>
      </c>
      <c r="E1920" s="711">
        <v>46211</v>
      </c>
      <c r="G1920" s="831"/>
      <c r="H1920" s="120" t="s">
        <v>17</v>
      </c>
      <c r="I1920" s="120" t="s">
        <v>43</v>
      </c>
      <c r="J1920" s="106">
        <v>55</v>
      </c>
      <c r="K1920" s="106">
        <v>31</v>
      </c>
      <c r="L1920" s="106">
        <v>6</v>
      </c>
      <c r="M1920" s="106">
        <v>0</v>
      </c>
      <c r="N1920" s="106">
        <v>0</v>
      </c>
      <c r="O1920" s="106">
        <v>15</v>
      </c>
      <c r="P1920" s="106">
        <v>3</v>
      </c>
      <c r="Q1920" s="108">
        <f t="shared" si="2290"/>
        <v>0.67272727272727273</v>
      </c>
      <c r="R1920" s="109">
        <f t="shared" si="2291"/>
        <v>0</v>
      </c>
      <c r="S1920" s="109">
        <f t="shared" si="2292"/>
        <v>5.4545454545454543E-2</v>
      </c>
      <c r="T1920" s="109">
        <f t="shared" si="2293"/>
        <v>0.27272727272727271</v>
      </c>
      <c r="U1920" s="110">
        <f t="shared" si="2294"/>
        <v>1</v>
      </c>
      <c r="V1920" s="136"/>
    </row>
    <row r="1921" spans="2:25" ht="15.75" hidden="1" x14ac:dyDescent="0.2">
      <c r="B1921" s="711">
        <v>46210</v>
      </c>
      <c r="C1921" s="105" t="s">
        <v>12</v>
      </c>
      <c r="D1921" s="105" t="s">
        <v>163</v>
      </c>
      <c r="E1921" s="711">
        <v>46211</v>
      </c>
      <c r="G1921" s="832"/>
      <c r="H1921" s="120" t="s">
        <v>84</v>
      </c>
      <c r="I1921" s="106" t="s">
        <v>15</v>
      </c>
      <c r="J1921" s="106">
        <v>283</v>
      </c>
      <c r="K1921" s="106">
        <v>60</v>
      </c>
      <c r="L1921" s="106">
        <v>10</v>
      </c>
      <c r="M1921" s="106">
        <f>283-60-10-10</f>
        <v>203</v>
      </c>
      <c r="N1921" s="106">
        <v>0</v>
      </c>
      <c r="O1921" s="106">
        <v>10</v>
      </c>
      <c r="P1921" s="106">
        <v>1</v>
      </c>
      <c r="Q1921" s="108">
        <f t="shared" si="2290"/>
        <v>0.24734982332155478</v>
      </c>
      <c r="R1921" s="109">
        <f t="shared" si="2291"/>
        <v>0</v>
      </c>
      <c r="S1921" s="109">
        <f t="shared" si="2292"/>
        <v>3.5335689045936395E-3</v>
      </c>
      <c r="T1921" s="109">
        <f t="shared" si="2293"/>
        <v>3.5335689045936397E-2</v>
      </c>
      <c r="U1921" s="110">
        <f t="shared" si="2294"/>
        <v>0.28621908127208484</v>
      </c>
      <c r="V1921" s="136"/>
    </row>
    <row r="1922" spans="2:25" ht="15.75" hidden="1" x14ac:dyDescent="0.2">
      <c r="B1922" s="711">
        <v>46210</v>
      </c>
      <c r="C1922" s="105" t="s">
        <v>12</v>
      </c>
      <c r="D1922" s="105" t="s">
        <v>163</v>
      </c>
      <c r="E1922" s="711">
        <v>46211</v>
      </c>
      <c r="G1922" s="190"/>
      <c r="H1922" s="840" t="s">
        <v>19</v>
      </c>
      <c r="I1922" s="841"/>
      <c r="J1922" s="113">
        <f t="shared" ref="J1922:P1922" si="2295">SUM(J1916:J1921)</f>
        <v>929</v>
      </c>
      <c r="K1922" s="113">
        <f t="shared" si="2295"/>
        <v>311</v>
      </c>
      <c r="L1922" s="113">
        <f t="shared" si="2295"/>
        <v>105</v>
      </c>
      <c r="M1922" s="113">
        <f t="shared" si="2295"/>
        <v>206</v>
      </c>
      <c r="N1922" s="113">
        <f t="shared" si="2295"/>
        <v>29</v>
      </c>
      <c r="O1922" s="113">
        <f t="shared" si="2295"/>
        <v>95</v>
      </c>
      <c r="P1922" s="113">
        <f t="shared" si="2295"/>
        <v>122</v>
      </c>
      <c r="Q1922" s="115">
        <f>(K1922+L1922)/J1922</f>
        <v>0.44779332615715822</v>
      </c>
      <c r="R1922" s="116">
        <f t="shared" si="2291"/>
        <v>3.1216361679224973E-2</v>
      </c>
      <c r="S1922" s="116">
        <f t="shared" si="2292"/>
        <v>0.13132400430570507</v>
      </c>
      <c r="T1922" s="116">
        <f t="shared" si="2293"/>
        <v>0.10226049515608181</v>
      </c>
      <c r="U1922" s="117">
        <f t="shared" si="2294"/>
        <v>0.71259418729817015</v>
      </c>
      <c r="V1922" s="213"/>
    </row>
    <row r="1923" spans="2:25" ht="15.75" hidden="1" x14ac:dyDescent="0.2">
      <c r="B1923" s="711">
        <v>46210</v>
      </c>
      <c r="C1923" s="105" t="s">
        <v>18</v>
      </c>
      <c r="D1923" s="105" t="s">
        <v>20</v>
      </c>
      <c r="E1923" s="711">
        <v>46210</v>
      </c>
      <c r="G1923" s="713">
        <v>46210</v>
      </c>
      <c r="H1923" s="120" t="s">
        <v>16</v>
      </c>
      <c r="I1923" s="120" t="s">
        <v>83</v>
      </c>
      <c r="J1923" s="106">
        <f>SUM(K1923:P1923)</f>
        <v>28</v>
      </c>
      <c r="K1923" s="106">
        <v>16</v>
      </c>
      <c r="L1923" s="106">
        <v>10</v>
      </c>
      <c r="M1923" s="106">
        <v>0</v>
      </c>
      <c r="N1923" s="106">
        <v>0</v>
      </c>
      <c r="O1923" s="106">
        <v>0</v>
      </c>
      <c r="P1923" s="106">
        <v>2</v>
      </c>
      <c r="Q1923" s="108">
        <f t="shared" ref="Q1923:Q1926" si="2296">(K1923+L1923)/J1923</f>
        <v>0.9285714285714286</v>
      </c>
      <c r="R1923" s="109">
        <f t="shared" si="2291"/>
        <v>0</v>
      </c>
      <c r="S1923" s="109">
        <f t="shared" si="2292"/>
        <v>7.1428571428571425E-2</v>
      </c>
      <c r="T1923" s="109">
        <f t="shared" si="2293"/>
        <v>0</v>
      </c>
      <c r="U1923" s="110">
        <f t="shared" si="2294"/>
        <v>1</v>
      </c>
      <c r="V1923" s="220"/>
    </row>
    <row r="1924" spans="2:25" ht="15.75" hidden="1" x14ac:dyDescent="0.2">
      <c r="B1924" s="711">
        <v>46210</v>
      </c>
      <c r="C1924" s="105" t="s">
        <v>18</v>
      </c>
      <c r="D1924" s="105" t="s">
        <v>20</v>
      </c>
      <c r="E1924" s="711">
        <v>46211</v>
      </c>
      <c r="G1924" s="830">
        <v>46211</v>
      </c>
      <c r="H1924" s="120" t="s">
        <v>84</v>
      </c>
      <c r="I1924" s="120" t="s">
        <v>43</v>
      </c>
      <c r="J1924" s="106">
        <v>283</v>
      </c>
      <c r="K1924" s="106">
        <v>64</v>
      </c>
      <c r="L1924" s="106">
        <v>8</v>
      </c>
      <c r="M1924" s="106">
        <v>64</v>
      </c>
      <c r="N1924" s="106">
        <v>66</v>
      </c>
      <c r="O1924" s="106">
        <v>10</v>
      </c>
      <c r="P1924" s="106">
        <v>1</v>
      </c>
      <c r="Q1924" s="108">
        <f t="shared" si="2296"/>
        <v>0.25441696113074203</v>
      </c>
      <c r="R1924" s="109">
        <f t="shared" si="2291"/>
        <v>0.2332155477031802</v>
      </c>
      <c r="S1924" s="109">
        <f t="shared" si="2292"/>
        <v>3.5335689045936395E-3</v>
      </c>
      <c r="T1924" s="109">
        <f t="shared" si="2293"/>
        <v>3.5335689045936397E-2</v>
      </c>
      <c r="U1924" s="110">
        <f t="shared" si="2294"/>
        <v>0.52650176678445226</v>
      </c>
      <c r="V1924" s="136"/>
    </row>
    <row r="1925" spans="2:25" ht="15.75" hidden="1" x14ac:dyDescent="0.2">
      <c r="B1925" s="711">
        <v>46210</v>
      </c>
      <c r="C1925" s="105" t="s">
        <v>18</v>
      </c>
      <c r="D1925" s="105" t="s">
        <v>20</v>
      </c>
      <c r="E1925" s="711">
        <v>46211</v>
      </c>
      <c r="G1925" s="831"/>
      <c r="H1925" s="120" t="s">
        <v>16</v>
      </c>
      <c r="I1925" s="120" t="s">
        <v>83</v>
      </c>
      <c r="J1925" s="106">
        <v>220</v>
      </c>
      <c r="K1925" s="106">
        <f>220-61-22-44</f>
        <v>93</v>
      </c>
      <c r="L1925" s="106">
        <v>61</v>
      </c>
      <c r="M1925" s="106">
        <v>0</v>
      </c>
      <c r="N1925" s="106">
        <v>0</v>
      </c>
      <c r="O1925" s="106">
        <v>22</v>
      </c>
      <c r="P1925" s="106">
        <v>44</v>
      </c>
      <c r="Q1925" s="108">
        <f t="shared" si="2296"/>
        <v>0.7</v>
      </c>
      <c r="R1925" s="109">
        <f t="shared" si="2291"/>
        <v>0</v>
      </c>
      <c r="S1925" s="109">
        <f t="shared" si="2292"/>
        <v>0.2</v>
      </c>
      <c r="T1925" s="109">
        <f t="shared" si="2293"/>
        <v>0.1</v>
      </c>
      <c r="U1925" s="110">
        <f t="shared" si="2294"/>
        <v>0.99999999999999989</v>
      </c>
      <c r="V1925" s="136" t="s">
        <v>178</v>
      </c>
    </row>
    <row r="1926" spans="2:25" ht="15.75" hidden="1" x14ac:dyDescent="0.2">
      <c r="B1926" s="711">
        <v>46210</v>
      </c>
      <c r="C1926" s="105" t="s">
        <v>18</v>
      </c>
      <c r="D1926" s="105" t="s">
        <v>20</v>
      </c>
      <c r="E1926" s="711">
        <v>46211</v>
      </c>
      <c r="G1926" s="832"/>
      <c r="H1926" s="120" t="s">
        <v>17</v>
      </c>
      <c r="I1926" s="120" t="s">
        <v>43</v>
      </c>
      <c r="J1926" s="106">
        <v>43</v>
      </c>
      <c r="K1926" s="106">
        <v>19</v>
      </c>
      <c r="L1926" s="106">
        <v>3</v>
      </c>
      <c r="M1926" s="106">
        <v>0</v>
      </c>
      <c r="N1926" s="106">
        <v>19</v>
      </c>
      <c r="O1926" s="106">
        <v>17</v>
      </c>
      <c r="P1926" s="106">
        <v>5</v>
      </c>
      <c r="Q1926" s="108">
        <f t="shared" si="2296"/>
        <v>0.51162790697674421</v>
      </c>
      <c r="R1926" s="109">
        <f t="shared" si="2291"/>
        <v>0.44186046511627908</v>
      </c>
      <c r="S1926" s="109">
        <f t="shared" si="2292"/>
        <v>0.11627906976744186</v>
      </c>
      <c r="T1926" s="109">
        <f t="shared" si="2293"/>
        <v>0.39534883720930231</v>
      </c>
      <c r="U1926" s="110">
        <f t="shared" si="2294"/>
        <v>1.4651162790697676</v>
      </c>
      <c r="V1926" s="136"/>
    </row>
    <row r="1927" spans="2:25" s="97" customFormat="1" ht="16.5" hidden="1" customHeight="1" x14ac:dyDescent="0.2">
      <c r="B1927" s="711">
        <v>46210</v>
      </c>
      <c r="C1927" s="105" t="s">
        <v>18</v>
      </c>
      <c r="D1927" s="105" t="s">
        <v>20</v>
      </c>
      <c r="E1927" s="711">
        <v>46211</v>
      </c>
      <c r="F1927" s="89"/>
      <c r="G1927" s="190"/>
      <c r="H1927" s="840" t="s">
        <v>19</v>
      </c>
      <c r="I1927" s="841"/>
      <c r="J1927" s="113">
        <f t="shared" ref="J1927:P1927" si="2297">SUM(J1923:J1926)</f>
        <v>574</v>
      </c>
      <c r="K1927" s="113">
        <f t="shared" si="2297"/>
        <v>192</v>
      </c>
      <c r="L1927" s="113">
        <f t="shared" si="2297"/>
        <v>82</v>
      </c>
      <c r="M1927" s="113">
        <f t="shared" si="2297"/>
        <v>64</v>
      </c>
      <c r="N1927" s="113">
        <f t="shared" si="2297"/>
        <v>85</v>
      </c>
      <c r="O1927" s="113">
        <f t="shared" si="2297"/>
        <v>49</v>
      </c>
      <c r="P1927" s="113">
        <f t="shared" si="2297"/>
        <v>52</v>
      </c>
      <c r="Q1927" s="115">
        <f>(K1927+L1927)/J1927</f>
        <v>0.47735191637630664</v>
      </c>
      <c r="R1927" s="116">
        <f t="shared" si="2291"/>
        <v>0.1480836236933798</v>
      </c>
      <c r="S1927" s="116">
        <f t="shared" si="2292"/>
        <v>9.0592334494773524E-2</v>
      </c>
      <c r="T1927" s="116">
        <f t="shared" si="2293"/>
        <v>8.5365853658536592E-2</v>
      </c>
      <c r="U1927" s="117">
        <f t="shared" si="2294"/>
        <v>0.80139372822299648</v>
      </c>
      <c r="V1927" s="213"/>
      <c r="W1927" s="88"/>
      <c r="X1927" s="88"/>
      <c r="Y1927" s="118"/>
    </row>
    <row r="1928" spans="2:25" ht="15.75" hidden="1" x14ac:dyDescent="0.2">
      <c r="B1928" s="711">
        <v>46211</v>
      </c>
      <c r="C1928" s="105" t="s">
        <v>22</v>
      </c>
      <c r="D1928" s="105" t="s">
        <v>13</v>
      </c>
      <c r="E1928" s="711">
        <v>46211</v>
      </c>
      <c r="G1928" s="833">
        <v>46211</v>
      </c>
      <c r="H1928" s="215" t="s">
        <v>84</v>
      </c>
      <c r="I1928" s="215" t="s">
        <v>15</v>
      </c>
      <c r="J1928" s="216">
        <v>283</v>
      </c>
      <c r="K1928" s="216">
        <f>283-64</f>
        <v>219</v>
      </c>
      <c r="L1928" s="216">
        <v>33</v>
      </c>
      <c r="M1928" s="216">
        <v>20</v>
      </c>
      <c r="N1928" s="216">
        <v>0</v>
      </c>
      <c r="O1928" s="216">
        <v>10</v>
      </c>
      <c r="P1928" s="216">
        <v>1</v>
      </c>
      <c r="Q1928" s="345">
        <v>0.50176678445229683</v>
      </c>
      <c r="R1928" s="346">
        <v>0.2332155477031802</v>
      </c>
      <c r="S1928" s="346">
        <v>3.5335689045936395E-3</v>
      </c>
      <c r="T1928" s="346">
        <v>3.5335689045936397E-2</v>
      </c>
      <c r="U1928" s="347">
        <v>0.77385159010600713</v>
      </c>
      <c r="V1928" s="136"/>
    </row>
    <row r="1929" spans="2:25" ht="15.75" hidden="1" x14ac:dyDescent="0.2">
      <c r="B1929" s="711">
        <v>46211</v>
      </c>
      <c r="C1929" s="105" t="s">
        <v>22</v>
      </c>
      <c r="D1929" s="105" t="s">
        <v>13</v>
      </c>
      <c r="E1929" s="711">
        <v>46211</v>
      </c>
      <c r="G1929" s="834"/>
      <c r="H1929" s="120" t="s">
        <v>16</v>
      </c>
      <c r="I1929" s="120" t="s">
        <v>83</v>
      </c>
      <c r="J1929" s="106">
        <v>220</v>
      </c>
      <c r="K1929" s="106">
        <v>103</v>
      </c>
      <c r="L1929" s="106">
        <v>61</v>
      </c>
      <c r="M1929" s="106">
        <v>0</v>
      </c>
      <c r="N1929" s="106">
        <v>0</v>
      </c>
      <c r="O1929" s="106">
        <v>22</v>
      </c>
      <c r="P1929" s="106">
        <v>34</v>
      </c>
      <c r="Q1929" s="108">
        <f t="shared" ref="Q1929:Q1934" si="2298">(K1929+L1929)/J1929</f>
        <v>0.74545454545454548</v>
      </c>
      <c r="R1929" s="109">
        <f t="shared" ref="R1929:R1934" si="2299">N1929/J1929</f>
        <v>0</v>
      </c>
      <c r="S1929" s="109">
        <f t="shared" ref="S1929:S1934" si="2300">P1929/J1929</f>
        <v>0.15454545454545454</v>
      </c>
      <c r="T1929" s="109">
        <f t="shared" ref="T1929:T1934" si="2301">O1929/J1929</f>
        <v>0.1</v>
      </c>
      <c r="U1929" s="110">
        <f t="shared" ref="U1929" si="2302">S1929+R1929+Q1929+T1929</f>
        <v>1</v>
      </c>
      <c r="V1929" s="136"/>
    </row>
    <row r="1930" spans="2:25" ht="15.75" hidden="1" x14ac:dyDescent="0.2">
      <c r="B1930" s="711">
        <v>46211</v>
      </c>
      <c r="C1930" s="105" t="s">
        <v>22</v>
      </c>
      <c r="D1930" s="105" t="s">
        <v>13</v>
      </c>
      <c r="E1930" s="711">
        <v>46211</v>
      </c>
      <c r="G1930" s="834"/>
      <c r="H1930" s="215" t="s">
        <v>118</v>
      </c>
      <c r="I1930" s="215" t="s">
        <v>43</v>
      </c>
      <c r="J1930" s="216">
        <v>266</v>
      </c>
      <c r="K1930" s="216">
        <f>266-68</f>
        <v>198</v>
      </c>
      <c r="L1930" s="216">
        <v>28</v>
      </c>
      <c r="M1930" s="216">
        <v>25</v>
      </c>
      <c r="N1930" s="216">
        <v>0</v>
      </c>
      <c r="O1930" s="216">
        <v>8</v>
      </c>
      <c r="P1930" s="216">
        <v>7</v>
      </c>
      <c r="Q1930" s="345">
        <v>0.60902255639097747</v>
      </c>
      <c r="R1930" s="346">
        <v>0.10902255639097744</v>
      </c>
      <c r="S1930" s="346">
        <v>0.24060150375939848</v>
      </c>
      <c r="T1930" s="346">
        <v>3.007518796992481E-2</v>
      </c>
      <c r="U1930" s="347">
        <v>0.98872180451127822</v>
      </c>
      <c r="V1930" s="136"/>
    </row>
    <row r="1931" spans="2:25" ht="15.75" hidden="1" x14ac:dyDescent="0.2">
      <c r="B1931" s="711">
        <v>46211</v>
      </c>
      <c r="C1931" s="105" t="s">
        <v>22</v>
      </c>
      <c r="D1931" s="105" t="s">
        <v>13</v>
      </c>
      <c r="E1931" s="711">
        <v>46211</v>
      </c>
      <c r="G1931" s="835"/>
      <c r="H1931" s="120" t="s">
        <v>17</v>
      </c>
      <c r="I1931" s="120" t="s">
        <v>43</v>
      </c>
      <c r="J1931" s="106">
        <v>22</v>
      </c>
      <c r="K1931" s="106">
        <v>2</v>
      </c>
      <c r="L1931" s="106">
        <v>0</v>
      </c>
      <c r="M1931" s="106">
        <v>0</v>
      </c>
      <c r="N1931" s="106">
        <v>0</v>
      </c>
      <c r="O1931" s="106">
        <v>15</v>
      </c>
      <c r="P1931" s="106">
        <v>5</v>
      </c>
      <c r="Q1931" s="108">
        <f t="shared" si="2298"/>
        <v>9.0909090909090912E-2</v>
      </c>
      <c r="R1931" s="109">
        <f t="shared" si="2299"/>
        <v>0</v>
      </c>
      <c r="S1931" s="109">
        <f t="shared" si="2300"/>
        <v>0.22727272727272727</v>
      </c>
      <c r="T1931" s="109">
        <f t="shared" si="2301"/>
        <v>0.68181818181818177</v>
      </c>
      <c r="U1931" s="110">
        <f t="shared" ref="U1931" si="2303">S1931+R1931+Q1931+T1931</f>
        <v>1</v>
      </c>
      <c r="V1931" s="136"/>
    </row>
    <row r="1932" spans="2:25" ht="15.75" hidden="1" x14ac:dyDescent="0.2">
      <c r="B1932" s="711">
        <v>46211</v>
      </c>
      <c r="C1932" s="105" t="s">
        <v>22</v>
      </c>
      <c r="D1932" s="105" t="s">
        <v>13</v>
      </c>
      <c r="E1932" s="711">
        <v>46212</v>
      </c>
      <c r="G1932" s="830">
        <v>46212</v>
      </c>
      <c r="H1932" s="120" t="s">
        <v>16</v>
      </c>
      <c r="I1932" s="120" t="s">
        <v>83</v>
      </c>
      <c r="J1932" s="106">
        <v>229</v>
      </c>
      <c r="K1932" s="106">
        <v>12</v>
      </c>
      <c r="L1932" s="106">
        <v>5</v>
      </c>
      <c r="M1932" s="106">
        <v>117</v>
      </c>
      <c r="N1932" s="106">
        <v>28</v>
      </c>
      <c r="O1932" s="106">
        <v>20</v>
      </c>
      <c r="P1932" s="106">
        <v>47</v>
      </c>
      <c r="Q1932" s="108">
        <f t="shared" si="2298"/>
        <v>7.4235807860262015E-2</v>
      </c>
      <c r="R1932" s="109">
        <f t="shared" si="2299"/>
        <v>0.1222707423580786</v>
      </c>
      <c r="S1932" s="109">
        <f t="shared" si="2300"/>
        <v>0.20524017467248909</v>
      </c>
      <c r="T1932" s="109">
        <f t="shared" si="2301"/>
        <v>8.7336244541484712E-2</v>
      </c>
      <c r="U1932" s="110">
        <f t="shared" ref="U1932:U1939" si="2304">S1932+R1932+Q1932+T1932</f>
        <v>0.48908296943231439</v>
      </c>
      <c r="V1932" s="136"/>
    </row>
    <row r="1933" spans="2:25" ht="15.75" hidden="1" x14ac:dyDescent="0.2">
      <c r="B1933" s="711">
        <v>46211</v>
      </c>
      <c r="C1933" s="105" t="s">
        <v>22</v>
      </c>
      <c r="D1933" s="105" t="s">
        <v>13</v>
      </c>
      <c r="E1933" s="711">
        <v>46212</v>
      </c>
      <c r="G1933" s="831"/>
      <c r="H1933" s="120" t="s">
        <v>84</v>
      </c>
      <c r="I1933" s="120" t="s">
        <v>15</v>
      </c>
      <c r="J1933" s="106">
        <v>13</v>
      </c>
      <c r="K1933" s="106">
        <v>11</v>
      </c>
      <c r="L1933" s="106">
        <v>2</v>
      </c>
      <c r="M1933" s="106">
        <v>0</v>
      </c>
      <c r="N1933" s="106">
        <v>0</v>
      </c>
      <c r="O1933" s="106">
        <v>0</v>
      </c>
      <c r="P1933" s="106">
        <v>0</v>
      </c>
      <c r="Q1933" s="108">
        <f t="shared" si="2298"/>
        <v>1</v>
      </c>
      <c r="R1933" s="109">
        <f t="shared" si="2299"/>
        <v>0</v>
      </c>
      <c r="S1933" s="109">
        <f t="shared" si="2300"/>
        <v>0</v>
      </c>
      <c r="T1933" s="109">
        <f t="shared" si="2301"/>
        <v>0</v>
      </c>
      <c r="U1933" s="110">
        <f t="shared" si="2304"/>
        <v>1</v>
      </c>
      <c r="V1933" s="136"/>
    </row>
    <row r="1934" spans="2:25" ht="15.75" hidden="1" x14ac:dyDescent="0.2">
      <c r="B1934" s="711">
        <v>46211</v>
      </c>
      <c r="C1934" s="105" t="s">
        <v>22</v>
      </c>
      <c r="D1934" s="105" t="s">
        <v>13</v>
      </c>
      <c r="E1934" s="711">
        <v>46212</v>
      </c>
      <c r="G1934" s="832"/>
      <c r="H1934" s="120" t="s">
        <v>17</v>
      </c>
      <c r="I1934" s="120" t="s">
        <v>43</v>
      </c>
      <c r="J1934" s="106">
        <v>42</v>
      </c>
      <c r="K1934" s="106">
        <v>0</v>
      </c>
      <c r="L1934" s="106">
        <v>0</v>
      </c>
      <c r="M1934" s="106">
        <v>30</v>
      </c>
      <c r="N1934" s="106">
        <v>0</v>
      </c>
      <c r="O1934" s="106">
        <v>12</v>
      </c>
      <c r="P1934" s="106">
        <v>0</v>
      </c>
      <c r="Q1934" s="108">
        <f t="shared" si="2298"/>
        <v>0</v>
      </c>
      <c r="R1934" s="109">
        <f t="shared" si="2299"/>
        <v>0</v>
      </c>
      <c r="S1934" s="109">
        <f t="shared" si="2300"/>
        <v>0</v>
      </c>
      <c r="T1934" s="109">
        <f t="shared" si="2301"/>
        <v>0.2857142857142857</v>
      </c>
      <c r="U1934" s="110">
        <f t="shared" si="2304"/>
        <v>0.2857142857142857</v>
      </c>
      <c r="V1934" s="136"/>
    </row>
    <row r="1935" spans="2:25" ht="15.75" hidden="1" x14ac:dyDescent="0.2">
      <c r="B1935" s="711">
        <v>46211</v>
      </c>
      <c r="C1935" s="105" t="s">
        <v>22</v>
      </c>
      <c r="D1935" s="105" t="s">
        <v>13</v>
      </c>
      <c r="E1935" s="711">
        <v>46212</v>
      </c>
      <c r="G1935" s="190"/>
      <c r="H1935" s="840" t="s">
        <v>19</v>
      </c>
      <c r="I1935" s="841"/>
      <c r="J1935" s="113">
        <f>SUM(J1928:J1934)</f>
        <v>1075</v>
      </c>
      <c r="K1935" s="113">
        <f t="shared" ref="K1935:P1935" si="2305">SUM(K1928:K1934)</f>
        <v>545</v>
      </c>
      <c r="L1935" s="113">
        <f t="shared" si="2305"/>
        <v>129</v>
      </c>
      <c r="M1935" s="113">
        <f t="shared" si="2305"/>
        <v>192</v>
      </c>
      <c r="N1935" s="113">
        <f t="shared" si="2305"/>
        <v>28</v>
      </c>
      <c r="O1935" s="113">
        <f t="shared" si="2305"/>
        <v>87</v>
      </c>
      <c r="P1935" s="113">
        <f t="shared" si="2305"/>
        <v>94</v>
      </c>
      <c r="Q1935" s="115">
        <f>(K1935+L1935)/J1935</f>
        <v>0.62697674418604654</v>
      </c>
      <c r="R1935" s="116">
        <f>N1935/J1935</f>
        <v>2.6046511627906978E-2</v>
      </c>
      <c r="S1935" s="116">
        <f t="shared" ref="S1935:S1943" si="2306">P1935/J1935</f>
        <v>8.7441860465116275E-2</v>
      </c>
      <c r="T1935" s="116">
        <f t="shared" ref="T1935:T1943" si="2307">O1935/J1935</f>
        <v>8.0930232558139539E-2</v>
      </c>
      <c r="U1935" s="117">
        <f t="shared" si="2304"/>
        <v>0.82139534883720944</v>
      </c>
      <c r="V1935" s="213"/>
    </row>
    <row r="1936" spans="2:25" ht="15.75" hidden="1" x14ac:dyDescent="0.2">
      <c r="B1936" s="711">
        <v>46211</v>
      </c>
      <c r="C1936" s="105" t="s">
        <v>12</v>
      </c>
      <c r="D1936" s="105" t="s">
        <v>163</v>
      </c>
      <c r="E1936" s="711">
        <v>46211</v>
      </c>
      <c r="G1936" s="830">
        <v>46211</v>
      </c>
      <c r="H1936" s="120" t="s">
        <v>84</v>
      </c>
      <c r="I1936" s="120" t="s">
        <v>15</v>
      </c>
      <c r="J1936" s="106">
        <v>283</v>
      </c>
      <c r="K1936" s="106">
        <f>283-57</f>
        <v>226</v>
      </c>
      <c r="L1936" s="106">
        <v>31</v>
      </c>
      <c r="M1936" s="106">
        <v>15</v>
      </c>
      <c r="N1936" s="106">
        <v>0</v>
      </c>
      <c r="O1936" s="106">
        <v>10</v>
      </c>
      <c r="P1936" s="106">
        <v>1</v>
      </c>
      <c r="Q1936" s="108">
        <f t="shared" ref="Q1936:Q1938" si="2308">(K1936+L1936)/J1936</f>
        <v>0.90812720848056538</v>
      </c>
      <c r="R1936" s="109">
        <f t="shared" ref="R1936:R1943" si="2309">N1936/J1936</f>
        <v>0</v>
      </c>
      <c r="S1936" s="109">
        <f t="shared" si="2306"/>
        <v>3.5335689045936395E-3</v>
      </c>
      <c r="T1936" s="109">
        <f t="shared" si="2307"/>
        <v>3.5335689045936397E-2</v>
      </c>
      <c r="U1936" s="110">
        <f t="shared" si="2304"/>
        <v>0.94699646643109547</v>
      </c>
      <c r="V1936" s="136"/>
    </row>
    <row r="1937" spans="2:25" ht="15.75" hidden="1" x14ac:dyDescent="0.2">
      <c r="B1937" s="711">
        <v>46211</v>
      </c>
      <c r="C1937" s="105" t="s">
        <v>12</v>
      </c>
      <c r="D1937" s="105" t="s">
        <v>163</v>
      </c>
      <c r="E1937" s="711">
        <v>46211</v>
      </c>
      <c r="G1937" s="831"/>
      <c r="H1937" s="120" t="s">
        <v>16</v>
      </c>
      <c r="I1937" s="120" t="s">
        <v>83</v>
      </c>
      <c r="J1937" s="106">
        <v>220</v>
      </c>
      <c r="K1937" s="106">
        <f>220-103</f>
        <v>117</v>
      </c>
      <c r="L1937" s="106">
        <v>57</v>
      </c>
      <c r="M1937" s="106">
        <v>2</v>
      </c>
      <c r="N1937" s="106">
        <v>0</v>
      </c>
      <c r="O1937" s="106">
        <v>20</v>
      </c>
      <c r="P1937" s="106">
        <v>24</v>
      </c>
      <c r="Q1937" s="108">
        <f t="shared" si="2308"/>
        <v>0.79090909090909089</v>
      </c>
      <c r="R1937" s="109">
        <f t="shared" si="2309"/>
        <v>0</v>
      </c>
      <c r="S1937" s="109">
        <f t="shared" si="2306"/>
        <v>0.10909090909090909</v>
      </c>
      <c r="T1937" s="109">
        <f t="shared" si="2307"/>
        <v>9.0909090909090912E-2</v>
      </c>
      <c r="U1937" s="110">
        <f t="shared" si="2304"/>
        <v>0.99090909090909096</v>
      </c>
      <c r="V1937" s="136"/>
    </row>
    <row r="1938" spans="2:25" ht="15.75" hidden="1" x14ac:dyDescent="0.2">
      <c r="B1938" s="711">
        <v>46211</v>
      </c>
      <c r="C1938" s="105" t="s">
        <v>12</v>
      </c>
      <c r="D1938" s="105" t="s">
        <v>163</v>
      </c>
      <c r="E1938" s="711">
        <v>46211</v>
      </c>
      <c r="G1938" s="832"/>
      <c r="H1938" s="120" t="s">
        <v>17</v>
      </c>
      <c r="I1938" s="120" t="s">
        <v>43</v>
      </c>
      <c r="J1938" s="106">
        <v>22</v>
      </c>
      <c r="K1938" s="106">
        <v>5</v>
      </c>
      <c r="L1938" s="106">
        <v>12</v>
      </c>
      <c r="M1938" s="106">
        <v>0</v>
      </c>
      <c r="N1938" s="106">
        <v>0</v>
      </c>
      <c r="O1938" s="106">
        <v>0</v>
      </c>
      <c r="P1938" s="106">
        <v>5</v>
      </c>
      <c r="Q1938" s="108">
        <f t="shared" si="2308"/>
        <v>0.77272727272727271</v>
      </c>
      <c r="R1938" s="109">
        <f t="shared" si="2309"/>
        <v>0</v>
      </c>
      <c r="S1938" s="109">
        <f t="shared" si="2306"/>
        <v>0.22727272727272727</v>
      </c>
      <c r="T1938" s="109">
        <f t="shared" si="2307"/>
        <v>0</v>
      </c>
      <c r="U1938" s="110">
        <f t="shared" si="2304"/>
        <v>1</v>
      </c>
      <c r="V1938" s="136"/>
    </row>
    <row r="1939" spans="2:25" s="97" customFormat="1" ht="16.5" hidden="1" customHeight="1" x14ac:dyDescent="0.2">
      <c r="B1939" s="711">
        <v>46211</v>
      </c>
      <c r="C1939" s="105" t="s">
        <v>12</v>
      </c>
      <c r="D1939" s="105" t="s">
        <v>163</v>
      </c>
      <c r="E1939" s="711">
        <v>46211</v>
      </c>
      <c r="F1939" s="89"/>
      <c r="G1939" s="190"/>
      <c r="H1939" s="840" t="s">
        <v>19</v>
      </c>
      <c r="I1939" s="841"/>
      <c r="J1939" s="113">
        <f t="shared" ref="J1939:P1939" si="2310">SUM(J1936:J1938)</f>
        <v>525</v>
      </c>
      <c r="K1939" s="113">
        <f t="shared" si="2310"/>
        <v>348</v>
      </c>
      <c r="L1939" s="113">
        <f t="shared" si="2310"/>
        <v>100</v>
      </c>
      <c r="M1939" s="113">
        <f t="shared" si="2310"/>
        <v>17</v>
      </c>
      <c r="N1939" s="113">
        <f t="shared" si="2310"/>
        <v>0</v>
      </c>
      <c r="O1939" s="113">
        <f t="shared" si="2310"/>
        <v>30</v>
      </c>
      <c r="P1939" s="113">
        <f t="shared" si="2310"/>
        <v>30</v>
      </c>
      <c r="Q1939" s="115">
        <f>(K1939+L1939)/J1939</f>
        <v>0.85333333333333339</v>
      </c>
      <c r="R1939" s="116">
        <f>N1939/J1939</f>
        <v>0</v>
      </c>
      <c r="S1939" s="116">
        <f t="shared" si="2306"/>
        <v>5.7142857142857141E-2</v>
      </c>
      <c r="T1939" s="116">
        <f t="shared" si="2307"/>
        <v>5.7142857142857141E-2</v>
      </c>
      <c r="U1939" s="117">
        <f t="shared" si="2304"/>
        <v>0.96761904761904771</v>
      </c>
      <c r="V1939" s="213"/>
      <c r="W1939" s="88"/>
      <c r="X1939" s="88"/>
      <c r="Y1939" s="118"/>
    </row>
    <row r="1940" spans="2:25" ht="15.75" hidden="1" x14ac:dyDescent="0.2">
      <c r="B1940" s="711">
        <v>46211</v>
      </c>
      <c r="C1940" s="105" t="s">
        <v>12</v>
      </c>
      <c r="D1940" s="105" t="s">
        <v>163</v>
      </c>
      <c r="E1940" s="711">
        <v>46212</v>
      </c>
      <c r="G1940" s="830">
        <v>46212</v>
      </c>
      <c r="H1940" s="120" t="s">
        <v>16</v>
      </c>
      <c r="I1940" s="120" t="s">
        <v>83</v>
      </c>
      <c r="J1940" s="106">
        <v>217</v>
      </c>
      <c r="K1940" s="106">
        <f>217-131</f>
        <v>86</v>
      </c>
      <c r="L1940" s="106">
        <v>50</v>
      </c>
      <c r="M1940" s="106">
        <v>14</v>
      </c>
      <c r="N1940" s="106">
        <v>0</v>
      </c>
      <c r="O1940" s="106">
        <v>20</v>
      </c>
      <c r="P1940" s="106">
        <v>47</v>
      </c>
      <c r="Q1940" s="108">
        <f t="shared" ref="Q1940:Q1943" si="2311">(K1940+L1940)/J1940</f>
        <v>0.62672811059907829</v>
      </c>
      <c r="R1940" s="109">
        <f t="shared" si="2309"/>
        <v>0</v>
      </c>
      <c r="S1940" s="109">
        <f t="shared" si="2306"/>
        <v>0.21658986175115208</v>
      </c>
      <c r="T1940" s="109">
        <f t="shared" si="2307"/>
        <v>9.2165898617511524E-2</v>
      </c>
      <c r="U1940" s="110">
        <f t="shared" ref="U1940:U1951" si="2312">S1940+R1940+Q1940+T1940</f>
        <v>0.93548387096774199</v>
      </c>
      <c r="V1940" s="136"/>
    </row>
    <row r="1941" spans="2:25" ht="15.75" hidden="1" x14ac:dyDescent="0.2">
      <c r="B1941" s="711">
        <v>46211</v>
      </c>
      <c r="C1941" s="105" t="s">
        <v>12</v>
      </c>
      <c r="D1941" s="105" t="s">
        <v>163</v>
      </c>
      <c r="E1941" s="711">
        <v>46212</v>
      </c>
      <c r="G1941" s="831"/>
      <c r="H1941" s="120" t="s">
        <v>120</v>
      </c>
      <c r="I1941" s="120" t="s">
        <v>43</v>
      </c>
      <c r="J1941" s="106">
        <v>22</v>
      </c>
      <c r="K1941" s="106">
        <v>0</v>
      </c>
      <c r="L1941" s="106">
        <v>0</v>
      </c>
      <c r="M1941" s="106">
        <v>22</v>
      </c>
      <c r="N1941" s="106">
        <v>0</v>
      </c>
      <c r="O1941" s="106">
        <v>0</v>
      </c>
      <c r="P1941" s="106">
        <v>0</v>
      </c>
      <c r="Q1941" s="108">
        <f t="shared" ref="Q1941" si="2313">(K1941+L1941)/J1941</f>
        <v>0</v>
      </c>
      <c r="R1941" s="109">
        <f t="shared" ref="R1941" si="2314">N1941/J1941</f>
        <v>0</v>
      </c>
      <c r="S1941" s="109">
        <f t="shared" ref="S1941" si="2315">P1941/J1941</f>
        <v>0</v>
      </c>
      <c r="T1941" s="109">
        <f t="shared" ref="T1941" si="2316">O1941/J1941</f>
        <v>0</v>
      </c>
      <c r="U1941" s="110">
        <f t="shared" ref="U1941" si="2317">S1941+R1941+Q1941+T1941</f>
        <v>0</v>
      </c>
      <c r="V1941" s="136"/>
    </row>
    <row r="1942" spans="2:25" ht="15.75" hidden="1" x14ac:dyDescent="0.2">
      <c r="B1942" s="711">
        <v>46211</v>
      </c>
      <c r="C1942" s="105" t="s">
        <v>12</v>
      </c>
      <c r="D1942" s="105" t="s">
        <v>163</v>
      </c>
      <c r="E1942" s="711">
        <v>46212</v>
      </c>
      <c r="G1942" s="831"/>
      <c r="H1942" s="120" t="s">
        <v>118</v>
      </c>
      <c r="I1942" s="120" t="s">
        <v>43</v>
      </c>
      <c r="J1942" s="106">
        <v>14</v>
      </c>
      <c r="K1942" s="106">
        <v>0</v>
      </c>
      <c r="L1942" s="106">
        <v>0</v>
      </c>
      <c r="M1942" s="106">
        <v>4</v>
      </c>
      <c r="N1942" s="106">
        <v>5</v>
      </c>
      <c r="O1942" s="106">
        <v>0</v>
      </c>
      <c r="P1942" s="106">
        <v>5</v>
      </c>
      <c r="Q1942" s="108">
        <f t="shared" si="2311"/>
        <v>0</v>
      </c>
      <c r="R1942" s="109">
        <f t="shared" si="2309"/>
        <v>0.35714285714285715</v>
      </c>
      <c r="S1942" s="109">
        <f t="shared" si="2306"/>
        <v>0.35714285714285715</v>
      </c>
      <c r="T1942" s="109">
        <f t="shared" si="2307"/>
        <v>0</v>
      </c>
      <c r="U1942" s="110">
        <f t="shared" si="2312"/>
        <v>0.7142857142857143</v>
      </c>
      <c r="V1942" s="136"/>
    </row>
    <row r="1943" spans="2:25" ht="15.75" hidden="1" x14ac:dyDescent="0.2">
      <c r="B1943" s="711">
        <v>46211</v>
      </c>
      <c r="C1943" s="105" t="s">
        <v>12</v>
      </c>
      <c r="D1943" s="105" t="s">
        <v>163</v>
      </c>
      <c r="E1943" s="711">
        <v>46212</v>
      </c>
      <c r="G1943" s="832"/>
      <c r="H1943" s="120" t="s">
        <v>17</v>
      </c>
      <c r="I1943" s="120" t="s">
        <v>43</v>
      </c>
      <c r="J1943" s="106">
        <v>42</v>
      </c>
      <c r="K1943" s="106">
        <v>0</v>
      </c>
      <c r="L1943" s="106">
        <v>1</v>
      </c>
      <c r="M1943" s="106">
        <v>13</v>
      </c>
      <c r="N1943" s="106">
        <v>16</v>
      </c>
      <c r="O1943" s="106">
        <v>12</v>
      </c>
      <c r="P1943" s="106">
        <v>0</v>
      </c>
      <c r="Q1943" s="108">
        <f t="shared" si="2311"/>
        <v>2.3809523809523808E-2</v>
      </c>
      <c r="R1943" s="109">
        <f t="shared" si="2309"/>
        <v>0.38095238095238093</v>
      </c>
      <c r="S1943" s="109">
        <f t="shared" si="2306"/>
        <v>0</v>
      </c>
      <c r="T1943" s="109">
        <f t="shared" si="2307"/>
        <v>0.2857142857142857</v>
      </c>
      <c r="U1943" s="110">
        <f t="shared" si="2312"/>
        <v>0.69047619047619047</v>
      </c>
      <c r="V1943" s="136"/>
    </row>
    <row r="1944" spans="2:25" ht="15.75" hidden="1" x14ac:dyDescent="0.2">
      <c r="B1944" s="711">
        <v>46211</v>
      </c>
      <c r="C1944" s="105" t="s">
        <v>12</v>
      </c>
      <c r="D1944" s="105" t="s">
        <v>163</v>
      </c>
      <c r="E1944" s="711">
        <v>46212</v>
      </c>
      <c r="G1944" s="190"/>
      <c r="H1944" s="840" t="s">
        <v>19</v>
      </c>
      <c r="I1944" s="841"/>
      <c r="J1944" s="113">
        <f>SUM(J1936:J1943)</f>
        <v>1345</v>
      </c>
      <c r="K1944" s="113">
        <f>SUM(K1940:K1943)</f>
        <v>86</v>
      </c>
      <c r="L1944" s="113">
        <f t="shared" ref="L1944:P1944" si="2318">SUM(L1940:L1943)</f>
        <v>51</v>
      </c>
      <c r="M1944" s="113">
        <f t="shared" si="2318"/>
        <v>53</v>
      </c>
      <c r="N1944" s="113">
        <f t="shared" si="2318"/>
        <v>21</v>
      </c>
      <c r="O1944" s="113">
        <f t="shared" si="2318"/>
        <v>32</v>
      </c>
      <c r="P1944" s="113">
        <f t="shared" si="2318"/>
        <v>52</v>
      </c>
      <c r="Q1944" s="115">
        <f>(K1944+L1944)/J1944</f>
        <v>0.10185873605947955</v>
      </c>
      <c r="R1944" s="116">
        <f>N1944/J1944</f>
        <v>1.5613382899628252E-2</v>
      </c>
      <c r="S1944" s="116">
        <f t="shared" ref="S1944:S1951" si="2319">P1944/J1944</f>
        <v>3.8661710037174724E-2</v>
      </c>
      <c r="T1944" s="116">
        <f t="shared" ref="T1944:T1951" si="2320">O1944/J1944</f>
        <v>2.379182156133829E-2</v>
      </c>
      <c r="U1944" s="117">
        <f t="shared" si="2312"/>
        <v>0.17992565055762083</v>
      </c>
      <c r="V1944" s="213"/>
    </row>
    <row r="1945" spans="2:25" ht="15.75" hidden="1" x14ac:dyDescent="0.2">
      <c r="B1945" s="711">
        <v>46211</v>
      </c>
      <c r="C1945" s="105" t="s">
        <v>18</v>
      </c>
      <c r="D1945" s="105" t="s">
        <v>20</v>
      </c>
      <c r="E1945" s="711">
        <v>46211</v>
      </c>
      <c r="G1945" s="714">
        <v>46211</v>
      </c>
      <c r="H1945" s="120" t="s">
        <v>16</v>
      </c>
      <c r="I1945" s="120" t="s">
        <v>83</v>
      </c>
      <c r="J1945" s="106">
        <f>SUM(K1945:P1945)</f>
        <v>55</v>
      </c>
      <c r="K1945" s="106">
        <v>20</v>
      </c>
      <c r="L1945" s="106">
        <v>16</v>
      </c>
      <c r="M1945" s="106">
        <v>0</v>
      </c>
      <c r="N1945" s="106">
        <v>0</v>
      </c>
      <c r="O1945" s="106">
        <v>0</v>
      </c>
      <c r="P1945" s="106">
        <v>19</v>
      </c>
      <c r="Q1945" s="108">
        <f t="shared" ref="Q1945:Q1947" si="2321">(K1945+L1945)/J1945</f>
        <v>0.65454545454545454</v>
      </c>
      <c r="R1945" s="109">
        <f t="shared" ref="R1945:R1951" si="2322">N1945/J1945</f>
        <v>0</v>
      </c>
      <c r="S1945" s="109">
        <f t="shared" si="2319"/>
        <v>0.34545454545454546</v>
      </c>
      <c r="T1945" s="109">
        <f t="shared" si="2320"/>
        <v>0</v>
      </c>
      <c r="U1945" s="110">
        <f t="shared" si="2312"/>
        <v>1</v>
      </c>
      <c r="V1945" s="220"/>
    </row>
    <row r="1946" spans="2:25" ht="15.75" hidden="1" x14ac:dyDescent="0.2">
      <c r="B1946" s="711">
        <v>46211</v>
      </c>
      <c r="C1946" s="105" t="s">
        <v>18</v>
      </c>
      <c r="D1946" s="105" t="s">
        <v>20</v>
      </c>
      <c r="E1946" s="711">
        <v>46212</v>
      </c>
      <c r="G1946" s="830">
        <v>46212</v>
      </c>
      <c r="H1946" s="120" t="s">
        <v>16</v>
      </c>
      <c r="I1946" s="120" t="s">
        <v>83</v>
      </c>
      <c r="J1946" s="106">
        <v>217</v>
      </c>
      <c r="K1946" s="106">
        <v>86</v>
      </c>
      <c r="L1946" s="106">
        <f>217-86-2-20-51</f>
        <v>58</v>
      </c>
      <c r="M1946" s="106">
        <v>2</v>
      </c>
      <c r="N1946" s="106">
        <v>0</v>
      </c>
      <c r="O1946" s="106">
        <v>20</v>
      </c>
      <c r="P1946" s="106">
        <v>51</v>
      </c>
      <c r="Q1946" s="108">
        <f t="shared" si="2321"/>
        <v>0.66359447004608296</v>
      </c>
      <c r="R1946" s="109">
        <f t="shared" si="2322"/>
        <v>0</v>
      </c>
      <c r="S1946" s="109">
        <f t="shared" si="2319"/>
        <v>0.23502304147465439</v>
      </c>
      <c r="T1946" s="109">
        <f t="shared" si="2320"/>
        <v>9.2165898617511524E-2</v>
      </c>
      <c r="U1946" s="110">
        <f t="shared" si="2312"/>
        <v>0.99078341013824889</v>
      </c>
      <c r="V1946" s="136"/>
    </row>
    <row r="1947" spans="2:25" ht="15.75" hidden="1" x14ac:dyDescent="0.2">
      <c r="B1947" s="711">
        <v>46211</v>
      </c>
      <c r="C1947" s="105" t="s">
        <v>18</v>
      </c>
      <c r="D1947" s="105" t="s">
        <v>20</v>
      </c>
      <c r="E1947" s="711">
        <v>46212</v>
      </c>
      <c r="G1947" s="831"/>
      <c r="H1947" s="120" t="s">
        <v>17</v>
      </c>
      <c r="I1947" s="120" t="s">
        <v>43</v>
      </c>
      <c r="J1947" s="106">
        <v>47</v>
      </c>
      <c r="K1947" s="106">
        <v>22</v>
      </c>
      <c r="L1947" s="106">
        <v>12</v>
      </c>
      <c r="M1947" s="106">
        <v>1</v>
      </c>
      <c r="N1947" s="106">
        <v>0</v>
      </c>
      <c r="O1947" s="106">
        <v>12</v>
      </c>
      <c r="P1947" s="106">
        <v>0</v>
      </c>
      <c r="Q1947" s="108">
        <f t="shared" si="2321"/>
        <v>0.72340425531914898</v>
      </c>
      <c r="R1947" s="109">
        <f t="shared" si="2322"/>
        <v>0</v>
      </c>
      <c r="S1947" s="109">
        <f t="shared" si="2319"/>
        <v>0</v>
      </c>
      <c r="T1947" s="109">
        <f t="shared" si="2320"/>
        <v>0.25531914893617019</v>
      </c>
      <c r="U1947" s="110">
        <f t="shared" si="2312"/>
        <v>0.97872340425531923</v>
      </c>
      <c r="V1947" s="136"/>
    </row>
    <row r="1948" spans="2:25" ht="15.75" hidden="1" x14ac:dyDescent="0.2">
      <c r="B1948" s="711">
        <v>46211</v>
      </c>
      <c r="C1948" s="105" t="s">
        <v>18</v>
      </c>
      <c r="D1948" s="105" t="s">
        <v>20</v>
      </c>
      <c r="E1948" s="711">
        <v>46212</v>
      </c>
      <c r="G1948" s="832"/>
      <c r="H1948" s="120" t="s">
        <v>118</v>
      </c>
      <c r="I1948" s="120" t="s">
        <v>43</v>
      </c>
      <c r="J1948" s="106">
        <v>55</v>
      </c>
      <c r="K1948" s="106">
        <v>49</v>
      </c>
      <c r="L1948" s="106">
        <v>1</v>
      </c>
      <c r="M1948" s="106">
        <v>0</v>
      </c>
      <c r="N1948" s="106">
        <v>0</v>
      </c>
      <c r="O1948" s="106">
        <v>0</v>
      </c>
      <c r="P1948" s="106">
        <v>5</v>
      </c>
      <c r="Q1948" s="108">
        <f t="shared" ref="Q1948:Q1950" si="2323">(K1948+L1948)/J1948</f>
        <v>0.90909090909090906</v>
      </c>
      <c r="R1948" s="109">
        <f t="shared" ref="R1948:R1950" si="2324">N1948/J1948</f>
        <v>0</v>
      </c>
      <c r="S1948" s="109">
        <f t="shared" ref="S1948:S1950" si="2325">P1948/J1948</f>
        <v>9.0909090909090912E-2</v>
      </c>
      <c r="T1948" s="109">
        <f t="shared" ref="T1948:T1950" si="2326">O1948/J1948</f>
        <v>0</v>
      </c>
      <c r="U1948" s="110">
        <f t="shared" ref="U1948:U1950" si="2327">S1948+R1948+Q1948+T1948</f>
        <v>1</v>
      </c>
      <c r="V1948" s="136"/>
    </row>
    <row r="1949" spans="2:25" ht="15.75" hidden="1" x14ac:dyDescent="0.2">
      <c r="B1949" s="711">
        <v>46211</v>
      </c>
      <c r="C1949" s="105" t="s">
        <v>18</v>
      </c>
      <c r="D1949" s="105" t="s">
        <v>20</v>
      </c>
      <c r="E1949" s="711">
        <v>46213</v>
      </c>
      <c r="G1949" s="830">
        <v>46213</v>
      </c>
      <c r="H1949" s="120" t="s">
        <v>84</v>
      </c>
      <c r="I1949" s="120" t="s">
        <v>43</v>
      </c>
      <c r="J1949" s="106">
        <v>65</v>
      </c>
      <c r="K1949" s="106">
        <v>0</v>
      </c>
      <c r="L1949" s="106">
        <v>0</v>
      </c>
      <c r="M1949" s="106">
        <v>3</v>
      </c>
      <c r="N1949" s="106">
        <v>57</v>
      </c>
      <c r="O1949" s="106">
        <v>2</v>
      </c>
      <c r="P1949" s="106">
        <v>3</v>
      </c>
      <c r="Q1949" s="108">
        <f t="shared" si="2323"/>
        <v>0</v>
      </c>
      <c r="R1949" s="109">
        <f t="shared" si="2324"/>
        <v>0.87692307692307692</v>
      </c>
      <c r="S1949" s="109">
        <f t="shared" si="2325"/>
        <v>4.6153846153846156E-2</v>
      </c>
      <c r="T1949" s="109">
        <f t="shared" si="2326"/>
        <v>3.0769230769230771E-2</v>
      </c>
      <c r="U1949" s="110">
        <f t="shared" si="2327"/>
        <v>0.9538461538461539</v>
      </c>
      <c r="V1949" s="136"/>
    </row>
    <row r="1950" spans="2:25" ht="15.75" hidden="1" x14ac:dyDescent="0.2">
      <c r="B1950" s="711">
        <v>46211</v>
      </c>
      <c r="C1950" s="105" t="s">
        <v>18</v>
      </c>
      <c r="D1950" s="105" t="s">
        <v>20</v>
      </c>
      <c r="E1950" s="711">
        <v>46213</v>
      </c>
      <c r="G1950" s="831"/>
      <c r="H1950" s="120" t="s">
        <v>25</v>
      </c>
      <c r="I1950" s="120" t="s">
        <v>43</v>
      </c>
      <c r="J1950" s="106">
        <v>156</v>
      </c>
      <c r="K1950" s="106">
        <v>0</v>
      </c>
      <c r="L1950" s="106">
        <v>1</v>
      </c>
      <c r="M1950" s="106">
        <v>123</v>
      </c>
      <c r="N1950" s="106">
        <v>5</v>
      </c>
      <c r="O1950" s="106">
        <v>17</v>
      </c>
      <c r="P1950" s="106">
        <v>10</v>
      </c>
      <c r="Q1950" s="108">
        <f t="shared" si="2323"/>
        <v>6.41025641025641E-3</v>
      </c>
      <c r="R1950" s="109">
        <f t="shared" si="2324"/>
        <v>3.2051282051282048E-2</v>
      </c>
      <c r="S1950" s="109">
        <f t="shared" si="2325"/>
        <v>6.4102564102564097E-2</v>
      </c>
      <c r="T1950" s="109">
        <f t="shared" si="2326"/>
        <v>0.10897435897435898</v>
      </c>
      <c r="U1950" s="110">
        <f t="shared" si="2327"/>
        <v>0.21153846153846154</v>
      </c>
      <c r="V1950" s="136"/>
    </row>
    <row r="1951" spans="2:25" s="97" customFormat="1" ht="16.5" hidden="1" customHeight="1" x14ac:dyDescent="0.2">
      <c r="B1951" s="711">
        <v>46211</v>
      </c>
      <c r="C1951" s="105" t="s">
        <v>18</v>
      </c>
      <c r="D1951" s="105" t="s">
        <v>20</v>
      </c>
      <c r="E1951" s="711">
        <v>46211</v>
      </c>
      <c r="F1951" s="89"/>
      <c r="G1951" s="190"/>
      <c r="H1951" s="840" t="s">
        <v>19</v>
      </c>
      <c r="I1951" s="841"/>
      <c r="J1951" s="113">
        <f t="shared" ref="J1951:P1951" si="2328">SUM(J1945:J1950)</f>
        <v>595</v>
      </c>
      <c r="K1951" s="113">
        <f t="shared" si="2328"/>
        <v>177</v>
      </c>
      <c r="L1951" s="113">
        <f t="shared" si="2328"/>
        <v>88</v>
      </c>
      <c r="M1951" s="113">
        <f t="shared" si="2328"/>
        <v>129</v>
      </c>
      <c r="N1951" s="113">
        <f t="shared" si="2328"/>
        <v>62</v>
      </c>
      <c r="O1951" s="113">
        <f t="shared" si="2328"/>
        <v>51</v>
      </c>
      <c r="P1951" s="113">
        <f t="shared" si="2328"/>
        <v>88</v>
      </c>
      <c r="Q1951" s="115">
        <f>(K1951+L1951)/J1951</f>
        <v>0.44537815126050423</v>
      </c>
      <c r="R1951" s="116">
        <f t="shared" si="2322"/>
        <v>0.10420168067226891</v>
      </c>
      <c r="S1951" s="116">
        <f t="shared" si="2319"/>
        <v>0.14789915966386555</v>
      </c>
      <c r="T1951" s="116">
        <f t="shared" si="2320"/>
        <v>8.5714285714285715E-2</v>
      </c>
      <c r="U1951" s="117">
        <f t="shared" si="2312"/>
        <v>0.78319327731092436</v>
      </c>
      <c r="V1951" s="213"/>
      <c r="W1951" s="88"/>
      <c r="X1951" s="88"/>
      <c r="Y1951" s="118"/>
    </row>
    <row r="1952" spans="2:25" ht="15.75" hidden="1" x14ac:dyDescent="0.2">
      <c r="B1952" s="711">
        <v>46212</v>
      </c>
      <c r="C1952" s="105" t="s">
        <v>22</v>
      </c>
      <c r="D1952" s="105" t="s">
        <v>13</v>
      </c>
      <c r="E1952" s="711">
        <v>46212</v>
      </c>
      <c r="G1952" s="830">
        <v>46212</v>
      </c>
      <c r="H1952" s="120" t="s">
        <v>16</v>
      </c>
      <c r="I1952" s="120" t="s">
        <v>83</v>
      </c>
      <c r="J1952" s="106">
        <v>217</v>
      </c>
      <c r="K1952" s="106">
        <v>106</v>
      </c>
      <c r="L1952" s="106">
        <v>51</v>
      </c>
      <c r="M1952" s="106">
        <v>4</v>
      </c>
      <c r="N1952" s="106">
        <v>0</v>
      </c>
      <c r="O1952" s="106">
        <v>20</v>
      </c>
      <c r="P1952" s="106">
        <v>36</v>
      </c>
      <c r="Q1952" s="108">
        <f t="shared" ref="Q1952:Q1956" si="2329">(K1952+L1952)/J1952</f>
        <v>0.72350230414746541</v>
      </c>
      <c r="R1952" s="109">
        <f t="shared" ref="R1952:R1957" si="2330">N1952/J1952</f>
        <v>0</v>
      </c>
      <c r="S1952" s="109">
        <f t="shared" ref="S1952:S1957" si="2331">P1952/J1952</f>
        <v>0.16589861751152074</v>
      </c>
      <c r="T1952" s="109">
        <f t="shared" ref="T1952:T1957" si="2332">O1952/J1952</f>
        <v>9.2165898617511524E-2</v>
      </c>
      <c r="U1952" s="110">
        <f t="shared" ref="U1952:U1957" si="2333">S1952+R1952+Q1952+T1952</f>
        <v>0.98156682027649778</v>
      </c>
      <c r="V1952" s="136"/>
    </row>
    <row r="1953" spans="2:22" ht="15.75" hidden="1" x14ac:dyDescent="0.2">
      <c r="B1953" s="711">
        <v>46212</v>
      </c>
      <c r="C1953" s="105" t="s">
        <v>22</v>
      </c>
      <c r="D1953" s="105" t="s">
        <v>13</v>
      </c>
      <c r="E1953" s="711">
        <v>46212</v>
      </c>
      <c r="G1953" s="831"/>
      <c r="H1953" s="120" t="s">
        <v>17</v>
      </c>
      <c r="I1953" s="120" t="s">
        <v>43</v>
      </c>
      <c r="J1953" s="106">
        <v>47</v>
      </c>
      <c r="K1953" s="106">
        <v>23</v>
      </c>
      <c r="L1953" s="106">
        <v>12</v>
      </c>
      <c r="M1953" s="106">
        <v>0</v>
      </c>
      <c r="N1953" s="106">
        <v>0</v>
      </c>
      <c r="O1953" s="106">
        <v>12</v>
      </c>
      <c r="P1953" s="106">
        <v>0</v>
      </c>
      <c r="Q1953" s="108">
        <f t="shared" si="2329"/>
        <v>0.74468085106382975</v>
      </c>
      <c r="R1953" s="109">
        <f t="shared" si="2330"/>
        <v>0</v>
      </c>
      <c r="S1953" s="109">
        <f t="shared" si="2331"/>
        <v>0</v>
      </c>
      <c r="T1953" s="109">
        <f t="shared" si="2332"/>
        <v>0.25531914893617019</v>
      </c>
      <c r="U1953" s="110">
        <f t="shared" si="2333"/>
        <v>1</v>
      </c>
      <c r="V1953" s="136"/>
    </row>
    <row r="1954" spans="2:22" ht="15.75" hidden="1" x14ac:dyDescent="0.2">
      <c r="B1954" s="711">
        <v>46212</v>
      </c>
      <c r="C1954" s="105" t="s">
        <v>22</v>
      </c>
      <c r="D1954" s="105" t="s">
        <v>13</v>
      </c>
      <c r="E1954" s="711">
        <v>46212</v>
      </c>
      <c r="G1954" s="832"/>
      <c r="H1954" s="120" t="s">
        <v>118</v>
      </c>
      <c r="I1954" s="120" t="s">
        <v>43</v>
      </c>
      <c r="J1954" s="106">
        <v>60</v>
      </c>
      <c r="K1954" s="106">
        <v>52</v>
      </c>
      <c r="L1954" s="106">
        <v>3</v>
      </c>
      <c r="M1954" s="106">
        <v>0</v>
      </c>
      <c r="N1954" s="106">
        <v>0</v>
      </c>
      <c r="O1954" s="106">
        <v>0</v>
      </c>
      <c r="P1954" s="106">
        <v>5</v>
      </c>
      <c r="Q1954" s="108">
        <f t="shared" si="2329"/>
        <v>0.91666666666666663</v>
      </c>
      <c r="R1954" s="109">
        <f t="shared" si="2330"/>
        <v>0</v>
      </c>
      <c r="S1954" s="109">
        <f t="shared" si="2331"/>
        <v>8.3333333333333329E-2</v>
      </c>
      <c r="T1954" s="109">
        <f t="shared" si="2332"/>
        <v>0</v>
      </c>
      <c r="U1954" s="110">
        <f t="shared" si="2333"/>
        <v>1</v>
      </c>
      <c r="V1954" s="136"/>
    </row>
    <row r="1955" spans="2:22" ht="15.75" hidden="1" x14ac:dyDescent="0.2">
      <c r="B1955" s="711">
        <v>46212</v>
      </c>
      <c r="C1955" s="105" t="s">
        <v>22</v>
      </c>
      <c r="D1955" s="105" t="s">
        <v>13</v>
      </c>
      <c r="E1955" s="711">
        <v>46213</v>
      </c>
      <c r="G1955" s="830">
        <v>46213</v>
      </c>
      <c r="H1955" s="120" t="s">
        <v>84</v>
      </c>
      <c r="I1955" s="120" t="s">
        <v>43</v>
      </c>
      <c r="J1955" s="106">
        <v>65</v>
      </c>
      <c r="K1955" s="106">
        <v>44</v>
      </c>
      <c r="L1955" s="106">
        <v>7</v>
      </c>
      <c r="M1955" s="106">
        <v>1</v>
      </c>
      <c r="N1955" s="106">
        <v>0</v>
      </c>
      <c r="O1955" s="106">
        <v>10</v>
      </c>
      <c r="P1955" s="106">
        <v>3</v>
      </c>
      <c r="Q1955" s="108">
        <f t="shared" si="2329"/>
        <v>0.7846153846153846</v>
      </c>
      <c r="R1955" s="109">
        <f t="shared" si="2330"/>
        <v>0</v>
      </c>
      <c r="S1955" s="109">
        <f t="shared" si="2331"/>
        <v>4.6153846153846156E-2</v>
      </c>
      <c r="T1955" s="109">
        <f t="shared" si="2332"/>
        <v>0.15384615384615385</v>
      </c>
      <c r="U1955" s="110">
        <f t="shared" si="2333"/>
        <v>0.98461538461538456</v>
      </c>
      <c r="V1955" s="136"/>
    </row>
    <row r="1956" spans="2:22" ht="15.75" hidden="1" x14ac:dyDescent="0.2">
      <c r="B1956" s="711">
        <v>46212</v>
      </c>
      <c r="C1956" s="105" t="s">
        <v>22</v>
      </c>
      <c r="D1956" s="105" t="s">
        <v>13</v>
      </c>
      <c r="E1956" s="711">
        <v>46213</v>
      </c>
      <c r="G1956" s="831"/>
      <c r="H1956" s="120" t="s">
        <v>25</v>
      </c>
      <c r="I1956" s="120" t="s">
        <v>43</v>
      </c>
      <c r="J1956" s="106">
        <v>156</v>
      </c>
      <c r="K1956" s="106">
        <v>0</v>
      </c>
      <c r="L1956" s="106">
        <v>1</v>
      </c>
      <c r="M1956" s="106">
        <v>123</v>
      </c>
      <c r="N1956" s="106">
        <v>5</v>
      </c>
      <c r="O1956" s="106">
        <v>17</v>
      </c>
      <c r="P1956" s="106">
        <v>10</v>
      </c>
      <c r="Q1956" s="108">
        <f t="shared" si="2329"/>
        <v>6.41025641025641E-3</v>
      </c>
      <c r="R1956" s="109">
        <f t="shared" si="2330"/>
        <v>3.2051282051282048E-2</v>
      </c>
      <c r="S1956" s="109">
        <f t="shared" si="2331"/>
        <v>6.4102564102564097E-2</v>
      </c>
      <c r="T1956" s="109">
        <f t="shared" si="2332"/>
        <v>0.10897435897435898</v>
      </c>
      <c r="U1956" s="110">
        <f t="shared" si="2333"/>
        <v>0.21153846153846154</v>
      </c>
      <c r="V1956" s="136"/>
    </row>
    <row r="1957" spans="2:22" ht="15.75" hidden="1" x14ac:dyDescent="0.2">
      <c r="B1957" s="711">
        <v>46212</v>
      </c>
      <c r="C1957" s="105" t="s">
        <v>22</v>
      </c>
      <c r="D1957" s="105" t="s">
        <v>13</v>
      </c>
      <c r="E1957" s="711">
        <v>46213</v>
      </c>
      <c r="G1957" s="190"/>
      <c r="H1957" s="840" t="s">
        <v>19</v>
      </c>
      <c r="I1957" s="841"/>
      <c r="J1957" s="113">
        <f t="shared" ref="J1957:P1957" si="2334">SUM(J1951:J1956)</f>
        <v>1140</v>
      </c>
      <c r="K1957" s="113">
        <f t="shared" si="2334"/>
        <v>402</v>
      </c>
      <c r="L1957" s="113">
        <f t="shared" si="2334"/>
        <v>162</v>
      </c>
      <c r="M1957" s="113">
        <f t="shared" si="2334"/>
        <v>257</v>
      </c>
      <c r="N1957" s="113">
        <f t="shared" si="2334"/>
        <v>67</v>
      </c>
      <c r="O1957" s="113">
        <f t="shared" si="2334"/>
        <v>110</v>
      </c>
      <c r="P1957" s="113">
        <f t="shared" si="2334"/>
        <v>142</v>
      </c>
      <c r="Q1957" s="115">
        <f>(K1957+L1957)/J1957</f>
        <v>0.49473684210526314</v>
      </c>
      <c r="R1957" s="116">
        <f t="shared" si="2330"/>
        <v>5.8771929824561406E-2</v>
      </c>
      <c r="S1957" s="116">
        <f t="shared" si="2331"/>
        <v>0.12456140350877193</v>
      </c>
      <c r="T1957" s="116">
        <f t="shared" si="2332"/>
        <v>9.6491228070175433E-2</v>
      </c>
      <c r="U1957" s="117">
        <f t="shared" si="2333"/>
        <v>0.7745614035087719</v>
      </c>
      <c r="V1957" s="213"/>
    </row>
    <row r="1958" spans="2:22" ht="15.75" hidden="1" x14ac:dyDescent="0.2">
      <c r="B1958" s="711">
        <v>46212</v>
      </c>
      <c r="C1958" s="105" t="s">
        <v>12</v>
      </c>
      <c r="D1958" s="105" t="s">
        <v>163</v>
      </c>
      <c r="E1958" s="711">
        <v>46212</v>
      </c>
      <c r="G1958" s="830">
        <v>46212</v>
      </c>
      <c r="H1958" s="120" t="s">
        <v>16</v>
      </c>
      <c r="I1958" s="120" t="s">
        <v>83</v>
      </c>
      <c r="J1958" s="106">
        <v>217</v>
      </c>
      <c r="K1958" s="106">
        <f>217-112</f>
        <v>105</v>
      </c>
      <c r="L1958" s="106">
        <v>59</v>
      </c>
      <c r="M1958" s="106">
        <v>5</v>
      </c>
      <c r="N1958" s="106">
        <v>0</v>
      </c>
      <c r="O1958" s="106">
        <v>20</v>
      </c>
      <c r="P1958" s="106">
        <v>28</v>
      </c>
      <c r="Q1958" s="108">
        <f t="shared" ref="Q1958:Q1965" si="2335">(K1958+L1958)/J1958</f>
        <v>0.75576036866359442</v>
      </c>
      <c r="R1958" s="109">
        <f t="shared" ref="R1958:R1972" si="2336">N1958/J1958</f>
        <v>0</v>
      </c>
      <c r="S1958" s="109">
        <f t="shared" ref="S1958:S1972" si="2337">P1958/J1958</f>
        <v>0.12903225806451613</v>
      </c>
      <c r="T1958" s="109">
        <f t="shared" ref="T1958:T1972" si="2338">O1958/J1958</f>
        <v>9.2165898617511524E-2</v>
      </c>
      <c r="U1958" s="110">
        <f t="shared" ref="U1958:U1972" si="2339">S1958+R1958+Q1958+T1958</f>
        <v>0.97695852534562211</v>
      </c>
      <c r="V1958" s="136"/>
    </row>
    <row r="1959" spans="2:22" ht="15.75" hidden="1" x14ac:dyDescent="0.2">
      <c r="B1959" s="711">
        <v>46212</v>
      </c>
      <c r="C1959" s="105" t="s">
        <v>12</v>
      </c>
      <c r="D1959" s="105" t="s">
        <v>163</v>
      </c>
      <c r="E1959" s="711">
        <v>46212</v>
      </c>
      <c r="G1959" s="831"/>
      <c r="H1959" s="120" t="s">
        <v>17</v>
      </c>
      <c r="I1959" s="120" t="s">
        <v>43</v>
      </c>
      <c r="J1959" s="106">
        <v>47</v>
      </c>
      <c r="K1959" s="106">
        <f>47-29</f>
        <v>18</v>
      </c>
      <c r="L1959" s="106">
        <v>16</v>
      </c>
      <c r="M1959" s="106">
        <v>1</v>
      </c>
      <c r="N1959" s="106">
        <v>0</v>
      </c>
      <c r="O1959" s="106">
        <v>12</v>
      </c>
      <c r="P1959" s="106">
        <v>0</v>
      </c>
      <c r="Q1959" s="108">
        <f t="shared" si="2335"/>
        <v>0.72340425531914898</v>
      </c>
      <c r="R1959" s="109">
        <f t="shared" si="2336"/>
        <v>0</v>
      </c>
      <c r="S1959" s="109">
        <f t="shared" si="2337"/>
        <v>0</v>
      </c>
      <c r="T1959" s="109">
        <f t="shared" si="2338"/>
        <v>0.25531914893617019</v>
      </c>
      <c r="U1959" s="110">
        <f t="shared" si="2339"/>
        <v>0.97872340425531923</v>
      </c>
      <c r="V1959" s="136"/>
    </row>
    <row r="1960" spans="2:22" ht="15.75" hidden="1" x14ac:dyDescent="0.2">
      <c r="B1960" s="711">
        <v>46212</v>
      </c>
      <c r="C1960" s="105" t="s">
        <v>12</v>
      </c>
      <c r="D1960" s="105" t="s">
        <v>163</v>
      </c>
      <c r="E1960" s="711">
        <v>46212</v>
      </c>
      <c r="G1960" s="832"/>
      <c r="H1960" s="120" t="s">
        <v>118</v>
      </c>
      <c r="I1960" s="120" t="s">
        <v>43</v>
      </c>
      <c r="J1960" s="106">
        <v>60</v>
      </c>
      <c r="K1960" s="106">
        <v>52</v>
      </c>
      <c r="L1960" s="106">
        <v>3</v>
      </c>
      <c r="M1960" s="106">
        <v>0</v>
      </c>
      <c r="N1960" s="106">
        <v>0</v>
      </c>
      <c r="O1960" s="106">
        <v>0</v>
      </c>
      <c r="P1960" s="106">
        <v>5</v>
      </c>
      <c r="Q1960" s="108">
        <f t="shared" si="2335"/>
        <v>0.91666666666666663</v>
      </c>
      <c r="R1960" s="109">
        <f t="shared" si="2336"/>
        <v>0</v>
      </c>
      <c r="S1960" s="109">
        <f t="shared" si="2337"/>
        <v>8.3333333333333329E-2</v>
      </c>
      <c r="T1960" s="109">
        <f t="shared" si="2338"/>
        <v>0</v>
      </c>
      <c r="U1960" s="110">
        <f t="shared" si="2339"/>
        <v>1</v>
      </c>
      <c r="V1960" s="136"/>
    </row>
    <row r="1961" spans="2:22" ht="15.75" hidden="1" x14ac:dyDescent="0.2">
      <c r="B1961" s="711">
        <v>46212</v>
      </c>
      <c r="C1961" s="105" t="s">
        <v>12</v>
      </c>
      <c r="D1961" s="105" t="s">
        <v>163</v>
      </c>
      <c r="E1961" s="711">
        <v>46213</v>
      </c>
      <c r="G1961" s="830">
        <v>46213</v>
      </c>
      <c r="H1961" s="120" t="s">
        <v>16</v>
      </c>
      <c r="I1961" s="120" t="s">
        <v>83</v>
      </c>
      <c r="J1961" s="106">
        <v>209</v>
      </c>
      <c r="K1961" s="106">
        <f>209-120</f>
        <v>89</v>
      </c>
      <c r="L1961" s="106">
        <v>55</v>
      </c>
      <c r="M1961" s="106">
        <v>5</v>
      </c>
      <c r="N1961" s="106">
        <v>0</v>
      </c>
      <c r="O1961" s="106">
        <v>20</v>
      </c>
      <c r="P1961" s="106">
        <v>40</v>
      </c>
      <c r="Q1961" s="108">
        <f t="shared" ref="Q1961" si="2340">(K1961+L1961)/J1961</f>
        <v>0.68899521531100483</v>
      </c>
      <c r="R1961" s="109">
        <f t="shared" ref="R1961" si="2341">N1961/J1961</f>
        <v>0</v>
      </c>
      <c r="S1961" s="109">
        <f t="shared" ref="S1961" si="2342">P1961/J1961</f>
        <v>0.19138755980861244</v>
      </c>
      <c r="T1961" s="109">
        <f t="shared" ref="T1961" si="2343">O1961/J1961</f>
        <v>9.569377990430622E-2</v>
      </c>
      <c r="U1961" s="110">
        <f t="shared" ref="U1961" si="2344">S1961+R1961+Q1961+T1961</f>
        <v>0.97607655502392343</v>
      </c>
      <c r="V1961" s="136"/>
    </row>
    <row r="1962" spans="2:22" ht="15.75" hidden="1" x14ac:dyDescent="0.2">
      <c r="B1962" s="711">
        <v>46212</v>
      </c>
      <c r="C1962" s="105" t="s">
        <v>12</v>
      </c>
      <c r="D1962" s="105" t="s">
        <v>163</v>
      </c>
      <c r="E1962" s="711">
        <v>46213</v>
      </c>
      <c r="G1962" s="831"/>
      <c r="H1962" s="120" t="s">
        <v>120</v>
      </c>
      <c r="I1962" s="120" t="s">
        <v>43</v>
      </c>
      <c r="J1962" s="106">
        <v>22</v>
      </c>
      <c r="K1962" s="106">
        <v>0</v>
      </c>
      <c r="L1962" s="106">
        <v>0</v>
      </c>
      <c r="M1962" s="106">
        <v>22</v>
      </c>
      <c r="N1962" s="106">
        <v>0</v>
      </c>
      <c r="O1962" s="106">
        <v>0</v>
      </c>
      <c r="P1962" s="106">
        <v>0</v>
      </c>
      <c r="Q1962" s="108">
        <f t="shared" ref="Q1962" si="2345">(K1962+L1962)/J1962</f>
        <v>0</v>
      </c>
      <c r="R1962" s="109">
        <f t="shared" ref="R1962" si="2346">N1962/J1962</f>
        <v>0</v>
      </c>
      <c r="S1962" s="109">
        <f t="shared" ref="S1962" si="2347">P1962/J1962</f>
        <v>0</v>
      </c>
      <c r="T1962" s="109">
        <f t="shared" ref="T1962" si="2348">O1962/J1962</f>
        <v>0</v>
      </c>
      <c r="U1962" s="110">
        <f t="shared" ref="U1962" si="2349">S1962+R1962+Q1962+T1962</f>
        <v>0</v>
      </c>
      <c r="V1962" s="136"/>
    </row>
    <row r="1963" spans="2:22" ht="15.75" hidden="1" x14ac:dyDescent="0.2">
      <c r="B1963" s="711">
        <v>46212</v>
      </c>
      <c r="C1963" s="105" t="s">
        <v>12</v>
      </c>
      <c r="D1963" s="105" t="s">
        <v>163</v>
      </c>
      <c r="E1963" s="711">
        <v>46213</v>
      </c>
      <c r="G1963" s="831"/>
      <c r="H1963" s="120" t="s">
        <v>84</v>
      </c>
      <c r="I1963" s="120" t="s">
        <v>43</v>
      </c>
      <c r="J1963" s="106">
        <v>65</v>
      </c>
      <c r="K1963" s="106">
        <f>65-11</f>
        <v>54</v>
      </c>
      <c r="L1963" s="106">
        <v>7</v>
      </c>
      <c r="M1963" s="106">
        <v>1</v>
      </c>
      <c r="N1963" s="106">
        <v>0</v>
      </c>
      <c r="O1963" s="106">
        <v>0</v>
      </c>
      <c r="P1963" s="106">
        <v>3</v>
      </c>
      <c r="Q1963" s="108">
        <f t="shared" si="2335"/>
        <v>0.93846153846153846</v>
      </c>
      <c r="R1963" s="109">
        <f t="shared" si="2336"/>
        <v>0</v>
      </c>
      <c r="S1963" s="109">
        <f t="shared" si="2337"/>
        <v>4.6153846153846156E-2</v>
      </c>
      <c r="T1963" s="109">
        <f t="shared" si="2338"/>
        <v>0</v>
      </c>
      <c r="U1963" s="110">
        <f t="shared" si="2339"/>
        <v>0.98461538461538467</v>
      </c>
      <c r="V1963" s="136"/>
    </row>
    <row r="1964" spans="2:22" ht="15.75" hidden="1" x14ac:dyDescent="0.2">
      <c r="B1964" s="711">
        <v>46212</v>
      </c>
      <c r="C1964" s="105" t="s">
        <v>12</v>
      </c>
      <c r="D1964" s="105" t="s">
        <v>163</v>
      </c>
      <c r="E1964" s="711">
        <v>46213</v>
      </c>
      <c r="G1964" s="831"/>
      <c r="H1964" s="120" t="s">
        <v>180</v>
      </c>
      <c r="I1964" s="120" t="s">
        <v>43</v>
      </c>
      <c r="J1964" s="106">
        <v>39</v>
      </c>
      <c r="K1964" s="106">
        <v>0</v>
      </c>
      <c r="L1964" s="106">
        <v>0</v>
      </c>
      <c r="M1964" s="106">
        <v>30</v>
      </c>
      <c r="N1964" s="106">
        <v>8</v>
      </c>
      <c r="O1964" s="106">
        <v>0</v>
      </c>
      <c r="P1964" s="106">
        <v>1</v>
      </c>
      <c r="Q1964" s="108">
        <f t="shared" ref="Q1964" si="2350">(K1964+L1964)/J1964</f>
        <v>0</v>
      </c>
      <c r="R1964" s="109">
        <f t="shared" ref="R1964" si="2351">N1964/J1964</f>
        <v>0.20512820512820512</v>
      </c>
      <c r="S1964" s="109">
        <f t="shared" ref="S1964" si="2352">P1964/J1964</f>
        <v>2.564102564102564E-2</v>
      </c>
      <c r="T1964" s="109">
        <f t="shared" ref="T1964" si="2353">O1964/J1964</f>
        <v>0</v>
      </c>
      <c r="U1964" s="110">
        <f t="shared" ref="U1964" si="2354">S1964+R1964+Q1964+T1964</f>
        <v>0.23076923076923075</v>
      </c>
      <c r="V1964" s="136"/>
    </row>
    <row r="1965" spans="2:22" ht="15.75" hidden="1" x14ac:dyDescent="0.2">
      <c r="B1965" s="711">
        <v>46212</v>
      </c>
      <c r="C1965" s="105" t="s">
        <v>12</v>
      </c>
      <c r="D1965" s="105" t="s">
        <v>163</v>
      </c>
      <c r="E1965" s="711">
        <v>46213</v>
      </c>
      <c r="G1965" s="831"/>
      <c r="H1965" s="120" t="s">
        <v>25</v>
      </c>
      <c r="I1965" s="120" t="s">
        <v>43</v>
      </c>
      <c r="J1965" s="106">
        <v>156</v>
      </c>
      <c r="K1965" s="106">
        <v>1</v>
      </c>
      <c r="L1965" s="106">
        <v>3</v>
      </c>
      <c r="M1965" s="106">
        <v>89</v>
      </c>
      <c r="N1965" s="106">
        <v>36</v>
      </c>
      <c r="O1965" s="106">
        <v>17</v>
      </c>
      <c r="P1965" s="106">
        <v>10</v>
      </c>
      <c r="Q1965" s="108">
        <f t="shared" si="2335"/>
        <v>2.564102564102564E-2</v>
      </c>
      <c r="R1965" s="109">
        <f t="shared" si="2336"/>
        <v>0.23076923076923078</v>
      </c>
      <c r="S1965" s="109">
        <f t="shared" si="2337"/>
        <v>6.4102564102564097E-2</v>
      </c>
      <c r="T1965" s="109">
        <f t="shared" si="2338"/>
        <v>0.10897435897435898</v>
      </c>
      <c r="U1965" s="110">
        <f t="shared" si="2339"/>
        <v>0.42948717948717952</v>
      </c>
      <c r="V1965" s="136"/>
    </row>
    <row r="1966" spans="2:22" ht="15.75" hidden="1" x14ac:dyDescent="0.2">
      <c r="B1966" s="711">
        <v>46212</v>
      </c>
      <c r="C1966" s="105" t="s">
        <v>12</v>
      </c>
      <c r="D1966" s="105" t="s">
        <v>163</v>
      </c>
      <c r="E1966" s="711">
        <v>46213</v>
      </c>
      <c r="G1966" s="190"/>
      <c r="H1966" s="840" t="s">
        <v>19</v>
      </c>
      <c r="I1966" s="841"/>
      <c r="J1966" s="113">
        <f>SUM(J1958:J1965)</f>
        <v>815</v>
      </c>
      <c r="K1966" s="113">
        <f t="shared" ref="K1966:P1966" si="2355">SUM(K1958:K1965)</f>
        <v>319</v>
      </c>
      <c r="L1966" s="113">
        <f t="shared" si="2355"/>
        <v>143</v>
      </c>
      <c r="M1966" s="113">
        <f t="shared" si="2355"/>
        <v>153</v>
      </c>
      <c r="N1966" s="113">
        <f t="shared" si="2355"/>
        <v>44</v>
      </c>
      <c r="O1966" s="113">
        <f t="shared" si="2355"/>
        <v>69</v>
      </c>
      <c r="P1966" s="113">
        <f t="shared" si="2355"/>
        <v>87</v>
      </c>
      <c r="Q1966" s="115">
        <f>(K1966+L1966)/J1966</f>
        <v>0.56687116564417173</v>
      </c>
      <c r="R1966" s="116">
        <f t="shared" si="2336"/>
        <v>5.3987730061349694E-2</v>
      </c>
      <c r="S1966" s="116">
        <f t="shared" si="2337"/>
        <v>0.10674846625766871</v>
      </c>
      <c r="T1966" s="116">
        <f t="shared" si="2338"/>
        <v>8.4662576687116561E-2</v>
      </c>
      <c r="U1966" s="117">
        <f t="shared" si="2339"/>
        <v>0.81226993865030661</v>
      </c>
      <c r="V1966" s="213"/>
    </row>
    <row r="1967" spans="2:22" ht="15.75" hidden="1" x14ac:dyDescent="0.2">
      <c r="B1967" s="711">
        <v>46212</v>
      </c>
      <c r="C1967" s="105" t="s">
        <v>18</v>
      </c>
      <c r="D1967" s="105" t="s">
        <v>20</v>
      </c>
      <c r="E1967" s="711">
        <v>46212</v>
      </c>
      <c r="G1967" s="714">
        <v>46212</v>
      </c>
      <c r="H1967" s="120" t="s">
        <v>16</v>
      </c>
      <c r="I1967" s="120" t="s">
        <v>83</v>
      </c>
      <c r="J1967" s="106">
        <f>SUM(K1967:P1967)</f>
        <v>58</v>
      </c>
      <c r="K1967" s="106">
        <f>29-12</f>
        <v>17</v>
      </c>
      <c r="L1967" s="106">
        <v>16</v>
      </c>
      <c r="M1967" s="106">
        <v>0</v>
      </c>
      <c r="N1967" s="106">
        <v>0</v>
      </c>
      <c r="O1967" s="106">
        <v>0</v>
      </c>
      <c r="P1967" s="106">
        <v>25</v>
      </c>
      <c r="Q1967" s="108">
        <f t="shared" ref="Q1967:Q1971" si="2356">(K1967+L1967)/J1967</f>
        <v>0.56896551724137934</v>
      </c>
      <c r="R1967" s="109">
        <f t="shared" si="2336"/>
        <v>0</v>
      </c>
      <c r="S1967" s="109">
        <f t="shared" si="2337"/>
        <v>0.43103448275862066</v>
      </c>
      <c r="T1967" s="109">
        <f t="shared" si="2338"/>
        <v>0</v>
      </c>
      <c r="U1967" s="110">
        <f t="shared" si="2339"/>
        <v>1</v>
      </c>
      <c r="V1967" s="220"/>
    </row>
    <row r="1968" spans="2:22" ht="15.75" hidden="1" x14ac:dyDescent="0.2">
      <c r="B1968" s="711">
        <v>46212</v>
      </c>
      <c r="C1968" s="105" t="s">
        <v>18</v>
      </c>
      <c r="D1968" s="105" t="s">
        <v>20</v>
      </c>
      <c r="E1968" s="711">
        <v>46213</v>
      </c>
      <c r="G1968" s="830">
        <v>46213</v>
      </c>
      <c r="H1968" s="120" t="s">
        <v>16</v>
      </c>
      <c r="I1968" s="120" t="s">
        <v>83</v>
      </c>
      <c r="J1968" s="106">
        <v>217</v>
      </c>
      <c r="K1968" s="106">
        <v>12</v>
      </c>
      <c r="L1968" s="106">
        <v>3</v>
      </c>
      <c r="M1968" s="106">
        <v>22</v>
      </c>
      <c r="N1968" s="106">
        <v>0</v>
      </c>
      <c r="O1968" s="106">
        <v>20</v>
      </c>
      <c r="P1968" s="106">
        <v>9</v>
      </c>
      <c r="Q1968" s="108">
        <f t="shared" si="2356"/>
        <v>6.9124423963133647E-2</v>
      </c>
      <c r="R1968" s="109">
        <f t="shared" si="2336"/>
        <v>0</v>
      </c>
      <c r="S1968" s="109">
        <f t="shared" si="2337"/>
        <v>4.1474654377880185E-2</v>
      </c>
      <c r="T1968" s="109">
        <f t="shared" si="2338"/>
        <v>9.2165898617511524E-2</v>
      </c>
      <c r="U1968" s="110">
        <f t="shared" si="2339"/>
        <v>0.20276497695852536</v>
      </c>
      <c r="V1968" s="136"/>
    </row>
    <row r="1969" spans="2:25" ht="15.75" hidden="1" x14ac:dyDescent="0.2">
      <c r="B1969" s="711">
        <v>46212</v>
      </c>
      <c r="C1969" s="105" t="s">
        <v>18</v>
      </c>
      <c r="D1969" s="105" t="s">
        <v>20</v>
      </c>
      <c r="E1969" s="711">
        <v>46213</v>
      </c>
      <c r="G1969" s="831"/>
      <c r="H1969" s="120" t="s">
        <v>25</v>
      </c>
      <c r="I1969" s="120" t="s">
        <v>43</v>
      </c>
      <c r="J1969" s="106">
        <v>152</v>
      </c>
      <c r="K1969" s="106">
        <v>92</v>
      </c>
      <c r="L1969" s="106">
        <v>17</v>
      </c>
      <c r="M1969" s="106">
        <v>16</v>
      </c>
      <c r="N1969" s="106">
        <v>0</v>
      </c>
      <c r="O1969" s="106">
        <v>16</v>
      </c>
      <c r="P1969" s="106">
        <v>11</v>
      </c>
      <c r="Q1969" s="108">
        <f t="shared" si="2356"/>
        <v>0.71710526315789469</v>
      </c>
      <c r="R1969" s="109">
        <f t="shared" si="2336"/>
        <v>0</v>
      </c>
      <c r="S1969" s="109">
        <f t="shared" si="2337"/>
        <v>7.2368421052631582E-2</v>
      </c>
      <c r="T1969" s="109">
        <f t="shared" si="2338"/>
        <v>0.10526315789473684</v>
      </c>
      <c r="U1969" s="110">
        <f t="shared" si="2339"/>
        <v>0.89473684210526316</v>
      </c>
      <c r="V1969" s="136"/>
    </row>
    <row r="1970" spans="2:25" ht="15.75" hidden="1" x14ac:dyDescent="0.2">
      <c r="B1970" s="711">
        <v>46212</v>
      </c>
      <c r="C1970" s="105" t="s">
        <v>18</v>
      </c>
      <c r="D1970" s="105" t="s">
        <v>20</v>
      </c>
      <c r="E1970" s="711">
        <v>46213</v>
      </c>
      <c r="G1970" s="831"/>
      <c r="H1970" s="120" t="s">
        <v>120</v>
      </c>
      <c r="I1970" s="120" t="s">
        <v>43</v>
      </c>
      <c r="J1970" s="106">
        <v>22</v>
      </c>
      <c r="K1970" s="106">
        <v>0</v>
      </c>
      <c r="L1970" s="106">
        <v>0</v>
      </c>
      <c r="M1970" s="106">
        <v>22</v>
      </c>
      <c r="N1970" s="106">
        <v>0</v>
      </c>
      <c r="O1970" s="106">
        <v>0</v>
      </c>
      <c r="P1970" s="106">
        <v>0</v>
      </c>
      <c r="Q1970" s="108">
        <f t="shared" ref="Q1970" si="2357">(K1970+L1970)/J1970</f>
        <v>0</v>
      </c>
      <c r="R1970" s="109">
        <f t="shared" ref="R1970" si="2358">N1970/J1970</f>
        <v>0</v>
      </c>
      <c r="S1970" s="109">
        <f t="shared" ref="S1970" si="2359">P1970/J1970</f>
        <v>0</v>
      </c>
      <c r="T1970" s="109">
        <f t="shared" ref="T1970" si="2360">O1970/J1970</f>
        <v>0</v>
      </c>
      <c r="U1970" s="110">
        <f t="shared" ref="U1970" si="2361">S1970+R1970+Q1970+T1970</f>
        <v>0</v>
      </c>
      <c r="V1970" s="136"/>
    </row>
    <row r="1971" spans="2:25" ht="15.75" hidden="1" x14ac:dyDescent="0.2">
      <c r="B1971" s="711">
        <v>46212</v>
      </c>
      <c r="C1971" s="105" t="s">
        <v>18</v>
      </c>
      <c r="D1971" s="105" t="s">
        <v>20</v>
      </c>
      <c r="E1971" s="711">
        <v>46213</v>
      </c>
      <c r="G1971" s="832"/>
      <c r="H1971" s="120" t="s">
        <v>180</v>
      </c>
      <c r="I1971" s="120" t="s">
        <v>43</v>
      </c>
      <c r="J1971" s="106">
        <v>39</v>
      </c>
      <c r="K1971" s="106">
        <v>0</v>
      </c>
      <c r="L1971" s="106">
        <v>0</v>
      </c>
      <c r="M1971" s="106">
        <v>0</v>
      </c>
      <c r="N1971" s="106">
        <v>38</v>
      </c>
      <c r="O1971" s="106">
        <v>0</v>
      </c>
      <c r="P1971" s="106">
        <v>1</v>
      </c>
      <c r="Q1971" s="108">
        <f t="shared" si="2356"/>
        <v>0</v>
      </c>
      <c r="R1971" s="109">
        <f t="shared" si="2336"/>
        <v>0.97435897435897434</v>
      </c>
      <c r="S1971" s="109">
        <f t="shared" si="2337"/>
        <v>2.564102564102564E-2</v>
      </c>
      <c r="T1971" s="109">
        <f t="shared" si="2338"/>
        <v>0</v>
      </c>
      <c r="U1971" s="110">
        <f t="shared" si="2339"/>
        <v>1</v>
      </c>
      <c r="V1971" s="136"/>
    </row>
    <row r="1972" spans="2:25" s="97" customFormat="1" ht="16.5" hidden="1" customHeight="1" x14ac:dyDescent="0.2">
      <c r="B1972" s="711">
        <v>46212</v>
      </c>
      <c r="C1972" s="105" t="s">
        <v>18</v>
      </c>
      <c r="D1972" s="105" t="s">
        <v>20</v>
      </c>
      <c r="E1972" s="711">
        <v>46212</v>
      </c>
      <c r="F1972" s="89"/>
      <c r="G1972" s="190"/>
      <c r="H1972" s="840" t="s">
        <v>19</v>
      </c>
      <c r="I1972" s="841"/>
      <c r="J1972" s="113">
        <f t="shared" ref="J1972:P1972" si="2362">SUM(J1967:J1971)</f>
        <v>488</v>
      </c>
      <c r="K1972" s="113">
        <f t="shared" si="2362"/>
        <v>121</v>
      </c>
      <c r="L1972" s="113">
        <f t="shared" si="2362"/>
        <v>36</v>
      </c>
      <c r="M1972" s="113">
        <f t="shared" si="2362"/>
        <v>60</v>
      </c>
      <c r="N1972" s="113">
        <f t="shared" si="2362"/>
        <v>38</v>
      </c>
      <c r="O1972" s="113">
        <f t="shared" si="2362"/>
        <v>36</v>
      </c>
      <c r="P1972" s="113">
        <f t="shared" si="2362"/>
        <v>46</v>
      </c>
      <c r="Q1972" s="115">
        <f>(K1972+L1972)/J1972</f>
        <v>0.32172131147540983</v>
      </c>
      <c r="R1972" s="116">
        <f t="shared" si="2336"/>
        <v>7.7868852459016397E-2</v>
      </c>
      <c r="S1972" s="116">
        <f t="shared" si="2337"/>
        <v>9.4262295081967207E-2</v>
      </c>
      <c r="T1972" s="116">
        <f t="shared" si="2338"/>
        <v>7.3770491803278687E-2</v>
      </c>
      <c r="U1972" s="117">
        <f t="shared" si="2339"/>
        <v>0.56762295081967207</v>
      </c>
      <c r="V1972" s="213"/>
      <c r="W1972" s="88"/>
      <c r="X1972" s="88"/>
      <c r="Y1972" s="118"/>
    </row>
    <row r="1973" spans="2:25" ht="15.75" hidden="1" x14ac:dyDescent="0.2">
      <c r="B1973" s="711">
        <v>46213</v>
      </c>
      <c r="C1973" s="105" t="s">
        <v>22</v>
      </c>
      <c r="D1973" s="105" t="s">
        <v>13</v>
      </c>
      <c r="E1973" s="711">
        <v>46213</v>
      </c>
      <c r="G1973" s="830">
        <v>46213</v>
      </c>
      <c r="H1973" s="120" t="s">
        <v>16</v>
      </c>
      <c r="I1973" s="120" t="s">
        <v>83</v>
      </c>
      <c r="J1973" s="106">
        <v>217</v>
      </c>
      <c r="K1973" s="106">
        <f>217-108</f>
        <v>109</v>
      </c>
      <c r="L1973" s="106">
        <v>74</v>
      </c>
      <c r="M1973" s="106">
        <v>5</v>
      </c>
      <c r="N1973" s="106">
        <v>4</v>
      </c>
      <c r="O1973" s="106">
        <v>20</v>
      </c>
      <c r="P1973" s="106">
        <v>5</v>
      </c>
      <c r="Q1973" s="108">
        <f t="shared" ref="Q1973:Q1976" si="2363">(K1973+L1973)/J1973</f>
        <v>0.84331797235023043</v>
      </c>
      <c r="R1973" s="109">
        <f t="shared" ref="R1973:R1976" si="2364">N1973/J1973</f>
        <v>1.8433179723502304E-2</v>
      </c>
      <c r="S1973" s="109">
        <f t="shared" ref="S1973:S1976" si="2365">P1973/J1973</f>
        <v>2.3041474654377881E-2</v>
      </c>
      <c r="T1973" s="109">
        <f t="shared" ref="T1973:T1976" si="2366">O1973/J1973</f>
        <v>9.2165898617511524E-2</v>
      </c>
      <c r="U1973" s="110">
        <f t="shared" ref="U1973:U1976" si="2367">S1973+R1973+Q1973+T1973</f>
        <v>0.97695852534562222</v>
      </c>
      <c r="V1973" s="136"/>
    </row>
    <row r="1974" spans="2:25" ht="15.75" hidden="1" x14ac:dyDescent="0.2">
      <c r="B1974" s="711">
        <v>46213</v>
      </c>
      <c r="C1974" s="105" t="s">
        <v>12</v>
      </c>
      <c r="D1974" s="105" t="s">
        <v>13</v>
      </c>
      <c r="E1974" s="711">
        <v>46213</v>
      </c>
      <c r="G1974" s="831"/>
      <c r="H1974" s="120" t="s">
        <v>25</v>
      </c>
      <c r="I1974" s="120" t="s">
        <v>43</v>
      </c>
      <c r="J1974" s="106">
        <v>152</v>
      </c>
      <c r="K1974" s="106">
        <f>152-48</f>
        <v>104</v>
      </c>
      <c r="L1974" s="106">
        <v>23</v>
      </c>
      <c r="M1974" s="106">
        <v>0</v>
      </c>
      <c r="N1974" s="106">
        <v>0</v>
      </c>
      <c r="O1974" s="106">
        <v>16</v>
      </c>
      <c r="P1974" s="106">
        <v>9</v>
      </c>
      <c r="Q1974" s="108">
        <f t="shared" si="2363"/>
        <v>0.83552631578947367</v>
      </c>
      <c r="R1974" s="109">
        <f t="shared" si="2364"/>
        <v>0</v>
      </c>
      <c r="S1974" s="109">
        <f t="shared" si="2365"/>
        <v>5.921052631578947E-2</v>
      </c>
      <c r="T1974" s="109">
        <f t="shared" si="2366"/>
        <v>0.10526315789473684</v>
      </c>
      <c r="U1974" s="110">
        <f t="shared" si="2367"/>
        <v>1</v>
      </c>
      <c r="V1974" s="136"/>
    </row>
    <row r="1975" spans="2:25" ht="15.75" hidden="1" x14ac:dyDescent="0.2">
      <c r="B1975" s="711">
        <v>46213</v>
      </c>
      <c r="C1975" s="105" t="s">
        <v>18</v>
      </c>
      <c r="D1975" s="105" t="s">
        <v>13</v>
      </c>
      <c r="E1975" s="711">
        <v>46213</v>
      </c>
      <c r="G1975" s="831"/>
      <c r="H1975" s="120" t="s">
        <v>120</v>
      </c>
      <c r="I1975" s="120" t="s">
        <v>43</v>
      </c>
      <c r="J1975" s="106">
        <v>22</v>
      </c>
      <c r="K1975" s="106">
        <v>0</v>
      </c>
      <c r="L1975" s="106">
        <v>0</v>
      </c>
      <c r="M1975" s="106">
        <v>22</v>
      </c>
      <c r="N1975" s="106">
        <v>0</v>
      </c>
      <c r="O1975" s="106">
        <v>0</v>
      </c>
      <c r="P1975" s="106">
        <v>0</v>
      </c>
      <c r="Q1975" s="108">
        <f t="shared" si="2363"/>
        <v>0</v>
      </c>
      <c r="R1975" s="109">
        <f t="shared" si="2364"/>
        <v>0</v>
      </c>
      <c r="S1975" s="109">
        <f t="shared" si="2365"/>
        <v>0</v>
      </c>
      <c r="T1975" s="109">
        <f t="shared" si="2366"/>
        <v>0</v>
      </c>
      <c r="U1975" s="110">
        <f t="shared" si="2367"/>
        <v>0</v>
      </c>
      <c r="V1975" s="136"/>
    </row>
    <row r="1976" spans="2:25" ht="15.75" hidden="1" x14ac:dyDescent="0.2">
      <c r="B1976" s="711">
        <v>46213</v>
      </c>
      <c r="C1976" s="105" t="s">
        <v>168</v>
      </c>
      <c r="D1976" s="105" t="s">
        <v>13</v>
      </c>
      <c r="E1976" s="711">
        <v>46213</v>
      </c>
      <c r="G1976" s="832"/>
      <c r="H1976" s="120" t="s">
        <v>180</v>
      </c>
      <c r="I1976" s="120" t="s">
        <v>43</v>
      </c>
      <c r="J1976" s="106">
        <v>39</v>
      </c>
      <c r="K1976" s="106">
        <v>35</v>
      </c>
      <c r="L1976" s="106">
        <v>3</v>
      </c>
      <c r="M1976" s="106">
        <v>0</v>
      </c>
      <c r="N1976" s="106">
        <v>0</v>
      </c>
      <c r="O1976" s="106">
        <v>0</v>
      </c>
      <c r="P1976" s="106">
        <v>1</v>
      </c>
      <c r="Q1976" s="108">
        <f t="shared" si="2363"/>
        <v>0.97435897435897434</v>
      </c>
      <c r="R1976" s="109">
        <f t="shared" si="2364"/>
        <v>0</v>
      </c>
      <c r="S1976" s="109">
        <f t="shared" si="2365"/>
        <v>2.564102564102564E-2</v>
      </c>
      <c r="T1976" s="109">
        <f t="shared" si="2366"/>
        <v>0</v>
      </c>
      <c r="U1976" s="110">
        <f t="shared" si="2367"/>
        <v>1</v>
      </c>
      <c r="V1976" s="136"/>
    </row>
    <row r="1977" spans="2:25" ht="15.75" hidden="1" x14ac:dyDescent="0.2">
      <c r="B1977" s="711">
        <v>46213</v>
      </c>
      <c r="C1977" s="105" t="s">
        <v>22</v>
      </c>
      <c r="D1977" s="105" t="s">
        <v>13</v>
      </c>
      <c r="E1977" s="711">
        <v>46213</v>
      </c>
      <c r="G1977" s="704">
        <v>46215</v>
      </c>
      <c r="H1977" s="120" t="s">
        <v>16</v>
      </c>
      <c r="I1977" s="120" t="s">
        <v>83</v>
      </c>
      <c r="J1977" s="106">
        <v>241</v>
      </c>
      <c r="K1977" s="106">
        <v>31</v>
      </c>
      <c r="L1977" s="106">
        <v>14</v>
      </c>
      <c r="M1977" s="106">
        <v>40</v>
      </c>
      <c r="N1977" s="106">
        <v>123</v>
      </c>
      <c r="O1977" s="106">
        <v>20</v>
      </c>
      <c r="P1977" s="106">
        <v>13</v>
      </c>
      <c r="Q1977" s="108">
        <f t="shared" ref="Q1977" si="2368">(K1977+L1977)/J1977</f>
        <v>0.18672199170124482</v>
      </c>
      <c r="R1977" s="109">
        <f t="shared" ref="R1977:R1983" si="2369">N1977/J1977</f>
        <v>0.51037344398340245</v>
      </c>
      <c r="S1977" s="109">
        <f t="shared" ref="S1977:S1983" si="2370">P1977/J1977</f>
        <v>5.3941908713692949E-2</v>
      </c>
      <c r="T1977" s="109">
        <f t="shared" ref="T1977:T1983" si="2371">O1977/J1977</f>
        <v>8.2987551867219914E-2</v>
      </c>
      <c r="U1977" s="110">
        <f t="shared" ref="U1977:U1983" si="2372">S1977+R1977+Q1977+T1977</f>
        <v>0.8340248962655602</v>
      </c>
      <c r="V1977" s="136"/>
    </row>
    <row r="1978" spans="2:25" ht="15.75" hidden="1" x14ac:dyDescent="0.2">
      <c r="B1978" s="711">
        <v>46213</v>
      </c>
      <c r="C1978" s="105" t="s">
        <v>169</v>
      </c>
      <c r="D1978" s="105" t="s">
        <v>13</v>
      </c>
      <c r="E1978" s="711">
        <v>46213</v>
      </c>
      <c r="G1978" s="190"/>
      <c r="H1978" s="840" t="s">
        <v>19</v>
      </c>
      <c r="I1978" s="841"/>
      <c r="J1978" s="113">
        <f>SUM(J1973:J1977)</f>
        <v>671</v>
      </c>
      <c r="K1978" s="113">
        <f t="shared" ref="K1978:P1978" si="2373">SUM(K1973:K1977)</f>
        <v>279</v>
      </c>
      <c r="L1978" s="113">
        <f t="shared" si="2373"/>
        <v>114</v>
      </c>
      <c r="M1978" s="113">
        <f t="shared" si="2373"/>
        <v>67</v>
      </c>
      <c r="N1978" s="113">
        <f t="shared" si="2373"/>
        <v>127</v>
      </c>
      <c r="O1978" s="113">
        <f t="shared" si="2373"/>
        <v>56</v>
      </c>
      <c r="P1978" s="113">
        <f t="shared" si="2373"/>
        <v>28</v>
      </c>
      <c r="Q1978" s="115">
        <f>(K1978+L1978)/J1978</f>
        <v>0.58569299552906107</v>
      </c>
      <c r="R1978" s="116">
        <f t="shared" si="2369"/>
        <v>0.18926974664679583</v>
      </c>
      <c r="S1978" s="116">
        <f t="shared" si="2370"/>
        <v>4.1728763040238454E-2</v>
      </c>
      <c r="T1978" s="116">
        <f t="shared" si="2371"/>
        <v>8.3457526080476907E-2</v>
      </c>
      <c r="U1978" s="117">
        <f t="shared" si="2372"/>
        <v>0.90014903129657231</v>
      </c>
      <c r="V1978" s="213"/>
    </row>
    <row r="1979" spans="2:25" ht="15.75" hidden="1" x14ac:dyDescent="0.2">
      <c r="B1979" s="711">
        <v>46213</v>
      </c>
      <c r="C1979" s="105" t="s">
        <v>12</v>
      </c>
      <c r="D1979" s="105" t="s">
        <v>163</v>
      </c>
      <c r="E1979" s="711">
        <v>46213</v>
      </c>
      <c r="G1979" s="830">
        <v>46213</v>
      </c>
      <c r="H1979" s="120" t="s">
        <v>16</v>
      </c>
      <c r="I1979" s="120" t="s">
        <v>83</v>
      </c>
      <c r="J1979" s="106">
        <v>217</v>
      </c>
      <c r="K1979" s="106">
        <f>217-89</f>
        <v>128</v>
      </c>
      <c r="L1979" s="106">
        <v>59</v>
      </c>
      <c r="M1979" s="106">
        <v>5</v>
      </c>
      <c r="N1979" s="106">
        <v>0</v>
      </c>
      <c r="O1979" s="106">
        <v>20</v>
      </c>
      <c r="P1979" s="106">
        <v>5</v>
      </c>
      <c r="Q1979" s="108">
        <f t="shared" ref="Q1979:Q1984" si="2374">(K1979+L1979)/J1979</f>
        <v>0.86175115207373276</v>
      </c>
      <c r="R1979" s="109">
        <f t="shared" si="2369"/>
        <v>0</v>
      </c>
      <c r="S1979" s="109">
        <f t="shared" si="2370"/>
        <v>2.3041474654377881E-2</v>
      </c>
      <c r="T1979" s="109">
        <f t="shared" si="2371"/>
        <v>9.2165898617511524E-2</v>
      </c>
      <c r="U1979" s="110">
        <f t="shared" si="2372"/>
        <v>0.97695852534562222</v>
      </c>
      <c r="V1979" s="136"/>
    </row>
    <row r="1980" spans="2:25" ht="15.75" hidden="1" x14ac:dyDescent="0.2">
      <c r="B1980" s="711">
        <v>46213</v>
      </c>
      <c r="C1980" s="105" t="s">
        <v>12</v>
      </c>
      <c r="D1980" s="105" t="s">
        <v>163</v>
      </c>
      <c r="E1980" s="711">
        <v>46213</v>
      </c>
      <c r="G1980" s="831"/>
      <c r="H1980" s="120" t="s">
        <v>25</v>
      </c>
      <c r="I1980" s="120" t="s">
        <v>43</v>
      </c>
      <c r="J1980" s="106">
        <v>152</v>
      </c>
      <c r="K1980" s="106">
        <f>152-46</f>
        <v>106</v>
      </c>
      <c r="L1980" s="106">
        <v>21</v>
      </c>
      <c r="M1980" s="106">
        <v>0</v>
      </c>
      <c r="N1980" s="106">
        <v>0</v>
      </c>
      <c r="O1980" s="106">
        <v>16</v>
      </c>
      <c r="P1980" s="106">
        <v>9</v>
      </c>
      <c r="Q1980" s="108">
        <f t="shared" si="2374"/>
        <v>0.83552631578947367</v>
      </c>
      <c r="R1980" s="109">
        <f t="shared" si="2369"/>
        <v>0</v>
      </c>
      <c r="S1980" s="109">
        <f t="shared" si="2370"/>
        <v>5.921052631578947E-2</v>
      </c>
      <c r="T1980" s="109">
        <f t="shared" si="2371"/>
        <v>0.10526315789473684</v>
      </c>
      <c r="U1980" s="110">
        <f t="shared" si="2372"/>
        <v>1</v>
      </c>
      <c r="V1980" s="136"/>
    </row>
    <row r="1981" spans="2:25" ht="15.75" hidden="1" x14ac:dyDescent="0.2">
      <c r="B1981" s="711">
        <v>46213</v>
      </c>
      <c r="C1981" s="105" t="s">
        <v>12</v>
      </c>
      <c r="D1981" s="105" t="s">
        <v>163</v>
      </c>
      <c r="E1981" s="711">
        <v>46213</v>
      </c>
      <c r="G1981" s="831"/>
      <c r="H1981" s="120" t="s">
        <v>120</v>
      </c>
      <c r="I1981" s="120" t="s">
        <v>43</v>
      </c>
      <c r="J1981" s="106">
        <v>22</v>
      </c>
      <c r="K1981" s="106">
        <v>21</v>
      </c>
      <c r="L1981" s="106">
        <v>0</v>
      </c>
      <c r="M1981" s="106">
        <v>0</v>
      </c>
      <c r="N1981" s="106">
        <v>22</v>
      </c>
      <c r="O1981" s="106">
        <v>0</v>
      </c>
      <c r="P1981" s="106">
        <v>0</v>
      </c>
      <c r="Q1981" s="108">
        <f t="shared" si="2374"/>
        <v>0.95454545454545459</v>
      </c>
      <c r="R1981" s="109">
        <f t="shared" si="2369"/>
        <v>1</v>
      </c>
      <c r="S1981" s="109">
        <f t="shared" si="2370"/>
        <v>0</v>
      </c>
      <c r="T1981" s="109">
        <f t="shared" si="2371"/>
        <v>0</v>
      </c>
      <c r="U1981" s="110">
        <f t="shared" si="2372"/>
        <v>1.9545454545454546</v>
      </c>
      <c r="V1981" s="136"/>
    </row>
    <row r="1982" spans="2:25" ht="15.75" hidden="1" x14ac:dyDescent="0.2">
      <c r="B1982" s="711">
        <v>46213</v>
      </c>
      <c r="C1982" s="105" t="s">
        <v>12</v>
      </c>
      <c r="D1982" s="105" t="s">
        <v>163</v>
      </c>
      <c r="E1982" s="711">
        <v>46213</v>
      </c>
      <c r="G1982" s="832"/>
      <c r="H1982" s="120" t="s">
        <v>180</v>
      </c>
      <c r="I1982" s="120" t="s">
        <v>43</v>
      </c>
      <c r="J1982" s="106">
        <v>39</v>
      </c>
      <c r="K1982" s="106">
        <v>38</v>
      </c>
      <c r="L1982" s="106">
        <v>0</v>
      </c>
      <c r="M1982" s="106">
        <v>0</v>
      </c>
      <c r="N1982" s="106">
        <v>0</v>
      </c>
      <c r="O1982" s="106">
        <v>0</v>
      </c>
      <c r="P1982" s="106">
        <v>1</v>
      </c>
      <c r="Q1982" s="108">
        <f t="shared" si="2374"/>
        <v>0.97435897435897434</v>
      </c>
      <c r="R1982" s="109">
        <f t="shared" si="2369"/>
        <v>0</v>
      </c>
      <c r="S1982" s="109">
        <f t="shared" si="2370"/>
        <v>2.564102564102564E-2</v>
      </c>
      <c r="T1982" s="109">
        <f t="shared" si="2371"/>
        <v>0</v>
      </c>
      <c r="U1982" s="110">
        <f t="shared" si="2372"/>
        <v>1</v>
      </c>
      <c r="V1982" s="136"/>
    </row>
    <row r="1983" spans="2:25" ht="15.75" hidden="1" x14ac:dyDescent="0.2">
      <c r="B1983" s="711">
        <v>46213</v>
      </c>
      <c r="C1983" s="105" t="s">
        <v>12</v>
      </c>
      <c r="D1983" s="105" t="s">
        <v>163</v>
      </c>
      <c r="E1983" s="711">
        <v>46213</v>
      </c>
      <c r="G1983" s="830">
        <v>46215</v>
      </c>
      <c r="H1983" s="120" t="s">
        <v>118</v>
      </c>
      <c r="I1983" s="120" t="s">
        <v>43</v>
      </c>
      <c r="J1983" s="106">
        <v>254</v>
      </c>
      <c r="K1983" s="106">
        <v>0</v>
      </c>
      <c r="L1983" s="106">
        <v>0</v>
      </c>
      <c r="M1983" s="106">
        <v>190</v>
      </c>
      <c r="N1983" s="106">
        <v>42</v>
      </c>
      <c r="O1983" s="106">
        <v>10</v>
      </c>
      <c r="P1983" s="106">
        <v>12</v>
      </c>
      <c r="Q1983" s="108">
        <f t="shared" si="2374"/>
        <v>0</v>
      </c>
      <c r="R1983" s="109">
        <f t="shared" si="2369"/>
        <v>0.16535433070866143</v>
      </c>
      <c r="S1983" s="109">
        <f t="shared" si="2370"/>
        <v>4.7244094488188976E-2</v>
      </c>
      <c r="T1983" s="109">
        <f t="shared" si="2371"/>
        <v>3.937007874015748E-2</v>
      </c>
      <c r="U1983" s="110">
        <f t="shared" si="2372"/>
        <v>0.25196850393700787</v>
      </c>
      <c r="V1983" s="136"/>
    </row>
    <row r="1984" spans="2:25" ht="15.75" hidden="1" x14ac:dyDescent="0.2">
      <c r="B1984" s="711">
        <v>46213</v>
      </c>
      <c r="C1984" s="105" t="s">
        <v>12</v>
      </c>
      <c r="D1984" s="105" t="s">
        <v>163</v>
      </c>
      <c r="E1984" s="711">
        <v>46213</v>
      </c>
      <c r="G1984" s="831"/>
      <c r="H1984" s="120" t="s">
        <v>16</v>
      </c>
      <c r="I1984" s="120" t="s">
        <v>83</v>
      </c>
      <c r="J1984" s="106">
        <v>241</v>
      </c>
      <c r="K1984" s="106">
        <v>31</v>
      </c>
      <c r="L1984" s="106">
        <v>14</v>
      </c>
      <c r="M1984" s="106">
        <v>40</v>
      </c>
      <c r="N1984" s="106">
        <v>123</v>
      </c>
      <c r="O1984" s="106">
        <v>20</v>
      </c>
      <c r="P1984" s="106">
        <v>13</v>
      </c>
      <c r="Q1984" s="108">
        <f t="shared" si="2374"/>
        <v>0.18672199170124482</v>
      </c>
      <c r="R1984" s="109">
        <f t="shared" ref="R1984:R1989" si="2375">N1984/J1984</f>
        <v>0.51037344398340245</v>
      </c>
      <c r="S1984" s="109">
        <f t="shared" ref="S1984:S1989" si="2376">P1984/J1984</f>
        <v>5.3941908713692949E-2</v>
      </c>
      <c r="T1984" s="109">
        <f t="shared" ref="T1984:T1989" si="2377">O1984/J1984</f>
        <v>8.2987551867219914E-2</v>
      </c>
      <c r="U1984" s="110">
        <f t="shared" ref="U1984:U1989" si="2378">S1984+R1984+Q1984+T1984</f>
        <v>0.8340248962655602</v>
      </c>
      <c r="V1984" s="136"/>
    </row>
    <row r="1985" spans="2:25" ht="15.75" hidden="1" x14ac:dyDescent="0.2">
      <c r="B1985" s="711">
        <v>46213</v>
      </c>
      <c r="C1985" s="105" t="s">
        <v>12</v>
      </c>
      <c r="D1985" s="105" t="s">
        <v>163</v>
      </c>
      <c r="E1985" s="711">
        <v>46213</v>
      </c>
      <c r="G1985" s="190"/>
      <c r="H1985" s="840" t="s">
        <v>19</v>
      </c>
      <c r="I1985" s="841"/>
      <c r="J1985" s="113">
        <f>SUM(J1979:J1984)</f>
        <v>925</v>
      </c>
      <c r="K1985" s="113">
        <f t="shared" ref="K1985:P1985" si="2379">SUM(K1979:K1984)</f>
        <v>324</v>
      </c>
      <c r="L1985" s="113">
        <f t="shared" si="2379"/>
        <v>94</v>
      </c>
      <c r="M1985" s="113">
        <f t="shared" si="2379"/>
        <v>235</v>
      </c>
      <c r="N1985" s="113">
        <f t="shared" si="2379"/>
        <v>187</v>
      </c>
      <c r="O1985" s="113">
        <f t="shared" si="2379"/>
        <v>66</v>
      </c>
      <c r="P1985" s="113">
        <f t="shared" si="2379"/>
        <v>40</v>
      </c>
      <c r="Q1985" s="115">
        <f>(K1985+L1985)/J1985</f>
        <v>0.45189189189189188</v>
      </c>
      <c r="R1985" s="116">
        <f t="shared" si="2375"/>
        <v>0.20216216216216215</v>
      </c>
      <c r="S1985" s="116">
        <f t="shared" si="2376"/>
        <v>4.3243243243243246E-2</v>
      </c>
      <c r="T1985" s="116">
        <f t="shared" si="2377"/>
        <v>7.1351351351351358E-2</v>
      </c>
      <c r="U1985" s="117">
        <f t="shared" si="2378"/>
        <v>0.76864864864864868</v>
      </c>
      <c r="V1985" s="213"/>
    </row>
    <row r="1986" spans="2:25" ht="15.75" hidden="1" x14ac:dyDescent="0.2">
      <c r="B1986" s="711">
        <v>46213</v>
      </c>
      <c r="C1986" s="105" t="s">
        <v>18</v>
      </c>
      <c r="D1986" s="105" t="s">
        <v>20</v>
      </c>
      <c r="E1986" s="711">
        <v>46213</v>
      </c>
      <c r="G1986" s="714">
        <v>46213</v>
      </c>
      <c r="H1986" s="120" t="s">
        <v>16</v>
      </c>
      <c r="I1986" s="120" t="s">
        <v>83</v>
      </c>
      <c r="J1986" s="106">
        <f>SUM(K1986:P1986)</f>
        <v>29</v>
      </c>
      <c r="K1986" s="106">
        <v>12</v>
      </c>
      <c r="L1986" s="106">
        <v>14</v>
      </c>
      <c r="M1986" s="106">
        <v>0</v>
      </c>
      <c r="N1986" s="106">
        <v>0</v>
      </c>
      <c r="O1986" s="106">
        <v>0</v>
      </c>
      <c r="P1986" s="106">
        <v>3</v>
      </c>
      <c r="Q1986" s="108">
        <f t="shared" ref="Q1986:Q1988" si="2380">(K1986+L1986)/J1986</f>
        <v>0.89655172413793105</v>
      </c>
      <c r="R1986" s="109">
        <f t="shared" si="2375"/>
        <v>0</v>
      </c>
      <c r="S1986" s="109">
        <f t="shared" si="2376"/>
        <v>0.10344827586206896</v>
      </c>
      <c r="T1986" s="109">
        <f t="shared" si="2377"/>
        <v>0</v>
      </c>
      <c r="U1986" s="110">
        <f t="shared" si="2378"/>
        <v>1</v>
      </c>
      <c r="V1986" s="220"/>
    </row>
    <row r="1987" spans="2:25" ht="15.75" hidden="1" x14ac:dyDescent="0.2">
      <c r="B1987" s="711">
        <v>46213</v>
      </c>
      <c r="C1987" s="105" t="s">
        <v>18</v>
      </c>
      <c r="D1987" s="105" t="s">
        <v>20</v>
      </c>
      <c r="E1987" s="711">
        <v>46214</v>
      </c>
      <c r="G1987" s="830">
        <v>46215</v>
      </c>
      <c r="H1987" s="120" t="s">
        <v>180</v>
      </c>
      <c r="I1987" s="120" t="s">
        <v>43</v>
      </c>
      <c r="J1987" s="106">
        <f>SUM(K1987:P1987)</f>
        <v>65</v>
      </c>
      <c r="K1987" s="106">
        <v>51</v>
      </c>
      <c r="L1987" s="106">
        <v>0</v>
      </c>
      <c r="M1987" s="106">
        <v>0</v>
      </c>
      <c r="N1987" s="106">
        <v>0</v>
      </c>
      <c r="O1987" s="106">
        <v>0</v>
      </c>
      <c r="P1987" s="106">
        <v>14</v>
      </c>
      <c r="Q1987" s="108">
        <f t="shared" si="2380"/>
        <v>0.7846153846153846</v>
      </c>
      <c r="R1987" s="109">
        <f t="shared" si="2375"/>
        <v>0</v>
      </c>
      <c r="S1987" s="109">
        <f t="shared" si="2376"/>
        <v>0.2153846153846154</v>
      </c>
      <c r="T1987" s="109">
        <f t="shared" si="2377"/>
        <v>0</v>
      </c>
      <c r="U1987" s="110">
        <f t="shared" si="2378"/>
        <v>1</v>
      </c>
      <c r="V1987" s="136"/>
    </row>
    <row r="1988" spans="2:25" ht="15.75" hidden="1" x14ac:dyDescent="0.2">
      <c r="B1988" s="711">
        <v>46213</v>
      </c>
      <c r="C1988" s="105" t="s">
        <v>18</v>
      </c>
      <c r="D1988" s="105" t="s">
        <v>20</v>
      </c>
      <c r="E1988" s="711">
        <v>46215</v>
      </c>
      <c r="G1988" s="832"/>
      <c r="H1988" s="120" t="s">
        <v>118</v>
      </c>
      <c r="I1988" s="120" t="s">
        <v>43</v>
      </c>
      <c r="J1988" s="106">
        <v>271</v>
      </c>
      <c r="K1988" s="106">
        <v>127</v>
      </c>
      <c r="L1988" s="106">
        <v>35</v>
      </c>
      <c r="M1988" s="106">
        <v>12</v>
      </c>
      <c r="N1988" s="106">
        <v>72</v>
      </c>
      <c r="O1988" s="106">
        <v>0</v>
      </c>
      <c r="P1988" s="106">
        <v>12</v>
      </c>
      <c r="Q1988" s="108">
        <f t="shared" si="2380"/>
        <v>0.59778597785977861</v>
      </c>
      <c r="R1988" s="109">
        <f t="shared" si="2375"/>
        <v>0.26568265682656828</v>
      </c>
      <c r="S1988" s="109">
        <f t="shared" si="2376"/>
        <v>4.4280442804428041E-2</v>
      </c>
      <c r="T1988" s="109">
        <f t="shared" si="2377"/>
        <v>0</v>
      </c>
      <c r="U1988" s="110">
        <f t="shared" si="2378"/>
        <v>0.90774907749077494</v>
      </c>
      <c r="V1988" s="136"/>
    </row>
    <row r="1989" spans="2:25" s="97" customFormat="1" ht="16.5" hidden="1" customHeight="1" x14ac:dyDescent="0.2">
      <c r="B1989" s="711">
        <v>46213</v>
      </c>
      <c r="C1989" s="105" t="s">
        <v>18</v>
      </c>
      <c r="D1989" s="105" t="s">
        <v>20</v>
      </c>
      <c r="E1989" s="711">
        <v>46213</v>
      </c>
      <c r="F1989" s="89"/>
      <c r="G1989" s="190"/>
      <c r="H1989" s="840" t="s">
        <v>19</v>
      </c>
      <c r="I1989" s="841"/>
      <c r="J1989" s="113">
        <f t="shared" ref="J1989:P1989" si="2381">SUM(J1986:J1988)</f>
        <v>365</v>
      </c>
      <c r="K1989" s="113">
        <f t="shared" si="2381"/>
        <v>190</v>
      </c>
      <c r="L1989" s="113">
        <f t="shared" si="2381"/>
        <v>49</v>
      </c>
      <c r="M1989" s="113">
        <f t="shared" si="2381"/>
        <v>12</v>
      </c>
      <c r="N1989" s="113">
        <f t="shared" si="2381"/>
        <v>72</v>
      </c>
      <c r="O1989" s="113">
        <f t="shared" si="2381"/>
        <v>0</v>
      </c>
      <c r="P1989" s="113">
        <f t="shared" si="2381"/>
        <v>29</v>
      </c>
      <c r="Q1989" s="115">
        <f>(K1989+L1989)/J1989</f>
        <v>0.65479452054794518</v>
      </c>
      <c r="R1989" s="116">
        <f t="shared" si="2375"/>
        <v>0.19726027397260273</v>
      </c>
      <c r="S1989" s="116">
        <f t="shared" si="2376"/>
        <v>7.9452054794520555E-2</v>
      </c>
      <c r="T1989" s="116">
        <f t="shared" si="2377"/>
        <v>0</v>
      </c>
      <c r="U1989" s="117">
        <f t="shared" si="2378"/>
        <v>0.93150684931506844</v>
      </c>
      <c r="V1989" s="213"/>
      <c r="W1989" s="88"/>
      <c r="X1989" s="88"/>
      <c r="Y1989" s="118"/>
    </row>
    <row r="1990" spans="2:25" ht="15.75" hidden="1" x14ac:dyDescent="0.2">
      <c r="B1990" s="711">
        <v>46214</v>
      </c>
      <c r="C1990" s="105" t="s">
        <v>22</v>
      </c>
      <c r="D1990" s="105" t="s">
        <v>13</v>
      </c>
      <c r="E1990" s="711">
        <v>46214</v>
      </c>
      <c r="G1990" s="714">
        <v>46214</v>
      </c>
      <c r="H1990" s="257" t="s">
        <v>16</v>
      </c>
      <c r="I1990" s="257" t="s">
        <v>83</v>
      </c>
      <c r="J1990" s="258">
        <v>231</v>
      </c>
      <c r="K1990" s="258">
        <v>0</v>
      </c>
      <c r="L1990" s="258">
        <v>0</v>
      </c>
      <c r="M1990" s="258">
        <v>206</v>
      </c>
      <c r="N1990" s="371">
        <v>0</v>
      </c>
      <c r="O1990" s="258">
        <v>20</v>
      </c>
      <c r="P1990" s="371">
        <v>5</v>
      </c>
      <c r="Q1990" s="259">
        <f t="shared" ref="Q1990:Q1995" si="2382">(K1990+L1990)/J1990</f>
        <v>0</v>
      </c>
      <c r="R1990" s="260">
        <f t="shared" ref="R1990:R1996" si="2383">N1990/J1990</f>
        <v>0</v>
      </c>
      <c r="S1990" s="260">
        <f t="shared" ref="S1990:S1996" si="2384">P1990/J1990</f>
        <v>2.1645021645021644E-2</v>
      </c>
      <c r="T1990" s="260">
        <f t="shared" ref="T1990:T1996" si="2385">O1990/J1990</f>
        <v>8.6580086580086577E-2</v>
      </c>
      <c r="U1990" s="261">
        <f t="shared" ref="U1990:U1996" si="2386">S1990+R1990+Q1990+T1990</f>
        <v>0.10822510822510822</v>
      </c>
      <c r="V1990" s="220"/>
    </row>
    <row r="1991" spans="2:25" ht="15.75" hidden="1" x14ac:dyDescent="0.2">
      <c r="B1991" s="711">
        <v>46214</v>
      </c>
      <c r="C1991" s="105" t="s">
        <v>22</v>
      </c>
      <c r="D1991" s="105" t="s">
        <v>13</v>
      </c>
      <c r="E1991" s="711">
        <v>46215</v>
      </c>
      <c r="G1991" s="830">
        <v>46215</v>
      </c>
      <c r="H1991" s="354" t="s">
        <v>16</v>
      </c>
      <c r="I1991" s="355" t="s">
        <v>83</v>
      </c>
      <c r="J1991" s="355">
        <v>241</v>
      </c>
      <c r="K1991" s="355">
        <v>121</v>
      </c>
      <c r="L1991" s="355">
        <v>88</v>
      </c>
      <c r="M1991" s="355">
        <v>0</v>
      </c>
      <c r="N1991" s="372">
        <v>0</v>
      </c>
      <c r="O1991" s="355">
        <v>20</v>
      </c>
      <c r="P1991" s="372">
        <v>12</v>
      </c>
      <c r="Q1991" s="356">
        <f t="shared" ref="Q1991:Q1992" si="2387">(K1991+L1991)/J1991</f>
        <v>0.86721991701244816</v>
      </c>
      <c r="R1991" s="357">
        <f t="shared" ref="R1991:R1992" si="2388">N1991/J1991</f>
        <v>0</v>
      </c>
      <c r="S1991" s="357">
        <f t="shared" ref="S1991:S1992" si="2389">P1991/J1991</f>
        <v>4.9792531120331947E-2</v>
      </c>
      <c r="T1991" s="357">
        <f t="shared" ref="T1991:T1992" si="2390">O1991/J1991</f>
        <v>8.2987551867219914E-2</v>
      </c>
      <c r="U1991" s="358">
        <f t="shared" ref="U1991:U1992" si="2391">S1991+R1991+Q1991+T1991</f>
        <v>1</v>
      </c>
      <c r="V1991" s="239"/>
    </row>
    <row r="1992" spans="2:25" ht="15.75" hidden="1" x14ac:dyDescent="0.2">
      <c r="B1992" s="711">
        <v>46214</v>
      </c>
      <c r="C1992" s="105" t="s">
        <v>22</v>
      </c>
      <c r="D1992" s="105" t="s">
        <v>13</v>
      </c>
      <c r="E1992" s="711">
        <v>46215</v>
      </c>
      <c r="G1992" s="831"/>
      <c r="H1992" s="366" t="s">
        <v>182</v>
      </c>
      <c r="I1992" s="367" t="s">
        <v>12</v>
      </c>
      <c r="J1992" s="367">
        <v>239</v>
      </c>
      <c r="K1992" s="367">
        <v>0</v>
      </c>
      <c r="L1992" s="367">
        <v>0</v>
      </c>
      <c r="M1992" s="367">
        <v>198</v>
      </c>
      <c r="N1992" s="373">
        <v>0</v>
      </c>
      <c r="O1992" s="367">
        <v>29</v>
      </c>
      <c r="P1992" s="373">
        <v>12</v>
      </c>
      <c r="Q1992" s="368">
        <f t="shared" si="2387"/>
        <v>0</v>
      </c>
      <c r="R1992" s="369">
        <f t="shared" si="2388"/>
        <v>0</v>
      </c>
      <c r="S1992" s="369">
        <f t="shared" si="2389"/>
        <v>5.0209205020920501E-2</v>
      </c>
      <c r="T1992" s="369">
        <f t="shared" si="2390"/>
        <v>0.12133891213389121</v>
      </c>
      <c r="U1992" s="370">
        <f t="shared" si="2391"/>
        <v>0.17154811715481172</v>
      </c>
      <c r="V1992" s="239"/>
    </row>
    <row r="1993" spans="2:25" ht="15.75" hidden="1" x14ac:dyDescent="0.2">
      <c r="B1993" s="711">
        <v>46214</v>
      </c>
      <c r="C1993" s="105" t="s">
        <v>22</v>
      </c>
      <c r="D1993" s="105" t="s">
        <v>13</v>
      </c>
      <c r="E1993" s="711">
        <v>46215</v>
      </c>
      <c r="G1993" s="831"/>
      <c r="H1993" s="359" t="s">
        <v>84</v>
      </c>
      <c r="I1993" s="351" t="s">
        <v>100</v>
      </c>
      <c r="J1993" s="351">
        <v>297</v>
      </c>
      <c r="K1993" s="351">
        <v>138</v>
      </c>
      <c r="L1993" s="351">
        <v>45</v>
      </c>
      <c r="M1993" s="351">
        <v>70</v>
      </c>
      <c r="N1993" s="374">
        <v>25</v>
      </c>
      <c r="O1993" s="351">
        <v>10</v>
      </c>
      <c r="P1993" s="374">
        <v>9</v>
      </c>
      <c r="Q1993" s="352">
        <f t="shared" ref="Q1993" si="2392">(K1993+L1993)/J1993</f>
        <v>0.61616161616161613</v>
      </c>
      <c r="R1993" s="353">
        <f t="shared" ref="R1993" si="2393">N1993/J1993</f>
        <v>8.4175084175084181E-2</v>
      </c>
      <c r="S1993" s="353">
        <f t="shared" ref="S1993" si="2394">P1993/J1993</f>
        <v>3.0303030303030304E-2</v>
      </c>
      <c r="T1993" s="353">
        <f t="shared" ref="T1993" si="2395">O1993/J1993</f>
        <v>3.3670033670033669E-2</v>
      </c>
      <c r="U1993" s="360">
        <f t="shared" ref="U1993" si="2396">S1993+R1993+Q1993+T1993</f>
        <v>0.76430976430976427</v>
      </c>
      <c r="V1993" s="239"/>
    </row>
    <row r="1994" spans="2:25" ht="15.75" hidden="1" x14ac:dyDescent="0.2">
      <c r="B1994" s="711">
        <v>46214</v>
      </c>
      <c r="C1994" s="105" t="s">
        <v>22</v>
      </c>
      <c r="D1994" s="105" t="s">
        <v>13</v>
      </c>
      <c r="E1994" s="711">
        <v>46215</v>
      </c>
      <c r="G1994" s="831"/>
      <c r="H1994" s="359" t="s">
        <v>180</v>
      </c>
      <c r="I1994" s="351" t="s">
        <v>43</v>
      </c>
      <c r="J1994" s="351">
        <f>SUM(K1994:P1994)</f>
        <v>65</v>
      </c>
      <c r="K1994" s="351">
        <v>53</v>
      </c>
      <c r="L1994" s="351">
        <v>0</v>
      </c>
      <c r="M1994" s="351">
        <v>0</v>
      </c>
      <c r="N1994" s="374">
        <v>0</v>
      </c>
      <c r="O1994" s="351">
        <v>0</v>
      </c>
      <c r="P1994" s="374">
        <v>12</v>
      </c>
      <c r="Q1994" s="352">
        <f t="shared" si="2382"/>
        <v>0.81538461538461537</v>
      </c>
      <c r="R1994" s="353">
        <f t="shared" si="2383"/>
        <v>0</v>
      </c>
      <c r="S1994" s="353">
        <f t="shared" si="2384"/>
        <v>0.18461538461538463</v>
      </c>
      <c r="T1994" s="353">
        <f t="shared" si="2385"/>
        <v>0</v>
      </c>
      <c r="U1994" s="360">
        <f t="shared" si="2386"/>
        <v>1</v>
      </c>
      <c r="V1994" s="239"/>
    </row>
    <row r="1995" spans="2:25" ht="15.75" hidden="1" x14ac:dyDescent="0.2">
      <c r="B1995" s="711">
        <v>46214</v>
      </c>
      <c r="C1995" s="105" t="s">
        <v>22</v>
      </c>
      <c r="D1995" s="105" t="s">
        <v>13</v>
      </c>
      <c r="E1995" s="711">
        <v>46215</v>
      </c>
      <c r="G1995" s="832"/>
      <c r="H1995" s="361" t="s">
        <v>118</v>
      </c>
      <c r="I1995" s="362" t="s">
        <v>43</v>
      </c>
      <c r="J1995" s="362">
        <v>271</v>
      </c>
      <c r="K1995" s="362">
        <v>189</v>
      </c>
      <c r="L1995" s="362">
        <v>49</v>
      </c>
      <c r="M1995" s="362">
        <v>2</v>
      </c>
      <c r="N1995" s="375">
        <v>19</v>
      </c>
      <c r="O1995" s="362">
        <v>0</v>
      </c>
      <c r="P1995" s="375">
        <v>12</v>
      </c>
      <c r="Q1995" s="363">
        <f t="shared" si="2382"/>
        <v>0.87822878228782286</v>
      </c>
      <c r="R1995" s="364">
        <f t="shared" si="2383"/>
        <v>7.0110701107011064E-2</v>
      </c>
      <c r="S1995" s="364">
        <f t="shared" si="2384"/>
        <v>4.4280442804428041E-2</v>
      </c>
      <c r="T1995" s="364">
        <f t="shared" si="2385"/>
        <v>0</v>
      </c>
      <c r="U1995" s="365">
        <f t="shared" si="2386"/>
        <v>0.99261992619926198</v>
      </c>
      <c r="V1995" s="239"/>
    </row>
    <row r="1996" spans="2:25" ht="15.75" hidden="1" x14ac:dyDescent="0.2">
      <c r="B1996" s="711">
        <v>46214</v>
      </c>
      <c r="C1996" s="105" t="s">
        <v>22</v>
      </c>
      <c r="D1996" s="105" t="s">
        <v>13</v>
      </c>
      <c r="E1996" s="711">
        <v>46215</v>
      </c>
      <c r="G1996" s="190"/>
      <c r="H1996" s="775" t="s">
        <v>19</v>
      </c>
      <c r="I1996" s="777"/>
      <c r="J1996" s="190">
        <f>SUM(J1990:J1995)</f>
        <v>1344</v>
      </c>
      <c r="K1996" s="190">
        <f t="shared" ref="K1996:P1996" si="2397">SUM(K1990:K1995)</f>
        <v>501</v>
      </c>
      <c r="L1996" s="190">
        <f t="shared" si="2397"/>
        <v>182</v>
      </c>
      <c r="M1996" s="190">
        <f t="shared" si="2397"/>
        <v>476</v>
      </c>
      <c r="N1996" s="190">
        <f t="shared" si="2397"/>
        <v>44</v>
      </c>
      <c r="O1996" s="190">
        <f t="shared" si="2397"/>
        <v>79</v>
      </c>
      <c r="P1996" s="190">
        <f t="shared" si="2397"/>
        <v>62</v>
      </c>
      <c r="Q1996" s="191">
        <f>(K1996+L1996)/J1996</f>
        <v>0.50818452380952384</v>
      </c>
      <c r="R1996" s="192">
        <f t="shared" si="2383"/>
        <v>3.273809523809524E-2</v>
      </c>
      <c r="S1996" s="192">
        <f t="shared" si="2384"/>
        <v>4.6130952380952384E-2</v>
      </c>
      <c r="T1996" s="192">
        <f t="shared" si="2385"/>
        <v>5.8779761904761904E-2</v>
      </c>
      <c r="U1996" s="193">
        <f t="shared" si="2386"/>
        <v>0.64583333333333326</v>
      </c>
      <c r="V1996" s="213"/>
    </row>
    <row r="1997" spans="2:25" ht="15.75" hidden="1" x14ac:dyDescent="0.2">
      <c r="B1997" s="711">
        <v>46214</v>
      </c>
      <c r="C1997" s="105" t="s">
        <v>12</v>
      </c>
      <c r="D1997" s="105" t="s">
        <v>163</v>
      </c>
      <c r="E1997" s="711">
        <v>46214</v>
      </c>
      <c r="G1997" s="714">
        <v>46214</v>
      </c>
      <c r="H1997" s="257" t="s">
        <v>16</v>
      </c>
      <c r="I1997" s="257" t="s">
        <v>83</v>
      </c>
      <c r="J1997" s="258">
        <v>231</v>
      </c>
      <c r="K1997" s="258">
        <f>231-51</f>
        <v>180</v>
      </c>
      <c r="L1997" s="258">
        <v>25</v>
      </c>
      <c r="M1997" s="258">
        <v>2</v>
      </c>
      <c r="N1997" s="371">
        <v>0</v>
      </c>
      <c r="O1997" s="258">
        <v>20</v>
      </c>
      <c r="P1997" s="371">
        <v>4</v>
      </c>
      <c r="Q1997" s="259">
        <f t="shared" ref="Q1997:Q2002" si="2398">(K1997+L1997)/J1997</f>
        <v>0.88744588744588748</v>
      </c>
      <c r="R1997" s="260">
        <f t="shared" ref="R1997:R2011" si="2399">N1997/J1997</f>
        <v>0</v>
      </c>
      <c r="S1997" s="260">
        <f t="shared" ref="S1997:S2011" si="2400">P1997/J1997</f>
        <v>1.7316017316017316E-2</v>
      </c>
      <c r="T1997" s="260">
        <f t="shared" ref="T1997:T2011" si="2401">O1997/J1997</f>
        <v>8.6580086580086577E-2</v>
      </c>
      <c r="U1997" s="261">
        <f t="shared" ref="U1997:U2011" si="2402">S1997+R1997+Q1997+T1997</f>
        <v>0.9913419913419913</v>
      </c>
      <c r="V1997" s="220"/>
    </row>
    <row r="1998" spans="2:25" ht="15.75" hidden="1" x14ac:dyDescent="0.2">
      <c r="B1998" s="711">
        <v>46214</v>
      </c>
      <c r="C1998" s="105" t="s">
        <v>12</v>
      </c>
      <c r="D1998" s="105" t="s">
        <v>163</v>
      </c>
      <c r="E1998" s="711">
        <v>46215</v>
      </c>
      <c r="G1998" s="830">
        <v>46215</v>
      </c>
      <c r="H1998" s="354" t="s">
        <v>16</v>
      </c>
      <c r="I1998" s="355" t="s">
        <v>83</v>
      </c>
      <c r="J1998" s="355">
        <v>241</v>
      </c>
      <c r="K1998" s="355">
        <f>241-104</f>
        <v>137</v>
      </c>
      <c r="L1998" s="355">
        <v>68</v>
      </c>
      <c r="M1998" s="355">
        <v>4</v>
      </c>
      <c r="N1998" s="372">
        <v>0</v>
      </c>
      <c r="O1998" s="355">
        <v>20</v>
      </c>
      <c r="P1998" s="372">
        <v>12</v>
      </c>
      <c r="Q1998" s="356">
        <f t="shared" si="2398"/>
        <v>0.85062240663900412</v>
      </c>
      <c r="R1998" s="357">
        <f t="shared" si="2399"/>
        <v>0</v>
      </c>
      <c r="S1998" s="357">
        <f t="shared" si="2400"/>
        <v>4.9792531120331947E-2</v>
      </c>
      <c r="T1998" s="357">
        <f t="shared" si="2401"/>
        <v>8.2987551867219914E-2</v>
      </c>
      <c r="U1998" s="358">
        <f t="shared" si="2402"/>
        <v>0.98340248962655608</v>
      </c>
      <c r="V1998" s="239"/>
    </row>
    <row r="1999" spans="2:25" ht="15.75" hidden="1" x14ac:dyDescent="0.2">
      <c r="B1999" s="711">
        <v>46214</v>
      </c>
      <c r="C1999" s="105" t="s">
        <v>12</v>
      </c>
      <c r="D1999" s="105" t="s">
        <v>163</v>
      </c>
      <c r="E1999" s="711">
        <v>46215</v>
      </c>
      <c r="G1999" s="831"/>
      <c r="H1999" s="366" t="s">
        <v>182</v>
      </c>
      <c r="I1999" s="367" t="s">
        <v>12</v>
      </c>
      <c r="J1999" s="367">
        <v>239</v>
      </c>
      <c r="K1999" s="367">
        <v>0</v>
      </c>
      <c r="L1999" s="367">
        <v>0</v>
      </c>
      <c r="M1999" s="367">
        <v>198</v>
      </c>
      <c r="N1999" s="373">
        <v>0</v>
      </c>
      <c r="O1999" s="367">
        <v>29</v>
      </c>
      <c r="P1999" s="373">
        <v>12</v>
      </c>
      <c r="Q1999" s="368">
        <f t="shared" si="2398"/>
        <v>0</v>
      </c>
      <c r="R1999" s="369">
        <f t="shared" si="2399"/>
        <v>0</v>
      </c>
      <c r="S1999" s="369">
        <f t="shared" si="2400"/>
        <v>5.0209205020920501E-2</v>
      </c>
      <c r="T1999" s="369">
        <f t="shared" si="2401"/>
        <v>0.12133891213389121</v>
      </c>
      <c r="U1999" s="370">
        <f t="shared" si="2402"/>
        <v>0.17154811715481172</v>
      </c>
      <c r="V1999" s="239"/>
    </row>
    <row r="2000" spans="2:25" ht="15.75" hidden="1" x14ac:dyDescent="0.2">
      <c r="B2000" s="711">
        <v>46214</v>
      </c>
      <c r="C2000" s="105" t="s">
        <v>12</v>
      </c>
      <c r="D2000" s="105" t="s">
        <v>163</v>
      </c>
      <c r="E2000" s="711">
        <v>46215</v>
      </c>
      <c r="G2000" s="831"/>
      <c r="H2000" s="359" t="s">
        <v>84</v>
      </c>
      <c r="I2000" s="351" t="s">
        <v>100</v>
      </c>
      <c r="J2000" s="351">
        <v>297</v>
      </c>
      <c r="K2000" s="351">
        <f>297-136</f>
        <v>161</v>
      </c>
      <c r="L2000" s="351">
        <v>63</v>
      </c>
      <c r="M2000" s="351">
        <v>60</v>
      </c>
      <c r="N2000" s="374">
        <v>0</v>
      </c>
      <c r="O2000" s="351">
        <v>4</v>
      </c>
      <c r="P2000" s="374">
        <v>9</v>
      </c>
      <c r="Q2000" s="352">
        <f t="shared" si="2398"/>
        <v>0.75420875420875422</v>
      </c>
      <c r="R2000" s="353">
        <f t="shared" si="2399"/>
        <v>0</v>
      </c>
      <c r="S2000" s="353">
        <f t="shared" si="2400"/>
        <v>3.0303030303030304E-2</v>
      </c>
      <c r="T2000" s="353">
        <f t="shared" si="2401"/>
        <v>1.3468013468013467E-2</v>
      </c>
      <c r="U2000" s="360">
        <f t="shared" si="2402"/>
        <v>0.79797979797979801</v>
      </c>
      <c r="V2000" s="239"/>
    </row>
    <row r="2001" spans="2:22" ht="15.75" hidden="1" x14ac:dyDescent="0.2">
      <c r="B2001" s="711">
        <v>46214</v>
      </c>
      <c r="C2001" s="105" t="s">
        <v>12</v>
      </c>
      <c r="D2001" s="105" t="s">
        <v>163</v>
      </c>
      <c r="E2001" s="711">
        <v>46215</v>
      </c>
      <c r="G2001" s="831"/>
      <c r="H2001" s="359" t="s">
        <v>180</v>
      </c>
      <c r="I2001" s="351" t="s">
        <v>43</v>
      </c>
      <c r="J2001" s="351">
        <v>138</v>
      </c>
      <c r="K2001" s="351">
        <v>0</v>
      </c>
      <c r="L2001" s="351">
        <v>0</v>
      </c>
      <c r="M2001" s="351">
        <v>109</v>
      </c>
      <c r="N2001" s="374">
        <v>24</v>
      </c>
      <c r="O2001" s="351">
        <v>0</v>
      </c>
      <c r="P2001" s="374">
        <v>5</v>
      </c>
      <c r="Q2001" s="352">
        <f t="shared" si="2398"/>
        <v>0</v>
      </c>
      <c r="R2001" s="353">
        <f t="shared" si="2399"/>
        <v>0.17391304347826086</v>
      </c>
      <c r="S2001" s="353">
        <f t="shared" si="2400"/>
        <v>3.6231884057971016E-2</v>
      </c>
      <c r="T2001" s="353">
        <f t="shared" si="2401"/>
        <v>0</v>
      </c>
      <c r="U2001" s="360">
        <f t="shared" si="2402"/>
        <v>0.21014492753623187</v>
      </c>
      <c r="V2001" s="239"/>
    </row>
    <row r="2002" spans="2:22" ht="15.75" hidden="1" x14ac:dyDescent="0.2">
      <c r="B2002" s="711">
        <v>46214</v>
      </c>
      <c r="C2002" s="105" t="s">
        <v>12</v>
      </c>
      <c r="D2002" s="105" t="s">
        <v>163</v>
      </c>
      <c r="E2002" s="711">
        <v>46215</v>
      </c>
      <c r="G2002" s="832"/>
      <c r="H2002" s="361" t="s">
        <v>118</v>
      </c>
      <c r="I2002" s="362" t="s">
        <v>43</v>
      </c>
      <c r="J2002" s="362">
        <v>271</v>
      </c>
      <c r="K2002" s="362">
        <f>271-80</f>
        <v>191</v>
      </c>
      <c r="L2002" s="362">
        <v>51</v>
      </c>
      <c r="M2002" s="362">
        <v>5</v>
      </c>
      <c r="N2002" s="375">
        <v>0</v>
      </c>
      <c r="O2002" s="362">
        <v>10</v>
      </c>
      <c r="P2002" s="375">
        <v>14</v>
      </c>
      <c r="Q2002" s="363">
        <f t="shared" si="2398"/>
        <v>0.8929889298892989</v>
      </c>
      <c r="R2002" s="364">
        <f t="shared" si="2399"/>
        <v>0</v>
      </c>
      <c r="S2002" s="364">
        <f t="shared" si="2400"/>
        <v>5.1660516605166053E-2</v>
      </c>
      <c r="T2002" s="364">
        <f t="shared" si="2401"/>
        <v>3.6900369003690037E-2</v>
      </c>
      <c r="U2002" s="365">
        <f t="shared" si="2402"/>
        <v>0.98154981549815501</v>
      </c>
      <c r="V2002" s="239"/>
    </row>
    <row r="2003" spans="2:22" ht="15.75" hidden="1" x14ac:dyDescent="0.2">
      <c r="B2003" s="711">
        <v>46214</v>
      </c>
      <c r="C2003" s="105" t="s">
        <v>12</v>
      </c>
      <c r="D2003" s="105" t="s">
        <v>163</v>
      </c>
      <c r="E2003" s="711">
        <v>46215</v>
      </c>
      <c r="G2003" s="190"/>
      <c r="H2003" s="775" t="s">
        <v>19</v>
      </c>
      <c r="I2003" s="777"/>
      <c r="J2003" s="190">
        <f>SUM(J1997:J2002)</f>
        <v>1417</v>
      </c>
      <c r="K2003" s="190">
        <f t="shared" ref="K2003:P2003" si="2403">SUM(K1997:K2002)</f>
        <v>669</v>
      </c>
      <c r="L2003" s="190">
        <f t="shared" si="2403"/>
        <v>207</v>
      </c>
      <c r="M2003" s="190">
        <f t="shared" si="2403"/>
        <v>378</v>
      </c>
      <c r="N2003" s="190">
        <f t="shared" si="2403"/>
        <v>24</v>
      </c>
      <c r="O2003" s="190">
        <f t="shared" si="2403"/>
        <v>83</v>
      </c>
      <c r="P2003" s="190">
        <f t="shared" si="2403"/>
        <v>56</v>
      </c>
      <c r="Q2003" s="191">
        <f>(K2003+L2003)/J2003</f>
        <v>0.61820748059280173</v>
      </c>
      <c r="R2003" s="192">
        <f t="shared" si="2399"/>
        <v>1.6937191249117856E-2</v>
      </c>
      <c r="S2003" s="192">
        <f t="shared" si="2400"/>
        <v>3.952011291460833E-2</v>
      </c>
      <c r="T2003" s="192">
        <f t="shared" si="2401"/>
        <v>5.8574453069865917E-2</v>
      </c>
      <c r="U2003" s="193">
        <f t="shared" si="2402"/>
        <v>0.73323923782639389</v>
      </c>
      <c r="V2003" s="213"/>
    </row>
    <row r="2004" spans="2:22" ht="15.75" hidden="1" x14ac:dyDescent="0.2">
      <c r="B2004" s="711">
        <v>46215</v>
      </c>
      <c r="C2004" s="105" t="s">
        <v>22</v>
      </c>
      <c r="D2004" s="105" t="s">
        <v>20</v>
      </c>
      <c r="E2004" s="711">
        <v>46215</v>
      </c>
      <c r="G2004" s="833">
        <v>46215</v>
      </c>
      <c r="H2004" s="60" t="s">
        <v>16</v>
      </c>
      <c r="I2004" s="60" t="s">
        <v>83</v>
      </c>
      <c r="J2004" s="60">
        <f>SUM(K2004:P2004)</f>
        <v>69</v>
      </c>
      <c r="K2004" s="60">
        <v>17</v>
      </c>
      <c r="L2004" s="60">
        <v>20</v>
      </c>
      <c r="M2004" s="60">
        <v>4</v>
      </c>
      <c r="N2004" s="312">
        <v>0</v>
      </c>
      <c r="O2004" s="60">
        <v>20</v>
      </c>
      <c r="P2004" s="312">
        <v>8</v>
      </c>
      <c r="Q2004" s="182">
        <f t="shared" ref="Q2004:Q2010" si="2404">(K2004+L2004)/J2004</f>
        <v>0.53623188405797106</v>
      </c>
      <c r="R2004" s="183">
        <f t="shared" si="2399"/>
        <v>0</v>
      </c>
      <c r="S2004" s="183">
        <f t="shared" si="2400"/>
        <v>0.11594202898550725</v>
      </c>
      <c r="T2004" s="183">
        <f t="shared" si="2401"/>
        <v>0.28985507246376813</v>
      </c>
      <c r="U2004" s="184">
        <f t="shared" si="2402"/>
        <v>0.94202898550724634</v>
      </c>
      <c r="V2004" s="220"/>
    </row>
    <row r="2005" spans="2:22" ht="15.75" hidden="1" x14ac:dyDescent="0.2">
      <c r="B2005" s="711">
        <v>46215</v>
      </c>
      <c r="C2005" s="105" t="s">
        <v>22</v>
      </c>
      <c r="D2005" s="105" t="s">
        <v>20</v>
      </c>
      <c r="E2005" s="711">
        <v>46215</v>
      </c>
      <c r="G2005" s="834"/>
      <c r="H2005" s="60" t="s">
        <v>180</v>
      </c>
      <c r="I2005" s="60" t="s">
        <v>43</v>
      </c>
      <c r="J2005" s="60">
        <f t="shared" ref="J2005:J2010" si="2405">SUM(K2005:P2005)</f>
        <v>138</v>
      </c>
      <c r="K2005" s="60">
        <v>107</v>
      </c>
      <c r="L2005" s="60">
        <v>22</v>
      </c>
      <c r="M2005" s="60">
        <v>4</v>
      </c>
      <c r="N2005" s="312">
        <v>0</v>
      </c>
      <c r="O2005" s="60">
        <v>0</v>
      </c>
      <c r="P2005" s="312">
        <v>5</v>
      </c>
      <c r="Q2005" s="182">
        <f t="shared" ref="Q2005" si="2406">(K2005+L2005)/J2005</f>
        <v>0.93478260869565222</v>
      </c>
      <c r="R2005" s="183">
        <f t="shared" ref="R2005" si="2407">N2005/J2005</f>
        <v>0</v>
      </c>
      <c r="S2005" s="183">
        <f t="shared" ref="S2005" si="2408">P2005/J2005</f>
        <v>3.6231884057971016E-2</v>
      </c>
      <c r="T2005" s="183">
        <f t="shared" ref="T2005" si="2409">O2005/J2005</f>
        <v>0</v>
      </c>
      <c r="U2005" s="184">
        <f t="shared" ref="U2005" si="2410">S2005+R2005+Q2005+T2005</f>
        <v>0.97101449275362328</v>
      </c>
      <c r="V2005" s="239"/>
    </row>
    <row r="2006" spans="2:22" ht="15.75" hidden="1" x14ac:dyDescent="0.2">
      <c r="B2006" s="711">
        <v>46215</v>
      </c>
      <c r="C2006" s="105" t="s">
        <v>22</v>
      </c>
      <c r="D2006" s="105" t="s">
        <v>20</v>
      </c>
      <c r="E2006" s="711">
        <v>46215</v>
      </c>
      <c r="G2006" s="834"/>
      <c r="H2006" s="60" t="s">
        <v>84</v>
      </c>
      <c r="I2006" s="60" t="s">
        <v>43</v>
      </c>
      <c r="J2006" s="60">
        <f t="shared" si="2405"/>
        <v>76</v>
      </c>
      <c r="K2006" s="60">
        <v>0</v>
      </c>
      <c r="L2006" s="60">
        <v>0</v>
      </c>
      <c r="M2006" s="60">
        <v>19</v>
      </c>
      <c r="N2006" s="312">
        <v>45</v>
      </c>
      <c r="O2006" s="60">
        <v>4</v>
      </c>
      <c r="P2006" s="312">
        <v>8</v>
      </c>
      <c r="Q2006" s="182">
        <f t="shared" si="2404"/>
        <v>0</v>
      </c>
      <c r="R2006" s="183">
        <f t="shared" si="2399"/>
        <v>0.59210526315789469</v>
      </c>
      <c r="S2006" s="183">
        <f t="shared" si="2400"/>
        <v>0.10526315789473684</v>
      </c>
      <c r="T2006" s="183">
        <f t="shared" si="2401"/>
        <v>5.2631578947368418E-2</v>
      </c>
      <c r="U2006" s="184">
        <f t="shared" si="2402"/>
        <v>0.75</v>
      </c>
      <c r="V2006" s="239"/>
    </row>
    <row r="2007" spans="2:22" ht="15.75" hidden="1" x14ac:dyDescent="0.2">
      <c r="B2007" s="711">
        <v>46215</v>
      </c>
      <c r="C2007" s="105" t="s">
        <v>22</v>
      </c>
      <c r="D2007" s="105" t="s">
        <v>20</v>
      </c>
      <c r="E2007" s="711">
        <v>46215</v>
      </c>
      <c r="G2007" s="834"/>
      <c r="H2007" s="367" t="s">
        <v>120</v>
      </c>
      <c r="I2007" s="367" t="s">
        <v>22</v>
      </c>
      <c r="J2007" s="60">
        <f t="shared" si="2405"/>
        <v>13</v>
      </c>
      <c r="K2007" s="367">
        <v>13</v>
      </c>
      <c r="L2007" s="367">
        <v>0</v>
      </c>
      <c r="M2007" s="367">
        <v>0</v>
      </c>
      <c r="N2007" s="373">
        <v>0</v>
      </c>
      <c r="O2007" s="367">
        <v>0</v>
      </c>
      <c r="P2007" s="373">
        <v>0</v>
      </c>
      <c r="Q2007" s="368">
        <f t="shared" si="2404"/>
        <v>1</v>
      </c>
      <c r="R2007" s="369">
        <f t="shared" si="2399"/>
        <v>0</v>
      </c>
      <c r="S2007" s="369">
        <f t="shared" si="2400"/>
        <v>0</v>
      </c>
      <c r="T2007" s="369">
        <f t="shared" si="2401"/>
        <v>0</v>
      </c>
      <c r="U2007" s="370">
        <f t="shared" si="2402"/>
        <v>1</v>
      </c>
      <c r="V2007" s="239"/>
    </row>
    <row r="2008" spans="2:22" ht="15.75" hidden="1" x14ac:dyDescent="0.2">
      <c r="B2008" s="711">
        <v>46215</v>
      </c>
      <c r="C2008" s="105" t="s">
        <v>22</v>
      </c>
      <c r="D2008" s="105" t="s">
        <v>20</v>
      </c>
      <c r="E2008" s="711">
        <v>46215</v>
      </c>
      <c r="G2008" s="834"/>
      <c r="H2008" s="351" t="s">
        <v>118</v>
      </c>
      <c r="I2008" s="351" t="s">
        <v>22</v>
      </c>
      <c r="J2008" s="60">
        <f t="shared" si="2405"/>
        <v>42</v>
      </c>
      <c r="K2008" s="351">
        <v>3</v>
      </c>
      <c r="L2008" s="351">
        <v>0</v>
      </c>
      <c r="M2008" s="351">
        <v>15</v>
      </c>
      <c r="N2008" s="374">
        <v>0</v>
      </c>
      <c r="O2008" s="351">
        <v>10</v>
      </c>
      <c r="P2008" s="374">
        <v>14</v>
      </c>
      <c r="Q2008" s="352">
        <f t="shared" si="2404"/>
        <v>7.1428571428571425E-2</v>
      </c>
      <c r="R2008" s="353">
        <f t="shared" si="2399"/>
        <v>0</v>
      </c>
      <c r="S2008" s="353">
        <f t="shared" si="2400"/>
        <v>0.33333333333333331</v>
      </c>
      <c r="T2008" s="353">
        <f t="shared" si="2401"/>
        <v>0.23809523809523808</v>
      </c>
      <c r="U2008" s="360">
        <f t="shared" si="2402"/>
        <v>0.64285714285714279</v>
      </c>
      <c r="V2008" s="239"/>
    </row>
    <row r="2009" spans="2:22" ht="15.75" hidden="1" x14ac:dyDescent="0.2">
      <c r="B2009" s="711">
        <v>46215</v>
      </c>
      <c r="C2009" s="105" t="s">
        <v>22</v>
      </c>
      <c r="D2009" s="105" t="s">
        <v>20</v>
      </c>
      <c r="E2009" s="711">
        <v>46215</v>
      </c>
      <c r="G2009" s="834"/>
      <c r="H2009" s="351" t="s">
        <v>17</v>
      </c>
      <c r="I2009" s="351" t="s">
        <v>12</v>
      </c>
      <c r="J2009" s="60">
        <f t="shared" si="2405"/>
        <v>141</v>
      </c>
      <c r="K2009" s="351">
        <v>67</v>
      </c>
      <c r="L2009" s="351">
        <v>9</v>
      </c>
      <c r="M2009" s="351">
        <v>42</v>
      </c>
      <c r="N2009" s="374">
        <v>6</v>
      </c>
      <c r="O2009" s="351">
        <v>12</v>
      </c>
      <c r="P2009" s="374">
        <v>5</v>
      </c>
      <c r="Q2009" s="352">
        <f t="shared" si="2404"/>
        <v>0.53900709219858156</v>
      </c>
      <c r="R2009" s="353">
        <f t="shared" si="2399"/>
        <v>4.2553191489361701E-2</v>
      </c>
      <c r="S2009" s="353">
        <f t="shared" si="2400"/>
        <v>3.5460992907801421E-2</v>
      </c>
      <c r="T2009" s="353">
        <f t="shared" si="2401"/>
        <v>8.5106382978723402E-2</v>
      </c>
      <c r="U2009" s="360">
        <f t="shared" si="2402"/>
        <v>0.7021276595744681</v>
      </c>
      <c r="V2009" s="239"/>
    </row>
    <row r="2010" spans="2:22" ht="15.75" hidden="1" x14ac:dyDescent="0.2">
      <c r="B2010" s="711">
        <v>46215</v>
      </c>
      <c r="C2010" s="105" t="s">
        <v>22</v>
      </c>
      <c r="D2010" s="105" t="s">
        <v>20</v>
      </c>
      <c r="E2010" s="711">
        <v>46215</v>
      </c>
      <c r="G2010" s="835"/>
      <c r="H2010" s="362" t="s">
        <v>25</v>
      </c>
      <c r="I2010" s="362" t="s">
        <v>12</v>
      </c>
      <c r="J2010" s="60">
        <f t="shared" si="2405"/>
        <v>100</v>
      </c>
      <c r="K2010" s="362">
        <v>7</v>
      </c>
      <c r="L2010" s="362">
        <v>4</v>
      </c>
      <c r="M2010" s="362">
        <f>81-16</f>
        <v>65</v>
      </c>
      <c r="N2010" s="375">
        <v>0</v>
      </c>
      <c r="O2010" s="362">
        <v>16</v>
      </c>
      <c r="P2010" s="375">
        <v>8</v>
      </c>
      <c r="Q2010" s="363">
        <f t="shared" si="2404"/>
        <v>0.11</v>
      </c>
      <c r="R2010" s="364">
        <f t="shared" si="2399"/>
        <v>0</v>
      </c>
      <c r="S2010" s="364">
        <f t="shared" si="2400"/>
        <v>0.08</v>
      </c>
      <c r="T2010" s="364">
        <f t="shared" si="2401"/>
        <v>0.16</v>
      </c>
      <c r="U2010" s="365">
        <f t="shared" si="2402"/>
        <v>0.35</v>
      </c>
      <c r="V2010" s="239"/>
    </row>
    <row r="2011" spans="2:22" ht="15.75" hidden="1" x14ac:dyDescent="0.2">
      <c r="B2011" s="711">
        <v>46215</v>
      </c>
      <c r="C2011" s="105" t="s">
        <v>22</v>
      </c>
      <c r="D2011" s="105" t="s">
        <v>20</v>
      </c>
      <c r="E2011" s="711">
        <v>46215</v>
      </c>
      <c r="G2011" s="190"/>
      <c r="H2011" s="775" t="s">
        <v>19</v>
      </c>
      <c r="I2011" s="777"/>
      <c r="J2011" s="190">
        <f>SUM(J2004:J2010)</f>
        <v>579</v>
      </c>
      <c r="K2011" s="190">
        <f t="shared" ref="K2011:P2011" si="2411">SUM(K2004:K2010)</f>
        <v>214</v>
      </c>
      <c r="L2011" s="190">
        <f t="shared" si="2411"/>
        <v>55</v>
      </c>
      <c r="M2011" s="190">
        <f t="shared" si="2411"/>
        <v>149</v>
      </c>
      <c r="N2011" s="190">
        <f t="shared" si="2411"/>
        <v>51</v>
      </c>
      <c r="O2011" s="190">
        <f t="shared" si="2411"/>
        <v>62</v>
      </c>
      <c r="P2011" s="190">
        <f t="shared" si="2411"/>
        <v>48</v>
      </c>
      <c r="Q2011" s="191">
        <f>(K2011+L2011)/J2011</f>
        <v>0.46459412780656306</v>
      </c>
      <c r="R2011" s="192">
        <f t="shared" si="2399"/>
        <v>8.8082901554404139E-2</v>
      </c>
      <c r="S2011" s="192">
        <f t="shared" si="2400"/>
        <v>8.2901554404145081E-2</v>
      </c>
      <c r="T2011" s="192">
        <f t="shared" si="2401"/>
        <v>0.10708117443868739</v>
      </c>
      <c r="U2011" s="193">
        <f t="shared" si="2402"/>
        <v>0.74265975820379959</v>
      </c>
      <c r="V2011" s="213"/>
    </row>
    <row r="2012" spans="2:22" ht="15.75" hidden="1" x14ac:dyDescent="0.2">
      <c r="B2012" s="711">
        <v>46215</v>
      </c>
      <c r="C2012" s="105" t="s">
        <v>12</v>
      </c>
      <c r="D2012" s="105" t="s">
        <v>13</v>
      </c>
      <c r="E2012" s="711">
        <v>46215</v>
      </c>
      <c r="G2012" s="833">
        <v>46215</v>
      </c>
      <c r="H2012" s="60" t="s">
        <v>16</v>
      </c>
      <c r="I2012" s="60" t="s">
        <v>83</v>
      </c>
      <c r="J2012" s="60">
        <v>241</v>
      </c>
      <c r="K2012" s="60">
        <f>241-115</f>
        <v>126</v>
      </c>
      <c r="L2012" s="60">
        <v>88</v>
      </c>
      <c r="M2012" s="60">
        <v>0</v>
      </c>
      <c r="N2012" s="312">
        <v>0</v>
      </c>
      <c r="O2012" s="60">
        <v>20</v>
      </c>
      <c r="P2012" s="312">
        <v>7</v>
      </c>
      <c r="Q2012" s="182">
        <f t="shared" ref="Q2012:Q2018" si="2412">(K2012+L2012)/J2012</f>
        <v>0.88796680497925307</v>
      </c>
      <c r="R2012" s="183">
        <f t="shared" ref="R2012:R2018" si="2413">N2012/J2012</f>
        <v>0</v>
      </c>
      <c r="S2012" s="183">
        <f t="shared" ref="S2012:S2018" si="2414">P2012/J2012</f>
        <v>2.9045643153526972E-2</v>
      </c>
      <c r="T2012" s="183">
        <f t="shared" ref="T2012:T2018" si="2415">O2012/J2012</f>
        <v>8.2987551867219914E-2</v>
      </c>
      <c r="U2012" s="184">
        <f t="shared" ref="U2012:U2018" si="2416">S2012+R2012+Q2012+T2012</f>
        <v>1</v>
      </c>
      <c r="V2012" s="220"/>
    </row>
    <row r="2013" spans="2:22" ht="15.75" hidden="1" x14ac:dyDescent="0.2">
      <c r="B2013" s="711">
        <v>46215</v>
      </c>
      <c r="C2013" s="105" t="s">
        <v>12</v>
      </c>
      <c r="D2013" s="105" t="s">
        <v>13</v>
      </c>
      <c r="E2013" s="711">
        <v>46215</v>
      </c>
      <c r="G2013" s="834"/>
      <c r="H2013" s="60" t="s">
        <v>180</v>
      </c>
      <c r="I2013" s="60" t="s">
        <v>43</v>
      </c>
      <c r="J2013" s="60">
        <v>138</v>
      </c>
      <c r="K2013" s="60">
        <v>107</v>
      </c>
      <c r="L2013" s="60">
        <v>22</v>
      </c>
      <c r="M2013" s="60">
        <v>4</v>
      </c>
      <c r="N2013" s="312">
        <v>0</v>
      </c>
      <c r="O2013" s="60">
        <v>0</v>
      </c>
      <c r="P2013" s="312">
        <v>5</v>
      </c>
      <c r="Q2013" s="182">
        <f t="shared" si="2412"/>
        <v>0.93478260869565222</v>
      </c>
      <c r="R2013" s="183">
        <f t="shared" si="2413"/>
        <v>0</v>
      </c>
      <c r="S2013" s="183">
        <f t="shared" si="2414"/>
        <v>3.6231884057971016E-2</v>
      </c>
      <c r="T2013" s="183">
        <f t="shared" si="2415"/>
        <v>0</v>
      </c>
      <c r="U2013" s="184">
        <f t="shared" si="2416"/>
        <v>0.97101449275362328</v>
      </c>
      <c r="V2013" s="239"/>
    </row>
    <row r="2014" spans="2:22" ht="15.75" hidden="1" x14ac:dyDescent="0.2">
      <c r="B2014" s="711">
        <v>46215</v>
      </c>
      <c r="C2014" s="105" t="s">
        <v>12</v>
      </c>
      <c r="D2014" s="105" t="s">
        <v>13</v>
      </c>
      <c r="E2014" s="711">
        <v>46215</v>
      </c>
      <c r="G2014" s="834"/>
      <c r="H2014" s="60" t="s">
        <v>84</v>
      </c>
      <c r="I2014" s="60" t="s">
        <v>43</v>
      </c>
      <c r="J2014" s="60">
        <v>76</v>
      </c>
      <c r="K2014" s="60">
        <v>37</v>
      </c>
      <c r="L2014" s="60">
        <v>20</v>
      </c>
      <c r="M2014" s="60">
        <v>10</v>
      </c>
      <c r="N2014" s="312">
        <v>0</v>
      </c>
      <c r="O2014" s="60">
        <v>4</v>
      </c>
      <c r="P2014" s="312">
        <v>5</v>
      </c>
      <c r="Q2014" s="182">
        <f t="shared" si="2412"/>
        <v>0.75</v>
      </c>
      <c r="R2014" s="183">
        <f t="shared" si="2413"/>
        <v>0</v>
      </c>
      <c r="S2014" s="183">
        <f t="shared" si="2414"/>
        <v>6.5789473684210523E-2</v>
      </c>
      <c r="T2014" s="183">
        <f t="shared" si="2415"/>
        <v>5.2631578947368418E-2</v>
      </c>
      <c r="U2014" s="184">
        <f t="shared" si="2416"/>
        <v>0.86842105263157898</v>
      </c>
      <c r="V2014" s="239"/>
    </row>
    <row r="2015" spans="2:22" ht="15.75" hidden="1" x14ac:dyDescent="0.2">
      <c r="B2015" s="711">
        <v>46215</v>
      </c>
      <c r="C2015" s="105" t="s">
        <v>12</v>
      </c>
      <c r="D2015" s="105" t="s">
        <v>13</v>
      </c>
      <c r="E2015" s="711">
        <v>46215</v>
      </c>
      <c r="G2015" s="834"/>
      <c r="H2015" s="367" t="s">
        <v>120</v>
      </c>
      <c r="I2015" s="367" t="s">
        <v>22</v>
      </c>
      <c r="J2015" s="60">
        <v>31</v>
      </c>
      <c r="K2015" s="367">
        <v>30</v>
      </c>
      <c r="L2015" s="367">
        <v>1</v>
      </c>
      <c r="M2015" s="367">
        <v>0</v>
      </c>
      <c r="N2015" s="373">
        <v>0</v>
      </c>
      <c r="O2015" s="367">
        <v>0</v>
      </c>
      <c r="P2015" s="373">
        <v>0</v>
      </c>
      <c r="Q2015" s="368">
        <f t="shared" si="2412"/>
        <v>1</v>
      </c>
      <c r="R2015" s="369">
        <f t="shared" si="2413"/>
        <v>0</v>
      </c>
      <c r="S2015" s="369">
        <f t="shared" si="2414"/>
        <v>0</v>
      </c>
      <c r="T2015" s="369">
        <f t="shared" si="2415"/>
        <v>0</v>
      </c>
      <c r="U2015" s="370">
        <f t="shared" si="2416"/>
        <v>1</v>
      </c>
      <c r="V2015" s="239"/>
    </row>
    <row r="2016" spans="2:22" ht="15.75" hidden="1" x14ac:dyDescent="0.2">
      <c r="B2016" s="711">
        <v>46215</v>
      </c>
      <c r="C2016" s="105" t="s">
        <v>12</v>
      </c>
      <c r="D2016" s="105" t="s">
        <v>13</v>
      </c>
      <c r="E2016" s="711">
        <v>46215</v>
      </c>
      <c r="G2016" s="834"/>
      <c r="H2016" s="351" t="s">
        <v>118</v>
      </c>
      <c r="I2016" s="351" t="s">
        <v>22</v>
      </c>
      <c r="J2016" s="60">
        <v>76</v>
      </c>
      <c r="K2016" s="351">
        <v>50</v>
      </c>
      <c r="L2016" s="351">
        <v>0</v>
      </c>
      <c r="M2016" s="351">
        <v>0</v>
      </c>
      <c r="N2016" s="374">
        <v>2</v>
      </c>
      <c r="O2016" s="351">
        <v>10</v>
      </c>
      <c r="P2016" s="374">
        <v>14</v>
      </c>
      <c r="Q2016" s="352">
        <f t="shared" si="2412"/>
        <v>0.65789473684210531</v>
      </c>
      <c r="R2016" s="353">
        <f t="shared" si="2413"/>
        <v>2.6315789473684209E-2</v>
      </c>
      <c r="S2016" s="353">
        <f t="shared" si="2414"/>
        <v>0.18421052631578946</v>
      </c>
      <c r="T2016" s="353">
        <f t="shared" si="2415"/>
        <v>0.13157894736842105</v>
      </c>
      <c r="U2016" s="360">
        <f t="shared" si="2416"/>
        <v>1</v>
      </c>
      <c r="V2016" s="239"/>
    </row>
    <row r="2017" spans="2:22" ht="15.75" hidden="1" x14ac:dyDescent="0.2">
      <c r="B2017" s="711">
        <v>46215</v>
      </c>
      <c r="C2017" s="105" t="s">
        <v>12</v>
      </c>
      <c r="D2017" s="105" t="s">
        <v>13</v>
      </c>
      <c r="E2017" s="711">
        <v>46215</v>
      </c>
      <c r="G2017" s="834"/>
      <c r="H2017" s="351" t="s">
        <v>17</v>
      </c>
      <c r="I2017" s="351" t="s">
        <v>12</v>
      </c>
      <c r="J2017" s="60">
        <v>141</v>
      </c>
      <c r="K2017" s="351">
        <v>67</v>
      </c>
      <c r="L2017" s="351">
        <v>9</v>
      </c>
      <c r="M2017" s="351">
        <v>42</v>
      </c>
      <c r="N2017" s="374">
        <v>6</v>
      </c>
      <c r="O2017" s="351">
        <v>12</v>
      </c>
      <c r="P2017" s="374">
        <v>5</v>
      </c>
      <c r="Q2017" s="352">
        <f t="shared" si="2412"/>
        <v>0.53900709219858156</v>
      </c>
      <c r="R2017" s="353">
        <f t="shared" si="2413"/>
        <v>4.2553191489361701E-2</v>
      </c>
      <c r="S2017" s="353">
        <f t="shared" si="2414"/>
        <v>3.5460992907801421E-2</v>
      </c>
      <c r="T2017" s="353">
        <f t="shared" si="2415"/>
        <v>8.5106382978723402E-2</v>
      </c>
      <c r="U2017" s="360">
        <f t="shared" si="2416"/>
        <v>0.7021276595744681</v>
      </c>
      <c r="V2017" s="239"/>
    </row>
    <row r="2018" spans="2:22" ht="15.75" hidden="1" x14ac:dyDescent="0.2">
      <c r="B2018" s="711">
        <v>46215</v>
      </c>
      <c r="C2018" s="105" t="s">
        <v>12</v>
      </c>
      <c r="D2018" s="105" t="s">
        <v>13</v>
      </c>
      <c r="E2018" s="711">
        <v>46215</v>
      </c>
      <c r="G2018" s="835"/>
      <c r="H2018" s="362" t="s">
        <v>25</v>
      </c>
      <c r="I2018" s="362" t="s">
        <v>12</v>
      </c>
      <c r="J2018" s="60">
        <v>100</v>
      </c>
      <c r="K2018" s="362">
        <v>65</v>
      </c>
      <c r="L2018" s="362">
        <v>20</v>
      </c>
      <c r="M2018" s="362">
        <v>0</v>
      </c>
      <c r="N2018" s="375">
        <v>0</v>
      </c>
      <c r="O2018" s="362">
        <v>7</v>
      </c>
      <c r="P2018" s="375">
        <v>8</v>
      </c>
      <c r="Q2018" s="363">
        <f t="shared" si="2412"/>
        <v>0.85</v>
      </c>
      <c r="R2018" s="364">
        <f t="shared" si="2413"/>
        <v>0</v>
      </c>
      <c r="S2018" s="364">
        <f t="shared" si="2414"/>
        <v>0.08</v>
      </c>
      <c r="T2018" s="364">
        <f t="shared" si="2415"/>
        <v>7.0000000000000007E-2</v>
      </c>
      <c r="U2018" s="365">
        <f t="shared" si="2416"/>
        <v>1</v>
      </c>
      <c r="V2018" s="239"/>
    </row>
    <row r="2019" spans="2:22" ht="15.75" hidden="1" x14ac:dyDescent="0.2">
      <c r="B2019" s="711">
        <v>46215</v>
      </c>
      <c r="C2019" s="105" t="s">
        <v>12</v>
      </c>
      <c r="D2019" s="105" t="s">
        <v>13</v>
      </c>
      <c r="E2019" s="711">
        <v>46215</v>
      </c>
      <c r="G2019" s="833">
        <v>46216</v>
      </c>
      <c r="H2019" s="60" t="s">
        <v>16</v>
      </c>
      <c r="I2019" s="60" t="s">
        <v>83</v>
      </c>
      <c r="J2019" s="60">
        <v>265</v>
      </c>
      <c r="K2019" s="60">
        <v>7</v>
      </c>
      <c r="L2019" s="60">
        <v>7</v>
      </c>
      <c r="M2019" s="60">
        <v>223</v>
      </c>
      <c r="N2019" s="312">
        <v>0</v>
      </c>
      <c r="O2019" s="60">
        <v>20</v>
      </c>
      <c r="P2019" s="312">
        <v>8</v>
      </c>
      <c r="Q2019" s="182">
        <f t="shared" ref="Q2019:Q2021" si="2417">(K2019+L2019)/J2019</f>
        <v>5.2830188679245285E-2</v>
      </c>
      <c r="R2019" s="183">
        <f t="shared" ref="R2019:R2022" si="2418">N2019/J2019</f>
        <v>0</v>
      </c>
      <c r="S2019" s="183">
        <f t="shared" ref="S2019:S2022" si="2419">P2019/J2019</f>
        <v>3.0188679245283019E-2</v>
      </c>
      <c r="T2019" s="183">
        <f t="shared" ref="T2019:T2022" si="2420">O2019/J2019</f>
        <v>7.5471698113207544E-2</v>
      </c>
      <c r="U2019" s="184">
        <f t="shared" ref="U2019:U2022" si="2421">S2019+R2019+Q2019+T2019</f>
        <v>0.15849056603773587</v>
      </c>
    </row>
    <row r="2020" spans="2:22" ht="15.75" hidden="1" x14ac:dyDescent="0.2">
      <c r="B2020" s="711">
        <v>46215</v>
      </c>
      <c r="C2020" s="105" t="s">
        <v>12</v>
      </c>
      <c r="D2020" s="105" t="s">
        <v>13</v>
      </c>
      <c r="E2020" s="711">
        <v>46215</v>
      </c>
      <c r="G2020" s="834"/>
      <c r="H2020" s="60" t="s">
        <v>123</v>
      </c>
      <c r="I2020" s="60" t="s">
        <v>22</v>
      </c>
      <c r="J2020" s="60">
        <v>49</v>
      </c>
      <c r="K2020" s="60">
        <v>0</v>
      </c>
      <c r="L2020" s="60">
        <v>0</v>
      </c>
      <c r="M2020" s="60">
        <v>30</v>
      </c>
      <c r="N2020" s="312">
        <v>19</v>
      </c>
      <c r="O2020" s="60">
        <v>0</v>
      </c>
      <c r="P2020" s="312">
        <v>5</v>
      </c>
      <c r="Q2020" s="182">
        <f t="shared" si="2417"/>
        <v>0</v>
      </c>
      <c r="R2020" s="183">
        <f t="shared" si="2418"/>
        <v>0.38775510204081631</v>
      </c>
      <c r="S2020" s="183">
        <f t="shared" si="2419"/>
        <v>0.10204081632653061</v>
      </c>
      <c r="T2020" s="183">
        <f t="shared" si="2420"/>
        <v>0</v>
      </c>
      <c r="U2020" s="184">
        <f t="shared" si="2421"/>
        <v>0.48979591836734693</v>
      </c>
    </row>
    <row r="2021" spans="2:22" ht="15.75" hidden="1" x14ac:dyDescent="0.2">
      <c r="B2021" s="711">
        <v>46215</v>
      </c>
      <c r="C2021" s="105" t="s">
        <v>12</v>
      </c>
      <c r="D2021" s="105" t="s">
        <v>13</v>
      </c>
      <c r="E2021" s="711">
        <v>46215</v>
      </c>
      <c r="G2021" s="834"/>
      <c r="H2021" s="60" t="s">
        <v>180</v>
      </c>
      <c r="I2021" s="60" t="s">
        <v>22</v>
      </c>
      <c r="J2021" s="60">
        <v>59</v>
      </c>
      <c r="K2021" s="60">
        <v>0</v>
      </c>
      <c r="L2021" s="60">
        <v>0</v>
      </c>
      <c r="M2021" s="60">
        <v>35</v>
      </c>
      <c r="N2021" s="312">
        <v>21</v>
      </c>
      <c r="O2021" s="60">
        <v>0</v>
      </c>
      <c r="P2021" s="312">
        <v>3</v>
      </c>
      <c r="Q2021" s="182">
        <f t="shared" si="2417"/>
        <v>0</v>
      </c>
      <c r="R2021" s="183">
        <f t="shared" si="2418"/>
        <v>0.3559322033898305</v>
      </c>
      <c r="S2021" s="183">
        <f t="shared" si="2419"/>
        <v>5.0847457627118647E-2</v>
      </c>
      <c r="T2021" s="183">
        <f t="shared" si="2420"/>
        <v>0</v>
      </c>
      <c r="U2021" s="184">
        <f t="shared" si="2421"/>
        <v>0.40677966101694918</v>
      </c>
    </row>
    <row r="2022" spans="2:22" ht="15.75" hidden="1" x14ac:dyDescent="0.2">
      <c r="B2022" s="711">
        <v>46215</v>
      </c>
      <c r="C2022" s="105" t="s">
        <v>12</v>
      </c>
      <c r="D2022" s="105" t="s">
        <v>13</v>
      </c>
      <c r="E2022" s="711">
        <v>46215</v>
      </c>
      <c r="G2022" s="190"/>
      <c r="H2022" s="775" t="s">
        <v>19</v>
      </c>
      <c r="I2022" s="777"/>
      <c r="J2022" s="190">
        <f>SUM(J2012:J2021)</f>
        <v>1176</v>
      </c>
      <c r="K2022" s="190">
        <f t="shared" ref="K2022:P2022" si="2422">SUM(K2012:K2021)</f>
        <v>489</v>
      </c>
      <c r="L2022" s="190">
        <f t="shared" si="2422"/>
        <v>167</v>
      </c>
      <c r="M2022" s="190">
        <f t="shared" si="2422"/>
        <v>344</v>
      </c>
      <c r="N2022" s="190">
        <f t="shared" si="2422"/>
        <v>48</v>
      </c>
      <c r="O2022" s="190">
        <f t="shared" si="2422"/>
        <v>73</v>
      </c>
      <c r="P2022" s="190">
        <f t="shared" si="2422"/>
        <v>60</v>
      </c>
      <c r="Q2022" s="191">
        <f>(K2022+L2022)/J2022</f>
        <v>0.55782312925170063</v>
      </c>
      <c r="R2022" s="192">
        <f t="shared" si="2418"/>
        <v>4.0816326530612242E-2</v>
      </c>
      <c r="S2022" s="192">
        <f t="shared" si="2419"/>
        <v>5.1020408163265307E-2</v>
      </c>
      <c r="T2022" s="192">
        <f t="shared" si="2420"/>
        <v>6.2074829931972789E-2</v>
      </c>
      <c r="U2022" s="193">
        <f t="shared" si="2421"/>
        <v>0.71173469387755095</v>
      </c>
    </row>
    <row r="2023" spans="2:22" ht="15.75" hidden="1" x14ac:dyDescent="0.2">
      <c r="B2023" s="711">
        <v>46215</v>
      </c>
      <c r="C2023" s="105" t="s">
        <v>18</v>
      </c>
      <c r="D2023" s="105" t="s">
        <v>163</v>
      </c>
      <c r="E2023" s="711">
        <v>46216</v>
      </c>
      <c r="G2023" s="833">
        <v>46216</v>
      </c>
      <c r="H2023" s="60" t="s">
        <v>16</v>
      </c>
      <c r="I2023" s="60" t="s">
        <v>83</v>
      </c>
      <c r="J2023" s="60">
        <v>265</v>
      </c>
      <c r="K2023" s="60">
        <v>55</v>
      </c>
      <c r="L2023" s="60">
        <v>41</v>
      </c>
      <c r="M2023" s="60">
        <v>96</v>
      </c>
      <c r="N2023" s="312">
        <v>51</v>
      </c>
      <c r="O2023" s="60">
        <v>20</v>
      </c>
      <c r="P2023" s="312">
        <v>2</v>
      </c>
      <c r="Q2023" s="182">
        <f t="shared" ref="Q2023:Q2027" si="2423">(K2023+L2023)/J2023</f>
        <v>0.3622641509433962</v>
      </c>
      <c r="R2023" s="183">
        <f t="shared" ref="R2023:R2036" si="2424">N2023/J2023</f>
        <v>0.19245283018867926</v>
      </c>
      <c r="S2023" s="183">
        <f t="shared" ref="S2023:S2036" si="2425">P2023/J2023</f>
        <v>7.5471698113207548E-3</v>
      </c>
      <c r="T2023" s="183">
        <f t="shared" ref="T2023:T2036" si="2426">O2023/J2023</f>
        <v>7.5471698113207544E-2</v>
      </c>
      <c r="U2023" s="184">
        <f t="shared" ref="U2023:U2036" si="2427">S2023+R2023+Q2023+T2023</f>
        <v>0.63773584905660374</v>
      </c>
    </row>
    <row r="2024" spans="2:22" ht="15.75" hidden="1" x14ac:dyDescent="0.2">
      <c r="B2024" s="711">
        <v>46215</v>
      </c>
      <c r="C2024" s="105" t="s">
        <v>18</v>
      </c>
      <c r="D2024" s="105" t="s">
        <v>163</v>
      </c>
      <c r="E2024" s="711">
        <v>46216</v>
      </c>
      <c r="G2024" s="834"/>
      <c r="H2024" s="60" t="s">
        <v>123</v>
      </c>
      <c r="I2024" s="60" t="s">
        <v>22</v>
      </c>
      <c r="J2024" s="60">
        <v>49</v>
      </c>
      <c r="K2024" s="60">
        <v>0</v>
      </c>
      <c r="L2024" s="60">
        <v>0</v>
      </c>
      <c r="M2024" s="60">
        <v>0</v>
      </c>
      <c r="N2024" s="312">
        <v>49</v>
      </c>
      <c r="O2024" s="60">
        <v>0</v>
      </c>
      <c r="P2024" s="312">
        <v>0</v>
      </c>
      <c r="Q2024" s="182">
        <f t="shared" si="2423"/>
        <v>0</v>
      </c>
      <c r="R2024" s="183">
        <f t="shared" si="2424"/>
        <v>1</v>
      </c>
      <c r="S2024" s="183">
        <f t="shared" si="2425"/>
        <v>0</v>
      </c>
      <c r="T2024" s="183">
        <f t="shared" si="2426"/>
        <v>0</v>
      </c>
      <c r="U2024" s="184">
        <f t="shared" si="2427"/>
        <v>1</v>
      </c>
    </row>
    <row r="2025" spans="2:22" ht="15.75" hidden="1" x14ac:dyDescent="0.2">
      <c r="B2025" s="711">
        <v>46215</v>
      </c>
      <c r="C2025" s="105" t="s">
        <v>18</v>
      </c>
      <c r="D2025" s="105" t="s">
        <v>163</v>
      </c>
      <c r="E2025" s="711">
        <v>46216</v>
      </c>
      <c r="G2025" s="834"/>
      <c r="H2025" s="60" t="s">
        <v>17</v>
      </c>
      <c r="I2025" s="60" t="s">
        <v>12</v>
      </c>
      <c r="J2025" s="60">
        <v>137</v>
      </c>
      <c r="K2025" s="60">
        <v>0</v>
      </c>
      <c r="L2025" s="60">
        <v>0</v>
      </c>
      <c r="M2025" s="60">
        <v>130</v>
      </c>
      <c r="N2025" s="312">
        <v>0</v>
      </c>
      <c r="O2025" s="60">
        <v>0</v>
      </c>
      <c r="P2025" s="312">
        <v>7</v>
      </c>
      <c r="Q2025" s="182">
        <f t="shared" ref="Q2025:Q2026" si="2428">(K2025+L2025)/J2025</f>
        <v>0</v>
      </c>
      <c r="R2025" s="183">
        <f t="shared" ref="R2025:R2026" si="2429">N2025/J2025</f>
        <v>0</v>
      </c>
      <c r="S2025" s="183">
        <f t="shared" ref="S2025:S2026" si="2430">P2025/J2025</f>
        <v>5.1094890510948905E-2</v>
      </c>
      <c r="T2025" s="183">
        <f t="shared" ref="T2025:T2026" si="2431">O2025/J2025</f>
        <v>0</v>
      </c>
      <c r="U2025" s="184">
        <f t="shared" ref="U2025:U2026" si="2432">S2025+R2025+Q2025+T2025</f>
        <v>5.1094890510948905E-2</v>
      </c>
    </row>
    <row r="2026" spans="2:22" ht="15.75" hidden="1" x14ac:dyDescent="0.2">
      <c r="B2026" s="711">
        <v>46215</v>
      </c>
      <c r="C2026" s="105" t="s">
        <v>18</v>
      </c>
      <c r="D2026" s="105" t="s">
        <v>163</v>
      </c>
      <c r="E2026" s="711">
        <v>46216</v>
      </c>
      <c r="G2026" s="834"/>
      <c r="H2026" s="60" t="s">
        <v>25</v>
      </c>
      <c r="I2026" s="60" t="s">
        <v>12</v>
      </c>
      <c r="J2026" s="60">
        <v>85</v>
      </c>
      <c r="K2026" s="60">
        <v>0</v>
      </c>
      <c r="L2026" s="60">
        <v>0</v>
      </c>
      <c r="M2026" s="60">
        <v>85</v>
      </c>
      <c r="N2026" s="312">
        <v>0</v>
      </c>
      <c r="O2026" s="60">
        <v>0</v>
      </c>
      <c r="P2026" s="312">
        <v>0</v>
      </c>
      <c r="Q2026" s="182">
        <f t="shared" si="2428"/>
        <v>0</v>
      </c>
      <c r="R2026" s="183">
        <f t="shared" si="2429"/>
        <v>0</v>
      </c>
      <c r="S2026" s="183">
        <f t="shared" si="2430"/>
        <v>0</v>
      </c>
      <c r="T2026" s="183">
        <f t="shared" si="2431"/>
        <v>0</v>
      </c>
      <c r="U2026" s="184">
        <f t="shared" si="2432"/>
        <v>0</v>
      </c>
    </row>
    <row r="2027" spans="2:22" ht="15.75" hidden="1" x14ac:dyDescent="0.2">
      <c r="B2027" s="711">
        <v>46215</v>
      </c>
      <c r="C2027" s="105" t="s">
        <v>18</v>
      </c>
      <c r="D2027" s="105" t="s">
        <v>163</v>
      </c>
      <c r="E2027" s="711">
        <v>46216</v>
      </c>
      <c r="G2027" s="834"/>
      <c r="H2027" s="60" t="s">
        <v>180</v>
      </c>
      <c r="I2027" s="60" t="s">
        <v>22</v>
      </c>
      <c r="J2027" s="60">
        <v>59</v>
      </c>
      <c r="K2027" s="60">
        <v>0</v>
      </c>
      <c r="L2027" s="60">
        <v>0</v>
      </c>
      <c r="M2027" s="60">
        <v>0</v>
      </c>
      <c r="N2027" s="312">
        <v>56</v>
      </c>
      <c r="O2027" s="60">
        <v>0</v>
      </c>
      <c r="P2027" s="312">
        <v>3</v>
      </c>
      <c r="Q2027" s="182">
        <f t="shared" si="2423"/>
        <v>0</v>
      </c>
      <c r="R2027" s="183">
        <f t="shared" si="2424"/>
        <v>0.94915254237288138</v>
      </c>
      <c r="S2027" s="183">
        <f t="shared" si="2425"/>
        <v>5.0847457627118647E-2</v>
      </c>
      <c r="T2027" s="183">
        <f t="shared" si="2426"/>
        <v>0</v>
      </c>
      <c r="U2027" s="184">
        <f t="shared" si="2427"/>
        <v>1</v>
      </c>
    </row>
    <row r="2028" spans="2:22" ht="15.75" hidden="1" x14ac:dyDescent="0.2">
      <c r="B2028" s="711">
        <v>46215</v>
      </c>
      <c r="C2028" s="105" t="s">
        <v>18</v>
      </c>
      <c r="D2028" s="105" t="s">
        <v>163</v>
      </c>
      <c r="E2028" s="711">
        <v>46216</v>
      </c>
      <c r="G2028" s="190"/>
      <c r="H2028" s="775" t="s">
        <v>19</v>
      </c>
      <c r="I2028" s="777"/>
      <c r="J2028" s="190">
        <f>SUM(J2023:J2027)</f>
        <v>595</v>
      </c>
      <c r="K2028" s="190">
        <f t="shared" ref="K2028:P2028" si="2433">SUM(K2023:K2027)</f>
        <v>55</v>
      </c>
      <c r="L2028" s="190">
        <f t="shared" si="2433"/>
        <v>41</v>
      </c>
      <c r="M2028" s="190">
        <f t="shared" si="2433"/>
        <v>311</v>
      </c>
      <c r="N2028" s="190">
        <f t="shared" si="2433"/>
        <v>156</v>
      </c>
      <c r="O2028" s="190">
        <f t="shared" si="2433"/>
        <v>20</v>
      </c>
      <c r="P2028" s="190">
        <f t="shared" si="2433"/>
        <v>12</v>
      </c>
      <c r="Q2028" s="191">
        <f>(K2028+L2028)/J2028</f>
        <v>0.16134453781512606</v>
      </c>
      <c r="R2028" s="192">
        <f t="shared" si="2424"/>
        <v>0.26218487394957984</v>
      </c>
      <c r="S2028" s="192">
        <f t="shared" si="2425"/>
        <v>2.0168067226890758E-2</v>
      </c>
      <c r="T2028" s="192">
        <f t="shared" si="2426"/>
        <v>3.3613445378151259E-2</v>
      </c>
      <c r="U2028" s="193">
        <f t="shared" si="2427"/>
        <v>0.47731092436974787</v>
      </c>
    </row>
    <row r="2029" spans="2:22" ht="15.75" hidden="1" x14ac:dyDescent="0.2">
      <c r="B2029" s="711">
        <v>46216</v>
      </c>
      <c r="C2029" s="105" t="s">
        <v>22</v>
      </c>
      <c r="D2029" s="105" t="s">
        <v>20</v>
      </c>
      <c r="E2029" s="711">
        <v>46216</v>
      </c>
      <c r="G2029" s="833">
        <v>46216</v>
      </c>
      <c r="H2029" s="60" t="s">
        <v>16</v>
      </c>
      <c r="I2029" s="60" t="s">
        <v>83</v>
      </c>
      <c r="J2029" s="60">
        <f>SUM(K2029:P2029)</f>
        <v>160</v>
      </c>
      <c r="K2029" s="60">
        <v>78</v>
      </c>
      <c r="L2029" s="60">
        <v>60</v>
      </c>
      <c r="M2029" s="60">
        <v>0</v>
      </c>
      <c r="N2029" s="312">
        <v>0</v>
      </c>
      <c r="O2029" s="60">
        <v>20</v>
      </c>
      <c r="P2029" s="312">
        <v>2</v>
      </c>
      <c r="Q2029" s="182">
        <f t="shared" ref="Q2029:Q2035" si="2434">(K2029+L2029)/J2029</f>
        <v>0.86250000000000004</v>
      </c>
      <c r="R2029" s="183">
        <f t="shared" si="2424"/>
        <v>0</v>
      </c>
      <c r="S2029" s="183">
        <f t="shared" si="2425"/>
        <v>1.2500000000000001E-2</v>
      </c>
      <c r="T2029" s="183">
        <f t="shared" si="2426"/>
        <v>0.125</v>
      </c>
      <c r="U2029" s="184">
        <f t="shared" si="2427"/>
        <v>1</v>
      </c>
      <c r="V2029" s="220"/>
    </row>
    <row r="2030" spans="2:22" ht="15.75" hidden="1" x14ac:dyDescent="0.2">
      <c r="B2030" s="711">
        <v>46216</v>
      </c>
      <c r="C2030" s="105" t="s">
        <v>22</v>
      </c>
      <c r="D2030" s="105" t="s">
        <v>20</v>
      </c>
      <c r="E2030" s="711">
        <v>46216</v>
      </c>
      <c r="G2030" s="834"/>
      <c r="H2030" s="60" t="s">
        <v>180</v>
      </c>
      <c r="I2030" s="60" t="s">
        <v>43</v>
      </c>
      <c r="J2030" s="60">
        <f t="shared" ref="J2030:J2035" si="2435">SUM(K2030:P2030)</f>
        <v>63</v>
      </c>
      <c r="K2030" s="60">
        <v>58</v>
      </c>
      <c r="L2030" s="60">
        <v>2</v>
      </c>
      <c r="M2030" s="60">
        <v>0</v>
      </c>
      <c r="N2030" s="312">
        <v>0</v>
      </c>
      <c r="O2030" s="60">
        <v>0</v>
      </c>
      <c r="P2030" s="312">
        <v>3</v>
      </c>
      <c r="Q2030" s="182">
        <f t="shared" si="2434"/>
        <v>0.95238095238095233</v>
      </c>
      <c r="R2030" s="183">
        <f t="shared" si="2424"/>
        <v>0</v>
      </c>
      <c r="S2030" s="183">
        <f t="shared" si="2425"/>
        <v>4.7619047619047616E-2</v>
      </c>
      <c r="T2030" s="183">
        <f t="shared" si="2426"/>
        <v>0</v>
      </c>
      <c r="U2030" s="184">
        <f t="shared" si="2427"/>
        <v>1</v>
      </c>
      <c r="V2030" s="239"/>
    </row>
    <row r="2031" spans="2:22" ht="15.75" hidden="1" x14ac:dyDescent="0.2">
      <c r="B2031" s="711">
        <v>46216</v>
      </c>
      <c r="C2031" s="105" t="s">
        <v>22</v>
      </c>
      <c r="D2031" s="105" t="s">
        <v>20</v>
      </c>
      <c r="E2031" s="711">
        <v>46216</v>
      </c>
      <c r="G2031" s="834"/>
      <c r="H2031" s="367" t="s">
        <v>120</v>
      </c>
      <c r="I2031" s="367" t="s">
        <v>22</v>
      </c>
      <c r="J2031" s="60">
        <f t="shared" si="2435"/>
        <v>12</v>
      </c>
      <c r="K2031" s="60">
        <v>11</v>
      </c>
      <c r="L2031" s="60">
        <v>1</v>
      </c>
      <c r="M2031" s="60">
        <v>0</v>
      </c>
      <c r="N2031" s="312">
        <v>0</v>
      </c>
      <c r="O2031" s="60">
        <v>0</v>
      </c>
      <c r="P2031" s="312">
        <v>0</v>
      </c>
      <c r="Q2031" s="182">
        <f t="shared" si="2434"/>
        <v>1</v>
      </c>
      <c r="R2031" s="183">
        <f t="shared" si="2424"/>
        <v>0</v>
      </c>
      <c r="S2031" s="183">
        <f t="shared" si="2425"/>
        <v>0</v>
      </c>
      <c r="T2031" s="183">
        <f t="shared" si="2426"/>
        <v>0</v>
      </c>
      <c r="U2031" s="184">
        <f t="shared" si="2427"/>
        <v>1</v>
      </c>
      <c r="V2031" s="239"/>
    </row>
    <row r="2032" spans="2:22" ht="15.75" hidden="1" x14ac:dyDescent="0.2">
      <c r="B2032" s="711">
        <v>46216</v>
      </c>
      <c r="C2032" s="105" t="s">
        <v>22</v>
      </c>
      <c r="D2032" s="105" t="s">
        <v>20</v>
      </c>
      <c r="E2032" s="711">
        <v>46216</v>
      </c>
      <c r="G2032" s="834"/>
      <c r="H2032" s="351" t="s">
        <v>183</v>
      </c>
      <c r="I2032" s="351" t="s">
        <v>12</v>
      </c>
      <c r="J2032" s="60">
        <f t="shared" si="2435"/>
        <v>49</v>
      </c>
      <c r="K2032" s="367">
        <v>48</v>
      </c>
      <c r="L2032" s="367">
        <v>1</v>
      </c>
      <c r="M2032" s="367">
        <v>0</v>
      </c>
      <c r="N2032" s="373">
        <v>0</v>
      </c>
      <c r="O2032" s="367">
        <v>0</v>
      </c>
      <c r="P2032" s="373">
        <v>0</v>
      </c>
      <c r="Q2032" s="368">
        <f t="shared" si="2434"/>
        <v>1</v>
      </c>
      <c r="R2032" s="369">
        <f t="shared" si="2424"/>
        <v>0</v>
      </c>
      <c r="S2032" s="369">
        <f t="shared" si="2425"/>
        <v>0</v>
      </c>
      <c r="T2032" s="369">
        <f t="shared" si="2426"/>
        <v>0</v>
      </c>
      <c r="U2032" s="370">
        <f t="shared" si="2427"/>
        <v>1</v>
      </c>
      <c r="V2032" s="239"/>
    </row>
    <row r="2033" spans="2:22" ht="15.75" hidden="1" x14ac:dyDescent="0.2">
      <c r="B2033" s="711">
        <v>46216</v>
      </c>
      <c r="C2033" s="105" t="s">
        <v>22</v>
      </c>
      <c r="D2033" s="105" t="s">
        <v>20</v>
      </c>
      <c r="E2033" s="711">
        <v>46216</v>
      </c>
      <c r="G2033" s="834"/>
      <c r="H2033" s="362" t="s">
        <v>17</v>
      </c>
      <c r="I2033" s="362" t="s">
        <v>12</v>
      </c>
      <c r="J2033" s="60">
        <f t="shared" si="2435"/>
        <v>135</v>
      </c>
      <c r="K2033" s="351">
        <v>28</v>
      </c>
      <c r="L2033" s="351">
        <v>6</v>
      </c>
      <c r="M2033" s="351">
        <v>64</v>
      </c>
      <c r="N2033" s="374">
        <v>16</v>
      </c>
      <c r="O2033" s="351">
        <v>15</v>
      </c>
      <c r="P2033" s="374">
        <v>6</v>
      </c>
      <c r="Q2033" s="352">
        <f t="shared" si="2434"/>
        <v>0.25185185185185183</v>
      </c>
      <c r="R2033" s="353">
        <f t="shared" si="2424"/>
        <v>0.11851851851851852</v>
      </c>
      <c r="S2033" s="353">
        <f t="shared" si="2425"/>
        <v>4.4444444444444446E-2</v>
      </c>
      <c r="T2033" s="353">
        <f t="shared" si="2426"/>
        <v>0.1111111111111111</v>
      </c>
      <c r="U2033" s="360">
        <f t="shared" si="2427"/>
        <v>0.52592592592592591</v>
      </c>
      <c r="V2033" s="239"/>
    </row>
    <row r="2034" spans="2:22" ht="15.75" hidden="1" x14ac:dyDescent="0.2">
      <c r="B2034" s="711">
        <v>46216</v>
      </c>
      <c r="C2034" s="105" t="s">
        <v>22</v>
      </c>
      <c r="D2034" s="105" t="s">
        <v>20</v>
      </c>
      <c r="E2034" s="711">
        <v>46216</v>
      </c>
      <c r="G2034" s="834"/>
      <c r="H2034" s="362" t="s">
        <v>25</v>
      </c>
      <c r="I2034" s="362" t="s">
        <v>12</v>
      </c>
      <c r="J2034" s="60">
        <f t="shared" ref="J2034" si="2436">SUM(K2034:P2034)</f>
        <v>85</v>
      </c>
      <c r="K2034" s="362">
        <v>54</v>
      </c>
      <c r="L2034" s="362">
        <v>7</v>
      </c>
      <c r="M2034" s="362">
        <v>0</v>
      </c>
      <c r="N2034" s="375">
        <v>0</v>
      </c>
      <c r="O2034" s="362">
        <v>12</v>
      </c>
      <c r="P2034" s="375">
        <v>12</v>
      </c>
      <c r="Q2034" s="363">
        <f t="shared" ref="Q2034" si="2437">(K2034+L2034)/J2034</f>
        <v>0.71764705882352942</v>
      </c>
      <c r="R2034" s="364">
        <f t="shared" ref="R2034" si="2438">N2034/J2034</f>
        <v>0</v>
      </c>
      <c r="S2034" s="364">
        <f t="shared" ref="S2034" si="2439">P2034/J2034</f>
        <v>0.14117647058823529</v>
      </c>
      <c r="T2034" s="364">
        <f t="shared" ref="T2034" si="2440">O2034/J2034</f>
        <v>0.14117647058823529</v>
      </c>
      <c r="U2034" s="365">
        <f t="shared" ref="U2034" si="2441">S2034+R2034+Q2034+T2034</f>
        <v>1</v>
      </c>
      <c r="V2034" s="239"/>
    </row>
    <row r="2035" spans="2:22" ht="15.75" hidden="1" x14ac:dyDescent="0.2">
      <c r="B2035" s="711">
        <v>46216</v>
      </c>
      <c r="C2035" s="105" t="s">
        <v>22</v>
      </c>
      <c r="D2035" s="105" t="s">
        <v>20</v>
      </c>
      <c r="E2035" s="711">
        <v>46216</v>
      </c>
      <c r="G2035" s="835"/>
      <c r="H2035" s="362" t="s">
        <v>118</v>
      </c>
      <c r="I2035" s="362" t="s">
        <v>12</v>
      </c>
      <c r="J2035" s="60">
        <f t="shared" si="2435"/>
        <v>11</v>
      </c>
      <c r="K2035" s="362">
        <v>2</v>
      </c>
      <c r="L2035" s="362">
        <v>2</v>
      </c>
      <c r="M2035" s="362">
        <v>0</v>
      </c>
      <c r="N2035" s="375">
        <v>7</v>
      </c>
      <c r="O2035" s="362">
        <v>0</v>
      </c>
      <c r="P2035" s="375">
        <v>0</v>
      </c>
      <c r="Q2035" s="363">
        <f t="shared" si="2434"/>
        <v>0.36363636363636365</v>
      </c>
      <c r="R2035" s="364">
        <f t="shared" si="2424"/>
        <v>0.63636363636363635</v>
      </c>
      <c r="S2035" s="364">
        <f t="shared" si="2425"/>
        <v>0</v>
      </c>
      <c r="T2035" s="364">
        <f t="shared" si="2426"/>
        <v>0</v>
      </c>
      <c r="U2035" s="365">
        <f t="shared" si="2427"/>
        <v>1</v>
      </c>
      <c r="V2035" s="239"/>
    </row>
    <row r="2036" spans="2:22" ht="15.75" hidden="1" x14ac:dyDescent="0.2">
      <c r="B2036" s="711">
        <v>46216</v>
      </c>
      <c r="C2036" s="105" t="s">
        <v>22</v>
      </c>
      <c r="D2036" s="105" t="s">
        <v>20</v>
      </c>
      <c r="E2036" s="711">
        <v>46216</v>
      </c>
      <c r="G2036" s="190"/>
      <c r="H2036" s="775" t="s">
        <v>19</v>
      </c>
      <c r="I2036" s="777"/>
      <c r="J2036" s="190">
        <f t="shared" ref="J2036:P2036" si="2442">SUM(J2029:J2035)</f>
        <v>515</v>
      </c>
      <c r="K2036" s="190">
        <f t="shared" si="2442"/>
        <v>279</v>
      </c>
      <c r="L2036" s="190">
        <f t="shared" si="2442"/>
        <v>79</v>
      </c>
      <c r="M2036" s="190">
        <f t="shared" si="2442"/>
        <v>64</v>
      </c>
      <c r="N2036" s="190">
        <f t="shared" si="2442"/>
        <v>23</v>
      </c>
      <c r="O2036" s="190">
        <f t="shared" si="2442"/>
        <v>47</v>
      </c>
      <c r="P2036" s="190">
        <f t="shared" si="2442"/>
        <v>23</v>
      </c>
      <c r="Q2036" s="191">
        <f>(K2036+L2036)/J2036</f>
        <v>0.69514563106796112</v>
      </c>
      <c r="R2036" s="192">
        <f t="shared" si="2424"/>
        <v>4.4660194174757278E-2</v>
      </c>
      <c r="S2036" s="192">
        <f t="shared" si="2425"/>
        <v>4.4660194174757278E-2</v>
      </c>
      <c r="T2036" s="192">
        <f t="shared" si="2426"/>
        <v>9.1262135922330095E-2</v>
      </c>
      <c r="U2036" s="193">
        <f t="shared" si="2427"/>
        <v>0.87572815533980586</v>
      </c>
      <c r="V2036" s="213"/>
    </row>
    <row r="2037" spans="2:22" ht="15.75" hidden="1" x14ac:dyDescent="0.2">
      <c r="B2037" s="711">
        <v>46216</v>
      </c>
      <c r="C2037" s="105" t="s">
        <v>12</v>
      </c>
      <c r="D2037" s="105" t="s">
        <v>13</v>
      </c>
      <c r="E2037" s="711">
        <v>46216</v>
      </c>
      <c r="G2037" s="833">
        <v>46216</v>
      </c>
      <c r="H2037" s="60" t="s">
        <v>16</v>
      </c>
      <c r="I2037" s="60" t="s">
        <v>83</v>
      </c>
      <c r="J2037" s="60">
        <v>265</v>
      </c>
      <c r="K2037" s="60">
        <v>164</v>
      </c>
      <c r="L2037" s="60">
        <v>80</v>
      </c>
      <c r="M2037" s="60">
        <v>0</v>
      </c>
      <c r="N2037" s="312">
        <v>0</v>
      </c>
      <c r="O2037" s="60">
        <v>20</v>
      </c>
      <c r="P2037" s="312">
        <v>1</v>
      </c>
      <c r="Q2037" s="182">
        <f t="shared" ref="Q2037:Q2044" si="2443">(K2037+L2037)/J2037</f>
        <v>0.92075471698113209</v>
      </c>
      <c r="R2037" s="183">
        <f t="shared" ref="R2037:R2044" si="2444">N2037/J2037</f>
        <v>0</v>
      </c>
      <c r="S2037" s="183">
        <f t="shared" ref="S2037:S2044" si="2445">P2037/J2037</f>
        <v>3.7735849056603774E-3</v>
      </c>
      <c r="T2037" s="183">
        <f t="shared" ref="T2037:T2044" si="2446">O2037/J2037</f>
        <v>7.5471698113207544E-2</v>
      </c>
      <c r="U2037" s="184">
        <f t="shared" ref="U2037:U2044" si="2447">S2037+R2037+Q2037+T2037</f>
        <v>1</v>
      </c>
      <c r="V2037" s="220"/>
    </row>
    <row r="2038" spans="2:22" ht="15.75" hidden="1" x14ac:dyDescent="0.2">
      <c r="B2038" s="711">
        <v>46216</v>
      </c>
      <c r="C2038" s="105" t="s">
        <v>12</v>
      </c>
      <c r="D2038" s="105" t="s">
        <v>13</v>
      </c>
      <c r="E2038" s="711">
        <v>46216</v>
      </c>
      <c r="G2038" s="834"/>
      <c r="H2038" s="60" t="s">
        <v>180</v>
      </c>
      <c r="I2038" s="60" t="s">
        <v>43</v>
      </c>
      <c r="J2038" s="60">
        <v>63</v>
      </c>
      <c r="K2038" s="60">
        <v>58</v>
      </c>
      <c r="L2038" s="60">
        <v>2</v>
      </c>
      <c r="M2038" s="60">
        <v>0</v>
      </c>
      <c r="N2038" s="312">
        <v>0</v>
      </c>
      <c r="O2038" s="60">
        <v>0</v>
      </c>
      <c r="P2038" s="312">
        <v>3</v>
      </c>
      <c r="Q2038" s="182">
        <f t="shared" si="2443"/>
        <v>0.95238095238095233</v>
      </c>
      <c r="R2038" s="183">
        <f t="shared" si="2444"/>
        <v>0</v>
      </c>
      <c r="S2038" s="183">
        <f t="shared" si="2445"/>
        <v>4.7619047619047616E-2</v>
      </c>
      <c r="T2038" s="183">
        <f t="shared" si="2446"/>
        <v>0</v>
      </c>
      <c r="U2038" s="184">
        <f t="shared" si="2447"/>
        <v>1</v>
      </c>
      <c r="V2038" s="239"/>
    </row>
    <row r="2039" spans="2:22" ht="15.75" hidden="1" x14ac:dyDescent="0.2">
      <c r="B2039" s="711">
        <v>46216</v>
      </c>
      <c r="C2039" s="105" t="s">
        <v>12</v>
      </c>
      <c r="D2039" s="105" t="s">
        <v>13</v>
      </c>
      <c r="E2039" s="711">
        <v>46216</v>
      </c>
      <c r="G2039" s="834"/>
      <c r="H2039" s="367" t="s">
        <v>120</v>
      </c>
      <c r="I2039" s="367" t="s">
        <v>22</v>
      </c>
      <c r="J2039" s="60">
        <v>12</v>
      </c>
      <c r="K2039" s="60">
        <v>11</v>
      </c>
      <c r="L2039" s="60">
        <v>1</v>
      </c>
      <c r="M2039" s="60">
        <v>0</v>
      </c>
      <c r="N2039" s="312">
        <v>0</v>
      </c>
      <c r="O2039" s="60">
        <v>0</v>
      </c>
      <c r="P2039" s="312">
        <v>0</v>
      </c>
      <c r="Q2039" s="182">
        <f t="shared" si="2443"/>
        <v>1</v>
      </c>
      <c r="R2039" s="183">
        <f t="shared" si="2444"/>
        <v>0</v>
      </c>
      <c r="S2039" s="183">
        <f t="shared" si="2445"/>
        <v>0</v>
      </c>
      <c r="T2039" s="183">
        <f t="shared" si="2446"/>
        <v>0</v>
      </c>
      <c r="U2039" s="184">
        <f t="shared" si="2447"/>
        <v>1</v>
      </c>
      <c r="V2039" s="239"/>
    </row>
    <row r="2040" spans="2:22" ht="15.75" hidden="1" x14ac:dyDescent="0.2">
      <c r="B2040" s="711">
        <v>46216</v>
      </c>
      <c r="C2040" s="105" t="s">
        <v>12</v>
      </c>
      <c r="D2040" s="105" t="s">
        <v>13</v>
      </c>
      <c r="E2040" s="711">
        <v>46216</v>
      </c>
      <c r="G2040" s="834"/>
      <c r="H2040" s="351" t="s">
        <v>183</v>
      </c>
      <c r="I2040" s="351" t="s">
        <v>12</v>
      </c>
      <c r="J2040" s="60">
        <v>49</v>
      </c>
      <c r="K2040" s="367">
        <v>48</v>
      </c>
      <c r="L2040" s="367">
        <v>1</v>
      </c>
      <c r="M2040" s="367">
        <v>0</v>
      </c>
      <c r="N2040" s="373">
        <v>0</v>
      </c>
      <c r="O2040" s="367">
        <v>0</v>
      </c>
      <c r="P2040" s="373">
        <v>0</v>
      </c>
      <c r="Q2040" s="368">
        <f t="shared" si="2443"/>
        <v>1</v>
      </c>
      <c r="R2040" s="369">
        <f t="shared" si="2444"/>
        <v>0</v>
      </c>
      <c r="S2040" s="369">
        <f t="shared" si="2445"/>
        <v>0</v>
      </c>
      <c r="T2040" s="369">
        <f t="shared" si="2446"/>
        <v>0</v>
      </c>
      <c r="U2040" s="370">
        <f t="shared" si="2447"/>
        <v>1</v>
      </c>
      <c r="V2040" s="239"/>
    </row>
    <row r="2041" spans="2:22" ht="15.75" hidden="1" x14ac:dyDescent="0.2">
      <c r="B2041" s="711">
        <v>46216</v>
      </c>
      <c r="C2041" s="105" t="s">
        <v>12</v>
      </c>
      <c r="D2041" s="105" t="s">
        <v>13</v>
      </c>
      <c r="E2041" s="711">
        <v>46216</v>
      </c>
      <c r="G2041" s="834"/>
      <c r="H2041" s="362" t="s">
        <v>17</v>
      </c>
      <c r="I2041" s="362" t="s">
        <v>12</v>
      </c>
      <c r="J2041" s="60">
        <v>94</v>
      </c>
      <c r="K2041" s="351">
        <v>40</v>
      </c>
      <c r="L2041" s="351">
        <v>22</v>
      </c>
      <c r="M2041" s="351">
        <v>10</v>
      </c>
      <c r="N2041" s="374">
        <v>0</v>
      </c>
      <c r="O2041" s="351">
        <v>15</v>
      </c>
      <c r="P2041" s="374">
        <v>7</v>
      </c>
      <c r="Q2041" s="352">
        <f t="shared" si="2443"/>
        <v>0.65957446808510634</v>
      </c>
      <c r="R2041" s="353">
        <f t="shared" si="2444"/>
        <v>0</v>
      </c>
      <c r="S2041" s="353">
        <f t="shared" si="2445"/>
        <v>7.4468085106382975E-2</v>
      </c>
      <c r="T2041" s="353">
        <f t="shared" si="2446"/>
        <v>0.15957446808510639</v>
      </c>
      <c r="U2041" s="360">
        <f t="shared" si="2447"/>
        <v>0.8936170212765957</v>
      </c>
      <c r="V2041" s="239"/>
    </row>
    <row r="2042" spans="2:22" ht="15.75" hidden="1" x14ac:dyDescent="0.2">
      <c r="B2042" s="711">
        <v>46216</v>
      </c>
      <c r="C2042" s="105" t="s">
        <v>12</v>
      </c>
      <c r="D2042" s="105" t="s">
        <v>13</v>
      </c>
      <c r="E2042" s="711">
        <v>46216</v>
      </c>
      <c r="G2042" s="834"/>
      <c r="H2042" s="362" t="s">
        <v>25</v>
      </c>
      <c r="I2042" s="362" t="s">
        <v>12</v>
      </c>
      <c r="J2042" s="60">
        <v>90</v>
      </c>
      <c r="K2042" s="362">
        <v>54</v>
      </c>
      <c r="L2042" s="362">
        <v>12</v>
      </c>
      <c r="M2042" s="362">
        <v>0</v>
      </c>
      <c r="N2042" s="375">
        <v>0</v>
      </c>
      <c r="O2042" s="362">
        <v>12</v>
      </c>
      <c r="P2042" s="375">
        <v>12</v>
      </c>
      <c r="Q2042" s="363">
        <f t="shared" si="2443"/>
        <v>0.73333333333333328</v>
      </c>
      <c r="R2042" s="364">
        <f t="shared" si="2444"/>
        <v>0</v>
      </c>
      <c r="S2042" s="364">
        <f t="shared" si="2445"/>
        <v>0.13333333333333333</v>
      </c>
      <c r="T2042" s="364">
        <f t="shared" si="2446"/>
        <v>0.13333333333333333</v>
      </c>
      <c r="U2042" s="365">
        <f t="shared" si="2447"/>
        <v>0.99999999999999989</v>
      </c>
      <c r="V2042" s="239"/>
    </row>
    <row r="2043" spans="2:22" ht="15.75" hidden="1" x14ac:dyDescent="0.2">
      <c r="B2043" s="711">
        <v>46216</v>
      </c>
      <c r="C2043" s="105" t="s">
        <v>12</v>
      </c>
      <c r="D2043" s="105" t="s">
        <v>13</v>
      </c>
      <c r="E2043" s="711">
        <v>46216</v>
      </c>
      <c r="G2043" s="835"/>
      <c r="H2043" s="362" t="s">
        <v>118</v>
      </c>
      <c r="I2043" s="362" t="s">
        <v>12</v>
      </c>
      <c r="J2043" s="60">
        <v>11</v>
      </c>
      <c r="K2043" s="362">
        <v>9</v>
      </c>
      <c r="L2043" s="362">
        <v>2</v>
      </c>
      <c r="M2043" s="362">
        <v>0</v>
      </c>
      <c r="N2043" s="375">
        <v>0</v>
      </c>
      <c r="O2043" s="362">
        <v>0</v>
      </c>
      <c r="P2043" s="375">
        <v>0</v>
      </c>
      <c r="Q2043" s="363">
        <f t="shared" si="2443"/>
        <v>1</v>
      </c>
      <c r="R2043" s="364">
        <f t="shared" si="2444"/>
        <v>0</v>
      </c>
      <c r="S2043" s="364">
        <f t="shared" si="2445"/>
        <v>0</v>
      </c>
      <c r="T2043" s="364">
        <f t="shared" si="2446"/>
        <v>0</v>
      </c>
      <c r="U2043" s="365">
        <f t="shared" si="2447"/>
        <v>1</v>
      </c>
      <c r="V2043" s="239"/>
    </row>
    <row r="2044" spans="2:22" ht="15.75" hidden="1" x14ac:dyDescent="0.2">
      <c r="B2044" s="711">
        <v>46216</v>
      </c>
      <c r="C2044" s="105" t="s">
        <v>12</v>
      </c>
      <c r="D2044" s="105" t="s">
        <v>13</v>
      </c>
      <c r="E2044" s="711">
        <v>46217</v>
      </c>
      <c r="G2044" s="838">
        <v>46217</v>
      </c>
      <c r="H2044" s="378" t="s">
        <v>84</v>
      </c>
      <c r="I2044" s="362" t="s">
        <v>27</v>
      </c>
      <c r="J2044" s="60">
        <v>51</v>
      </c>
      <c r="K2044" s="60">
        <v>34</v>
      </c>
      <c r="L2044" s="60">
        <v>11</v>
      </c>
      <c r="M2044" s="60">
        <v>0</v>
      </c>
      <c r="N2044" s="312">
        <v>0</v>
      </c>
      <c r="O2044" s="60">
        <v>2</v>
      </c>
      <c r="P2044" s="312">
        <v>4</v>
      </c>
      <c r="Q2044" s="182">
        <f t="shared" si="2443"/>
        <v>0.88235294117647056</v>
      </c>
      <c r="R2044" s="183">
        <f t="shared" si="2444"/>
        <v>0</v>
      </c>
      <c r="S2044" s="183">
        <f t="shared" si="2445"/>
        <v>7.8431372549019607E-2</v>
      </c>
      <c r="T2044" s="183">
        <f t="shared" si="2446"/>
        <v>3.9215686274509803E-2</v>
      </c>
      <c r="U2044" s="184">
        <f t="shared" si="2447"/>
        <v>0.99999999999999989</v>
      </c>
      <c r="V2044" s="239"/>
    </row>
    <row r="2045" spans="2:22" ht="15.75" hidden="1" x14ac:dyDescent="0.2">
      <c r="B2045" s="711">
        <v>46216</v>
      </c>
      <c r="C2045" s="105" t="s">
        <v>12</v>
      </c>
      <c r="D2045" s="105" t="s">
        <v>13</v>
      </c>
      <c r="E2045" s="711">
        <v>46217</v>
      </c>
      <c r="G2045" s="839"/>
      <c r="H2045" s="60" t="s">
        <v>16</v>
      </c>
      <c r="I2045" s="60" t="s">
        <v>83</v>
      </c>
      <c r="J2045" s="60">
        <v>240</v>
      </c>
      <c r="K2045" s="60">
        <v>25</v>
      </c>
      <c r="L2045" s="60">
        <v>24</v>
      </c>
      <c r="M2045" s="60">
        <v>163</v>
      </c>
      <c r="N2045" s="312">
        <v>0</v>
      </c>
      <c r="O2045" s="60">
        <v>20</v>
      </c>
      <c r="P2045" s="312">
        <v>8</v>
      </c>
      <c r="Q2045" s="182">
        <f t="shared" ref="Q2045" si="2448">(K2045+L2045)/J2045</f>
        <v>0.20416666666666666</v>
      </c>
      <c r="R2045" s="183">
        <f t="shared" ref="R2045:R2050" si="2449">N2045/J2045</f>
        <v>0</v>
      </c>
      <c r="S2045" s="183">
        <f t="shared" ref="S2045:S2050" si="2450">P2045/J2045</f>
        <v>3.3333333333333333E-2</v>
      </c>
      <c r="T2045" s="183">
        <f t="shared" ref="T2045:T2050" si="2451">O2045/J2045</f>
        <v>8.3333333333333329E-2</v>
      </c>
      <c r="U2045" s="184">
        <f t="shared" ref="U2045:U2050" si="2452">S2045+R2045+Q2045+T2045</f>
        <v>0.3208333333333333</v>
      </c>
      <c r="V2045" s="220"/>
    </row>
    <row r="2046" spans="2:22" ht="15.75" hidden="1" x14ac:dyDescent="0.2">
      <c r="B2046" s="711">
        <v>46216</v>
      </c>
      <c r="C2046" s="105" t="s">
        <v>12</v>
      </c>
      <c r="D2046" s="105" t="s">
        <v>13</v>
      </c>
      <c r="E2046" s="711">
        <v>46217</v>
      </c>
      <c r="G2046" s="190"/>
      <c r="H2046" s="775" t="s">
        <v>19</v>
      </c>
      <c r="I2046" s="777"/>
      <c r="J2046" s="190">
        <f>SUM(J2037:J2045)</f>
        <v>875</v>
      </c>
      <c r="K2046" s="190">
        <f t="shared" ref="K2046:P2046" si="2453">SUM(K2037:K2045)</f>
        <v>443</v>
      </c>
      <c r="L2046" s="190">
        <f t="shared" si="2453"/>
        <v>155</v>
      </c>
      <c r="M2046" s="190">
        <f t="shared" si="2453"/>
        <v>173</v>
      </c>
      <c r="N2046" s="190">
        <f t="shared" si="2453"/>
        <v>0</v>
      </c>
      <c r="O2046" s="190">
        <f t="shared" si="2453"/>
        <v>69</v>
      </c>
      <c r="P2046" s="190">
        <f t="shared" si="2453"/>
        <v>35</v>
      </c>
      <c r="Q2046" s="191">
        <f>(K2046+L2046)/J2046</f>
        <v>0.68342857142857139</v>
      </c>
      <c r="R2046" s="192">
        <f t="shared" si="2449"/>
        <v>0</v>
      </c>
      <c r="S2046" s="192">
        <f t="shared" si="2450"/>
        <v>0.04</v>
      </c>
      <c r="T2046" s="192">
        <f t="shared" si="2451"/>
        <v>7.8857142857142862E-2</v>
      </c>
      <c r="U2046" s="193">
        <f t="shared" si="2452"/>
        <v>0.80228571428571427</v>
      </c>
      <c r="V2046" s="213"/>
    </row>
    <row r="2047" spans="2:22" ht="15.75" hidden="1" x14ac:dyDescent="0.2">
      <c r="B2047" s="711">
        <v>46216</v>
      </c>
      <c r="C2047" s="105" t="s">
        <v>18</v>
      </c>
      <c r="D2047" s="105" t="s">
        <v>163</v>
      </c>
      <c r="E2047" s="711">
        <v>46217</v>
      </c>
      <c r="G2047" s="830">
        <v>46217</v>
      </c>
      <c r="H2047" s="60" t="s">
        <v>16</v>
      </c>
      <c r="I2047" s="60" t="s">
        <v>83</v>
      </c>
      <c r="J2047" s="60">
        <v>240</v>
      </c>
      <c r="K2047" s="60">
        <f>240-118</f>
        <v>122</v>
      </c>
      <c r="L2047" s="60">
        <v>85</v>
      </c>
      <c r="M2047" s="60">
        <v>27</v>
      </c>
      <c r="N2047" s="312">
        <v>0</v>
      </c>
      <c r="O2047" s="60">
        <v>0</v>
      </c>
      <c r="P2047" s="312">
        <v>6</v>
      </c>
      <c r="Q2047" s="182">
        <f t="shared" ref="Q2047:Q2050" si="2454">(K2047+L2047)/J2047</f>
        <v>0.86250000000000004</v>
      </c>
      <c r="R2047" s="183">
        <f t="shared" si="2449"/>
        <v>0</v>
      </c>
      <c r="S2047" s="183">
        <f t="shared" si="2450"/>
        <v>2.5000000000000001E-2</v>
      </c>
      <c r="T2047" s="183">
        <f t="shared" si="2451"/>
        <v>0</v>
      </c>
      <c r="U2047" s="184">
        <f t="shared" si="2452"/>
        <v>0.88750000000000007</v>
      </c>
      <c r="V2047" s="220"/>
    </row>
    <row r="2048" spans="2:22" ht="15.75" hidden="1" x14ac:dyDescent="0.2">
      <c r="B2048" s="711">
        <v>46216</v>
      </c>
      <c r="C2048" s="105" t="s">
        <v>18</v>
      </c>
      <c r="D2048" s="105" t="s">
        <v>163</v>
      </c>
      <c r="E2048" s="711">
        <v>46217</v>
      </c>
      <c r="G2048" s="831"/>
      <c r="H2048" s="60" t="s">
        <v>84</v>
      </c>
      <c r="I2048" s="60" t="s">
        <v>27</v>
      </c>
      <c r="J2048" s="60">
        <v>51</v>
      </c>
      <c r="K2048" s="60">
        <f>51-15</f>
        <v>36</v>
      </c>
      <c r="L2048" s="60">
        <v>11</v>
      </c>
      <c r="M2048" s="60">
        <v>0</v>
      </c>
      <c r="N2048" s="312">
        <v>0</v>
      </c>
      <c r="O2048" s="60">
        <v>0</v>
      </c>
      <c r="P2048" s="312">
        <v>4</v>
      </c>
      <c r="Q2048" s="182">
        <f t="shared" ref="Q2048" si="2455">(K2048+L2048)/J2048</f>
        <v>0.92156862745098034</v>
      </c>
      <c r="R2048" s="183">
        <f t="shared" ref="R2048" si="2456">N2048/J2048</f>
        <v>0</v>
      </c>
      <c r="S2048" s="183">
        <f t="shared" ref="S2048" si="2457">P2048/J2048</f>
        <v>7.8431372549019607E-2</v>
      </c>
      <c r="T2048" s="183">
        <f t="shared" ref="T2048" si="2458">O2048/J2048</f>
        <v>0</v>
      </c>
      <c r="U2048" s="184">
        <f t="shared" ref="U2048" si="2459">S2048+R2048+Q2048+T2048</f>
        <v>1</v>
      </c>
      <c r="V2048" s="239"/>
    </row>
    <row r="2049" spans="2:22" ht="15.75" hidden="1" x14ac:dyDescent="0.2">
      <c r="B2049" s="711">
        <v>46216</v>
      </c>
      <c r="C2049" s="105" t="s">
        <v>18</v>
      </c>
      <c r="D2049" s="105" t="s">
        <v>163</v>
      </c>
      <c r="E2049" s="711">
        <v>46217</v>
      </c>
      <c r="G2049" s="831"/>
      <c r="H2049" s="60" t="s">
        <v>17</v>
      </c>
      <c r="I2049" s="60" t="s">
        <v>12</v>
      </c>
      <c r="J2049" s="60">
        <v>120</v>
      </c>
      <c r="K2049" s="60">
        <v>0</v>
      </c>
      <c r="L2049" s="60">
        <v>0</v>
      </c>
      <c r="M2049" s="60">
        <v>95</v>
      </c>
      <c r="N2049" s="312">
        <v>18</v>
      </c>
      <c r="O2049" s="60">
        <v>0</v>
      </c>
      <c r="P2049" s="312">
        <v>7</v>
      </c>
      <c r="Q2049" s="182">
        <f t="shared" si="2454"/>
        <v>0</v>
      </c>
      <c r="R2049" s="183">
        <f t="shared" si="2449"/>
        <v>0.15</v>
      </c>
      <c r="S2049" s="183">
        <f t="shared" si="2450"/>
        <v>5.8333333333333334E-2</v>
      </c>
      <c r="T2049" s="183">
        <f t="shared" si="2451"/>
        <v>0</v>
      </c>
      <c r="U2049" s="184">
        <f t="shared" si="2452"/>
        <v>0.20833333333333331</v>
      </c>
      <c r="V2049" s="239"/>
    </row>
    <row r="2050" spans="2:22" ht="15.75" hidden="1" x14ac:dyDescent="0.2">
      <c r="B2050" s="711">
        <v>46216</v>
      </c>
      <c r="C2050" s="105" t="s">
        <v>18</v>
      </c>
      <c r="D2050" s="105" t="s">
        <v>163</v>
      </c>
      <c r="E2050" s="711">
        <v>46217</v>
      </c>
      <c r="G2050" s="831"/>
      <c r="H2050" s="60" t="s">
        <v>25</v>
      </c>
      <c r="I2050" s="60" t="s">
        <v>12</v>
      </c>
      <c r="J2050" s="60">
        <v>82</v>
      </c>
      <c r="K2050" s="60">
        <v>0</v>
      </c>
      <c r="L2050" s="60">
        <v>0</v>
      </c>
      <c r="M2050" s="60">
        <v>49</v>
      </c>
      <c r="N2050" s="312">
        <v>18</v>
      </c>
      <c r="O2050" s="60">
        <v>0</v>
      </c>
      <c r="P2050" s="312">
        <v>15</v>
      </c>
      <c r="Q2050" s="182">
        <f t="shared" si="2454"/>
        <v>0</v>
      </c>
      <c r="R2050" s="183">
        <f t="shared" si="2449"/>
        <v>0.21951219512195122</v>
      </c>
      <c r="S2050" s="183">
        <f t="shared" si="2450"/>
        <v>0.18292682926829268</v>
      </c>
      <c r="T2050" s="183">
        <f t="shared" si="2451"/>
        <v>0</v>
      </c>
      <c r="U2050" s="184">
        <f t="shared" si="2452"/>
        <v>0.40243902439024393</v>
      </c>
      <c r="V2050" s="239"/>
    </row>
    <row r="2051" spans="2:22" ht="15.75" hidden="1" x14ac:dyDescent="0.2">
      <c r="B2051" s="711">
        <v>46216</v>
      </c>
      <c r="C2051" s="105" t="s">
        <v>18</v>
      </c>
      <c r="D2051" s="105" t="s">
        <v>163</v>
      </c>
      <c r="E2051" s="711">
        <v>46217</v>
      </c>
      <c r="G2051" s="831"/>
      <c r="H2051" s="60" t="s">
        <v>120</v>
      </c>
      <c r="I2051" s="60" t="s">
        <v>22</v>
      </c>
      <c r="J2051" s="60">
        <v>34</v>
      </c>
      <c r="K2051" s="60">
        <v>0</v>
      </c>
      <c r="L2051" s="60">
        <v>0</v>
      </c>
      <c r="M2051" s="60">
        <v>0</v>
      </c>
      <c r="N2051" s="312">
        <v>32</v>
      </c>
      <c r="O2051" s="60">
        <v>0</v>
      </c>
      <c r="P2051" s="312">
        <v>2</v>
      </c>
      <c r="Q2051" s="182">
        <f t="shared" ref="Q2051" si="2460">(K2051+L2051)/J2051</f>
        <v>0</v>
      </c>
      <c r="R2051" s="183">
        <f t="shared" ref="R2051" si="2461">N2051/J2051</f>
        <v>0.94117647058823528</v>
      </c>
      <c r="S2051" s="183">
        <f t="shared" ref="S2051" si="2462">P2051/J2051</f>
        <v>5.8823529411764705E-2</v>
      </c>
      <c r="T2051" s="183">
        <f t="shared" ref="T2051" si="2463">O2051/J2051</f>
        <v>0</v>
      </c>
      <c r="U2051" s="184">
        <f t="shared" ref="U2051" si="2464">S2051+R2051+Q2051+T2051</f>
        <v>1</v>
      </c>
      <c r="V2051" s="239"/>
    </row>
    <row r="2052" spans="2:22" ht="15.75" hidden="1" x14ac:dyDescent="0.2">
      <c r="B2052" s="711">
        <v>46216</v>
      </c>
      <c r="C2052" s="105" t="s">
        <v>18</v>
      </c>
      <c r="D2052" s="105" t="s">
        <v>163</v>
      </c>
      <c r="E2052" s="711">
        <v>46217</v>
      </c>
      <c r="G2052" s="190"/>
      <c r="H2052" s="775" t="s">
        <v>19</v>
      </c>
      <c r="I2052" s="777"/>
      <c r="J2052" s="190">
        <f t="shared" ref="J2052:P2052" si="2465">SUM(J2047:J2051)</f>
        <v>527</v>
      </c>
      <c r="K2052" s="190">
        <f t="shared" si="2465"/>
        <v>158</v>
      </c>
      <c r="L2052" s="190">
        <f t="shared" si="2465"/>
        <v>96</v>
      </c>
      <c r="M2052" s="190">
        <f t="shared" si="2465"/>
        <v>171</v>
      </c>
      <c r="N2052" s="190">
        <f t="shared" si="2465"/>
        <v>68</v>
      </c>
      <c r="O2052" s="190">
        <f t="shared" si="2465"/>
        <v>0</v>
      </c>
      <c r="P2052" s="190">
        <f t="shared" si="2465"/>
        <v>34</v>
      </c>
      <c r="Q2052" s="191">
        <f>(K2052+L2052)/J2052</f>
        <v>0.48197343453510438</v>
      </c>
      <c r="R2052" s="192">
        <f t="shared" ref="R2052:R2059" si="2466">N2052/J2052</f>
        <v>0.12903225806451613</v>
      </c>
      <c r="S2052" s="192">
        <f t="shared" ref="S2052:S2059" si="2467">P2052/J2052</f>
        <v>6.4516129032258063E-2</v>
      </c>
      <c r="T2052" s="192">
        <f t="shared" ref="T2052:T2059" si="2468">O2052/J2052</f>
        <v>0</v>
      </c>
      <c r="U2052" s="193">
        <f t="shared" ref="U2052:U2059" si="2469">S2052+R2052+Q2052+T2052</f>
        <v>0.67552182163187857</v>
      </c>
      <c r="V2052" s="213"/>
    </row>
    <row r="2053" spans="2:22" ht="15.75" hidden="1" x14ac:dyDescent="0.2">
      <c r="B2053" s="711">
        <v>46217</v>
      </c>
      <c r="C2053" s="105" t="s">
        <v>22</v>
      </c>
      <c r="D2053" s="105" t="s">
        <v>20</v>
      </c>
      <c r="E2053" s="711">
        <v>46217</v>
      </c>
      <c r="G2053" s="833">
        <v>46217</v>
      </c>
      <c r="H2053" s="60" t="s">
        <v>16</v>
      </c>
      <c r="I2053" s="60" t="s">
        <v>83</v>
      </c>
      <c r="J2053" s="60">
        <f>SUM(K2053:P2053)</f>
        <v>164</v>
      </c>
      <c r="K2053" s="60">
        <v>109</v>
      </c>
      <c r="L2053" s="60">
        <v>28</v>
      </c>
      <c r="M2053" s="60">
        <v>0</v>
      </c>
      <c r="N2053" s="312">
        <v>0</v>
      </c>
      <c r="O2053" s="60">
        <v>20</v>
      </c>
      <c r="P2053" s="312">
        <v>7</v>
      </c>
      <c r="Q2053" s="182">
        <f t="shared" ref="Q2053:Q2058" si="2470">(K2053+L2053)/J2053</f>
        <v>0.83536585365853655</v>
      </c>
      <c r="R2053" s="183">
        <f t="shared" si="2466"/>
        <v>0</v>
      </c>
      <c r="S2053" s="183">
        <f t="shared" si="2467"/>
        <v>4.2682926829268296E-2</v>
      </c>
      <c r="T2053" s="183">
        <f t="shared" si="2468"/>
        <v>0.12195121951219512</v>
      </c>
      <c r="U2053" s="184">
        <f t="shared" si="2469"/>
        <v>1</v>
      </c>
      <c r="V2053" s="220"/>
    </row>
    <row r="2054" spans="2:22" ht="15.75" hidden="1" x14ac:dyDescent="0.2">
      <c r="B2054" s="711">
        <v>46217</v>
      </c>
      <c r="C2054" s="105" t="s">
        <v>22</v>
      </c>
      <c r="D2054" s="105" t="s">
        <v>20</v>
      </c>
      <c r="E2054" s="711">
        <v>46217</v>
      </c>
      <c r="G2054" s="834"/>
      <c r="H2054" s="60" t="s">
        <v>180</v>
      </c>
      <c r="I2054" s="60" t="s">
        <v>43</v>
      </c>
      <c r="J2054" s="60">
        <v>70</v>
      </c>
      <c r="K2054" s="60">
        <v>1</v>
      </c>
      <c r="L2054" s="60">
        <v>0</v>
      </c>
      <c r="M2054" s="60">
        <v>0</v>
      </c>
      <c r="N2054" s="312">
        <v>0</v>
      </c>
      <c r="O2054" s="60">
        <v>0</v>
      </c>
      <c r="P2054" s="312">
        <v>1</v>
      </c>
      <c r="Q2054" s="182">
        <f t="shared" si="2470"/>
        <v>1.4285714285714285E-2</v>
      </c>
      <c r="R2054" s="183">
        <f t="shared" si="2466"/>
        <v>0</v>
      </c>
      <c r="S2054" s="183">
        <f t="shared" si="2467"/>
        <v>1.4285714285714285E-2</v>
      </c>
      <c r="T2054" s="183">
        <f t="shared" si="2468"/>
        <v>0</v>
      </c>
      <c r="U2054" s="184">
        <f t="shared" si="2469"/>
        <v>2.8571428571428571E-2</v>
      </c>
      <c r="V2054" s="239"/>
    </row>
    <row r="2055" spans="2:22" ht="15.75" hidden="1" x14ac:dyDescent="0.2">
      <c r="B2055" s="711">
        <v>46217</v>
      </c>
      <c r="C2055" s="105" t="s">
        <v>22</v>
      </c>
      <c r="D2055" s="105" t="s">
        <v>20</v>
      </c>
      <c r="E2055" s="711">
        <v>46217</v>
      </c>
      <c r="G2055" s="834"/>
      <c r="H2055" s="367" t="s">
        <v>120</v>
      </c>
      <c r="I2055" s="367" t="s">
        <v>22</v>
      </c>
      <c r="J2055" s="60">
        <f t="shared" ref="J2055:J2056" si="2471">SUM(K2055:P2055)</f>
        <v>39</v>
      </c>
      <c r="K2055" s="60">
        <v>36</v>
      </c>
      <c r="L2055" s="60">
        <v>1</v>
      </c>
      <c r="M2055" s="60">
        <v>0</v>
      </c>
      <c r="N2055" s="312">
        <v>0</v>
      </c>
      <c r="O2055" s="60">
        <v>0</v>
      </c>
      <c r="P2055" s="312">
        <v>2</v>
      </c>
      <c r="Q2055" s="182">
        <f t="shared" si="2470"/>
        <v>0.94871794871794868</v>
      </c>
      <c r="R2055" s="183">
        <f t="shared" si="2466"/>
        <v>0</v>
      </c>
      <c r="S2055" s="183">
        <f t="shared" si="2467"/>
        <v>5.128205128205128E-2</v>
      </c>
      <c r="T2055" s="183">
        <f t="shared" si="2468"/>
        <v>0</v>
      </c>
      <c r="U2055" s="184">
        <f t="shared" si="2469"/>
        <v>1</v>
      </c>
      <c r="V2055" s="239"/>
    </row>
    <row r="2056" spans="2:22" ht="15.75" hidden="1" x14ac:dyDescent="0.2">
      <c r="B2056" s="711">
        <v>46217</v>
      </c>
      <c r="C2056" s="105" t="s">
        <v>22</v>
      </c>
      <c r="D2056" s="105" t="s">
        <v>20</v>
      </c>
      <c r="E2056" s="711">
        <v>46217</v>
      </c>
      <c r="G2056" s="834"/>
      <c r="H2056" s="362" t="s">
        <v>17</v>
      </c>
      <c r="I2056" s="362" t="s">
        <v>12</v>
      </c>
      <c r="J2056" s="60">
        <f t="shared" si="2471"/>
        <v>118</v>
      </c>
      <c r="K2056" s="351">
        <v>73</v>
      </c>
      <c r="L2056" s="351">
        <v>6</v>
      </c>
      <c r="M2056" s="351">
        <v>4</v>
      </c>
      <c r="N2056" s="374">
        <v>0</v>
      </c>
      <c r="O2056" s="351">
        <v>28</v>
      </c>
      <c r="P2056" s="374">
        <v>7</v>
      </c>
      <c r="Q2056" s="352">
        <f t="shared" si="2470"/>
        <v>0.66949152542372881</v>
      </c>
      <c r="R2056" s="353">
        <f t="shared" si="2466"/>
        <v>0</v>
      </c>
      <c r="S2056" s="353">
        <f t="shared" si="2467"/>
        <v>5.9322033898305086E-2</v>
      </c>
      <c r="T2056" s="353">
        <f t="shared" si="2468"/>
        <v>0.23728813559322035</v>
      </c>
      <c r="U2056" s="360">
        <f t="shared" si="2469"/>
        <v>0.96610169491525422</v>
      </c>
      <c r="V2056" s="239"/>
    </row>
    <row r="2057" spans="2:22" ht="15.75" hidden="1" x14ac:dyDescent="0.2">
      <c r="B2057" s="711">
        <v>46217</v>
      </c>
      <c r="C2057" s="105" t="s">
        <v>22</v>
      </c>
      <c r="D2057" s="105" t="s">
        <v>20</v>
      </c>
      <c r="E2057" s="711">
        <v>46217</v>
      </c>
      <c r="G2057" s="835"/>
      <c r="H2057" s="362" t="s">
        <v>25</v>
      </c>
      <c r="I2057" s="362" t="s">
        <v>12</v>
      </c>
      <c r="J2057" s="60">
        <f t="shared" ref="J2057" si="2472">SUM(K2057:P2057)</f>
        <v>82</v>
      </c>
      <c r="K2057" s="362">
        <v>52</v>
      </c>
      <c r="L2057" s="362">
        <v>10</v>
      </c>
      <c r="M2057" s="362">
        <v>5</v>
      </c>
      <c r="N2057" s="375">
        <v>0</v>
      </c>
      <c r="O2057" s="362">
        <v>0</v>
      </c>
      <c r="P2057" s="375">
        <v>15</v>
      </c>
      <c r="Q2057" s="363">
        <f t="shared" si="2470"/>
        <v>0.75609756097560976</v>
      </c>
      <c r="R2057" s="364">
        <f t="shared" si="2466"/>
        <v>0</v>
      </c>
      <c r="S2057" s="364">
        <f t="shared" si="2467"/>
        <v>0.18292682926829268</v>
      </c>
      <c r="T2057" s="364">
        <f t="shared" si="2468"/>
        <v>0</v>
      </c>
      <c r="U2057" s="365">
        <f t="shared" si="2469"/>
        <v>0.93902439024390238</v>
      </c>
      <c r="V2057" s="239"/>
    </row>
    <row r="2058" spans="2:22" ht="15.75" hidden="1" x14ac:dyDescent="0.2">
      <c r="B2058" s="711">
        <v>46217</v>
      </c>
      <c r="C2058" s="105" t="s">
        <v>22</v>
      </c>
      <c r="D2058" s="105" t="s">
        <v>20</v>
      </c>
      <c r="E2058" s="711">
        <v>46218</v>
      </c>
      <c r="G2058" s="713">
        <v>46218</v>
      </c>
      <c r="H2058" s="362" t="s">
        <v>118</v>
      </c>
      <c r="I2058" s="362" t="s">
        <v>12</v>
      </c>
      <c r="J2058" s="60">
        <f t="shared" ref="J2058" si="2473">SUM(K2058:P2058)</f>
        <v>24</v>
      </c>
      <c r="K2058" s="362">
        <v>14</v>
      </c>
      <c r="L2058" s="362">
        <v>0</v>
      </c>
      <c r="M2058" s="362">
        <v>0</v>
      </c>
      <c r="N2058" s="375">
        <v>10</v>
      </c>
      <c r="O2058" s="362">
        <v>0</v>
      </c>
      <c r="P2058" s="375">
        <v>0</v>
      </c>
      <c r="Q2058" s="363">
        <f t="shared" si="2470"/>
        <v>0.58333333333333337</v>
      </c>
      <c r="R2058" s="364">
        <f t="shared" si="2466"/>
        <v>0.41666666666666669</v>
      </c>
      <c r="S2058" s="364">
        <f t="shared" si="2467"/>
        <v>0</v>
      </c>
      <c r="T2058" s="364">
        <f t="shared" si="2468"/>
        <v>0</v>
      </c>
      <c r="U2058" s="365">
        <f t="shared" si="2469"/>
        <v>1</v>
      </c>
      <c r="V2058" s="239"/>
    </row>
    <row r="2059" spans="2:22" ht="15.75" hidden="1" x14ac:dyDescent="0.2">
      <c r="B2059" s="711">
        <v>46217</v>
      </c>
      <c r="C2059" s="105" t="s">
        <v>22</v>
      </c>
      <c r="D2059" s="105" t="s">
        <v>20</v>
      </c>
      <c r="E2059" s="711">
        <v>46218</v>
      </c>
      <c r="G2059" s="190"/>
      <c r="H2059" s="775" t="s">
        <v>19</v>
      </c>
      <c r="I2059" s="777"/>
      <c r="J2059" s="190">
        <f t="shared" ref="J2059:P2059" si="2474">SUM(J2053:J2058)</f>
        <v>497</v>
      </c>
      <c r="K2059" s="190">
        <f t="shared" si="2474"/>
        <v>285</v>
      </c>
      <c r="L2059" s="190">
        <f t="shared" si="2474"/>
        <v>45</v>
      </c>
      <c r="M2059" s="190">
        <f t="shared" si="2474"/>
        <v>9</v>
      </c>
      <c r="N2059" s="190">
        <f t="shared" si="2474"/>
        <v>10</v>
      </c>
      <c r="O2059" s="190">
        <f t="shared" si="2474"/>
        <v>48</v>
      </c>
      <c r="P2059" s="190">
        <f t="shared" si="2474"/>
        <v>32</v>
      </c>
      <c r="Q2059" s="191">
        <f>(K2059+L2059)/J2059</f>
        <v>0.66398390342052316</v>
      </c>
      <c r="R2059" s="192">
        <f t="shared" si="2466"/>
        <v>2.0120724346076459E-2</v>
      </c>
      <c r="S2059" s="192">
        <f t="shared" si="2467"/>
        <v>6.4386317907444673E-2</v>
      </c>
      <c r="T2059" s="192">
        <f t="shared" si="2468"/>
        <v>9.6579476861166996E-2</v>
      </c>
      <c r="U2059" s="193">
        <f t="shared" si="2469"/>
        <v>0.84507042253521125</v>
      </c>
      <c r="V2059" s="213"/>
    </row>
    <row r="2060" spans="2:22" ht="15.75" hidden="1" x14ac:dyDescent="0.2">
      <c r="B2060" s="711">
        <v>46217</v>
      </c>
      <c r="C2060" s="105" t="s">
        <v>12</v>
      </c>
      <c r="D2060" s="105" t="s">
        <v>13</v>
      </c>
      <c r="E2060" s="711">
        <v>46217</v>
      </c>
      <c r="G2060" s="833">
        <v>46217</v>
      </c>
      <c r="H2060" s="60" t="s">
        <v>16</v>
      </c>
      <c r="I2060" s="60" t="s">
        <v>83</v>
      </c>
      <c r="J2060" s="60">
        <v>240</v>
      </c>
      <c r="K2060" s="60">
        <v>135</v>
      </c>
      <c r="L2060" s="60">
        <v>64</v>
      </c>
      <c r="M2060" s="60">
        <v>0</v>
      </c>
      <c r="N2060" s="312">
        <v>17</v>
      </c>
      <c r="O2060" s="60">
        <v>20</v>
      </c>
      <c r="P2060" s="312">
        <v>4</v>
      </c>
      <c r="Q2060" s="182">
        <f t="shared" ref="Q2060:Q2066" si="2475">(K2060+L2060)/J2060</f>
        <v>0.82916666666666672</v>
      </c>
      <c r="R2060" s="183">
        <f t="shared" ref="R2060:R2067" si="2476">N2060/J2060</f>
        <v>7.0833333333333331E-2</v>
      </c>
      <c r="S2060" s="183">
        <f t="shared" ref="S2060:S2067" si="2477">P2060/J2060</f>
        <v>1.6666666666666666E-2</v>
      </c>
      <c r="T2060" s="183">
        <f t="shared" ref="T2060:T2067" si="2478">O2060/J2060</f>
        <v>8.3333333333333329E-2</v>
      </c>
      <c r="U2060" s="184">
        <f t="shared" ref="U2060:U2067" si="2479">S2060+R2060+Q2060+T2060</f>
        <v>1</v>
      </c>
      <c r="V2060" s="220"/>
    </row>
    <row r="2061" spans="2:22" ht="15.75" hidden="1" x14ac:dyDescent="0.2">
      <c r="B2061" s="711">
        <v>46217</v>
      </c>
      <c r="C2061" s="105" t="s">
        <v>12</v>
      </c>
      <c r="D2061" s="105" t="s">
        <v>13</v>
      </c>
      <c r="E2061" s="711">
        <v>46217</v>
      </c>
      <c r="G2061" s="834"/>
      <c r="H2061" s="60" t="s">
        <v>180</v>
      </c>
      <c r="I2061" s="60" t="s">
        <v>43</v>
      </c>
      <c r="J2061" s="60">
        <v>70</v>
      </c>
      <c r="K2061" s="60">
        <v>1</v>
      </c>
      <c r="L2061" s="60">
        <v>0</v>
      </c>
      <c r="M2061" s="60">
        <v>0</v>
      </c>
      <c r="N2061" s="312">
        <v>68</v>
      </c>
      <c r="O2061" s="60">
        <v>0</v>
      </c>
      <c r="P2061" s="312">
        <v>1</v>
      </c>
      <c r="Q2061" s="182">
        <f t="shared" si="2475"/>
        <v>1.4285714285714285E-2</v>
      </c>
      <c r="R2061" s="183">
        <f t="shared" si="2476"/>
        <v>0.97142857142857142</v>
      </c>
      <c r="S2061" s="183">
        <f t="shared" si="2477"/>
        <v>1.4285714285714285E-2</v>
      </c>
      <c r="T2061" s="183">
        <f t="shared" si="2478"/>
        <v>0</v>
      </c>
      <c r="U2061" s="184">
        <f t="shared" si="2479"/>
        <v>0.99999999999999989</v>
      </c>
      <c r="V2061" s="239"/>
    </row>
    <row r="2062" spans="2:22" ht="15.75" hidden="1" x14ac:dyDescent="0.2">
      <c r="B2062" s="711">
        <v>46217</v>
      </c>
      <c r="C2062" s="105" t="s">
        <v>12</v>
      </c>
      <c r="D2062" s="105" t="s">
        <v>13</v>
      </c>
      <c r="E2062" s="711">
        <v>46217</v>
      </c>
      <c r="G2062" s="834"/>
      <c r="H2062" s="367" t="s">
        <v>120</v>
      </c>
      <c r="I2062" s="367" t="s">
        <v>22</v>
      </c>
      <c r="J2062" s="60">
        <f t="shared" ref="J2062" si="2480">SUM(K2062:P2062)</f>
        <v>39</v>
      </c>
      <c r="K2062" s="60">
        <v>36</v>
      </c>
      <c r="L2062" s="60">
        <v>1</v>
      </c>
      <c r="M2062" s="60">
        <v>0</v>
      </c>
      <c r="N2062" s="312">
        <v>0</v>
      </c>
      <c r="O2062" s="60">
        <v>0</v>
      </c>
      <c r="P2062" s="312">
        <v>2</v>
      </c>
      <c r="Q2062" s="182">
        <f t="shared" si="2475"/>
        <v>0.94871794871794868</v>
      </c>
      <c r="R2062" s="183">
        <f t="shared" si="2476"/>
        <v>0</v>
      </c>
      <c r="S2062" s="183">
        <f t="shared" si="2477"/>
        <v>5.128205128205128E-2</v>
      </c>
      <c r="T2062" s="183">
        <f t="shared" si="2478"/>
        <v>0</v>
      </c>
      <c r="U2062" s="184">
        <f t="shared" si="2479"/>
        <v>1</v>
      </c>
      <c r="V2062" s="239"/>
    </row>
    <row r="2063" spans="2:22" ht="15.75" hidden="1" x14ac:dyDescent="0.2">
      <c r="B2063" s="711">
        <v>46217</v>
      </c>
      <c r="C2063" s="105" t="s">
        <v>12</v>
      </c>
      <c r="D2063" s="105" t="s">
        <v>13</v>
      </c>
      <c r="E2063" s="711">
        <v>46217</v>
      </c>
      <c r="G2063" s="834"/>
      <c r="H2063" s="362" t="s">
        <v>17</v>
      </c>
      <c r="I2063" s="362" t="s">
        <v>12</v>
      </c>
      <c r="J2063" s="60">
        <v>120</v>
      </c>
      <c r="K2063" s="351">
        <f>120-49</f>
        <v>71</v>
      </c>
      <c r="L2063" s="351">
        <v>14</v>
      </c>
      <c r="M2063" s="351">
        <v>0</v>
      </c>
      <c r="N2063" s="374">
        <v>0</v>
      </c>
      <c r="O2063" s="351">
        <v>28</v>
      </c>
      <c r="P2063" s="374">
        <v>7</v>
      </c>
      <c r="Q2063" s="352">
        <f t="shared" si="2475"/>
        <v>0.70833333333333337</v>
      </c>
      <c r="R2063" s="353">
        <f t="shared" si="2476"/>
        <v>0</v>
      </c>
      <c r="S2063" s="353">
        <f t="shared" si="2477"/>
        <v>5.8333333333333334E-2</v>
      </c>
      <c r="T2063" s="353">
        <f t="shared" si="2478"/>
        <v>0.23333333333333334</v>
      </c>
      <c r="U2063" s="360">
        <f t="shared" si="2479"/>
        <v>1</v>
      </c>
      <c r="V2063" s="239"/>
    </row>
    <row r="2064" spans="2:22" ht="15.75" hidden="1" x14ac:dyDescent="0.2">
      <c r="B2064" s="711">
        <v>46217</v>
      </c>
      <c r="C2064" s="105" t="s">
        <v>12</v>
      </c>
      <c r="D2064" s="105" t="s">
        <v>13</v>
      </c>
      <c r="E2064" s="711">
        <v>46217</v>
      </c>
      <c r="G2064" s="835"/>
      <c r="H2064" s="362" t="s">
        <v>25</v>
      </c>
      <c r="I2064" s="362" t="s">
        <v>12</v>
      </c>
      <c r="J2064" s="60">
        <f t="shared" ref="J2064" si="2481">SUM(K2064:P2064)</f>
        <v>38</v>
      </c>
      <c r="K2064" s="362">
        <v>14</v>
      </c>
      <c r="L2064" s="362">
        <v>10</v>
      </c>
      <c r="M2064" s="362">
        <v>0</v>
      </c>
      <c r="N2064" s="375">
        <v>0</v>
      </c>
      <c r="O2064" s="362">
        <v>0</v>
      </c>
      <c r="P2064" s="375">
        <v>14</v>
      </c>
      <c r="Q2064" s="363">
        <f>(K2064+L2064)/J2064</f>
        <v>0.63157894736842102</v>
      </c>
      <c r="R2064" s="364">
        <f>N2064/J2064</f>
        <v>0</v>
      </c>
      <c r="S2064" s="364">
        <f>P2064/J2064</f>
        <v>0.36842105263157893</v>
      </c>
      <c r="T2064" s="364">
        <f>O2064/J2064</f>
        <v>0</v>
      </c>
      <c r="U2064" s="365">
        <f>S2064+R2064+Q2064+T2064</f>
        <v>1</v>
      </c>
      <c r="V2064" s="239"/>
    </row>
    <row r="2065" spans="2:22" ht="15.75" hidden="1" x14ac:dyDescent="0.2">
      <c r="B2065" s="711">
        <v>46217</v>
      </c>
      <c r="C2065" s="105" t="s">
        <v>12</v>
      </c>
      <c r="D2065" s="105" t="s">
        <v>13</v>
      </c>
      <c r="E2065" s="711">
        <v>46218</v>
      </c>
      <c r="G2065" s="830">
        <v>46218</v>
      </c>
      <c r="H2065" s="362" t="s">
        <v>16</v>
      </c>
      <c r="I2065" s="60" t="s">
        <v>83</v>
      </c>
      <c r="J2065" s="60">
        <v>232</v>
      </c>
      <c r="K2065" s="362">
        <v>0</v>
      </c>
      <c r="L2065" s="362">
        <v>0</v>
      </c>
      <c r="M2065" s="362">
        <v>164</v>
      </c>
      <c r="N2065" s="375">
        <v>36</v>
      </c>
      <c r="O2065" s="362">
        <v>20</v>
      </c>
      <c r="P2065" s="375">
        <v>12</v>
      </c>
      <c r="Q2065" s="363">
        <f>(K2065+L2065)/J2065</f>
        <v>0</v>
      </c>
      <c r="R2065" s="364">
        <f>N2065/J2065</f>
        <v>0.15517241379310345</v>
      </c>
      <c r="S2065" s="364">
        <f>P2065/J2065</f>
        <v>5.1724137931034482E-2</v>
      </c>
      <c r="T2065" s="364">
        <f>O2065/J2065</f>
        <v>8.6206896551724144E-2</v>
      </c>
      <c r="U2065" s="365">
        <f>S2065+R2065+Q2065+T2065</f>
        <v>0.2931034482758621</v>
      </c>
      <c r="V2065" s="239"/>
    </row>
    <row r="2066" spans="2:22" ht="15.75" hidden="1" x14ac:dyDescent="0.2">
      <c r="B2066" s="711">
        <v>46217</v>
      </c>
      <c r="C2066" s="105" t="s">
        <v>12</v>
      </c>
      <c r="D2066" s="105" t="s">
        <v>13</v>
      </c>
      <c r="E2066" s="711">
        <v>46218</v>
      </c>
      <c r="G2066" s="832"/>
      <c r="H2066" s="362" t="s">
        <v>118</v>
      </c>
      <c r="I2066" s="362" t="s">
        <v>12</v>
      </c>
      <c r="J2066" s="60">
        <v>245</v>
      </c>
      <c r="K2066" s="362">
        <v>68</v>
      </c>
      <c r="L2066" s="362">
        <v>5</v>
      </c>
      <c r="M2066" s="362">
        <v>103</v>
      </c>
      <c r="N2066" s="375">
        <v>27</v>
      </c>
      <c r="O2066" s="362">
        <v>10</v>
      </c>
      <c r="P2066" s="375">
        <v>32</v>
      </c>
      <c r="Q2066" s="363">
        <f t="shared" si="2475"/>
        <v>0.29795918367346941</v>
      </c>
      <c r="R2066" s="364">
        <f t="shared" si="2476"/>
        <v>0.11020408163265306</v>
      </c>
      <c r="S2066" s="364">
        <f t="shared" si="2477"/>
        <v>0.1306122448979592</v>
      </c>
      <c r="T2066" s="364">
        <f t="shared" si="2478"/>
        <v>4.0816326530612242E-2</v>
      </c>
      <c r="U2066" s="365">
        <f t="shared" si="2479"/>
        <v>0.57959183673469394</v>
      </c>
      <c r="V2066" s="239"/>
    </row>
    <row r="2067" spans="2:22" ht="15.75" hidden="1" x14ac:dyDescent="0.2">
      <c r="B2067" s="711">
        <v>46217</v>
      </c>
      <c r="C2067" s="105" t="s">
        <v>12</v>
      </c>
      <c r="D2067" s="105" t="s">
        <v>13</v>
      </c>
      <c r="E2067" s="711">
        <v>46218</v>
      </c>
      <c r="G2067" s="190"/>
      <c r="H2067" s="775" t="s">
        <v>19</v>
      </c>
      <c r="I2067" s="777"/>
      <c r="J2067" s="190">
        <f t="shared" ref="J2067" si="2482">SUM(J2060:J2066)</f>
        <v>984</v>
      </c>
      <c r="K2067" s="190">
        <f t="shared" ref="K2067" si="2483">SUM(K2060:K2066)</f>
        <v>325</v>
      </c>
      <c r="L2067" s="190">
        <f t="shared" ref="L2067" si="2484">SUM(L2060:L2066)</f>
        <v>94</v>
      </c>
      <c r="M2067" s="190">
        <f t="shared" ref="M2067" si="2485">SUM(M2060:M2066)</f>
        <v>267</v>
      </c>
      <c r="N2067" s="190">
        <f t="shared" ref="N2067" si="2486">SUM(N2060:N2066)</f>
        <v>148</v>
      </c>
      <c r="O2067" s="190">
        <f t="shared" ref="O2067" si="2487">SUM(O2060:O2066)</f>
        <v>78</v>
      </c>
      <c r="P2067" s="190">
        <f t="shared" ref="P2067" si="2488">SUM(P2060:P2066)</f>
        <v>72</v>
      </c>
      <c r="Q2067" s="191">
        <f>(K2067+L2067)/J2067</f>
        <v>0.42581300813008133</v>
      </c>
      <c r="R2067" s="192">
        <f t="shared" si="2476"/>
        <v>0.15040650406504066</v>
      </c>
      <c r="S2067" s="192">
        <f t="shared" si="2477"/>
        <v>7.3170731707317069E-2</v>
      </c>
      <c r="T2067" s="192">
        <f t="shared" si="2478"/>
        <v>7.926829268292683E-2</v>
      </c>
      <c r="U2067" s="193">
        <f t="shared" si="2479"/>
        <v>0.72865853658536583</v>
      </c>
      <c r="V2067" s="213"/>
    </row>
    <row r="2068" spans="2:22" ht="15.75" hidden="1" x14ac:dyDescent="0.2">
      <c r="B2068" s="711">
        <v>46217</v>
      </c>
      <c r="C2068" s="105" t="s">
        <v>18</v>
      </c>
      <c r="D2068" s="105" t="s">
        <v>163</v>
      </c>
      <c r="E2068" s="711">
        <v>46218</v>
      </c>
      <c r="G2068" s="830">
        <v>46218</v>
      </c>
      <c r="H2068" s="60" t="s">
        <v>16</v>
      </c>
      <c r="I2068" s="60" t="s">
        <v>83</v>
      </c>
      <c r="J2068" s="60">
        <v>231</v>
      </c>
      <c r="K2068" s="60">
        <f>231-169</f>
        <v>62</v>
      </c>
      <c r="L2068" s="60">
        <v>42</v>
      </c>
      <c r="M2068" s="60">
        <v>77</v>
      </c>
      <c r="N2068" s="312">
        <v>18</v>
      </c>
      <c r="O2068" s="60">
        <v>20</v>
      </c>
      <c r="P2068" s="312">
        <v>12</v>
      </c>
      <c r="Q2068" s="182">
        <f t="shared" ref="Q2068:Q2070" si="2489">(K2068+L2068)/J2068</f>
        <v>0.45021645021645024</v>
      </c>
      <c r="R2068" s="183">
        <f t="shared" ref="R2068:R2070" si="2490">N2068/J2068</f>
        <v>7.792207792207792E-2</v>
      </c>
      <c r="S2068" s="183">
        <f t="shared" ref="S2068:S2070" si="2491">P2068/J2068</f>
        <v>5.1948051948051951E-2</v>
      </c>
      <c r="T2068" s="183">
        <f t="shared" ref="T2068:T2070" si="2492">O2068/J2068</f>
        <v>8.6580086580086577E-2</v>
      </c>
      <c r="U2068" s="184">
        <f t="shared" ref="U2068:U2070" si="2493">S2068+R2068+Q2068+T2068</f>
        <v>0.66666666666666663</v>
      </c>
      <c r="V2068" s="220"/>
    </row>
    <row r="2069" spans="2:22" ht="15.75" hidden="1" x14ac:dyDescent="0.2">
      <c r="B2069" s="711">
        <v>46217</v>
      </c>
      <c r="C2069" s="105" t="s">
        <v>18</v>
      </c>
      <c r="D2069" s="105" t="s">
        <v>163</v>
      </c>
      <c r="E2069" s="711">
        <v>46218</v>
      </c>
      <c r="G2069" s="831"/>
      <c r="H2069" s="367" t="s">
        <v>17</v>
      </c>
      <c r="I2069" s="367" t="s">
        <v>12</v>
      </c>
      <c r="J2069" s="60">
        <v>83</v>
      </c>
      <c r="K2069" s="60">
        <v>0</v>
      </c>
      <c r="L2069" s="60">
        <v>0</v>
      </c>
      <c r="M2069" s="60">
        <v>73</v>
      </c>
      <c r="N2069" s="312">
        <v>0</v>
      </c>
      <c r="O2069" s="60">
        <v>8</v>
      </c>
      <c r="P2069" s="312">
        <v>2</v>
      </c>
      <c r="Q2069" s="182">
        <f t="shared" si="2489"/>
        <v>0</v>
      </c>
      <c r="R2069" s="183">
        <f t="shared" si="2490"/>
        <v>0</v>
      </c>
      <c r="S2069" s="183">
        <f t="shared" si="2491"/>
        <v>2.4096385542168676E-2</v>
      </c>
      <c r="T2069" s="183">
        <f t="shared" si="2492"/>
        <v>9.6385542168674704E-2</v>
      </c>
      <c r="U2069" s="184">
        <f t="shared" si="2493"/>
        <v>0.12048192771084337</v>
      </c>
      <c r="V2069" s="239"/>
    </row>
    <row r="2070" spans="2:22" ht="15.75" hidden="1" x14ac:dyDescent="0.2">
      <c r="B2070" s="711">
        <v>46217</v>
      </c>
      <c r="C2070" s="105" t="s">
        <v>18</v>
      </c>
      <c r="D2070" s="105" t="s">
        <v>163</v>
      </c>
      <c r="E2070" s="711">
        <v>46218</v>
      </c>
      <c r="G2070" s="831"/>
      <c r="H2070" s="362" t="s">
        <v>25</v>
      </c>
      <c r="I2070" s="362" t="s">
        <v>12</v>
      </c>
      <c r="J2070" s="60">
        <v>94</v>
      </c>
      <c r="K2070" s="351">
        <v>0</v>
      </c>
      <c r="L2070" s="351">
        <v>0</v>
      </c>
      <c r="M2070" s="351">
        <v>62</v>
      </c>
      <c r="N2070" s="374">
        <v>0</v>
      </c>
      <c r="O2070" s="351">
        <v>18</v>
      </c>
      <c r="P2070" s="374">
        <v>14</v>
      </c>
      <c r="Q2070" s="352">
        <f t="shared" si="2489"/>
        <v>0</v>
      </c>
      <c r="R2070" s="353">
        <f t="shared" si="2490"/>
        <v>0</v>
      </c>
      <c r="S2070" s="353">
        <f t="shared" si="2491"/>
        <v>0.14893617021276595</v>
      </c>
      <c r="T2070" s="353">
        <f t="shared" si="2492"/>
        <v>0.19148936170212766</v>
      </c>
      <c r="U2070" s="360">
        <f t="shared" si="2493"/>
        <v>0.34042553191489361</v>
      </c>
      <c r="V2070" s="239"/>
    </row>
    <row r="2071" spans="2:22" ht="15.75" hidden="1" x14ac:dyDescent="0.2">
      <c r="B2071" s="711">
        <v>46217</v>
      </c>
      <c r="C2071" s="105" t="s">
        <v>18</v>
      </c>
      <c r="D2071" s="105" t="s">
        <v>163</v>
      </c>
      <c r="E2071" s="711">
        <v>46218</v>
      </c>
      <c r="G2071" s="832"/>
      <c r="H2071" s="362" t="s">
        <v>118</v>
      </c>
      <c r="I2071" s="362" t="s">
        <v>22</v>
      </c>
      <c r="J2071" s="60">
        <v>245</v>
      </c>
      <c r="K2071" s="362">
        <f>245-63</f>
        <v>182</v>
      </c>
      <c r="L2071" s="362">
        <v>12</v>
      </c>
      <c r="M2071" s="362">
        <v>9</v>
      </c>
      <c r="N2071" s="375">
        <v>0</v>
      </c>
      <c r="O2071" s="362">
        <v>10</v>
      </c>
      <c r="P2071" s="375">
        <v>32</v>
      </c>
      <c r="Q2071" s="363">
        <f>(K2071+L2071)/J2071</f>
        <v>0.7918367346938775</v>
      </c>
      <c r="R2071" s="364">
        <f>N2071/J2071</f>
        <v>0</v>
      </c>
      <c r="S2071" s="364">
        <f>P2071/J2071</f>
        <v>0.1306122448979592</v>
      </c>
      <c r="T2071" s="364">
        <f>O2071/J2071</f>
        <v>4.0816326530612242E-2</v>
      </c>
      <c r="U2071" s="365">
        <f>S2071+R2071+Q2071+T2071</f>
        <v>0.96326530612244898</v>
      </c>
      <c r="V2071" s="239"/>
    </row>
    <row r="2072" spans="2:22" ht="15.75" hidden="1" x14ac:dyDescent="0.2">
      <c r="B2072" s="711">
        <v>46217</v>
      </c>
      <c r="C2072" s="105" t="s">
        <v>18</v>
      </c>
      <c r="D2072" s="105" t="s">
        <v>163</v>
      </c>
      <c r="E2072" s="711">
        <v>46218</v>
      </c>
      <c r="G2072" s="190"/>
      <c r="H2072" s="775" t="s">
        <v>19</v>
      </c>
      <c r="I2072" s="777"/>
      <c r="J2072" s="190">
        <f t="shared" ref="J2072:P2072" si="2494">SUM(J2068:J2071)</f>
        <v>653</v>
      </c>
      <c r="K2072" s="190">
        <f t="shared" si="2494"/>
        <v>244</v>
      </c>
      <c r="L2072" s="190">
        <f t="shared" si="2494"/>
        <v>54</v>
      </c>
      <c r="M2072" s="190">
        <f t="shared" si="2494"/>
        <v>221</v>
      </c>
      <c r="N2072" s="190">
        <f t="shared" si="2494"/>
        <v>18</v>
      </c>
      <c r="O2072" s="190">
        <f t="shared" si="2494"/>
        <v>56</v>
      </c>
      <c r="P2072" s="190">
        <f t="shared" si="2494"/>
        <v>60</v>
      </c>
      <c r="Q2072" s="191">
        <f>(K2072+L2072)/J2072</f>
        <v>0.45635528330781011</v>
      </c>
      <c r="R2072" s="192">
        <f t="shared" ref="R2072:R2079" si="2495">N2072/J2072</f>
        <v>2.7565084226646247E-2</v>
      </c>
      <c r="S2072" s="192">
        <f t="shared" ref="S2072:S2079" si="2496">P2072/J2072</f>
        <v>9.1883614088820828E-2</v>
      </c>
      <c r="T2072" s="192">
        <f t="shared" ref="T2072:T2079" si="2497">O2072/J2072</f>
        <v>8.575803981623277E-2</v>
      </c>
      <c r="U2072" s="193">
        <f t="shared" ref="U2072:U2079" si="2498">S2072+R2072+Q2072+T2072</f>
        <v>0.66156202143950993</v>
      </c>
      <c r="V2072" s="213"/>
    </row>
    <row r="2073" spans="2:22" ht="15.75" hidden="1" x14ac:dyDescent="0.2">
      <c r="B2073" s="711">
        <v>46218</v>
      </c>
      <c r="C2073" s="105" t="s">
        <v>22</v>
      </c>
      <c r="D2073" s="105" t="s">
        <v>20</v>
      </c>
      <c r="E2073" s="711">
        <v>46217</v>
      </c>
      <c r="G2073" s="833">
        <v>46218</v>
      </c>
      <c r="H2073" s="60" t="s">
        <v>16</v>
      </c>
      <c r="I2073" s="60" t="s">
        <v>83</v>
      </c>
      <c r="J2073" s="60">
        <f>SUM(K2073:P2073)</f>
        <v>135</v>
      </c>
      <c r="K2073" s="60">
        <v>51</v>
      </c>
      <c r="L2073" s="60">
        <v>40</v>
      </c>
      <c r="M2073" s="60">
        <v>0</v>
      </c>
      <c r="N2073" s="312">
        <v>15</v>
      </c>
      <c r="O2073" s="60">
        <v>20</v>
      </c>
      <c r="P2073" s="312">
        <v>9</v>
      </c>
      <c r="Q2073" s="182">
        <f t="shared" ref="Q2073:Q2078" si="2499">(K2073+L2073)/J2073</f>
        <v>0.67407407407407405</v>
      </c>
      <c r="R2073" s="183">
        <f t="shared" si="2495"/>
        <v>0.1111111111111111</v>
      </c>
      <c r="S2073" s="183">
        <f t="shared" si="2496"/>
        <v>6.6666666666666666E-2</v>
      </c>
      <c r="T2073" s="183">
        <f t="shared" si="2497"/>
        <v>0.14814814814814814</v>
      </c>
      <c r="U2073" s="184">
        <f t="shared" si="2498"/>
        <v>1</v>
      </c>
      <c r="V2073" s="220"/>
    </row>
    <row r="2074" spans="2:22" ht="15.75" hidden="1" x14ac:dyDescent="0.2">
      <c r="B2074" s="711">
        <v>46218</v>
      </c>
      <c r="C2074" s="105" t="s">
        <v>22</v>
      </c>
      <c r="D2074" s="105" t="s">
        <v>20</v>
      </c>
      <c r="E2074" s="711">
        <v>46217</v>
      </c>
      <c r="G2074" s="834"/>
      <c r="H2074" s="60" t="s">
        <v>180</v>
      </c>
      <c r="I2074" s="60" t="s">
        <v>43</v>
      </c>
      <c r="J2074" s="60">
        <f t="shared" ref="J2074:J2078" si="2500">SUM(K2074:P2074)</f>
        <v>68</v>
      </c>
      <c r="K2074" s="60">
        <v>68</v>
      </c>
      <c r="L2074" s="60">
        <v>0</v>
      </c>
      <c r="M2074" s="60">
        <v>0</v>
      </c>
      <c r="N2074" s="312">
        <v>0</v>
      </c>
      <c r="O2074" s="60">
        <v>0</v>
      </c>
      <c r="P2074" s="312">
        <v>0</v>
      </c>
      <c r="Q2074" s="182">
        <f t="shared" si="2499"/>
        <v>1</v>
      </c>
      <c r="R2074" s="183">
        <f t="shared" si="2495"/>
        <v>0</v>
      </c>
      <c r="S2074" s="183">
        <f t="shared" si="2496"/>
        <v>0</v>
      </c>
      <c r="T2074" s="183">
        <f t="shared" si="2497"/>
        <v>0</v>
      </c>
      <c r="U2074" s="184">
        <f t="shared" si="2498"/>
        <v>1</v>
      </c>
      <c r="V2074" s="239"/>
    </row>
    <row r="2075" spans="2:22" ht="15.75" hidden="1" x14ac:dyDescent="0.2">
      <c r="B2075" s="711">
        <v>46218</v>
      </c>
      <c r="C2075" s="105" t="s">
        <v>22</v>
      </c>
      <c r="D2075" s="105" t="s">
        <v>20</v>
      </c>
      <c r="E2075" s="711">
        <v>46217</v>
      </c>
      <c r="G2075" s="834"/>
      <c r="H2075" s="367" t="s">
        <v>120</v>
      </c>
      <c r="I2075" s="367" t="s">
        <v>22</v>
      </c>
      <c r="J2075" s="60">
        <f t="shared" si="2500"/>
        <v>63</v>
      </c>
      <c r="K2075" s="60">
        <v>61</v>
      </c>
      <c r="L2075" s="60">
        <v>2</v>
      </c>
      <c r="M2075" s="60">
        <v>0</v>
      </c>
      <c r="N2075" s="312">
        <v>0</v>
      </c>
      <c r="O2075" s="60">
        <v>0</v>
      </c>
      <c r="P2075" s="312">
        <v>0</v>
      </c>
      <c r="Q2075" s="182">
        <f t="shared" si="2499"/>
        <v>1</v>
      </c>
      <c r="R2075" s="183">
        <f t="shared" si="2495"/>
        <v>0</v>
      </c>
      <c r="S2075" s="183">
        <f t="shared" si="2496"/>
        <v>0</v>
      </c>
      <c r="T2075" s="183">
        <f t="shared" si="2497"/>
        <v>0</v>
      </c>
      <c r="U2075" s="184">
        <f t="shared" si="2498"/>
        <v>1</v>
      </c>
      <c r="V2075" s="239"/>
    </row>
    <row r="2076" spans="2:22" ht="15.75" hidden="1" x14ac:dyDescent="0.2">
      <c r="B2076" s="711">
        <v>46218</v>
      </c>
      <c r="C2076" s="105" t="s">
        <v>22</v>
      </c>
      <c r="D2076" s="105" t="s">
        <v>20</v>
      </c>
      <c r="E2076" s="711">
        <v>46217</v>
      </c>
      <c r="G2076" s="834"/>
      <c r="H2076" s="362" t="s">
        <v>118</v>
      </c>
      <c r="I2076" s="362" t="s">
        <v>22</v>
      </c>
      <c r="J2076" s="60">
        <f t="shared" si="2500"/>
        <v>51</v>
      </c>
      <c r="K2076" s="351">
        <v>12</v>
      </c>
      <c r="L2076" s="351">
        <v>3</v>
      </c>
      <c r="M2076" s="351">
        <v>5</v>
      </c>
      <c r="N2076" s="374">
        <v>0</v>
      </c>
      <c r="O2076" s="351">
        <v>0</v>
      </c>
      <c r="P2076" s="374">
        <v>31</v>
      </c>
      <c r="Q2076" s="352">
        <f t="shared" si="2499"/>
        <v>0.29411764705882354</v>
      </c>
      <c r="R2076" s="353">
        <f t="shared" si="2495"/>
        <v>0</v>
      </c>
      <c r="S2076" s="353">
        <f t="shared" si="2496"/>
        <v>0.60784313725490191</v>
      </c>
      <c r="T2076" s="353">
        <f t="shared" si="2497"/>
        <v>0</v>
      </c>
      <c r="U2076" s="360">
        <f t="shared" si="2498"/>
        <v>0.90196078431372539</v>
      </c>
      <c r="V2076" s="239"/>
    </row>
    <row r="2077" spans="2:22" ht="15.75" hidden="1" x14ac:dyDescent="0.2">
      <c r="B2077" s="711">
        <v>46218</v>
      </c>
      <c r="C2077" s="105" t="s">
        <v>22</v>
      </c>
      <c r="D2077" s="105" t="s">
        <v>20</v>
      </c>
      <c r="E2077" s="711">
        <v>46217</v>
      </c>
      <c r="G2077" s="834"/>
      <c r="H2077" s="362" t="s">
        <v>17</v>
      </c>
      <c r="I2077" s="362" t="s">
        <v>12</v>
      </c>
      <c r="J2077" s="60">
        <f t="shared" si="2500"/>
        <v>83</v>
      </c>
      <c r="K2077" s="362">
        <v>43</v>
      </c>
      <c r="L2077" s="362">
        <v>5</v>
      </c>
      <c r="M2077" s="362">
        <v>14</v>
      </c>
      <c r="N2077" s="375">
        <v>10</v>
      </c>
      <c r="O2077" s="362">
        <v>9</v>
      </c>
      <c r="P2077" s="375">
        <v>2</v>
      </c>
      <c r="Q2077" s="363">
        <f t="shared" si="2499"/>
        <v>0.57831325301204817</v>
      </c>
      <c r="R2077" s="364">
        <f t="shared" si="2495"/>
        <v>0.12048192771084337</v>
      </c>
      <c r="S2077" s="364">
        <f t="shared" si="2496"/>
        <v>2.4096385542168676E-2</v>
      </c>
      <c r="T2077" s="364">
        <f t="shared" si="2497"/>
        <v>0.10843373493975904</v>
      </c>
      <c r="U2077" s="365">
        <f t="shared" si="2498"/>
        <v>0.83132530120481929</v>
      </c>
      <c r="V2077" s="239"/>
    </row>
    <row r="2078" spans="2:22" ht="15.75" hidden="1" x14ac:dyDescent="0.2">
      <c r="B2078" s="711">
        <v>46218</v>
      </c>
      <c r="C2078" s="105" t="s">
        <v>22</v>
      </c>
      <c r="D2078" s="105" t="s">
        <v>20</v>
      </c>
      <c r="E2078" s="711">
        <v>46218</v>
      </c>
      <c r="G2078" s="835"/>
      <c r="H2078" s="362" t="s">
        <v>25</v>
      </c>
      <c r="I2078" s="362" t="s">
        <v>12</v>
      </c>
      <c r="J2078" s="60">
        <f t="shared" si="2500"/>
        <v>96</v>
      </c>
      <c r="K2078" s="362">
        <v>41</v>
      </c>
      <c r="L2078" s="362">
        <v>9</v>
      </c>
      <c r="M2078" s="362">
        <v>0</v>
      </c>
      <c r="N2078" s="375">
        <v>11</v>
      </c>
      <c r="O2078" s="362">
        <v>19</v>
      </c>
      <c r="P2078" s="375">
        <v>16</v>
      </c>
      <c r="Q2078" s="363">
        <f t="shared" si="2499"/>
        <v>0.52083333333333337</v>
      </c>
      <c r="R2078" s="364">
        <f t="shared" si="2495"/>
        <v>0.11458333333333333</v>
      </c>
      <c r="S2078" s="364">
        <f t="shared" si="2496"/>
        <v>0.16666666666666666</v>
      </c>
      <c r="T2078" s="364">
        <f t="shared" si="2497"/>
        <v>0.19791666666666666</v>
      </c>
      <c r="U2078" s="365">
        <f t="shared" si="2498"/>
        <v>1</v>
      </c>
      <c r="V2078" s="239"/>
    </row>
    <row r="2079" spans="2:22" ht="15.75" hidden="1" x14ac:dyDescent="0.2">
      <c r="B2079" s="711">
        <v>46218</v>
      </c>
      <c r="C2079" s="105" t="s">
        <v>22</v>
      </c>
      <c r="D2079" s="105" t="s">
        <v>20</v>
      </c>
      <c r="E2079" s="711">
        <v>46218</v>
      </c>
      <c r="G2079" s="190"/>
      <c r="H2079" s="775" t="s">
        <v>19</v>
      </c>
      <c r="I2079" s="777"/>
      <c r="J2079" s="190">
        <f t="shared" ref="J2079:P2079" si="2501">SUM(J2073:J2078)</f>
        <v>496</v>
      </c>
      <c r="K2079" s="190">
        <f t="shared" si="2501"/>
        <v>276</v>
      </c>
      <c r="L2079" s="190">
        <f t="shared" si="2501"/>
        <v>59</v>
      </c>
      <c r="M2079" s="190">
        <f t="shared" si="2501"/>
        <v>19</v>
      </c>
      <c r="N2079" s="190">
        <f t="shared" si="2501"/>
        <v>36</v>
      </c>
      <c r="O2079" s="190">
        <f t="shared" si="2501"/>
        <v>48</v>
      </c>
      <c r="P2079" s="190">
        <f t="shared" si="2501"/>
        <v>58</v>
      </c>
      <c r="Q2079" s="191">
        <f>(K2079+L2079)/J2079</f>
        <v>0.67540322580645162</v>
      </c>
      <c r="R2079" s="192">
        <f t="shared" si="2495"/>
        <v>7.2580645161290328E-2</v>
      </c>
      <c r="S2079" s="192">
        <f t="shared" si="2496"/>
        <v>0.11693548387096774</v>
      </c>
      <c r="T2079" s="192">
        <f t="shared" si="2497"/>
        <v>9.6774193548387094E-2</v>
      </c>
      <c r="U2079" s="193">
        <f t="shared" si="2498"/>
        <v>0.96169354838709686</v>
      </c>
      <c r="V2079" s="213"/>
    </row>
    <row r="2080" spans="2:22" ht="15.75" hidden="1" x14ac:dyDescent="0.2">
      <c r="B2080" s="711">
        <v>46218</v>
      </c>
      <c r="C2080" s="105" t="s">
        <v>12</v>
      </c>
      <c r="D2080" s="105" t="s">
        <v>13</v>
      </c>
      <c r="E2080" s="711">
        <v>46218</v>
      </c>
      <c r="G2080" s="833">
        <v>46218</v>
      </c>
      <c r="H2080" s="60" t="s">
        <v>16</v>
      </c>
      <c r="I2080" s="60" t="s">
        <v>83</v>
      </c>
      <c r="J2080" s="60">
        <v>231</v>
      </c>
      <c r="K2080" s="60">
        <v>153</v>
      </c>
      <c r="L2080" s="60">
        <v>50</v>
      </c>
      <c r="M2080" s="60">
        <v>0</v>
      </c>
      <c r="N2080" s="312">
        <v>0</v>
      </c>
      <c r="O2080" s="60">
        <v>20</v>
      </c>
      <c r="P2080" s="312">
        <v>8</v>
      </c>
      <c r="Q2080" s="182">
        <f t="shared" ref="Q2080:Q2086" si="2502">(K2080+L2080)/J2080</f>
        <v>0.87878787878787878</v>
      </c>
      <c r="R2080" s="183">
        <f t="shared" ref="R2080:R2086" si="2503">N2080/J2080</f>
        <v>0</v>
      </c>
      <c r="S2080" s="183">
        <f t="shared" ref="S2080:S2086" si="2504">P2080/J2080</f>
        <v>3.4632034632034632E-2</v>
      </c>
      <c r="T2080" s="183">
        <f t="shared" ref="T2080:T2086" si="2505">O2080/J2080</f>
        <v>8.6580086580086577E-2</v>
      </c>
      <c r="U2080" s="184">
        <f t="shared" ref="U2080:U2086" si="2506">S2080+R2080+Q2080+T2080</f>
        <v>1</v>
      </c>
      <c r="V2080" s="220"/>
    </row>
    <row r="2081" spans="2:22" ht="15.75" hidden="1" x14ac:dyDescent="0.2">
      <c r="B2081" s="711">
        <v>46218</v>
      </c>
      <c r="C2081" s="105" t="s">
        <v>12</v>
      </c>
      <c r="D2081" s="105" t="s">
        <v>13</v>
      </c>
      <c r="E2081" s="711">
        <v>46218</v>
      </c>
      <c r="G2081" s="834"/>
      <c r="H2081" s="60" t="s">
        <v>180</v>
      </c>
      <c r="I2081" s="60" t="s">
        <v>43</v>
      </c>
      <c r="J2081" s="60">
        <v>68</v>
      </c>
      <c r="K2081" s="60">
        <v>68</v>
      </c>
      <c r="L2081" s="60">
        <v>0</v>
      </c>
      <c r="M2081" s="60">
        <v>0</v>
      </c>
      <c r="N2081" s="312">
        <v>0</v>
      </c>
      <c r="O2081" s="60">
        <v>0</v>
      </c>
      <c r="P2081" s="312">
        <v>0</v>
      </c>
      <c r="Q2081" s="182">
        <f t="shared" si="2502"/>
        <v>1</v>
      </c>
      <c r="R2081" s="183">
        <f t="shared" si="2503"/>
        <v>0</v>
      </c>
      <c r="S2081" s="183">
        <f t="shared" si="2504"/>
        <v>0</v>
      </c>
      <c r="T2081" s="183">
        <f t="shared" si="2505"/>
        <v>0</v>
      </c>
      <c r="U2081" s="184">
        <f t="shared" si="2506"/>
        <v>1</v>
      </c>
      <c r="V2081" s="239"/>
    </row>
    <row r="2082" spans="2:22" ht="15.75" hidden="1" x14ac:dyDescent="0.2">
      <c r="B2082" s="711">
        <v>46218</v>
      </c>
      <c r="C2082" s="105" t="s">
        <v>12</v>
      </c>
      <c r="D2082" s="105" t="s">
        <v>13</v>
      </c>
      <c r="E2082" s="711">
        <v>46218</v>
      </c>
      <c r="G2082" s="834"/>
      <c r="H2082" s="367" t="s">
        <v>120</v>
      </c>
      <c r="I2082" s="367" t="s">
        <v>22</v>
      </c>
      <c r="J2082" s="60">
        <v>63</v>
      </c>
      <c r="K2082" s="60">
        <v>61</v>
      </c>
      <c r="L2082" s="60">
        <v>2</v>
      </c>
      <c r="M2082" s="60">
        <v>0</v>
      </c>
      <c r="N2082" s="312">
        <v>0</v>
      </c>
      <c r="O2082" s="60">
        <v>0</v>
      </c>
      <c r="P2082" s="312">
        <v>0</v>
      </c>
      <c r="Q2082" s="182">
        <f t="shared" si="2502"/>
        <v>1</v>
      </c>
      <c r="R2082" s="183">
        <f t="shared" si="2503"/>
        <v>0</v>
      </c>
      <c r="S2082" s="183">
        <f t="shared" si="2504"/>
        <v>0</v>
      </c>
      <c r="T2082" s="183">
        <f t="shared" si="2505"/>
        <v>0</v>
      </c>
      <c r="U2082" s="184">
        <f t="shared" si="2506"/>
        <v>1</v>
      </c>
      <c r="V2082" s="239"/>
    </row>
    <row r="2083" spans="2:22" ht="15.75" hidden="1" x14ac:dyDescent="0.2">
      <c r="B2083" s="711">
        <v>46218</v>
      </c>
      <c r="C2083" s="105" t="s">
        <v>12</v>
      </c>
      <c r="D2083" s="105" t="s">
        <v>13</v>
      </c>
      <c r="E2083" s="711">
        <v>46218</v>
      </c>
      <c r="G2083" s="834"/>
      <c r="H2083" s="362" t="s">
        <v>118</v>
      </c>
      <c r="I2083" s="362" t="s">
        <v>22</v>
      </c>
      <c r="J2083" s="60">
        <v>60</v>
      </c>
      <c r="K2083" s="351">
        <v>12</v>
      </c>
      <c r="L2083" s="351">
        <v>3</v>
      </c>
      <c r="M2083" s="351">
        <v>5</v>
      </c>
      <c r="N2083" s="374">
        <v>0</v>
      </c>
      <c r="O2083" s="351">
        <v>9</v>
      </c>
      <c r="P2083" s="374">
        <v>31</v>
      </c>
      <c r="Q2083" s="352">
        <f t="shared" si="2502"/>
        <v>0.25</v>
      </c>
      <c r="R2083" s="353">
        <f t="shared" si="2503"/>
        <v>0</v>
      </c>
      <c r="S2083" s="353">
        <f t="shared" si="2504"/>
        <v>0.51666666666666672</v>
      </c>
      <c r="T2083" s="353">
        <f t="shared" si="2505"/>
        <v>0.15</v>
      </c>
      <c r="U2083" s="360">
        <f t="shared" si="2506"/>
        <v>0.91666666666666674</v>
      </c>
      <c r="V2083" s="239"/>
    </row>
    <row r="2084" spans="2:22" ht="15.75" hidden="1" x14ac:dyDescent="0.2">
      <c r="B2084" s="711">
        <v>46218</v>
      </c>
      <c r="C2084" s="105" t="s">
        <v>12</v>
      </c>
      <c r="D2084" s="105" t="s">
        <v>13</v>
      </c>
      <c r="E2084" s="711">
        <v>46218</v>
      </c>
      <c r="G2084" s="834"/>
      <c r="H2084" s="362" t="s">
        <v>17</v>
      </c>
      <c r="I2084" s="362" t="s">
        <v>12</v>
      </c>
      <c r="J2084" s="60">
        <v>65</v>
      </c>
      <c r="K2084" s="362">
        <v>43</v>
      </c>
      <c r="L2084" s="362">
        <v>5</v>
      </c>
      <c r="M2084" s="362">
        <v>0</v>
      </c>
      <c r="N2084" s="375">
        <v>6</v>
      </c>
      <c r="O2084" s="362">
        <v>9</v>
      </c>
      <c r="P2084" s="375">
        <v>2</v>
      </c>
      <c r="Q2084" s="363">
        <f t="shared" si="2502"/>
        <v>0.7384615384615385</v>
      </c>
      <c r="R2084" s="364">
        <f t="shared" si="2503"/>
        <v>9.2307692307692313E-2</v>
      </c>
      <c r="S2084" s="364">
        <f t="shared" si="2504"/>
        <v>3.0769230769230771E-2</v>
      </c>
      <c r="T2084" s="364">
        <f t="shared" si="2505"/>
        <v>0.13846153846153847</v>
      </c>
      <c r="U2084" s="365">
        <f t="shared" si="2506"/>
        <v>1</v>
      </c>
      <c r="V2084" s="239"/>
    </row>
    <row r="2085" spans="2:22" ht="15.75" hidden="1" x14ac:dyDescent="0.2">
      <c r="B2085" s="711">
        <v>46218</v>
      </c>
      <c r="C2085" s="105" t="s">
        <v>12</v>
      </c>
      <c r="D2085" s="105" t="s">
        <v>13</v>
      </c>
      <c r="E2085" s="711">
        <v>46218</v>
      </c>
      <c r="G2085" s="834"/>
      <c r="H2085" s="362" t="s">
        <v>84</v>
      </c>
      <c r="I2085" s="362" t="s">
        <v>27</v>
      </c>
      <c r="J2085" s="60">
        <v>13</v>
      </c>
      <c r="K2085" s="362">
        <v>12</v>
      </c>
      <c r="L2085" s="362">
        <v>0</v>
      </c>
      <c r="M2085" s="362">
        <v>0</v>
      </c>
      <c r="N2085" s="375">
        <v>0</v>
      </c>
      <c r="O2085" s="362">
        <v>0</v>
      </c>
      <c r="P2085" s="375">
        <v>1</v>
      </c>
      <c r="Q2085" s="363">
        <f t="shared" ref="Q2085" si="2507">(K2085+L2085)/J2085</f>
        <v>0.92307692307692313</v>
      </c>
      <c r="R2085" s="364">
        <f t="shared" ref="R2085" si="2508">N2085/J2085</f>
        <v>0</v>
      </c>
      <c r="S2085" s="364">
        <f t="shared" ref="S2085" si="2509">P2085/J2085</f>
        <v>7.6923076923076927E-2</v>
      </c>
      <c r="T2085" s="364">
        <f t="shared" ref="T2085" si="2510">O2085/J2085</f>
        <v>0</v>
      </c>
      <c r="U2085" s="365">
        <f t="shared" ref="U2085" si="2511">S2085+R2085+Q2085+T2085</f>
        <v>1</v>
      </c>
      <c r="V2085" s="239"/>
    </row>
    <row r="2086" spans="2:22" ht="15.75" hidden="1" x14ac:dyDescent="0.2">
      <c r="B2086" s="711">
        <v>46218</v>
      </c>
      <c r="C2086" s="105" t="s">
        <v>12</v>
      </c>
      <c r="D2086" s="105" t="s">
        <v>13</v>
      </c>
      <c r="E2086" s="711">
        <v>46218</v>
      </c>
      <c r="G2086" s="835"/>
      <c r="H2086" s="362" t="s">
        <v>25</v>
      </c>
      <c r="I2086" s="362" t="s">
        <v>12</v>
      </c>
      <c r="J2086" s="60">
        <v>92</v>
      </c>
      <c r="K2086" s="362">
        <v>41</v>
      </c>
      <c r="L2086" s="362">
        <v>9</v>
      </c>
      <c r="M2086" s="362">
        <v>0</v>
      </c>
      <c r="N2086" s="375">
        <v>8</v>
      </c>
      <c r="O2086" s="362">
        <v>19</v>
      </c>
      <c r="P2086" s="375">
        <v>15</v>
      </c>
      <c r="Q2086" s="363">
        <f t="shared" si="2502"/>
        <v>0.54347826086956519</v>
      </c>
      <c r="R2086" s="364">
        <f t="shared" si="2503"/>
        <v>8.6956521739130432E-2</v>
      </c>
      <c r="S2086" s="364">
        <f t="shared" si="2504"/>
        <v>0.16304347826086957</v>
      </c>
      <c r="T2086" s="364">
        <f t="shared" si="2505"/>
        <v>0.20652173913043478</v>
      </c>
      <c r="U2086" s="365">
        <f t="shared" si="2506"/>
        <v>1</v>
      </c>
      <c r="V2086" s="239"/>
    </row>
    <row r="2087" spans="2:22" ht="15.75" hidden="1" x14ac:dyDescent="0.2">
      <c r="B2087" s="711">
        <v>46218</v>
      </c>
      <c r="C2087" s="105" t="s">
        <v>12</v>
      </c>
      <c r="D2087" s="105" t="s">
        <v>13</v>
      </c>
      <c r="E2087" s="711">
        <v>46219</v>
      </c>
      <c r="G2087" s="830">
        <v>46219</v>
      </c>
      <c r="H2087" s="362" t="s">
        <v>16</v>
      </c>
      <c r="I2087" s="60" t="s">
        <v>83</v>
      </c>
      <c r="J2087" s="60">
        <v>230</v>
      </c>
      <c r="K2087" s="362">
        <v>38</v>
      </c>
      <c r="L2087" s="362">
        <v>36</v>
      </c>
      <c r="M2087" s="362">
        <v>90</v>
      </c>
      <c r="N2087" s="375">
        <v>38</v>
      </c>
      <c r="O2087" s="362">
        <v>20</v>
      </c>
      <c r="P2087" s="375">
        <v>8</v>
      </c>
      <c r="Q2087" s="363">
        <f t="shared" ref="Q2087:Q2088" si="2512">(K2087+L2087)/J2087</f>
        <v>0.32173913043478258</v>
      </c>
      <c r="R2087" s="364">
        <f t="shared" ref="R2087:R2091" si="2513">N2087/J2087</f>
        <v>0.16521739130434782</v>
      </c>
      <c r="S2087" s="364">
        <f t="shared" ref="S2087:S2091" si="2514">P2087/J2087</f>
        <v>3.4782608695652174E-2</v>
      </c>
      <c r="T2087" s="364">
        <f t="shared" ref="T2087:T2091" si="2515">O2087/J2087</f>
        <v>8.6956521739130432E-2</v>
      </c>
      <c r="U2087" s="365">
        <f t="shared" ref="U2087:U2091" si="2516">S2087+R2087+Q2087+T2087</f>
        <v>0.60869565217391308</v>
      </c>
      <c r="V2087" s="239"/>
    </row>
    <row r="2088" spans="2:22" ht="15.75" hidden="1" x14ac:dyDescent="0.2">
      <c r="B2088" s="711">
        <v>46218</v>
      </c>
      <c r="C2088" s="105" t="s">
        <v>12</v>
      </c>
      <c r="D2088" s="105" t="s">
        <v>13</v>
      </c>
      <c r="E2088" s="711">
        <v>46219</v>
      </c>
      <c r="G2088" s="832"/>
      <c r="H2088" s="362" t="s">
        <v>180</v>
      </c>
      <c r="I2088" s="362" t="s">
        <v>22</v>
      </c>
      <c r="J2088" s="60">
        <v>28</v>
      </c>
      <c r="K2088" s="362">
        <v>1</v>
      </c>
      <c r="L2088" s="362">
        <v>0</v>
      </c>
      <c r="M2088" s="362">
        <v>0</v>
      </c>
      <c r="N2088" s="375">
        <v>27</v>
      </c>
      <c r="O2088" s="362">
        <v>0</v>
      </c>
      <c r="P2088" s="375">
        <v>0</v>
      </c>
      <c r="Q2088" s="363">
        <f t="shared" si="2512"/>
        <v>3.5714285714285712E-2</v>
      </c>
      <c r="R2088" s="364">
        <f t="shared" si="2513"/>
        <v>0.9642857142857143</v>
      </c>
      <c r="S2088" s="364">
        <f t="shared" si="2514"/>
        <v>0</v>
      </c>
      <c r="T2088" s="364">
        <f t="shared" si="2515"/>
        <v>0</v>
      </c>
      <c r="U2088" s="365">
        <f t="shared" si="2516"/>
        <v>1</v>
      </c>
      <c r="V2088" s="239"/>
    </row>
    <row r="2089" spans="2:22" ht="15.75" hidden="1" x14ac:dyDescent="0.2">
      <c r="B2089" s="711">
        <v>46218</v>
      </c>
      <c r="C2089" s="105" t="s">
        <v>12</v>
      </c>
      <c r="D2089" s="105" t="s">
        <v>13</v>
      </c>
      <c r="E2089" s="711">
        <v>46219</v>
      </c>
      <c r="G2089" s="190"/>
      <c r="H2089" s="775" t="s">
        <v>19</v>
      </c>
      <c r="I2089" s="777"/>
      <c r="J2089" s="190">
        <f>SUM(J2080:J2088)</f>
        <v>850</v>
      </c>
      <c r="K2089" s="190">
        <f t="shared" ref="K2089:P2089" si="2517">SUM(K2080:K2088)</f>
        <v>429</v>
      </c>
      <c r="L2089" s="190">
        <f t="shared" si="2517"/>
        <v>105</v>
      </c>
      <c r="M2089" s="190">
        <f t="shared" si="2517"/>
        <v>95</v>
      </c>
      <c r="N2089" s="190">
        <f t="shared" si="2517"/>
        <v>79</v>
      </c>
      <c r="O2089" s="190">
        <f t="shared" si="2517"/>
        <v>77</v>
      </c>
      <c r="P2089" s="190">
        <f t="shared" si="2517"/>
        <v>65</v>
      </c>
      <c r="Q2089" s="191">
        <f>(K2089+L2089)/J2089</f>
        <v>0.62823529411764711</v>
      </c>
      <c r="R2089" s="192">
        <f t="shared" si="2513"/>
        <v>9.2941176470588235E-2</v>
      </c>
      <c r="S2089" s="192">
        <f t="shared" si="2514"/>
        <v>7.6470588235294124E-2</v>
      </c>
      <c r="T2089" s="192">
        <f t="shared" si="2515"/>
        <v>9.058823529411765E-2</v>
      </c>
      <c r="U2089" s="193">
        <f t="shared" si="2516"/>
        <v>0.88823529411764712</v>
      </c>
      <c r="V2089" s="213"/>
    </row>
    <row r="2090" spans="2:22" ht="15.75" hidden="1" x14ac:dyDescent="0.2">
      <c r="B2090" s="711">
        <v>46218</v>
      </c>
      <c r="C2090" s="105" t="s">
        <v>18</v>
      </c>
      <c r="D2090" s="105" t="s">
        <v>163</v>
      </c>
      <c r="E2090" s="711">
        <v>46219</v>
      </c>
      <c r="G2090" s="833">
        <v>46219</v>
      </c>
      <c r="H2090" s="60" t="s">
        <v>16</v>
      </c>
      <c r="I2090" s="60" t="s">
        <v>83</v>
      </c>
      <c r="J2090" s="60">
        <v>230</v>
      </c>
      <c r="K2090" s="60">
        <f>230-111</f>
        <v>119</v>
      </c>
      <c r="L2090" s="60">
        <v>50</v>
      </c>
      <c r="M2090" s="60">
        <v>33</v>
      </c>
      <c r="N2090" s="312">
        <v>0</v>
      </c>
      <c r="O2090" s="60">
        <v>20</v>
      </c>
      <c r="P2090" s="312">
        <v>8</v>
      </c>
      <c r="Q2090" s="182">
        <f t="shared" ref="Q2090:Q2091" si="2518">(K2090+L2090)/J2090</f>
        <v>0.73478260869565215</v>
      </c>
      <c r="R2090" s="183">
        <f t="shared" si="2513"/>
        <v>0</v>
      </c>
      <c r="S2090" s="183">
        <f t="shared" si="2514"/>
        <v>3.4782608695652174E-2</v>
      </c>
      <c r="T2090" s="183">
        <f t="shared" si="2515"/>
        <v>8.6956521739130432E-2</v>
      </c>
      <c r="U2090" s="184">
        <f t="shared" si="2516"/>
        <v>0.85652173913043472</v>
      </c>
      <c r="V2090" s="220"/>
    </row>
    <row r="2091" spans="2:22" ht="15.75" hidden="1" x14ac:dyDescent="0.2">
      <c r="B2091" s="711">
        <v>46218</v>
      </c>
      <c r="C2091" s="105" t="s">
        <v>18</v>
      </c>
      <c r="D2091" s="105" t="s">
        <v>163</v>
      </c>
      <c r="E2091" s="711">
        <v>46219</v>
      </c>
      <c r="G2091" s="834"/>
      <c r="H2091" s="60" t="s">
        <v>180</v>
      </c>
      <c r="I2091" s="60" t="s">
        <v>22</v>
      </c>
      <c r="J2091" s="60">
        <v>28</v>
      </c>
      <c r="K2091" s="60">
        <v>1</v>
      </c>
      <c r="L2091" s="60">
        <v>0</v>
      </c>
      <c r="M2091" s="60">
        <v>0</v>
      </c>
      <c r="N2091" s="312">
        <v>27</v>
      </c>
      <c r="O2091" s="60">
        <v>0</v>
      </c>
      <c r="P2091" s="312">
        <v>0</v>
      </c>
      <c r="Q2091" s="182">
        <f t="shared" si="2518"/>
        <v>3.5714285714285712E-2</v>
      </c>
      <c r="R2091" s="183">
        <f t="shared" si="2513"/>
        <v>0.9642857142857143</v>
      </c>
      <c r="S2091" s="183">
        <f t="shared" si="2514"/>
        <v>0</v>
      </c>
      <c r="T2091" s="183">
        <f t="shared" si="2515"/>
        <v>0</v>
      </c>
      <c r="U2091" s="184">
        <f t="shared" si="2516"/>
        <v>1</v>
      </c>
      <c r="V2091" s="239"/>
    </row>
    <row r="2092" spans="2:22" ht="15.75" hidden="1" x14ac:dyDescent="0.2">
      <c r="B2092" s="711">
        <v>46218</v>
      </c>
      <c r="C2092" s="105" t="s">
        <v>18</v>
      </c>
      <c r="D2092" s="105" t="s">
        <v>163</v>
      </c>
      <c r="E2092" s="711">
        <v>46219</v>
      </c>
      <c r="G2092" s="190"/>
      <c r="H2092" s="775" t="s">
        <v>19</v>
      </c>
      <c r="I2092" s="777"/>
      <c r="J2092" s="190">
        <f t="shared" ref="J2092:P2092" si="2519">SUM(J2090:J2091)</f>
        <v>258</v>
      </c>
      <c r="K2092" s="190">
        <f t="shared" si="2519"/>
        <v>120</v>
      </c>
      <c r="L2092" s="190">
        <f t="shared" si="2519"/>
        <v>50</v>
      </c>
      <c r="M2092" s="190">
        <f t="shared" si="2519"/>
        <v>33</v>
      </c>
      <c r="N2092" s="190">
        <f t="shared" si="2519"/>
        <v>27</v>
      </c>
      <c r="O2092" s="190">
        <f t="shared" si="2519"/>
        <v>20</v>
      </c>
      <c r="P2092" s="190">
        <f t="shared" si="2519"/>
        <v>8</v>
      </c>
      <c r="Q2092" s="191">
        <f>(K2092+L2092)/J2092</f>
        <v>0.65891472868217049</v>
      </c>
      <c r="R2092" s="192">
        <f t="shared" ref="R2092:R2096" si="2520">N2092/J2092</f>
        <v>0.10465116279069768</v>
      </c>
      <c r="S2092" s="192">
        <f t="shared" ref="S2092:S2096" si="2521">P2092/J2092</f>
        <v>3.1007751937984496E-2</v>
      </c>
      <c r="T2092" s="192">
        <f t="shared" ref="T2092:T2096" si="2522">O2092/J2092</f>
        <v>7.7519379844961239E-2</v>
      </c>
      <c r="U2092" s="193">
        <f t="shared" ref="U2092:U2096" si="2523">S2092+R2092+Q2092+T2092</f>
        <v>0.87209302325581395</v>
      </c>
      <c r="V2092" s="213"/>
    </row>
    <row r="2093" spans="2:22" ht="15.75" hidden="1" x14ac:dyDescent="0.2">
      <c r="B2093" s="711">
        <v>46219</v>
      </c>
      <c r="C2093" s="105" t="s">
        <v>22</v>
      </c>
      <c r="D2093" s="105" t="s">
        <v>20</v>
      </c>
      <c r="E2093" s="711">
        <v>46220</v>
      </c>
      <c r="G2093" s="833">
        <v>46219</v>
      </c>
      <c r="H2093" s="60" t="s">
        <v>16</v>
      </c>
      <c r="I2093" s="60" t="s">
        <v>83</v>
      </c>
      <c r="J2093" s="60">
        <v>230</v>
      </c>
      <c r="K2093" s="60">
        <f>230-61</f>
        <v>169</v>
      </c>
      <c r="L2093" s="60">
        <v>23</v>
      </c>
      <c r="M2093" s="60">
        <v>12</v>
      </c>
      <c r="N2093" s="60">
        <v>0</v>
      </c>
      <c r="O2093" s="60">
        <v>20</v>
      </c>
      <c r="P2093" s="60">
        <v>6</v>
      </c>
      <c r="Q2093" s="182">
        <f t="shared" ref="Q2093:Q2094" si="2524">(K2093+L2093)/J2093</f>
        <v>0.83478260869565213</v>
      </c>
      <c r="R2093" s="183">
        <f t="shared" si="2520"/>
        <v>0</v>
      </c>
      <c r="S2093" s="183">
        <f t="shared" si="2521"/>
        <v>2.6086956521739129E-2</v>
      </c>
      <c r="T2093" s="183">
        <f t="shared" si="2522"/>
        <v>8.6956521739130432E-2</v>
      </c>
      <c r="U2093" s="184">
        <f t="shared" si="2523"/>
        <v>0.9478260869565216</v>
      </c>
      <c r="V2093" s="384"/>
    </row>
    <row r="2094" spans="2:22" ht="15.75" hidden="1" x14ac:dyDescent="0.2">
      <c r="B2094" s="711">
        <v>46219</v>
      </c>
      <c r="C2094" s="105" t="s">
        <v>22</v>
      </c>
      <c r="D2094" s="105" t="s">
        <v>20</v>
      </c>
      <c r="E2094" s="711">
        <v>46220</v>
      </c>
      <c r="G2094" s="835"/>
      <c r="H2094" s="60" t="s">
        <v>180</v>
      </c>
      <c r="I2094" s="60" t="s">
        <v>22</v>
      </c>
      <c r="J2094" s="60">
        <v>28</v>
      </c>
      <c r="K2094" s="60">
        <f>28-1</f>
        <v>27</v>
      </c>
      <c r="L2094" s="60">
        <v>1</v>
      </c>
      <c r="M2094" s="60">
        <v>0</v>
      </c>
      <c r="N2094" s="60">
        <v>0</v>
      </c>
      <c r="O2094" s="60">
        <v>0</v>
      </c>
      <c r="P2094" s="60">
        <v>0</v>
      </c>
      <c r="Q2094" s="182">
        <f t="shared" si="2524"/>
        <v>1</v>
      </c>
      <c r="R2094" s="183">
        <f t="shared" si="2520"/>
        <v>0</v>
      </c>
      <c r="S2094" s="183">
        <f t="shared" si="2521"/>
        <v>0</v>
      </c>
      <c r="T2094" s="183">
        <f t="shared" si="2522"/>
        <v>0</v>
      </c>
      <c r="U2094" s="184">
        <f t="shared" si="2523"/>
        <v>1</v>
      </c>
      <c r="V2094" s="384"/>
    </row>
    <row r="2095" spans="2:22" ht="15.75" hidden="1" x14ac:dyDescent="0.2">
      <c r="B2095" s="711">
        <v>46219</v>
      </c>
      <c r="C2095" s="105" t="s">
        <v>22</v>
      </c>
      <c r="D2095" s="105" t="s">
        <v>20</v>
      </c>
      <c r="E2095" s="711">
        <v>46220</v>
      </c>
      <c r="G2095" s="830">
        <v>46220</v>
      </c>
      <c r="H2095" s="60" t="s">
        <v>16</v>
      </c>
      <c r="I2095" s="60" t="s">
        <v>83</v>
      </c>
      <c r="J2095" s="60">
        <v>238</v>
      </c>
      <c r="K2095" s="60">
        <f>232-228</f>
        <v>4</v>
      </c>
      <c r="L2095" s="60">
        <v>2</v>
      </c>
      <c r="M2095" s="60">
        <v>136</v>
      </c>
      <c r="N2095" s="312">
        <v>73</v>
      </c>
      <c r="O2095" s="60">
        <v>20</v>
      </c>
      <c r="P2095" s="312">
        <v>3</v>
      </c>
      <c r="Q2095" s="182">
        <f t="shared" ref="Q2095:Q2096" si="2525">(K2095+L2095)/J2095</f>
        <v>2.5210084033613446E-2</v>
      </c>
      <c r="R2095" s="183">
        <f t="shared" si="2520"/>
        <v>0.30672268907563027</v>
      </c>
      <c r="S2095" s="183">
        <f t="shared" si="2521"/>
        <v>1.2605042016806723E-2</v>
      </c>
      <c r="T2095" s="183">
        <f t="shared" si="2522"/>
        <v>8.4033613445378158E-2</v>
      </c>
      <c r="U2095" s="184">
        <f t="shared" si="2523"/>
        <v>0.4285714285714286</v>
      </c>
    </row>
    <row r="2096" spans="2:22" ht="15.75" hidden="1" x14ac:dyDescent="0.2">
      <c r="B2096" s="711">
        <v>46219</v>
      </c>
      <c r="C2096" s="105" t="s">
        <v>22</v>
      </c>
      <c r="D2096" s="105" t="s">
        <v>20</v>
      </c>
      <c r="E2096" s="711">
        <v>46220</v>
      </c>
      <c r="G2096" s="831"/>
      <c r="H2096" s="60" t="s">
        <v>84</v>
      </c>
      <c r="I2096" s="60" t="s">
        <v>18</v>
      </c>
      <c r="J2096" s="60">
        <v>232</v>
      </c>
      <c r="K2096" s="60">
        <v>0</v>
      </c>
      <c r="L2096" s="60">
        <v>0</v>
      </c>
      <c r="M2096" s="60">
        <v>207</v>
      </c>
      <c r="N2096" s="312">
        <v>0</v>
      </c>
      <c r="O2096" s="60">
        <v>6</v>
      </c>
      <c r="P2096" s="312">
        <v>19</v>
      </c>
      <c r="Q2096" s="182">
        <f t="shared" si="2525"/>
        <v>0</v>
      </c>
      <c r="R2096" s="183">
        <f t="shared" si="2520"/>
        <v>0</v>
      </c>
      <c r="S2096" s="183">
        <f t="shared" si="2521"/>
        <v>8.1896551724137928E-2</v>
      </c>
      <c r="T2096" s="183">
        <f t="shared" si="2522"/>
        <v>2.5862068965517241E-2</v>
      </c>
      <c r="U2096" s="184">
        <f t="shared" si="2523"/>
        <v>0.10775862068965517</v>
      </c>
    </row>
    <row r="2097" spans="2:22" ht="15.75" hidden="1" x14ac:dyDescent="0.2">
      <c r="B2097" s="711">
        <v>46219</v>
      </c>
      <c r="C2097" s="105" t="s">
        <v>22</v>
      </c>
      <c r="D2097" s="105" t="s">
        <v>20</v>
      </c>
      <c r="E2097" s="711">
        <v>46220</v>
      </c>
      <c r="G2097" s="190"/>
      <c r="H2097" s="775" t="s">
        <v>19</v>
      </c>
      <c r="I2097" s="777"/>
      <c r="J2097" s="190">
        <f>SUBTOTAL(9,J2093:J2096)</f>
        <v>0</v>
      </c>
      <c r="K2097" s="190">
        <f t="shared" ref="K2097:P2097" si="2526">SUBTOTAL(9,K2093:K2096)</f>
        <v>0</v>
      </c>
      <c r="L2097" s="190">
        <f t="shared" si="2526"/>
        <v>0</v>
      </c>
      <c r="M2097" s="190">
        <f t="shared" si="2526"/>
        <v>0</v>
      </c>
      <c r="N2097" s="190">
        <f t="shared" si="2526"/>
        <v>0</v>
      </c>
      <c r="O2097" s="190">
        <f t="shared" si="2526"/>
        <v>0</v>
      </c>
      <c r="P2097" s="190">
        <f t="shared" si="2526"/>
        <v>0</v>
      </c>
      <c r="Q2097" s="191" t="e">
        <f>(K2097+L2097)/J2097</f>
        <v>#DIV/0!</v>
      </c>
      <c r="R2097" s="192" t="e">
        <f t="shared" ref="R2097:R2101" si="2527">N2097/J2097</f>
        <v>#DIV/0!</v>
      </c>
      <c r="S2097" s="192" t="e">
        <f t="shared" ref="S2097:S2101" si="2528">P2097/J2097</f>
        <v>#DIV/0!</v>
      </c>
      <c r="T2097" s="192" t="e">
        <f t="shared" ref="T2097:T2101" si="2529">O2097/J2097</f>
        <v>#DIV/0!</v>
      </c>
      <c r="U2097" s="193" t="e">
        <f t="shared" ref="U2097:U2101" si="2530">S2097+R2097+Q2097+T2097</f>
        <v>#DIV/0!</v>
      </c>
      <c r="V2097" s="213"/>
    </row>
    <row r="2098" spans="2:22" ht="15.75" hidden="1" x14ac:dyDescent="0.2">
      <c r="B2098" s="711">
        <v>46219</v>
      </c>
      <c r="C2098" s="105" t="s">
        <v>12</v>
      </c>
      <c r="D2098" s="105" t="s">
        <v>13</v>
      </c>
      <c r="E2098" s="711">
        <v>46219</v>
      </c>
      <c r="G2098" s="833">
        <v>46219</v>
      </c>
      <c r="H2098" s="60" t="s">
        <v>16</v>
      </c>
      <c r="I2098" s="60" t="s">
        <v>83</v>
      </c>
      <c r="J2098" s="60">
        <v>230</v>
      </c>
      <c r="K2098" s="60">
        <f>230-96</f>
        <v>134</v>
      </c>
      <c r="L2098" s="60">
        <v>70</v>
      </c>
      <c r="M2098" s="60">
        <v>0</v>
      </c>
      <c r="N2098" s="60">
        <v>0</v>
      </c>
      <c r="O2098" s="60">
        <v>20</v>
      </c>
      <c r="P2098" s="60">
        <v>6</v>
      </c>
      <c r="Q2098" s="182">
        <f t="shared" ref="Q2098:Q2101" si="2531">(K2098+L2098)/J2098</f>
        <v>0.88695652173913042</v>
      </c>
      <c r="R2098" s="183">
        <f t="shared" si="2527"/>
        <v>0</v>
      </c>
      <c r="S2098" s="183">
        <f t="shared" si="2528"/>
        <v>2.6086956521739129E-2</v>
      </c>
      <c r="T2098" s="183">
        <f t="shared" si="2529"/>
        <v>8.6956521739130432E-2</v>
      </c>
      <c r="U2098" s="184">
        <f t="shared" si="2530"/>
        <v>1</v>
      </c>
      <c r="V2098" s="256"/>
    </row>
    <row r="2099" spans="2:22" ht="15.75" hidden="1" x14ac:dyDescent="0.2">
      <c r="B2099" s="711">
        <v>46219</v>
      </c>
      <c r="C2099" s="105" t="s">
        <v>12</v>
      </c>
      <c r="D2099" s="105" t="s">
        <v>13</v>
      </c>
      <c r="E2099" s="711">
        <v>46219</v>
      </c>
      <c r="G2099" s="835"/>
      <c r="H2099" s="60" t="s">
        <v>180</v>
      </c>
      <c r="I2099" s="60" t="s">
        <v>22</v>
      </c>
      <c r="J2099" s="60">
        <v>28</v>
      </c>
      <c r="K2099" s="60">
        <f>28-1</f>
        <v>27</v>
      </c>
      <c r="L2099" s="60">
        <v>1</v>
      </c>
      <c r="M2099" s="60">
        <v>0</v>
      </c>
      <c r="N2099" s="60">
        <v>0</v>
      </c>
      <c r="O2099" s="60">
        <v>0</v>
      </c>
      <c r="P2099" s="60">
        <v>0</v>
      </c>
      <c r="Q2099" s="182">
        <f t="shared" si="2531"/>
        <v>1</v>
      </c>
      <c r="R2099" s="183">
        <f t="shared" si="2527"/>
        <v>0</v>
      </c>
      <c r="S2099" s="183">
        <f t="shared" si="2528"/>
        <v>0</v>
      </c>
      <c r="T2099" s="183">
        <f t="shared" si="2529"/>
        <v>0</v>
      </c>
      <c r="U2099" s="184">
        <f t="shared" si="2530"/>
        <v>1</v>
      </c>
      <c r="V2099" s="256"/>
    </row>
    <row r="2100" spans="2:22" ht="15.75" hidden="1" x14ac:dyDescent="0.2">
      <c r="B2100" s="711">
        <v>46219</v>
      </c>
      <c r="C2100" s="105" t="s">
        <v>12</v>
      </c>
      <c r="D2100" s="105" t="s">
        <v>13</v>
      </c>
      <c r="E2100" s="711">
        <v>46220</v>
      </c>
      <c r="G2100" s="830">
        <v>46220</v>
      </c>
      <c r="H2100" s="60" t="s">
        <v>16</v>
      </c>
      <c r="I2100" s="60" t="s">
        <v>83</v>
      </c>
      <c r="J2100" s="60">
        <v>238</v>
      </c>
      <c r="K2100" s="60">
        <v>52</v>
      </c>
      <c r="L2100" s="60">
        <v>35</v>
      </c>
      <c r="M2100" s="60">
        <v>43</v>
      </c>
      <c r="N2100" s="312">
        <v>85</v>
      </c>
      <c r="O2100" s="60">
        <v>20</v>
      </c>
      <c r="P2100" s="312">
        <v>3</v>
      </c>
      <c r="Q2100" s="182">
        <f t="shared" si="2531"/>
        <v>0.36554621848739494</v>
      </c>
      <c r="R2100" s="183">
        <f t="shared" si="2527"/>
        <v>0.35714285714285715</v>
      </c>
      <c r="S2100" s="183">
        <f t="shared" si="2528"/>
        <v>1.2605042016806723E-2</v>
      </c>
      <c r="T2100" s="183">
        <f t="shared" si="2529"/>
        <v>8.4033613445378158E-2</v>
      </c>
      <c r="U2100" s="184">
        <f t="shared" si="2530"/>
        <v>0.81932773109243706</v>
      </c>
      <c r="V2100" s="386"/>
    </row>
    <row r="2101" spans="2:22" ht="15.75" hidden="1" x14ac:dyDescent="0.2">
      <c r="B2101" s="711">
        <v>46219</v>
      </c>
      <c r="C2101" s="105" t="s">
        <v>12</v>
      </c>
      <c r="D2101" s="105" t="s">
        <v>13</v>
      </c>
      <c r="E2101" s="711">
        <v>46220</v>
      </c>
      <c r="G2101" s="831"/>
      <c r="H2101" s="60" t="s">
        <v>84</v>
      </c>
      <c r="I2101" s="60" t="s">
        <v>18</v>
      </c>
      <c r="J2101" s="60">
        <v>232</v>
      </c>
      <c r="K2101" s="60">
        <v>0</v>
      </c>
      <c r="L2101" s="60">
        <v>0</v>
      </c>
      <c r="M2101" s="60">
        <v>210</v>
      </c>
      <c r="N2101" s="312">
        <v>0</v>
      </c>
      <c r="O2101" s="60">
        <v>6</v>
      </c>
      <c r="P2101" s="312">
        <v>16</v>
      </c>
      <c r="Q2101" s="182">
        <f t="shared" si="2531"/>
        <v>0</v>
      </c>
      <c r="R2101" s="183">
        <f t="shared" si="2527"/>
        <v>0</v>
      </c>
      <c r="S2101" s="183">
        <f t="shared" si="2528"/>
        <v>6.8965517241379309E-2</v>
      </c>
      <c r="T2101" s="183">
        <f t="shared" si="2529"/>
        <v>2.5862068965517241E-2</v>
      </c>
      <c r="U2101" s="184">
        <f t="shared" si="2530"/>
        <v>9.4827586206896547E-2</v>
      </c>
      <c r="V2101" s="385"/>
    </row>
    <row r="2102" spans="2:22" ht="15.75" hidden="1" x14ac:dyDescent="0.2">
      <c r="B2102" s="711">
        <v>46219</v>
      </c>
      <c r="C2102" s="105" t="s">
        <v>12</v>
      </c>
      <c r="D2102" s="105" t="s">
        <v>13</v>
      </c>
      <c r="E2102" s="711">
        <v>46220</v>
      </c>
      <c r="G2102" s="190"/>
      <c r="H2102" s="775" t="s">
        <v>19</v>
      </c>
      <c r="I2102" s="777"/>
      <c r="J2102" s="190">
        <f>SUBTOTAL(9,J2098:J2101)</f>
        <v>0</v>
      </c>
      <c r="K2102" s="190">
        <f t="shared" ref="K2102:P2102" si="2532">SUBTOTAL(9,K2098:K2101)</f>
        <v>0</v>
      </c>
      <c r="L2102" s="190">
        <f t="shared" si="2532"/>
        <v>0</v>
      </c>
      <c r="M2102" s="190">
        <f t="shared" si="2532"/>
        <v>0</v>
      </c>
      <c r="N2102" s="190">
        <f t="shared" si="2532"/>
        <v>0</v>
      </c>
      <c r="O2102" s="190">
        <f t="shared" si="2532"/>
        <v>0</v>
      </c>
      <c r="P2102" s="190">
        <f t="shared" si="2532"/>
        <v>0</v>
      </c>
      <c r="Q2102" s="191" t="e">
        <f>(K2102+L2102)/J2102</f>
        <v>#DIV/0!</v>
      </c>
      <c r="R2102" s="192" t="e">
        <f t="shared" ref="R2102:R2104" si="2533">N2102/J2102</f>
        <v>#DIV/0!</v>
      </c>
      <c r="S2102" s="192" t="e">
        <f t="shared" ref="S2102:S2104" si="2534">P2102/J2102</f>
        <v>#DIV/0!</v>
      </c>
      <c r="T2102" s="192" t="e">
        <f t="shared" ref="T2102:T2104" si="2535">O2102/J2102</f>
        <v>#DIV/0!</v>
      </c>
      <c r="U2102" s="193" t="e">
        <f t="shared" ref="U2102:U2104" si="2536">S2102+R2102+Q2102+T2102</f>
        <v>#DIV/0!</v>
      </c>
      <c r="V2102" s="213"/>
    </row>
    <row r="2103" spans="2:22" ht="15.75" hidden="1" x14ac:dyDescent="0.2">
      <c r="B2103" s="711">
        <v>46219</v>
      </c>
      <c r="C2103" s="105" t="s">
        <v>18</v>
      </c>
      <c r="D2103" s="105" t="s">
        <v>163</v>
      </c>
      <c r="E2103" s="711">
        <v>46220</v>
      </c>
      <c r="G2103" s="830">
        <v>46220</v>
      </c>
      <c r="H2103" s="60" t="s">
        <v>16</v>
      </c>
      <c r="I2103" s="60" t="s">
        <v>83</v>
      </c>
      <c r="J2103" s="60">
        <v>238</v>
      </c>
      <c r="K2103" s="60">
        <v>145</v>
      </c>
      <c r="L2103" s="60">
        <v>46</v>
      </c>
      <c r="M2103" s="60">
        <v>12</v>
      </c>
      <c r="N2103" s="312">
        <v>12</v>
      </c>
      <c r="O2103" s="60">
        <v>20</v>
      </c>
      <c r="P2103" s="312">
        <v>3</v>
      </c>
      <c r="Q2103" s="182">
        <f t="shared" ref="Q2103:Q2104" si="2537">(K2103+L2103)/J2103</f>
        <v>0.80252100840336138</v>
      </c>
      <c r="R2103" s="183">
        <f t="shared" si="2533"/>
        <v>5.0420168067226892E-2</v>
      </c>
      <c r="S2103" s="183">
        <f t="shared" si="2534"/>
        <v>1.2605042016806723E-2</v>
      </c>
      <c r="T2103" s="183">
        <f t="shared" si="2535"/>
        <v>8.4033613445378158E-2</v>
      </c>
      <c r="U2103" s="184">
        <f t="shared" si="2536"/>
        <v>0.94957983193277318</v>
      </c>
      <c r="V2103" s="386"/>
    </row>
    <row r="2104" spans="2:22" ht="15.75" hidden="1" x14ac:dyDescent="0.2">
      <c r="B2104" s="711">
        <v>46219</v>
      </c>
      <c r="C2104" s="105" t="s">
        <v>18</v>
      </c>
      <c r="D2104" s="105" t="s">
        <v>163</v>
      </c>
      <c r="E2104" s="711">
        <v>46220</v>
      </c>
      <c r="G2104" s="831"/>
      <c r="H2104" s="60" t="s">
        <v>84</v>
      </c>
      <c r="I2104" s="60" t="s">
        <v>18</v>
      </c>
      <c r="J2104" s="60">
        <v>233</v>
      </c>
      <c r="K2104" s="60">
        <v>6</v>
      </c>
      <c r="L2104" s="60">
        <v>2</v>
      </c>
      <c r="M2104" s="60">
        <v>203</v>
      </c>
      <c r="N2104" s="312">
        <v>0</v>
      </c>
      <c r="O2104" s="60">
        <v>6</v>
      </c>
      <c r="P2104" s="312">
        <v>16</v>
      </c>
      <c r="Q2104" s="182">
        <f t="shared" si="2537"/>
        <v>3.4334763948497854E-2</v>
      </c>
      <c r="R2104" s="183">
        <f t="shared" si="2533"/>
        <v>0</v>
      </c>
      <c r="S2104" s="183">
        <f t="shared" si="2534"/>
        <v>6.8669527896995708E-2</v>
      </c>
      <c r="T2104" s="183">
        <f t="shared" si="2535"/>
        <v>2.575107296137339E-2</v>
      </c>
      <c r="U2104" s="184">
        <f t="shared" si="2536"/>
        <v>0.12875536480686695</v>
      </c>
      <c r="V2104" s="385"/>
    </row>
    <row r="2105" spans="2:22" ht="15.75" hidden="1" x14ac:dyDescent="0.2">
      <c r="B2105" s="711">
        <v>46219</v>
      </c>
      <c r="C2105" s="105" t="s">
        <v>18</v>
      </c>
      <c r="D2105" s="105" t="s">
        <v>163</v>
      </c>
      <c r="E2105" s="711">
        <v>46220</v>
      </c>
      <c r="G2105" s="190"/>
      <c r="H2105" s="775" t="s">
        <v>19</v>
      </c>
      <c r="I2105" s="777"/>
      <c r="J2105" s="190">
        <f>SUBTOTAL(9,J2101:J2104)</f>
        <v>0</v>
      </c>
      <c r="K2105" s="190">
        <f t="shared" ref="K2105:P2105" si="2538">SUBTOTAL(9,K2101:K2104)</f>
        <v>0</v>
      </c>
      <c r="L2105" s="190">
        <f t="shared" si="2538"/>
        <v>0</v>
      </c>
      <c r="M2105" s="190">
        <f t="shared" si="2538"/>
        <v>0</v>
      </c>
      <c r="N2105" s="190">
        <f t="shared" si="2538"/>
        <v>0</v>
      </c>
      <c r="O2105" s="190">
        <f t="shared" si="2538"/>
        <v>0</v>
      </c>
      <c r="P2105" s="190">
        <f t="shared" si="2538"/>
        <v>0</v>
      </c>
      <c r="Q2105" s="191" t="e">
        <f>(K2105+L2105)/J2105</f>
        <v>#DIV/0!</v>
      </c>
      <c r="R2105" s="192" t="e">
        <f t="shared" ref="R2105:R2107" si="2539">N2105/J2105</f>
        <v>#DIV/0!</v>
      </c>
      <c r="S2105" s="192" t="e">
        <f t="shared" ref="S2105:S2107" si="2540">P2105/J2105</f>
        <v>#DIV/0!</v>
      </c>
      <c r="T2105" s="192" t="e">
        <f t="shared" ref="T2105:T2107" si="2541">O2105/J2105</f>
        <v>#DIV/0!</v>
      </c>
      <c r="U2105" s="193" t="e">
        <f t="shared" ref="U2105:U2107" si="2542">S2105+R2105+Q2105+T2105</f>
        <v>#DIV/0!</v>
      </c>
      <c r="V2105" s="213"/>
    </row>
    <row r="2106" spans="2:22" ht="15.75" hidden="1" x14ac:dyDescent="0.2">
      <c r="B2106" s="711">
        <v>46220</v>
      </c>
      <c r="C2106" s="105" t="s">
        <v>22</v>
      </c>
      <c r="D2106" s="105" t="s">
        <v>20</v>
      </c>
      <c r="E2106" s="711">
        <v>46220</v>
      </c>
      <c r="G2106" s="836">
        <v>46220</v>
      </c>
      <c r="H2106" s="60" t="s">
        <v>16</v>
      </c>
      <c r="I2106" s="60" t="s">
        <v>83</v>
      </c>
      <c r="J2106" s="60">
        <v>238</v>
      </c>
      <c r="K2106" s="60">
        <f>238-77</f>
        <v>161</v>
      </c>
      <c r="L2106" s="60">
        <v>54</v>
      </c>
      <c r="M2106" s="60">
        <v>2</v>
      </c>
      <c r="N2106" s="312">
        <v>0</v>
      </c>
      <c r="O2106" s="60">
        <v>20</v>
      </c>
      <c r="P2106" s="312">
        <v>1</v>
      </c>
      <c r="Q2106" s="182">
        <f t="shared" ref="Q2106:Q2107" si="2543">(K2106+L2106)/J2106</f>
        <v>0.90336134453781514</v>
      </c>
      <c r="R2106" s="183">
        <f t="shared" si="2539"/>
        <v>0</v>
      </c>
      <c r="S2106" s="183">
        <f t="shared" si="2540"/>
        <v>4.2016806722689074E-3</v>
      </c>
      <c r="T2106" s="183">
        <f t="shared" si="2541"/>
        <v>8.4033613445378158E-2</v>
      </c>
      <c r="U2106" s="184">
        <f t="shared" si="2542"/>
        <v>0.99159663865546221</v>
      </c>
      <c r="V2106" s="386"/>
    </row>
    <row r="2107" spans="2:22" ht="15.75" hidden="1" x14ac:dyDescent="0.2">
      <c r="B2107" s="711">
        <v>46220</v>
      </c>
      <c r="C2107" s="105" t="s">
        <v>22</v>
      </c>
      <c r="D2107" s="105" t="s">
        <v>20</v>
      </c>
      <c r="E2107" s="711">
        <v>46220</v>
      </c>
      <c r="G2107" s="837"/>
      <c r="H2107" s="60" t="s">
        <v>84</v>
      </c>
      <c r="I2107" s="60" t="s">
        <v>18</v>
      </c>
      <c r="J2107" s="60">
        <v>233</v>
      </c>
      <c r="K2107" s="60">
        <v>6</v>
      </c>
      <c r="L2107" s="60">
        <v>2</v>
      </c>
      <c r="M2107" s="60">
        <f>233-122</f>
        <v>111</v>
      </c>
      <c r="N2107" s="60">
        <v>97</v>
      </c>
      <c r="O2107" s="60">
        <v>6</v>
      </c>
      <c r="P2107" s="312">
        <v>11</v>
      </c>
      <c r="Q2107" s="182">
        <f t="shared" si="2543"/>
        <v>3.4334763948497854E-2</v>
      </c>
      <c r="R2107" s="183">
        <f t="shared" si="2539"/>
        <v>0.41630901287553645</v>
      </c>
      <c r="S2107" s="183">
        <f t="shared" si="2540"/>
        <v>4.7210300429184553E-2</v>
      </c>
      <c r="T2107" s="183">
        <f t="shared" si="2541"/>
        <v>2.575107296137339E-2</v>
      </c>
      <c r="U2107" s="184">
        <f t="shared" si="2542"/>
        <v>0.5236051502145922</v>
      </c>
      <c r="V2107" s="385"/>
    </row>
    <row r="2108" spans="2:22" ht="15.75" hidden="1" x14ac:dyDescent="0.2">
      <c r="B2108" s="711">
        <v>46220</v>
      </c>
      <c r="C2108" s="105" t="s">
        <v>22</v>
      </c>
      <c r="D2108" s="105" t="s">
        <v>20</v>
      </c>
      <c r="E2108" s="711">
        <v>46220</v>
      </c>
      <c r="G2108" s="190"/>
      <c r="H2108" s="775" t="s">
        <v>19</v>
      </c>
      <c r="I2108" s="777"/>
      <c r="J2108" s="190">
        <f>SUBTOTAL(9,J2106:J2107)</f>
        <v>0</v>
      </c>
      <c r="K2108" s="190">
        <f t="shared" ref="K2108:P2108" si="2544">SUBTOTAL(9,K2106:K2107)</f>
        <v>0</v>
      </c>
      <c r="L2108" s="190">
        <f t="shared" si="2544"/>
        <v>0</v>
      </c>
      <c r="M2108" s="190">
        <f t="shared" si="2544"/>
        <v>0</v>
      </c>
      <c r="N2108" s="190">
        <f t="shared" si="2544"/>
        <v>0</v>
      </c>
      <c r="O2108" s="190">
        <f t="shared" si="2544"/>
        <v>0</v>
      </c>
      <c r="P2108" s="190">
        <f t="shared" si="2544"/>
        <v>0</v>
      </c>
      <c r="Q2108" s="191" t="e">
        <f>(K2108+L2108)/J2108</f>
        <v>#DIV/0!</v>
      </c>
      <c r="R2108" s="192" t="e">
        <f t="shared" ref="R2108:R2109" si="2545">N2108/J2108</f>
        <v>#DIV/0!</v>
      </c>
      <c r="S2108" s="192" t="e">
        <f t="shared" ref="S2108:S2109" si="2546">P2108/J2108</f>
        <v>#DIV/0!</v>
      </c>
      <c r="T2108" s="192" t="e">
        <f t="shared" ref="T2108:T2109" si="2547">O2108/J2108</f>
        <v>#DIV/0!</v>
      </c>
      <c r="U2108" s="193" t="e">
        <f t="shared" ref="U2108:U2109" si="2548">S2108+R2108+Q2108+T2108</f>
        <v>#DIV/0!</v>
      </c>
      <c r="V2108" s="213"/>
    </row>
    <row r="2109" spans="2:22" ht="15.75" hidden="1" x14ac:dyDescent="0.2">
      <c r="B2109" s="711">
        <v>46220</v>
      </c>
      <c r="C2109" s="105" t="s">
        <v>18</v>
      </c>
      <c r="D2109" s="105" t="s">
        <v>163</v>
      </c>
      <c r="E2109" s="711">
        <v>46220</v>
      </c>
      <c r="G2109" s="707">
        <v>46220</v>
      </c>
      <c r="H2109" s="60" t="s">
        <v>84</v>
      </c>
      <c r="I2109" s="60" t="s">
        <v>18</v>
      </c>
      <c r="J2109" s="60">
        <v>233</v>
      </c>
      <c r="K2109" s="60">
        <v>83</v>
      </c>
      <c r="L2109" s="60">
        <v>30</v>
      </c>
      <c r="M2109" s="60">
        <v>90</v>
      </c>
      <c r="N2109" s="312">
        <v>15</v>
      </c>
      <c r="O2109" s="60">
        <v>5</v>
      </c>
      <c r="P2109" s="312">
        <v>10</v>
      </c>
      <c r="Q2109" s="182">
        <f t="shared" ref="Q2109" si="2549">(K2109+L2109)/J2109</f>
        <v>0.48497854077253216</v>
      </c>
      <c r="R2109" s="183">
        <f t="shared" si="2545"/>
        <v>6.4377682403433473E-2</v>
      </c>
      <c r="S2109" s="183">
        <f t="shared" si="2546"/>
        <v>4.2918454935622317E-2</v>
      </c>
      <c r="T2109" s="183">
        <f t="shared" si="2547"/>
        <v>2.1459227467811159E-2</v>
      </c>
      <c r="U2109" s="184">
        <f t="shared" si="2548"/>
        <v>0.61373390557939911</v>
      </c>
      <c r="V2109" s="385"/>
    </row>
    <row r="2110" spans="2:22" ht="15.75" hidden="1" x14ac:dyDescent="0.2">
      <c r="B2110" s="711">
        <v>46220</v>
      </c>
      <c r="C2110" s="105" t="s">
        <v>18</v>
      </c>
      <c r="D2110" s="105" t="s">
        <v>163</v>
      </c>
      <c r="E2110" s="711">
        <v>46221</v>
      </c>
      <c r="G2110" s="830">
        <v>46221</v>
      </c>
      <c r="H2110" s="60" t="s">
        <v>16</v>
      </c>
      <c r="I2110" s="60" t="s">
        <v>83</v>
      </c>
      <c r="J2110" s="60">
        <v>212</v>
      </c>
      <c r="K2110" s="60">
        <v>1</v>
      </c>
      <c r="L2110" s="60">
        <v>0</v>
      </c>
      <c r="M2110" s="60">
        <v>138</v>
      </c>
      <c r="N2110" s="312">
        <v>51</v>
      </c>
      <c r="O2110" s="60">
        <v>20</v>
      </c>
      <c r="P2110" s="312">
        <v>2</v>
      </c>
      <c r="Q2110" s="182">
        <f t="shared" ref="Q2110" si="2550">(K2110+L2110)/J2110</f>
        <v>4.7169811320754715E-3</v>
      </c>
      <c r="R2110" s="183">
        <f t="shared" ref="R2110" si="2551">N2110/J2110</f>
        <v>0.24056603773584906</v>
      </c>
      <c r="S2110" s="183">
        <f t="shared" ref="S2110" si="2552">P2110/J2110</f>
        <v>9.433962264150943E-3</v>
      </c>
      <c r="T2110" s="183">
        <f t="shared" ref="T2110" si="2553">O2110/J2110</f>
        <v>9.4339622641509441E-2</v>
      </c>
      <c r="U2110" s="184">
        <f t="shared" ref="U2110" si="2554">S2110+R2110+Q2110+T2110</f>
        <v>0.34905660377358494</v>
      </c>
      <c r="V2110" s="386"/>
    </row>
    <row r="2111" spans="2:22" ht="15.75" hidden="1" x14ac:dyDescent="0.2">
      <c r="B2111" s="711">
        <v>46220</v>
      </c>
      <c r="C2111" s="105" t="s">
        <v>18</v>
      </c>
      <c r="D2111" s="105" t="s">
        <v>163</v>
      </c>
      <c r="E2111" s="711">
        <v>46221</v>
      </c>
      <c r="G2111" s="831"/>
      <c r="H2111" s="60" t="s">
        <v>180</v>
      </c>
      <c r="I2111" s="60" t="s">
        <v>43</v>
      </c>
      <c r="J2111" s="60">
        <v>54</v>
      </c>
      <c r="K2111" s="60">
        <v>52</v>
      </c>
      <c r="L2111" s="60">
        <v>0</v>
      </c>
      <c r="M2111" s="60">
        <v>0</v>
      </c>
      <c r="N2111" s="312">
        <v>0</v>
      </c>
      <c r="O2111" s="60">
        <v>0</v>
      </c>
      <c r="P2111" s="312">
        <v>2</v>
      </c>
      <c r="Q2111" s="182">
        <f t="shared" ref="Q2111" si="2555">(K2111+L2111)/J2111</f>
        <v>0.96296296296296291</v>
      </c>
      <c r="R2111" s="183">
        <f t="shared" ref="R2111" si="2556">N2111/J2111</f>
        <v>0</v>
      </c>
      <c r="S2111" s="183">
        <f t="shared" ref="S2111" si="2557">P2111/J2111</f>
        <v>3.7037037037037035E-2</v>
      </c>
      <c r="T2111" s="183">
        <f t="shared" ref="T2111" si="2558">O2111/J2111</f>
        <v>0</v>
      </c>
      <c r="U2111" s="184">
        <f t="shared" ref="U2111" si="2559">S2111+R2111+Q2111+T2111</f>
        <v>1</v>
      </c>
      <c r="V2111" s="386"/>
    </row>
    <row r="2112" spans="2:22" ht="15.75" hidden="1" x14ac:dyDescent="0.2">
      <c r="B2112" s="711">
        <v>46220</v>
      </c>
      <c r="C2112" s="105" t="s">
        <v>18</v>
      </c>
      <c r="D2112" s="105" t="s">
        <v>163</v>
      </c>
      <c r="E2112" s="711">
        <v>46221</v>
      </c>
      <c r="G2112" s="190"/>
      <c r="H2112" s="775" t="s">
        <v>19</v>
      </c>
      <c r="I2112" s="777"/>
      <c r="J2112" s="190">
        <f>SUM(J2109:J2111)</f>
        <v>499</v>
      </c>
      <c r="K2112" s="190">
        <f t="shared" ref="K2112:P2112" si="2560">SUM(K2109:K2111)</f>
        <v>136</v>
      </c>
      <c r="L2112" s="190">
        <f t="shared" si="2560"/>
        <v>30</v>
      </c>
      <c r="M2112" s="190">
        <f t="shared" si="2560"/>
        <v>228</v>
      </c>
      <c r="N2112" s="190">
        <f t="shared" si="2560"/>
        <v>66</v>
      </c>
      <c r="O2112" s="190">
        <f t="shared" si="2560"/>
        <v>25</v>
      </c>
      <c r="P2112" s="190">
        <f t="shared" si="2560"/>
        <v>14</v>
      </c>
      <c r="Q2112" s="191">
        <f>(K2112+L2112)/J2112</f>
        <v>0.33266533066132264</v>
      </c>
      <c r="R2112" s="192">
        <f t="shared" ref="R2112:R2117" si="2561">N2112/J2112</f>
        <v>0.13226452905811623</v>
      </c>
      <c r="S2112" s="192">
        <f t="shared" ref="S2112:S2117" si="2562">P2112/J2112</f>
        <v>2.8056112224448898E-2</v>
      </c>
      <c r="T2112" s="192">
        <f t="shared" ref="T2112:T2117" si="2563">O2112/J2112</f>
        <v>5.0100200400801605E-2</v>
      </c>
      <c r="U2112" s="193">
        <f t="shared" ref="U2112:U2117" si="2564">S2112+R2112+Q2112+T2112</f>
        <v>0.54308617234468937</v>
      </c>
      <c r="V2112" s="213"/>
    </row>
    <row r="2113" spans="2:22" ht="15.75" hidden="1" x14ac:dyDescent="0.2">
      <c r="B2113" s="711">
        <v>46220</v>
      </c>
      <c r="C2113" s="105" t="s">
        <v>18</v>
      </c>
      <c r="D2113" s="105" t="s">
        <v>163</v>
      </c>
      <c r="E2113" s="711">
        <v>46220</v>
      </c>
      <c r="G2113" s="707">
        <v>46220</v>
      </c>
      <c r="H2113" s="60" t="s">
        <v>84</v>
      </c>
      <c r="I2113" s="60" t="s">
        <v>18</v>
      </c>
      <c r="J2113" s="60">
        <v>233</v>
      </c>
      <c r="K2113" s="60">
        <f>233-136</f>
        <v>97</v>
      </c>
      <c r="L2113" s="60">
        <v>36</v>
      </c>
      <c r="M2113" s="60">
        <v>85</v>
      </c>
      <c r="N2113" s="312">
        <v>0</v>
      </c>
      <c r="O2113" s="60">
        <v>5</v>
      </c>
      <c r="P2113" s="312">
        <v>10</v>
      </c>
      <c r="Q2113" s="182">
        <f t="shared" ref="Q2113:Q2117" si="2565">(K2113+L2113)/J2113</f>
        <v>0.57081545064377681</v>
      </c>
      <c r="R2113" s="183">
        <f t="shared" si="2561"/>
        <v>0</v>
      </c>
      <c r="S2113" s="183">
        <f t="shared" si="2562"/>
        <v>4.2918454935622317E-2</v>
      </c>
      <c r="T2113" s="183">
        <f t="shared" si="2563"/>
        <v>2.1459227467811159E-2</v>
      </c>
      <c r="U2113" s="184">
        <f t="shared" si="2564"/>
        <v>0.63519313304721026</v>
      </c>
      <c r="V2113" s="385"/>
    </row>
    <row r="2114" spans="2:22" ht="15.75" hidden="1" x14ac:dyDescent="0.2">
      <c r="B2114" s="711">
        <v>46220</v>
      </c>
      <c r="C2114" s="105" t="s">
        <v>18</v>
      </c>
      <c r="D2114" s="105" t="s">
        <v>163</v>
      </c>
      <c r="E2114" s="711">
        <v>46221</v>
      </c>
      <c r="G2114" s="830">
        <v>46221</v>
      </c>
      <c r="H2114" s="60" t="s">
        <v>16</v>
      </c>
      <c r="I2114" s="60" t="s">
        <v>83</v>
      </c>
      <c r="J2114" s="60">
        <v>212</v>
      </c>
      <c r="K2114" s="60">
        <f>212-93</f>
        <v>119</v>
      </c>
      <c r="L2114" s="60">
        <v>44</v>
      </c>
      <c r="M2114" s="60">
        <v>27</v>
      </c>
      <c r="N2114" s="312">
        <v>0</v>
      </c>
      <c r="O2114" s="60">
        <v>20</v>
      </c>
      <c r="P2114" s="312">
        <v>2</v>
      </c>
      <c r="Q2114" s="182">
        <f t="shared" si="2565"/>
        <v>0.76886792452830188</v>
      </c>
      <c r="R2114" s="183">
        <f t="shared" si="2561"/>
        <v>0</v>
      </c>
      <c r="S2114" s="183">
        <f t="shared" si="2562"/>
        <v>9.433962264150943E-3</v>
      </c>
      <c r="T2114" s="183">
        <f t="shared" si="2563"/>
        <v>9.4339622641509441E-2</v>
      </c>
      <c r="U2114" s="184">
        <f t="shared" si="2564"/>
        <v>0.87264150943396224</v>
      </c>
      <c r="V2114" s="386"/>
    </row>
    <row r="2115" spans="2:22" ht="15.75" hidden="1" x14ac:dyDescent="0.2">
      <c r="B2115" s="711">
        <v>46220</v>
      </c>
      <c r="C2115" s="105" t="s">
        <v>18</v>
      </c>
      <c r="D2115" s="105" t="s">
        <v>163</v>
      </c>
      <c r="E2115" s="711">
        <v>46221</v>
      </c>
      <c r="G2115" s="831"/>
      <c r="H2115" s="60" t="s">
        <v>17</v>
      </c>
      <c r="I2115" s="60" t="s">
        <v>22</v>
      </c>
      <c r="J2115" s="60">
        <v>107</v>
      </c>
      <c r="K2115" s="60">
        <v>0</v>
      </c>
      <c r="L2115" s="60">
        <v>0</v>
      </c>
      <c r="M2115" s="60">
        <v>97</v>
      </c>
      <c r="N2115" s="312">
        <v>0</v>
      </c>
      <c r="O2115" s="60">
        <v>0</v>
      </c>
      <c r="P2115" s="312">
        <v>10</v>
      </c>
      <c r="Q2115" s="182">
        <f t="shared" ref="Q2115" si="2566">(K2115+L2115)/J2115</f>
        <v>0</v>
      </c>
      <c r="R2115" s="183">
        <f t="shared" ref="R2115" si="2567">N2115/J2115</f>
        <v>0</v>
      </c>
      <c r="S2115" s="183">
        <f t="shared" ref="S2115" si="2568">P2115/J2115</f>
        <v>9.3457943925233641E-2</v>
      </c>
      <c r="T2115" s="183">
        <f t="shared" ref="T2115" si="2569">O2115/J2115</f>
        <v>0</v>
      </c>
      <c r="U2115" s="184">
        <f t="shared" ref="U2115" si="2570">S2115+R2115+Q2115+T2115</f>
        <v>9.3457943925233641E-2</v>
      </c>
      <c r="V2115" s="386"/>
    </row>
    <row r="2116" spans="2:22" ht="15.75" hidden="1" x14ac:dyDescent="0.2">
      <c r="B2116" s="711">
        <v>46220</v>
      </c>
      <c r="C2116" s="105" t="s">
        <v>18</v>
      </c>
      <c r="D2116" s="105" t="s">
        <v>163</v>
      </c>
      <c r="E2116" s="711">
        <v>46221</v>
      </c>
      <c r="G2116" s="831"/>
      <c r="H2116" s="60" t="s">
        <v>120</v>
      </c>
      <c r="I2116" s="60" t="s">
        <v>22</v>
      </c>
      <c r="J2116" s="60">
        <v>24</v>
      </c>
      <c r="K2116" s="60">
        <v>0</v>
      </c>
      <c r="L2116" s="60">
        <v>0</v>
      </c>
      <c r="M2116" s="60">
        <v>24</v>
      </c>
      <c r="N2116" s="312">
        <v>0</v>
      </c>
      <c r="O2116" s="60">
        <v>0</v>
      </c>
      <c r="P2116" s="312">
        <v>0</v>
      </c>
      <c r="Q2116" s="182">
        <f t="shared" ref="Q2116" si="2571">(K2116+L2116)/J2116</f>
        <v>0</v>
      </c>
      <c r="R2116" s="183">
        <f t="shared" ref="R2116" si="2572">N2116/J2116</f>
        <v>0</v>
      </c>
      <c r="S2116" s="183">
        <f t="shared" ref="S2116" si="2573">P2116/J2116</f>
        <v>0</v>
      </c>
      <c r="T2116" s="183">
        <f t="shared" ref="T2116" si="2574">O2116/J2116</f>
        <v>0</v>
      </c>
      <c r="U2116" s="184">
        <f t="shared" ref="U2116" si="2575">S2116+R2116+Q2116+T2116</f>
        <v>0</v>
      </c>
      <c r="V2116" s="386"/>
    </row>
    <row r="2117" spans="2:22" ht="15.75" hidden="1" x14ac:dyDescent="0.2">
      <c r="B2117" s="711">
        <v>46220</v>
      </c>
      <c r="C2117" s="105" t="s">
        <v>18</v>
      </c>
      <c r="D2117" s="105" t="s">
        <v>163</v>
      </c>
      <c r="E2117" s="711">
        <v>46221</v>
      </c>
      <c r="G2117" s="831"/>
      <c r="H2117" s="60" t="s">
        <v>84</v>
      </c>
      <c r="I2117" s="60" t="s">
        <v>27</v>
      </c>
      <c r="J2117" s="60">
        <v>122</v>
      </c>
      <c r="K2117" s="60">
        <v>0</v>
      </c>
      <c r="L2117" s="60">
        <v>0</v>
      </c>
      <c r="M2117" s="60">
        <v>122</v>
      </c>
      <c r="N2117" s="312">
        <v>0</v>
      </c>
      <c r="O2117" s="60">
        <v>0</v>
      </c>
      <c r="P2117" s="312">
        <v>0</v>
      </c>
      <c r="Q2117" s="182">
        <f t="shared" si="2565"/>
        <v>0</v>
      </c>
      <c r="R2117" s="183">
        <f t="shared" si="2561"/>
        <v>0</v>
      </c>
      <c r="S2117" s="183">
        <f t="shared" si="2562"/>
        <v>0</v>
      </c>
      <c r="T2117" s="183">
        <f t="shared" si="2563"/>
        <v>0</v>
      </c>
      <c r="U2117" s="184">
        <f t="shared" si="2564"/>
        <v>0</v>
      </c>
      <c r="V2117" s="386"/>
    </row>
    <row r="2118" spans="2:22" ht="15.75" hidden="1" x14ac:dyDescent="0.2">
      <c r="B2118" s="711">
        <v>46220</v>
      </c>
      <c r="C2118" s="105" t="s">
        <v>18</v>
      </c>
      <c r="D2118" s="105" t="s">
        <v>163</v>
      </c>
      <c r="E2118" s="711">
        <v>46221</v>
      </c>
      <c r="G2118" s="190"/>
      <c r="H2118" s="775" t="s">
        <v>19</v>
      </c>
      <c r="I2118" s="777"/>
      <c r="J2118" s="190">
        <f>SUM(J2113:J2117)</f>
        <v>698</v>
      </c>
      <c r="K2118" s="190">
        <f t="shared" ref="K2118:P2118" si="2576">SUM(K2113:K2117)</f>
        <v>216</v>
      </c>
      <c r="L2118" s="190">
        <f t="shared" si="2576"/>
        <v>80</v>
      </c>
      <c r="M2118" s="190">
        <f t="shared" si="2576"/>
        <v>355</v>
      </c>
      <c r="N2118" s="190">
        <f t="shared" si="2576"/>
        <v>0</v>
      </c>
      <c r="O2118" s="190">
        <f t="shared" si="2576"/>
        <v>25</v>
      </c>
      <c r="P2118" s="190">
        <f t="shared" si="2576"/>
        <v>22</v>
      </c>
      <c r="Q2118" s="191">
        <f>(K2118+L2118)/J2118</f>
        <v>0.42406876790830944</v>
      </c>
      <c r="R2118" s="192">
        <f t="shared" ref="R2118:R2126" si="2577">N2118/J2118</f>
        <v>0</v>
      </c>
      <c r="S2118" s="192">
        <f t="shared" ref="S2118:S2126" si="2578">P2118/J2118</f>
        <v>3.151862464183381E-2</v>
      </c>
      <c r="T2118" s="192">
        <f t="shared" ref="T2118:T2126" si="2579">O2118/J2118</f>
        <v>3.5816618911174783E-2</v>
      </c>
      <c r="U2118" s="193">
        <f t="shared" ref="U2118:U2126" si="2580">S2118+R2118+Q2118+T2118</f>
        <v>0.49140401146131801</v>
      </c>
      <c r="V2118" s="213"/>
    </row>
    <row r="2119" spans="2:22" ht="15.75" hidden="1" x14ac:dyDescent="0.2">
      <c r="B2119" s="711">
        <v>46221</v>
      </c>
      <c r="C2119" s="105" t="s">
        <v>22</v>
      </c>
      <c r="D2119" s="105" t="s">
        <v>20</v>
      </c>
      <c r="E2119" s="711">
        <v>46221</v>
      </c>
      <c r="G2119" s="833">
        <v>46221</v>
      </c>
      <c r="H2119" s="60" t="s">
        <v>16</v>
      </c>
      <c r="I2119" s="60" t="s">
        <v>83</v>
      </c>
      <c r="J2119" s="60">
        <f>SUM(K2119:P2119)</f>
        <v>78</v>
      </c>
      <c r="K2119" s="60">
        <v>37</v>
      </c>
      <c r="L2119" s="60">
        <v>20</v>
      </c>
      <c r="M2119" s="60">
        <v>0</v>
      </c>
      <c r="N2119" s="60">
        <v>0</v>
      </c>
      <c r="O2119" s="60">
        <v>20</v>
      </c>
      <c r="P2119" s="60">
        <v>1</v>
      </c>
      <c r="Q2119" s="182">
        <f t="shared" ref="Q2119:Q2125" si="2581">(K2119+L2119)/J2119</f>
        <v>0.73076923076923073</v>
      </c>
      <c r="R2119" s="183">
        <f t="shared" si="2577"/>
        <v>0</v>
      </c>
      <c r="S2119" s="183">
        <f t="shared" si="2578"/>
        <v>1.282051282051282E-2</v>
      </c>
      <c r="T2119" s="183">
        <f t="shared" si="2579"/>
        <v>0.25641025641025639</v>
      </c>
      <c r="U2119" s="184">
        <f t="shared" si="2580"/>
        <v>0.99999999999999989</v>
      </c>
      <c r="V2119" s="384"/>
    </row>
    <row r="2120" spans="2:22" ht="15.75" hidden="1" x14ac:dyDescent="0.2">
      <c r="B2120" s="711">
        <v>46221</v>
      </c>
      <c r="C2120" s="105" t="s">
        <v>22</v>
      </c>
      <c r="D2120" s="105" t="s">
        <v>20</v>
      </c>
      <c r="E2120" s="711">
        <v>46221</v>
      </c>
      <c r="G2120" s="834"/>
      <c r="H2120" s="60" t="s">
        <v>120</v>
      </c>
      <c r="I2120" s="60" t="s">
        <v>22</v>
      </c>
      <c r="J2120" s="60">
        <f t="shared" ref="J2120:J2125" si="2582">SUM(K2120:P2120)</f>
        <v>25</v>
      </c>
      <c r="K2120" s="60">
        <v>25</v>
      </c>
      <c r="L2120" s="60">
        <v>0</v>
      </c>
      <c r="M2120" s="60">
        <v>0</v>
      </c>
      <c r="N2120" s="60">
        <v>0</v>
      </c>
      <c r="O2120" s="60">
        <v>0</v>
      </c>
      <c r="P2120" s="60">
        <v>0</v>
      </c>
      <c r="Q2120" s="182">
        <f t="shared" si="2581"/>
        <v>1</v>
      </c>
      <c r="R2120" s="183">
        <f t="shared" si="2577"/>
        <v>0</v>
      </c>
      <c r="S2120" s="183">
        <f t="shared" si="2578"/>
        <v>0</v>
      </c>
      <c r="T2120" s="183">
        <f t="shared" si="2579"/>
        <v>0</v>
      </c>
      <c r="U2120" s="184">
        <f t="shared" si="2580"/>
        <v>1</v>
      </c>
      <c r="V2120" s="384"/>
    </row>
    <row r="2121" spans="2:22" ht="15.75" hidden="1" x14ac:dyDescent="0.2">
      <c r="B2121" s="711">
        <v>46221</v>
      </c>
      <c r="C2121" s="105" t="s">
        <v>22</v>
      </c>
      <c r="D2121" s="105" t="s">
        <v>20</v>
      </c>
      <c r="E2121" s="711">
        <v>46221</v>
      </c>
      <c r="G2121" s="834"/>
      <c r="H2121" s="60" t="s">
        <v>25</v>
      </c>
      <c r="I2121" s="60" t="s">
        <v>22</v>
      </c>
      <c r="J2121" s="60">
        <f t="shared" si="2582"/>
        <v>15</v>
      </c>
      <c r="K2121" s="60">
        <v>9</v>
      </c>
      <c r="L2121" s="60">
        <v>0</v>
      </c>
      <c r="M2121" s="60">
        <v>0</v>
      </c>
      <c r="N2121" s="312">
        <v>6</v>
      </c>
      <c r="O2121" s="60">
        <v>0</v>
      </c>
      <c r="P2121" s="312">
        <v>0</v>
      </c>
      <c r="Q2121" s="182">
        <f t="shared" si="2581"/>
        <v>0.6</v>
      </c>
      <c r="R2121" s="183">
        <f t="shared" si="2577"/>
        <v>0.4</v>
      </c>
      <c r="S2121" s="183">
        <f t="shared" si="2578"/>
        <v>0</v>
      </c>
      <c r="T2121" s="183">
        <f t="shared" si="2579"/>
        <v>0</v>
      </c>
      <c r="U2121" s="184">
        <f t="shared" si="2580"/>
        <v>1</v>
      </c>
    </row>
    <row r="2122" spans="2:22" ht="15.75" hidden="1" x14ac:dyDescent="0.2">
      <c r="B2122" s="711">
        <v>46221</v>
      </c>
      <c r="C2122" s="105" t="s">
        <v>22</v>
      </c>
      <c r="D2122" s="105" t="s">
        <v>20</v>
      </c>
      <c r="E2122" s="711">
        <v>46221</v>
      </c>
      <c r="G2122" s="834"/>
      <c r="H2122" s="60" t="s">
        <v>17</v>
      </c>
      <c r="I2122" s="60" t="s">
        <v>22</v>
      </c>
      <c r="J2122" s="60">
        <f t="shared" si="2582"/>
        <v>113</v>
      </c>
      <c r="K2122" s="60">
        <v>39</v>
      </c>
      <c r="L2122" s="60">
        <v>7</v>
      </c>
      <c r="M2122" s="60">
        <v>44</v>
      </c>
      <c r="N2122" s="312">
        <v>13</v>
      </c>
      <c r="O2122" s="60">
        <v>0</v>
      </c>
      <c r="P2122" s="312">
        <v>10</v>
      </c>
      <c r="Q2122" s="182">
        <f t="shared" ref="Q2122" si="2583">(K2122+L2122)/J2122</f>
        <v>0.40707964601769914</v>
      </c>
      <c r="R2122" s="183">
        <f t="shared" ref="R2122" si="2584">N2122/J2122</f>
        <v>0.11504424778761062</v>
      </c>
      <c r="S2122" s="183">
        <f t="shared" ref="S2122" si="2585">P2122/J2122</f>
        <v>8.8495575221238937E-2</v>
      </c>
      <c r="T2122" s="183">
        <f t="shared" ref="T2122" si="2586">O2122/J2122</f>
        <v>0</v>
      </c>
      <c r="U2122" s="184">
        <f t="shared" ref="U2122" si="2587">S2122+R2122+Q2122+T2122</f>
        <v>0.61061946902654873</v>
      </c>
      <c r="V2122" s="83" t="s">
        <v>185</v>
      </c>
    </row>
    <row r="2123" spans="2:22" ht="15.75" hidden="1" x14ac:dyDescent="0.2">
      <c r="B2123" s="711">
        <v>46221</v>
      </c>
      <c r="C2123" s="105" t="s">
        <v>22</v>
      </c>
      <c r="D2123" s="105" t="s">
        <v>20</v>
      </c>
      <c r="E2123" s="711">
        <v>46221</v>
      </c>
      <c r="G2123" s="834"/>
      <c r="H2123" s="60" t="s">
        <v>118</v>
      </c>
      <c r="I2123" s="60" t="s">
        <v>22</v>
      </c>
      <c r="J2123" s="60">
        <f t="shared" ref="J2123:J2124" si="2588">SUM(K2123:P2123)</f>
        <v>1</v>
      </c>
      <c r="K2123" s="60">
        <v>1</v>
      </c>
      <c r="L2123" s="60">
        <v>0</v>
      </c>
      <c r="M2123" s="60">
        <v>0</v>
      </c>
      <c r="N2123" s="312">
        <v>0</v>
      </c>
      <c r="O2123" s="60">
        <v>0</v>
      </c>
      <c r="P2123" s="312">
        <v>0</v>
      </c>
      <c r="Q2123" s="182">
        <f t="shared" ref="Q2123:Q2124" si="2589">(K2123+L2123)/J2123</f>
        <v>1</v>
      </c>
      <c r="R2123" s="183">
        <f t="shared" ref="R2123:R2124" si="2590">N2123/J2123</f>
        <v>0</v>
      </c>
      <c r="S2123" s="183">
        <f t="shared" ref="S2123:S2124" si="2591">P2123/J2123</f>
        <v>0</v>
      </c>
      <c r="T2123" s="183">
        <f t="shared" ref="T2123:T2124" si="2592">O2123/J2123</f>
        <v>0</v>
      </c>
      <c r="U2123" s="184">
        <f t="shared" ref="U2123:U2124" si="2593">S2123+R2123+Q2123+T2123</f>
        <v>1</v>
      </c>
    </row>
    <row r="2124" spans="2:22" ht="15.75" hidden="1" x14ac:dyDescent="0.2">
      <c r="B2124" s="711">
        <v>46221</v>
      </c>
      <c r="C2124" s="105" t="s">
        <v>22</v>
      </c>
      <c r="D2124" s="105" t="s">
        <v>20</v>
      </c>
      <c r="E2124" s="711">
        <v>46221</v>
      </c>
      <c r="G2124" s="834"/>
      <c r="H2124" s="60" t="s">
        <v>180</v>
      </c>
      <c r="I2124" s="60" t="s">
        <v>22</v>
      </c>
      <c r="J2124" s="60">
        <f t="shared" si="2588"/>
        <v>3</v>
      </c>
      <c r="K2124" s="60">
        <v>3</v>
      </c>
      <c r="L2124" s="60">
        <v>0</v>
      </c>
      <c r="M2124" s="60">
        <v>0</v>
      </c>
      <c r="N2124" s="312">
        <v>0</v>
      </c>
      <c r="O2124" s="60">
        <v>0</v>
      </c>
      <c r="P2124" s="312">
        <v>0</v>
      </c>
      <c r="Q2124" s="182">
        <f t="shared" si="2589"/>
        <v>1</v>
      </c>
      <c r="R2124" s="183">
        <f t="shared" si="2590"/>
        <v>0</v>
      </c>
      <c r="S2124" s="183">
        <f t="shared" si="2591"/>
        <v>0</v>
      </c>
      <c r="T2124" s="183">
        <f t="shared" si="2592"/>
        <v>0</v>
      </c>
      <c r="U2124" s="184">
        <f t="shared" si="2593"/>
        <v>1</v>
      </c>
    </row>
    <row r="2125" spans="2:22" ht="15.75" hidden="1" x14ac:dyDescent="0.2">
      <c r="B2125" s="711">
        <v>46221</v>
      </c>
      <c r="C2125" s="105" t="s">
        <v>22</v>
      </c>
      <c r="D2125" s="105" t="s">
        <v>20</v>
      </c>
      <c r="E2125" s="711">
        <v>46221</v>
      </c>
      <c r="G2125" s="834"/>
      <c r="H2125" s="60" t="s">
        <v>84</v>
      </c>
      <c r="I2125" s="60" t="s">
        <v>27</v>
      </c>
      <c r="J2125" s="60">
        <f t="shared" si="2582"/>
        <v>225</v>
      </c>
      <c r="K2125" s="60">
        <v>16</v>
      </c>
      <c r="L2125" s="60">
        <v>5</v>
      </c>
      <c r="M2125" s="60">
        <f>37+94</f>
        <v>131</v>
      </c>
      <c r="N2125" s="312">
        <v>27</v>
      </c>
      <c r="O2125" s="60">
        <v>8</v>
      </c>
      <c r="P2125" s="312">
        <v>38</v>
      </c>
      <c r="Q2125" s="182">
        <f t="shared" si="2581"/>
        <v>9.3333333333333338E-2</v>
      </c>
      <c r="R2125" s="183">
        <f t="shared" ref="R2125" si="2594">N2125/J2125</f>
        <v>0.12</v>
      </c>
      <c r="S2125" s="183">
        <f t="shared" ref="S2125" si="2595">P2125/J2125</f>
        <v>0.16888888888888889</v>
      </c>
      <c r="T2125" s="183">
        <f t="shared" ref="T2125" si="2596">O2125/J2125</f>
        <v>3.5555555555555556E-2</v>
      </c>
      <c r="U2125" s="184">
        <f t="shared" ref="U2125" si="2597">S2125+R2125+Q2125+T2125</f>
        <v>0.41777777777777775</v>
      </c>
    </row>
    <row r="2126" spans="2:22" ht="15.75" hidden="1" x14ac:dyDescent="0.2">
      <c r="B2126" s="711">
        <v>46221</v>
      </c>
      <c r="C2126" s="105" t="s">
        <v>22</v>
      </c>
      <c r="D2126" s="105" t="s">
        <v>20</v>
      </c>
      <c r="E2126" s="711">
        <v>46221</v>
      </c>
      <c r="G2126" s="190"/>
      <c r="H2126" s="775" t="s">
        <v>19</v>
      </c>
      <c r="I2126" s="777"/>
      <c r="J2126" s="190">
        <f t="shared" ref="J2126:P2126" si="2598">SUBTOTAL(9,J2119:J2125)</f>
        <v>0</v>
      </c>
      <c r="K2126" s="190">
        <f t="shared" si="2598"/>
        <v>0</v>
      </c>
      <c r="L2126" s="190">
        <f t="shared" si="2598"/>
        <v>0</v>
      </c>
      <c r="M2126" s="190">
        <f t="shared" si="2598"/>
        <v>0</v>
      </c>
      <c r="N2126" s="190">
        <f t="shared" si="2598"/>
        <v>0</v>
      </c>
      <c r="O2126" s="190">
        <f t="shared" si="2598"/>
        <v>0</v>
      </c>
      <c r="P2126" s="190">
        <f t="shared" si="2598"/>
        <v>0</v>
      </c>
      <c r="Q2126" s="191" t="e">
        <f>(K2126+L2126)/J2126</f>
        <v>#DIV/0!</v>
      </c>
      <c r="R2126" s="192" t="e">
        <f t="shared" si="2577"/>
        <v>#DIV/0!</v>
      </c>
      <c r="S2126" s="192" t="e">
        <f t="shared" si="2578"/>
        <v>#DIV/0!</v>
      </c>
      <c r="T2126" s="192" t="e">
        <f t="shared" si="2579"/>
        <v>#DIV/0!</v>
      </c>
      <c r="U2126" s="193" t="e">
        <f t="shared" si="2580"/>
        <v>#DIV/0!</v>
      </c>
      <c r="V2126" s="213"/>
    </row>
    <row r="2127" spans="2:22" ht="15.75" hidden="1" x14ac:dyDescent="0.2">
      <c r="B2127" s="711">
        <v>46221</v>
      </c>
      <c r="C2127" s="105" t="s">
        <v>12</v>
      </c>
      <c r="D2127" s="105" t="s">
        <v>13</v>
      </c>
      <c r="E2127" s="711">
        <v>46221</v>
      </c>
      <c r="G2127" s="833">
        <v>46221</v>
      </c>
      <c r="H2127" s="60" t="s">
        <v>16</v>
      </c>
      <c r="I2127" s="60" t="s">
        <v>83</v>
      </c>
      <c r="J2127" s="60">
        <f>SUM(K2127:P2127)</f>
        <v>78</v>
      </c>
      <c r="K2127" s="60">
        <v>37</v>
      </c>
      <c r="L2127" s="60">
        <v>20</v>
      </c>
      <c r="M2127" s="60">
        <v>0</v>
      </c>
      <c r="N2127" s="312">
        <v>0</v>
      </c>
      <c r="O2127" s="60">
        <v>20</v>
      </c>
      <c r="P2127" s="60">
        <v>1</v>
      </c>
      <c r="Q2127" s="182">
        <f t="shared" ref="Q2127:Q2128" si="2599">(K2127+L2127)/J2127</f>
        <v>0.73076923076923073</v>
      </c>
      <c r="R2127" s="183">
        <f t="shared" ref="R2127:R2128" si="2600">N2127/J2127</f>
        <v>0</v>
      </c>
      <c r="S2127" s="183">
        <f t="shared" ref="S2127:S2128" si="2601">P2127/J2127</f>
        <v>1.282051282051282E-2</v>
      </c>
      <c r="T2127" s="183">
        <f t="shared" ref="T2127:T2128" si="2602">O2127/J2127</f>
        <v>0.25641025641025639</v>
      </c>
      <c r="U2127" s="184">
        <f t="shared" ref="U2127:U2128" si="2603">S2127+R2127+Q2127+T2127</f>
        <v>0.99999999999999989</v>
      </c>
      <c r="V2127" s="384"/>
    </row>
    <row r="2128" spans="2:22" ht="15.75" hidden="1" x14ac:dyDescent="0.2">
      <c r="B2128" s="711">
        <v>46221</v>
      </c>
      <c r="C2128" s="105" t="s">
        <v>12</v>
      </c>
      <c r="D2128" s="105" t="s">
        <v>13</v>
      </c>
      <c r="E2128" s="711">
        <v>46221</v>
      </c>
      <c r="G2128" s="835"/>
      <c r="H2128" s="60" t="s">
        <v>84</v>
      </c>
      <c r="I2128" s="60" t="s">
        <v>27</v>
      </c>
      <c r="J2128" s="60">
        <f t="shared" ref="J2128" si="2604">SUM(K2128:P2128)</f>
        <v>117</v>
      </c>
      <c r="K2128" s="60">
        <v>16</v>
      </c>
      <c r="L2128" s="60">
        <v>11</v>
      </c>
      <c r="M2128" s="60">
        <v>2</v>
      </c>
      <c r="N2128" s="312">
        <v>50</v>
      </c>
      <c r="O2128" s="60">
        <v>8</v>
      </c>
      <c r="P2128" s="312">
        <v>30</v>
      </c>
      <c r="Q2128" s="182">
        <f t="shared" si="2599"/>
        <v>0.23076923076923078</v>
      </c>
      <c r="R2128" s="183">
        <f t="shared" si="2600"/>
        <v>0.42735042735042733</v>
      </c>
      <c r="S2128" s="183">
        <f t="shared" si="2601"/>
        <v>0.25641025641025639</v>
      </c>
      <c r="T2128" s="183">
        <f t="shared" si="2602"/>
        <v>6.8376068376068383E-2</v>
      </c>
      <c r="U2128" s="184">
        <f t="shared" si="2603"/>
        <v>0.98290598290598297</v>
      </c>
    </row>
    <row r="2129" spans="2:22" ht="15.75" hidden="1" x14ac:dyDescent="0.2">
      <c r="B2129" s="711">
        <v>46221</v>
      </c>
      <c r="C2129" s="105" t="s">
        <v>12</v>
      </c>
      <c r="D2129" s="105" t="s">
        <v>13</v>
      </c>
      <c r="E2129" s="711">
        <v>46222</v>
      </c>
      <c r="G2129" s="833">
        <v>46222</v>
      </c>
      <c r="H2129" s="60" t="s">
        <v>16</v>
      </c>
      <c r="I2129" s="60" t="s">
        <v>83</v>
      </c>
      <c r="J2129" s="60">
        <v>248</v>
      </c>
      <c r="K2129" s="60">
        <v>38</v>
      </c>
      <c r="L2129" s="60">
        <v>28</v>
      </c>
      <c r="M2129" s="60">
        <v>123</v>
      </c>
      <c r="N2129" s="312">
        <v>35</v>
      </c>
      <c r="O2129" s="60">
        <v>20</v>
      </c>
      <c r="P2129" s="60">
        <v>4</v>
      </c>
      <c r="Q2129" s="182">
        <f t="shared" ref="Q2129:Q2130" si="2605">(K2129+L2129)/J2129</f>
        <v>0.2661290322580645</v>
      </c>
      <c r="R2129" s="183">
        <f t="shared" ref="R2129:R2134" si="2606">N2129/J2129</f>
        <v>0.14112903225806453</v>
      </c>
      <c r="S2129" s="183">
        <f t="shared" ref="S2129:S2134" si="2607">P2129/J2129</f>
        <v>1.6129032258064516E-2</v>
      </c>
      <c r="T2129" s="183">
        <f t="shared" ref="T2129:T2134" si="2608">O2129/J2129</f>
        <v>8.0645161290322578E-2</v>
      </c>
      <c r="U2129" s="184">
        <f t="shared" ref="U2129:U2134" si="2609">S2129+R2129+Q2129+T2129</f>
        <v>0.50403225806451613</v>
      </c>
      <c r="V2129" s="384"/>
    </row>
    <row r="2130" spans="2:22" ht="15.75" hidden="1" x14ac:dyDescent="0.2">
      <c r="B2130" s="711">
        <v>46221</v>
      </c>
      <c r="C2130" s="105" t="s">
        <v>12</v>
      </c>
      <c r="D2130" s="105" t="s">
        <v>13</v>
      </c>
      <c r="E2130" s="711">
        <v>46222</v>
      </c>
      <c r="G2130" s="834"/>
      <c r="H2130" s="60" t="s">
        <v>118</v>
      </c>
      <c r="I2130" s="60" t="s">
        <v>12</v>
      </c>
      <c r="J2130" s="60">
        <v>15</v>
      </c>
      <c r="K2130" s="60">
        <v>10</v>
      </c>
      <c r="L2130" s="60">
        <v>5</v>
      </c>
      <c r="M2130" s="60">
        <v>0</v>
      </c>
      <c r="N2130" s="312">
        <v>0</v>
      </c>
      <c r="O2130" s="60">
        <v>0</v>
      </c>
      <c r="P2130" s="312">
        <v>0</v>
      </c>
      <c r="Q2130" s="182">
        <f t="shared" si="2605"/>
        <v>1</v>
      </c>
      <c r="R2130" s="183">
        <f t="shared" si="2606"/>
        <v>0</v>
      </c>
      <c r="S2130" s="183">
        <f t="shared" si="2607"/>
        <v>0</v>
      </c>
      <c r="T2130" s="183">
        <f t="shared" si="2608"/>
        <v>0</v>
      </c>
      <c r="U2130" s="184">
        <f t="shared" si="2609"/>
        <v>1</v>
      </c>
    </row>
    <row r="2131" spans="2:22" ht="15.75" hidden="1" x14ac:dyDescent="0.2">
      <c r="B2131" s="711">
        <v>46221</v>
      </c>
      <c r="C2131" s="105" t="s">
        <v>12</v>
      </c>
      <c r="D2131" s="105" t="s">
        <v>13</v>
      </c>
      <c r="E2131" s="711">
        <v>46222</v>
      </c>
      <c r="G2131" s="190"/>
      <c r="H2131" s="775" t="s">
        <v>19</v>
      </c>
      <c r="I2131" s="777"/>
      <c r="J2131" s="190">
        <f>SUM(J2127:J2130)</f>
        <v>458</v>
      </c>
      <c r="K2131" s="190">
        <f t="shared" ref="K2131:P2131" si="2610">SUM(K2127:K2130)</f>
        <v>101</v>
      </c>
      <c r="L2131" s="190">
        <f t="shared" si="2610"/>
        <v>64</v>
      </c>
      <c r="M2131" s="190">
        <f t="shared" si="2610"/>
        <v>125</v>
      </c>
      <c r="N2131" s="190">
        <f t="shared" si="2610"/>
        <v>85</v>
      </c>
      <c r="O2131" s="190">
        <f t="shared" si="2610"/>
        <v>48</v>
      </c>
      <c r="P2131" s="190">
        <f t="shared" si="2610"/>
        <v>35</v>
      </c>
      <c r="Q2131" s="191">
        <f>(K2131+L2131)/J2131</f>
        <v>0.36026200873362446</v>
      </c>
      <c r="R2131" s="192">
        <f t="shared" si="2606"/>
        <v>0.18558951965065501</v>
      </c>
      <c r="S2131" s="192">
        <f t="shared" si="2607"/>
        <v>7.6419213973799124E-2</v>
      </c>
      <c r="T2131" s="192">
        <f t="shared" si="2608"/>
        <v>0.10480349344978165</v>
      </c>
      <c r="U2131" s="193">
        <f t="shared" si="2609"/>
        <v>0.72707423580786035</v>
      </c>
      <c r="V2131" s="213"/>
    </row>
    <row r="2132" spans="2:22" ht="15.75" hidden="1" x14ac:dyDescent="0.2">
      <c r="B2132" s="711">
        <v>46221</v>
      </c>
      <c r="C2132" s="105" t="s">
        <v>18</v>
      </c>
      <c r="D2132" s="105" t="s">
        <v>163</v>
      </c>
      <c r="E2132" s="711">
        <v>46221</v>
      </c>
      <c r="G2132" s="833">
        <v>46221</v>
      </c>
      <c r="H2132" s="60" t="s">
        <v>16</v>
      </c>
      <c r="I2132" s="60" t="s">
        <v>83</v>
      </c>
      <c r="J2132" s="60">
        <v>212</v>
      </c>
      <c r="K2132" s="60">
        <f>212-62</f>
        <v>150</v>
      </c>
      <c r="L2132" s="60">
        <v>39</v>
      </c>
      <c r="M2132" s="60">
        <v>0</v>
      </c>
      <c r="N2132" s="312">
        <v>0</v>
      </c>
      <c r="O2132" s="60">
        <v>20</v>
      </c>
      <c r="P2132" s="60">
        <v>3</v>
      </c>
      <c r="Q2132" s="182">
        <f t="shared" ref="Q2132:Q2136" si="2611">(K2132+L2132)/J2132</f>
        <v>0.89150943396226412</v>
      </c>
      <c r="R2132" s="183">
        <f t="shared" si="2606"/>
        <v>0</v>
      </c>
      <c r="S2132" s="183">
        <f t="shared" si="2607"/>
        <v>1.4150943396226415E-2</v>
      </c>
      <c r="T2132" s="183">
        <f t="shared" si="2608"/>
        <v>9.4339622641509441E-2</v>
      </c>
      <c r="U2132" s="184">
        <f t="shared" si="2609"/>
        <v>1</v>
      </c>
      <c r="V2132" s="384"/>
    </row>
    <row r="2133" spans="2:22" ht="15.75" hidden="1" x14ac:dyDescent="0.2">
      <c r="B2133" s="711">
        <v>46221</v>
      </c>
      <c r="C2133" s="105" t="s">
        <v>18</v>
      </c>
      <c r="D2133" s="105" t="s">
        <v>163</v>
      </c>
      <c r="E2133" s="711">
        <v>46221</v>
      </c>
      <c r="G2133" s="834"/>
      <c r="H2133" s="60" t="s">
        <v>17</v>
      </c>
      <c r="I2133" s="60" t="s">
        <v>22</v>
      </c>
      <c r="J2133" s="60">
        <v>107</v>
      </c>
      <c r="K2133" s="60">
        <f>107-69</f>
        <v>38</v>
      </c>
      <c r="L2133" s="60">
        <v>21</v>
      </c>
      <c r="M2133" s="60">
        <v>31</v>
      </c>
      <c r="N2133" s="312">
        <v>7</v>
      </c>
      <c r="O2133" s="60">
        <v>0</v>
      </c>
      <c r="P2133" s="60">
        <v>10</v>
      </c>
      <c r="Q2133" s="182">
        <f t="shared" ref="Q2133" si="2612">(K2133+L2133)/J2133</f>
        <v>0.55140186915887845</v>
      </c>
      <c r="R2133" s="183">
        <f t="shared" ref="R2133" si="2613">N2133/J2133</f>
        <v>6.5420560747663545E-2</v>
      </c>
      <c r="S2133" s="183">
        <f t="shared" ref="S2133" si="2614">P2133/J2133</f>
        <v>9.3457943925233641E-2</v>
      </c>
      <c r="T2133" s="183">
        <f t="shared" ref="T2133" si="2615">O2133/J2133</f>
        <v>0</v>
      </c>
      <c r="U2133" s="184">
        <f t="shared" ref="U2133" si="2616">S2133+R2133+Q2133+T2133</f>
        <v>0.71028037383177567</v>
      </c>
      <c r="V2133" s="384"/>
    </row>
    <row r="2134" spans="2:22" ht="15.75" hidden="1" x14ac:dyDescent="0.2">
      <c r="B2134" s="711">
        <v>46221</v>
      </c>
      <c r="C2134" s="105" t="s">
        <v>18</v>
      </c>
      <c r="D2134" s="105" t="s">
        <v>163</v>
      </c>
      <c r="E2134" s="711">
        <v>46221</v>
      </c>
      <c r="G2134" s="835"/>
      <c r="H2134" s="60" t="s">
        <v>84</v>
      </c>
      <c r="I2134" s="60" t="s">
        <v>27</v>
      </c>
      <c r="J2134" s="60">
        <v>122</v>
      </c>
      <c r="K2134" s="60">
        <f>122-44</f>
        <v>78</v>
      </c>
      <c r="L2134" s="60">
        <v>4</v>
      </c>
      <c r="M2134" s="60">
        <v>2</v>
      </c>
      <c r="N2134" s="312">
        <v>0</v>
      </c>
      <c r="O2134" s="60">
        <v>8</v>
      </c>
      <c r="P2134" s="312">
        <v>30</v>
      </c>
      <c r="Q2134" s="182">
        <f t="shared" si="2611"/>
        <v>0.67213114754098358</v>
      </c>
      <c r="R2134" s="183">
        <f t="shared" si="2606"/>
        <v>0</v>
      </c>
      <c r="S2134" s="183">
        <f t="shared" si="2607"/>
        <v>0.24590163934426229</v>
      </c>
      <c r="T2134" s="183">
        <f t="shared" si="2608"/>
        <v>6.5573770491803282E-2</v>
      </c>
      <c r="U2134" s="184">
        <f t="shared" si="2609"/>
        <v>0.98360655737704905</v>
      </c>
    </row>
    <row r="2135" spans="2:22" ht="15.75" hidden="1" x14ac:dyDescent="0.2">
      <c r="B2135" s="711">
        <v>46221</v>
      </c>
      <c r="C2135" s="105" t="s">
        <v>18</v>
      </c>
      <c r="D2135" s="105" t="s">
        <v>163</v>
      </c>
      <c r="E2135" s="711">
        <v>46222</v>
      </c>
      <c r="G2135" s="830">
        <v>46222</v>
      </c>
      <c r="H2135" s="60" t="s">
        <v>16</v>
      </c>
      <c r="I2135" s="60" t="s">
        <v>83</v>
      </c>
      <c r="J2135" s="60">
        <v>248</v>
      </c>
      <c r="K2135" s="60">
        <f>248-91</f>
        <v>157</v>
      </c>
      <c r="L2135" s="60">
        <v>67</v>
      </c>
      <c r="M2135" s="60">
        <v>0</v>
      </c>
      <c r="N2135" s="312">
        <v>0</v>
      </c>
      <c r="O2135" s="60">
        <v>20</v>
      </c>
      <c r="P2135" s="60">
        <v>4</v>
      </c>
      <c r="Q2135" s="182">
        <f t="shared" si="2611"/>
        <v>0.90322580645161288</v>
      </c>
      <c r="R2135" s="183">
        <f t="shared" ref="R2135:R2144" si="2617">N2135/J2135</f>
        <v>0</v>
      </c>
      <c r="S2135" s="183">
        <f t="shared" ref="S2135:S2144" si="2618">P2135/J2135</f>
        <v>1.6129032258064516E-2</v>
      </c>
      <c r="T2135" s="183">
        <f t="shared" ref="T2135:T2144" si="2619">O2135/J2135</f>
        <v>8.0645161290322578E-2</v>
      </c>
      <c r="U2135" s="184">
        <f t="shared" ref="U2135:U2144" si="2620">S2135+R2135+Q2135+T2135</f>
        <v>1</v>
      </c>
      <c r="V2135" s="384"/>
    </row>
    <row r="2136" spans="2:22" ht="15.75" hidden="1" x14ac:dyDescent="0.2">
      <c r="B2136" s="711">
        <v>46221</v>
      </c>
      <c r="C2136" s="105" t="s">
        <v>18</v>
      </c>
      <c r="D2136" s="105" t="s">
        <v>163</v>
      </c>
      <c r="E2136" s="711">
        <v>46222</v>
      </c>
      <c r="G2136" s="831"/>
      <c r="H2136" s="60" t="s">
        <v>84</v>
      </c>
      <c r="I2136" s="60" t="s">
        <v>27</v>
      </c>
      <c r="J2136" s="60">
        <v>175</v>
      </c>
      <c r="K2136" s="60">
        <v>7</v>
      </c>
      <c r="L2136" s="60">
        <v>0</v>
      </c>
      <c r="M2136" s="60">
        <v>90</v>
      </c>
      <c r="N2136" s="312">
        <v>49</v>
      </c>
      <c r="O2136" s="60">
        <v>10</v>
      </c>
      <c r="P2136" s="312">
        <v>19</v>
      </c>
      <c r="Q2136" s="182">
        <f t="shared" si="2611"/>
        <v>0.04</v>
      </c>
      <c r="R2136" s="183">
        <f t="shared" si="2617"/>
        <v>0.28000000000000003</v>
      </c>
      <c r="S2136" s="183">
        <f t="shared" si="2618"/>
        <v>0.10857142857142857</v>
      </c>
      <c r="T2136" s="183">
        <f t="shared" si="2619"/>
        <v>5.7142857142857141E-2</v>
      </c>
      <c r="U2136" s="184">
        <f t="shared" si="2620"/>
        <v>0.48571428571428571</v>
      </c>
    </row>
    <row r="2137" spans="2:22" ht="15.75" hidden="1" x14ac:dyDescent="0.2">
      <c r="B2137" s="711">
        <v>46221</v>
      </c>
      <c r="C2137" s="105" t="s">
        <v>18</v>
      </c>
      <c r="D2137" s="105" t="s">
        <v>163</v>
      </c>
      <c r="E2137" s="711">
        <v>46222</v>
      </c>
      <c r="G2137" s="190"/>
      <c r="H2137" s="775" t="s">
        <v>19</v>
      </c>
      <c r="I2137" s="777"/>
      <c r="J2137" s="190">
        <f>SUM(J2132:J2136)</f>
        <v>864</v>
      </c>
      <c r="K2137" s="190">
        <f t="shared" ref="K2137:P2137" si="2621">SUM(K2132:K2136)</f>
        <v>430</v>
      </c>
      <c r="L2137" s="190">
        <f t="shared" si="2621"/>
        <v>131</v>
      </c>
      <c r="M2137" s="190">
        <f t="shared" si="2621"/>
        <v>123</v>
      </c>
      <c r="N2137" s="190">
        <f t="shared" si="2621"/>
        <v>56</v>
      </c>
      <c r="O2137" s="190">
        <f t="shared" si="2621"/>
        <v>58</v>
      </c>
      <c r="P2137" s="190">
        <f t="shared" si="2621"/>
        <v>66</v>
      </c>
      <c r="Q2137" s="191">
        <f>(K2137+L2137)/J2137</f>
        <v>0.64930555555555558</v>
      </c>
      <c r="R2137" s="192">
        <f t="shared" si="2617"/>
        <v>6.4814814814814811E-2</v>
      </c>
      <c r="S2137" s="192">
        <f t="shared" si="2618"/>
        <v>7.6388888888888895E-2</v>
      </c>
      <c r="T2137" s="192">
        <f t="shared" si="2619"/>
        <v>6.7129629629629636E-2</v>
      </c>
      <c r="U2137" s="193">
        <f t="shared" si="2620"/>
        <v>0.85763888888888895</v>
      </c>
      <c r="V2137" s="213"/>
    </row>
    <row r="2138" spans="2:22" ht="15.75" hidden="1" x14ac:dyDescent="0.2">
      <c r="B2138" s="711">
        <v>46222</v>
      </c>
      <c r="C2138" s="105" t="s">
        <v>22</v>
      </c>
      <c r="D2138" s="105" t="s">
        <v>20</v>
      </c>
      <c r="E2138" s="711">
        <v>46222</v>
      </c>
      <c r="G2138" s="833">
        <v>46222</v>
      </c>
      <c r="H2138" s="60" t="s">
        <v>16</v>
      </c>
      <c r="I2138" s="60" t="s">
        <v>83</v>
      </c>
      <c r="J2138" s="60">
        <f>SUM(K2138:P2138)</f>
        <v>55</v>
      </c>
      <c r="K2138" s="60">
        <v>11</v>
      </c>
      <c r="L2138" s="60">
        <v>21</v>
      </c>
      <c r="M2138" s="60">
        <v>0</v>
      </c>
      <c r="N2138" s="60">
        <v>0</v>
      </c>
      <c r="O2138" s="60">
        <v>20</v>
      </c>
      <c r="P2138" s="60">
        <v>3</v>
      </c>
      <c r="Q2138" s="182">
        <f t="shared" ref="Q2138:Q2143" si="2622">(K2138+L2138)/J2138</f>
        <v>0.58181818181818179</v>
      </c>
      <c r="R2138" s="183">
        <f t="shared" si="2617"/>
        <v>0</v>
      </c>
      <c r="S2138" s="183">
        <f t="shared" si="2618"/>
        <v>5.4545454545454543E-2</v>
      </c>
      <c r="T2138" s="183">
        <f t="shared" si="2619"/>
        <v>0.36363636363636365</v>
      </c>
      <c r="U2138" s="184">
        <f t="shared" si="2620"/>
        <v>1</v>
      </c>
    </row>
    <row r="2139" spans="2:22" ht="15.75" hidden="1" x14ac:dyDescent="0.2">
      <c r="B2139" s="711">
        <v>46222</v>
      </c>
      <c r="C2139" s="105" t="s">
        <v>22</v>
      </c>
      <c r="D2139" s="105" t="s">
        <v>20</v>
      </c>
      <c r="E2139" s="711">
        <v>46222</v>
      </c>
      <c r="G2139" s="834"/>
      <c r="H2139" s="60" t="s">
        <v>120</v>
      </c>
      <c r="I2139" s="60" t="s">
        <v>22</v>
      </c>
      <c r="J2139" s="60">
        <f t="shared" ref="J2139:J2140" si="2623">SUM(K2139:P2139)</f>
        <v>3</v>
      </c>
      <c r="K2139" s="60">
        <v>3</v>
      </c>
      <c r="L2139" s="60">
        <v>0</v>
      </c>
      <c r="M2139" s="60">
        <v>0</v>
      </c>
      <c r="N2139" s="60">
        <v>0</v>
      </c>
      <c r="O2139" s="60">
        <v>0</v>
      </c>
      <c r="P2139" s="60">
        <v>0</v>
      </c>
      <c r="Q2139" s="182">
        <f t="shared" si="2622"/>
        <v>1</v>
      </c>
      <c r="R2139" s="183">
        <f t="shared" si="2617"/>
        <v>0</v>
      </c>
      <c r="S2139" s="183">
        <f t="shared" si="2618"/>
        <v>0</v>
      </c>
      <c r="T2139" s="183">
        <f t="shared" si="2619"/>
        <v>0</v>
      </c>
      <c r="U2139" s="184">
        <f t="shared" si="2620"/>
        <v>1</v>
      </c>
    </row>
    <row r="2140" spans="2:22" ht="15.75" hidden="1" x14ac:dyDescent="0.2">
      <c r="B2140" s="711">
        <v>46222</v>
      </c>
      <c r="C2140" s="105" t="s">
        <v>22</v>
      </c>
      <c r="D2140" s="105" t="s">
        <v>20</v>
      </c>
      <c r="E2140" s="711">
        <v>46222</v>
      </c>
      <c r="G2140" s="834"/>
      <c r="H2140" s="60" t="s">
        <v>17</v>
      </c>
      <c r="I2140" s="60" t="s">
        <v>22</v>
      </c>
      <c r="J2140" s="60">
        <f t="shared" si="2623"/>
        <v>9</v>
      </c>
      <c r="K2140" s="60">
        <v>6</v>
      </c>
      <c r="L2140" s="60">
        <v>3</v>
      </c>
      <c r="M2140" s="60">
        <v>0</v>
      </c>
      <c r="N2140" s="312">
        <v>0</v>
      </c>
      <c r="O2140" s="60">
        <v>0</v>
      </c>
      <c r="P2140" s="312">
        <v>0</v>
      </c>
      <c r="Q2140" s="182">
        <f t="shared" si="2622"/>
        <v>1</v>
      </c>
      <c r="R2140" s="183">
        <f t="shared" si="2617"/>
        <v>0</v>
      </c>
      <c r="S2140" s="183">
        <f t="shared" si="2618"/>
        <v>0</v>
      </c>
      <c r="T2140" s="183">
        <f t="shared" si="2619"/>
        <v>0</v>
      </c>
      <c r="U2140" s="184">
        <f t="shared" si="2620"/>
        <v>1</v>
      </c>
    </row>
    <row r="2141" spans="2:22" ht="15.75" hidden="1" x14ac:dyDescent="0.2">
      <c r="B2141" s="711">
        <v>46222</v>
      </c>
      <c r="C2141" s="105" t="s">
        <v>22</v>
      </c>
      <c r="D2141" s="105" t="s">
        <v>20</v>
      </c>
      <c r="E2141" s="711">
        <v>46222</v>
      </c>
      <c r="G2141" s="835"/>
      <c r="H2141" s="60" t="s">
        <v>84</v>
      </c>
      <c r="I2141" s="60" t="s">
        <v>27</v>
      </c>
      <c r="J2141" s="60">
        <f t="shared" ref="J2141:J2142" si="2624">SUM(K2141:P2141)</f>
        <v>167</v>
      </c>
      <c r="K2141" s="60">
        <v>0</v>
      </c>
      <c r="L2141" s="60">
        <v>0</v>
      </c>
      <c r="M2141" s="60">
        <v>89</v>
      </c>
      <c r="N2141" s="312">
        <v>49</v>
      </c>
      <c r="O2141" s="60">
        <v>10</v>
      </c>
      <c r="P2141" s="312">
        <v>19</v>
      </c>
      <c r="Q2141" s="182">
        <f t="shared" si="2622"/>
        <v>0</v>
      </c>
      <c r="R2141" s="183">
        <f t="shared" si="2617"/>
        <v>0.29341317365269459</v>
      </c>
      <c r="S2141" s="183">
        <f t="shared" si="2618"/>
        <v>0.11377245508982035</v>
      </c>
      <c r="T2141" s="183">
        <f t="shared" si="2619"/>
        <v>5.9880239520958084E-2</v>
      </c>
      <c r="U2141" s="184">
        <f t="shared" si="2620"/>
        <v>0.46706586826347307</v>
      </c>
    </row>
    <row r="2142" spans="2:22" ht="15.75" hidden="1" x14ac:dyDescent="0.2">
      <c r="B2142" s="711">
        <v>46222</v>
      </c>
      <c r="C2142" s="105" t="s">
        <v>22</v>
      </c>
      <c r="D2142" s="105" t="s">
        <v>20</v>
      </c>
      <c r="E2142" s="711">
        <v>46222</v>
      </c>
      <c r="G2142" s="830">
        <v>46223</v>
      </c>
      <c r="H2142" s="60" t="s">
        <v>180</v>
      </c>
      <c r="I2142" s="60" t="s">
        <v>22</v>
      </c>
      <c r="J2142" s="60">
        <f t="shared" si="2624"/>
        <v>280</v>
      </c>
      <c r="K2142" s="60">
        <v>3</v>
      </c>
      <c r="L2142" s="60">
        <v>0</v>
      </c>
      <c r="M2142" s="60">
        <v>206</v>
      </c>
      <c r="N2142" s="312">
        <v>24</v>
      </c>
      <c r="O2142" s="60">
        <v>0</v>
      </c>
      <c r="P2142" s="312">
        <v>47</v>
      </c>
      <c r="Q2142" s="182">
        <f t="shared" si="2622"/>
        <v>1.0714285714285714E-2</v>
      </c>
      <c r="R2142" s="183">
        <f t="shared" si="2617"/>
        <v>8.5714285714285715E-2</v>
      </c>
      <c r="S2142" s="183">
        <f t="shared" si="2618"/>
        <v>0.16785714285714284</v>
      </c>
      <c r="T2142" s="183">
        <f t="shared" si="2619"/>
        <v>0</v>
      </c>
      <c r="U2142" s="184">
        <f t="shared" si="2620"/>
        <v>0.26428571428571429</v>
      </c>
    </row>
    <row r="2143" spans="2:22" ht="15.75" hidden="1" x14ac:dyDescent="0.2">
      <c r="B2143" s="711">
        <v>46222</v>
      </c>
      <c r="C2143" s="105" t="s">
        <v>22</v>
      </c>
      <c r="D2143" s="105" t="s">
        <v>20</v>
      </c>
      <c r="E2143" s="711">
        <v>46222</v>
      </c>
      <c r="G2143" s="832"/>
      <c r="H2143" s="60" t="s">
        <v>118</v>
      </c>
      <c r="I2143" s="60" t="s">
        <v>27</v>
      </c>
      <c r="J2143" s="60">
        <f t="shared" ref="J2143" si="2625">SUM(K2143:P2143)</f>
        <v>209</v>
      </c>
      <c r="K2143" s="60">
        <v>60</v>
      </c>
      <c r="L2143" s="60">
        <v>5</v>
      </c>
      <c r="M2143" s="60">
        <v>77</v>
      </c>
      <c r="N2143" s="312">
        <v>43</v>
      </c>
      <c r="O2143" s="60">
        <v>5</v>
      </c>
      <c r="P2143" s="312">
        <v>19</v>
      </c>
      <c r="Q2143" s="182">
        <f t="shared" si="2622"/>
        <v>0.31100478468899523</v>
      </c>
      <c r="R2143" s="183">
        <f t="shared" si="2617"/>
        <v>0.20574162679425836</v>
      </c>
      <c r="S2143" s="183">
        <f t="shared" si="2618"/>
        <v>9.0909090909090912E-2</v>
      </c>
      <c r="T2143" s="183">
        <f t="shared" si="2619"/>
        <v>2.3923444976076555E-2</v>
      </c>
      <c r="U2143" s="184">
        <f t="shared" si="2620"/>
        <v>0.63157894736842102</v>
      </c>
    </row>
    <row r="2144" spans="2:22" ht="15.75" hidden="1" x14ac:dyDescent="0.2">
      <c r="B2144" s="711">
        <v>46222</v>
      </c>
      <c r="C2144" s="105" t="s">
        <v>12</v>
      </c>
      <c r="D2144" s="105" t="s">
        <v>13</v>
      </c>
      <c r="E2144" s="711">
        <v>46222</v>
      </c>
      <c r="G2144" s="190"/>
      <c r="H2144" s="775" t="s">
        <v>19</v>
      </c>
      <c r="I2144" s="777"/>
      <c r="J2144" s="190">
        <f t="shared" ref="J2144:P2144" si="2626">SUBTOTAL(9,J2138:J2143)</f>
        <v>0</v>
      </c>
      <c r="K2144" s="190">
        <f t="shared" si="2626"/>
        <v>0</v>
      </c>
      <c r="L2144" s="190">
        <f t="shared" si="2626"/>
        <v>0</v>
      </c>
      <c r="M2144" s="190">
        <f t="shared" si="2626"/>
        <v>0</v>
      </c>
      <c r="N2144" s="190">
        <f t="shared" si="2626"/>
        <v>0</v>
      </c>
      <c r="O2144" s="190">
        <f t="shared" si="2626"/>
        <v>0</v>
      </c>
      <c r="P2144" s="190">
        <f t="shared" si="2626"/>
        <v>0</v>
      </c>
      <c r="Q2144" s="191" t="e">
        <f>(K2144+L2144)/J2144</f>
        <v>#DIV/0!</v>
      </c>
      <c r="R2144" s="192" t="e">
        <f t="shared" si="2617"/>
        <v>#DIV/0!</v>
      </c>
      <c r="S2144" s="192" t="e">
        <f t="shared" si="2618"/>
        <v>#DIV/0!</v>
      </c>
      <c r="T2144" s="192" t="e">
        <f t="shared" si="2619"/>
        <v>#DIV/0!</v>
      </c>
      <c r="U2144" s="193" t="e">
        <f t="shared" si="2620"/>
        <v>#DIV/0!</v>
      </c>
      <c r="V2144" s="213"/>
    </row>
    <row r="2145" spans="2:22" ht="22.5" hidden="1" customHeight="1" x14ac:dyDescent="0.2">
      <c r="B2145" s="711">
        <v>46225</v>
      </c>
      <c r="C2145" s="105" t="s">
        <v>12</v>
      </c>
      <c r="D2145" s="105" t="s">
        <v>13</v>
      </c>
      <c r="E2145" s="711">
        <v>46222</v>
      </c>
      <c r="G2145" s="714">
        <v>46222</v>
      </c>
      <c r="H2145" s="60" t="s">
        <v>84</v>
      </c>
      <c r="I2145" s="60" t="s">
        <v>27</v>
      </c>
      <c r="J2145" s="60">
        <v>167</v>
      </c>
      <c r="K2145" s="60">
        <v>1</v>
      </c>
      <c r="L2145" s="60">
        <v>0</v>
      </c>
      <c r="M2145" s="60">
        <v>88</v>
      </c>
      <c r="N2145" s="312">
        <v>49</v>
      </c>
      <c r="O2145" s="60">
        <v>10</v>
      </c>
      <c r="P2145" s="312">
        <v>19</v>
      </c>
      <c r="Q2145" s="182">
        <f t="shared" ref="Q2145" si="2627">(K2145+L2145)/J2145</f>
        <v>5.9880239520958087E-3</v>
      </c>
      <c r="R2145" s="183">
        <f t="shared" ref="R2145:R2149" si="2628">N2145/J2145</f>
        <v>0.29341317365269459</v>
      </c>
      <c r="S2145" s="183">
        <f t="shared" ref="S2145:S2149" si="2629">P2145/J2145</f>
        <v>0.11377245508982035</v>
      </c>
      <c r="T2145" s="183">
        <f t="shared" ref="T2145:T2149" si="2630">O2145/J2145</f>
        <v>5.9880239520958084E-2</v>
      </c>
      <c r="U2145" s="184">
        <f t="shared" ref="U2145:U2149" si="2631">S2145+R2145+Q2145+T2145</f>
        <v>0.47305389221556882</v>
      </c>
    </row>
    <row r="2146" spans="2:22" ht="15.75" hidden="1" x14ac:dyDescent="0.2">
      <c r="B2146" s="711">
        <v>46226</v>
      </c>
      <c r="C2146" s="105" t="s">
        <v>12</v>
      </c>
      <c r="D2146" s="105" t="s">
        <v>13</v>
      </c>
      <c r="E2146" s="711">
        <v>46223</v>
      </c>
      <c r="G2146" s="830">
        <v>46223</v>
      </c>
      <c r="H2146" s="60" t="s">
        <v>16</v>
      </c>
      <c r="I2146" s="60" t="s">
        <v>83</v>
      </c>
      <c r="J2146" s="60">
        <v>223</v>
      </c>
      <c r="K2146" s="60">
        <v>12</v>
      </c>
      <c r="L2146" s="60">
        <v>4</v>
      </c>
      <c r="M2146" s="60">
        <v>165</v>
      </c>
      <c r="N2146" s="312">
        <v>19</v>
      </c>
      <c r="O2146" s="60">
        <v>20</v>
      </c>
      <c r="P2146" s="312">
        <v>3</v>
      </c>
      <c r="Q2146" s="182">
        <f t="shared" ref="Q2146:Q2148" si="2632">(K2146+L2146)/J2146</f>
        <v>7.1748878923766815E-2</v>
      </c>
      <c r="R2146" s="183">
        <f t="shared" ref="R2146:R2148" si="2633">N2146/J2146</f>
        <v>8.520179372197309E-2</v>
      </c>
      <c r="S2146" s="183">
        <f t="shared" ref="S2146:S2148" si="2634">P2146/J2146</f>
        <v>1.3452914798206279E-2</v>
      </c>
      <c r="T2146" s="183">
        <f t="shared" ref="T2146:T2148" si="2635">O2146/J2146</f>
        <v>8.9686098654708515E-2</v>
      </c>
      <c r="U2146" s="184">
        <f t="shared" ref="U2146:U2148" si="2636">S2146+R2146+Q2146+T2146</f>
        <v>0.26008968609865468</v>
      </c>
    </row>
    <row r="2147" spans="2:22" ht="15.75" hidden="1" x14ac:dyDescent="0.2">
      <c r="B2147" s="711">
        <v>46222</v>
      </c>
      <c r="C2147" s="105" t="s">
        <v>12</v>
      </c>
      <c r="D2147" s="105" t="s">
        <v>13</v>
      </c>
      <c r="E2147" s="711">
        <v>46223</v>
      </c>
      <c r="G2147" s="831"/>
      <c r="H2147" s="60" t="s">
        <v>186</v>
      </c>
      <c r="I2147" s="60" t="s">
        <v>22</v>
      </c>
      <c r="J2147" s="60">
        <v>277</v>
      </c>
      <c r="K2147" s="60">
        <v>33</v>
      </c>
      <c r="L2147" s="60">
        <v>7</v>
      </c>
      <c r="M2147" s="60">
        <v>87</v>
      </c>
      <c r="N2147" s="312">
        <v>116</v>
      </c>
      <c r="O2147" s="60">
        <v>0</v>
      </c>
      <c r="P2147" s="312">
        <v>34</v>
      </c>
      <c r="Q2147" s="182">
        <f t="shared" si="2632"/>
        <v>0.1444043321299639</v>
      </c>
      <c r="R2147" s="183">
        <f t="shared" si="2633"/>
        <v>0.41877256317689532</v>
      </c>
      <c r="S2147" s="183">
        <f t="shared" si="2634"/>
        <v>0.12274368231046931</v>
      </c>
      <c r="T2147" s="183">
        <f t="shared" si="2635"/>
        <v>0</v>
      </c>
      <c r="U2147" s="184">
        <f t="shared" si="2636"/>
        <v>0.6859205776173285</v>
      </c>
    </row>
    <row r="2148" spans="2:22" ht="15.75" hidden="1" x14ac:dyDescent="0.2">
      <c r="B2148" s="711">
        <v>46222</v>
      </c>
      <c r="C2148" s="105" t="s">
        <v>12</v>
      </c>
      <c r="D2148" s="105" t="s">
        <v>13</v>
      </c>
      <c r="E2148" s="711">
        <v>46223</v>
      </c>
      <c r="G2148" s="832"/>
      <c r="H2148" s="60" t="s">
        <v>118</v>
      </c>
      <c r="I2148" s="60" t="s">
        <v>27</v>
      </c>
      <c r="J2148" s="60">
        <v>209</v>
      </c>
      <c r="K2148" s="60">
        <v>142</v>
      </c>
      <c r="L2148" s="60">
        <v>31</v>
      </c>
      <c r="M2148" s="60">
        <v>3</v>
      </c>
      <c r="N2148" s="312">
        <v>15</v>
      </c>
      <c r="O2148" s="60">
        <v>5</v>
      </c>
      <c r="P2148" s="312">
        <v>13</v>
      </c>
      <c r="Q2148" s="182">
        <f t="shared" si="2632"/>
        <v>0.82775119617224879</v>
      </c>
      <c r="R2148" s="183">
        <f t="shared" si="2633"/>
        <v>7.1770334928229665E-2</v>
      </c>
      <c r="S2148" s="183">
        <f t="shared" si="2634"/>
        <v>6.2200956937799042E-2</v>
      </c>
      <c r="T2148" s="183">
        <f t="shared" si="2635"/>
        <v>2.3923444976076555E-2</v>
      </c>
      <c r="U2148" s="184">
        <f t="shared" si="2636"/>
        <v>0.9856459330143541</v>
      </c>
    </row>
    <row r="2149" spans="2:22" ht="15.75" hidden="1" x14ac:dyDescent="0.2">
      <c r="B2149" s="711">
        <v>46222</v>
      </c>
      <c r="C2149" s="105" t="s">
        <v>12</v>
      </c>
      <c r="D2149" s="105" t="s">
        <v>13</v>
      </c>
      <c r="E2149" s="711">
        <v>46223</v>
      </c>
      <c r="G2149" s="190"/>
      <c r="H2149" s="775" t="s">
        <v>19</v>
      </c>
      <c r="I2149" s="777"/>
      <c r="J2149" s="190">
        <f>SUM(J2145:J2148)</f>
        <v>876</v>
      </c>
      <c r="K2149" s="190">
        <f t="shared" ref="K2149:P2149" si="2637">SUM(K2145:K2148)</f>
        <v>188</v>
      </c>
      <c r="L2149" s="190">
        <f t="shared" si="2637"/>
        <v>42</v>
      </c>
      <c r="M2149" s="190">
        <f t="shared" si="2637"/>
        <v>343</v>
      </c>
      <c r="N2149" s="190">
        <f t="shared" si="2637"/>
        <v>199</v>
      </c>
      <c r="O2149" s="190">
        <f t="shared" si="2637"/>
        <v>35</v>
      </c>
      <c r="P2149" s="190">
        <f t="shared" si="2637"/>
        <v>69</v>
      </c>
      <c r="Q2149" s="191">
        <f>(K2149+L2149)/J2149</f>
        <v>0.26255707762557079</v>
      </c>
      <c r="R2149" s="192">
        <f t="shared" si="2628"/>
        <v>0.2271689497716895</v>
      </c>
      <c r="S2149" s="192">
        <f t="shared" si="2629"/>
        <v>7.8767123287671229E-2</v>
      </c>
      <c r="T2149" s="192">
        <f t="shared" si="2630"/>
        <v>3.9954337899543377E-2</v>
      </c>
      <c r="U2149" s="193">
        <f t="shared" si="2631"/>
        <v>0.60844748858447495</v>
      </c>
      <c r="V2149" s="213"/>
    </row>
    <row r="2150" spans="2:22" ht="15.75" hidden="1" x14ac:dyDescent="0.2">
      <c r="B2150" s="711">
        <v>46225</v>
      </c>
      <c r="C2150" s="105" t="s">
        <v>18</v>
      </c>
      <c r="D2150" s="105" t="s">
        <v>163</v>
      </c>
      <c r="E2150" s="711">
        <v>46222</v>
      </c>
      <c r="G2150" s="714">
        <v>46222</v>
      </c>
      <c r="H2150" s="60" t="s">
        <v>84</v>
      </c>
      <c r="I2150" s="60" t="s">
        <v>27</v>
      </c>
      <c r="J2150" s="60">
        <v>167</v>
      </c>
      <c r="K2150" s="60">
        <f>167-2-2-10-27</f>
        <v>126</v>
      </c>
      <c r="L2150" s="60">
        <v>2</v>
      </c>
      <c r="M2150" s="60">
        <v>2</v>
      </c>
      <c r="N2150" s="312">
        <v>0</v>
      </c>
      <c r="O2150" s="60">
        <v>10</v>
      </c>
      <c r="P2150" s="312">
        <v>27</v>
      </c>
      <c r="Q2150" s="182">
        <f t="shared" ref="Q2150:Q2154" si="2638">(K2150+L2150)/J2150</f>
        <v>0.76646706586826352</v>
      </c>
      <c r="R2150" s="183">
        <f t="shared" ref="R2150:R2155" si="2639">N2150/J2150</f>
        <v>0</v>
      </c>
      <c r="S2150" s="183">
        <f t="shared" ref="S2150:S2155" si="2640">P2150/J2150</f>
        <v>0.16167664670658682</v>
      </c>
      <c r="T2150" s="183">
        <f t="shared" ref="T2150:T2155" si="2641">O2150/J2150</f>
        <v>5.9880239520958084E-2</v>
      </c>
      <c r="U2150" s="184">
        <f t="shared" ref="U2150:U2155" si="2642">S2150+R2150+Q2150+T2150</f>
        <v>0.98802395209580851</v>
      </c>
    </row>
    <row r="2151" spans="2:22" ht="15.75" hidden="1" customHeight="1" x14ac:dyDescent="0.2">
      <c r="B2151" s="711">
        <v>46222</v>
      </c>
      <c r="C2151" s="105" t="s">
        <v>18</v>
      </c>
      <c r="D2151" s="105" t="s">
        <v>163</v>
      </c>
      <c r="E2151" s="711">
        <v>46223</v>
      </c>
      <c r="G2151" s="395">
        <v>46226</v>
      </c>
      <c r="H2151" s="60" t="s">
        <v>186</v>
      </c>
      <c r="I2151" s="60" t="s">
        <v>22</v>
      </c>
      <c r="J2151" s="60">
        <v>277</v>
      </c>
      <c r="K2151" s="60">
        <f>277-3-34-25</f>
        <v>215</v>
      </c>
      <c r="L2151" s="60">
        <v>27</v>
      </c>
      <c r="M2151" s="60">
        <v>3</v>
      </c>
      <c r="N2151" s="312">
        <v>0</v>
      </c>
      <c r="O2151" s="60">
        <v>0</v>
      </c>
      <c r="P2151" s="312">
        <v>34</v>
      </c>
      <c r="Q2151" s="182">
        <f t="shared" si="2638"/>
        <v>0.87364620938628157</v>
      </c>
      <c r="R2151" s="183">
        <f t="shared" si="2639"/>
        <v>0</v>
      </c>
      <c r="S2151" s="183">
        <f t="shared" si="2640"/>
        <v>0.12274368231046931</v>
      </c>
      <c r="T2151" s="183">
        <f t="shared" si="2641"/>
        <v>0</v>
      </c>
      <c r="U2151" s="184">
        <f t="shared" si="2642"/>
        <v>0.99638989169675085</v>
      </c>
    </row>
    <row r="2152" spans="2:22" ht="15.75" hidden="1" customHeight="1" x14ac:dyDescent="0.2">
      <c r="B2152" s="711">
        <v>46222</v>
      </c>
      <c r="C2152" s="105" t="s">
        <v>18</v>
      </c>
      <c r="D2152" s="105" t="s">
        <v>163</v>
      </c>
      <c r="E2152" s="711">
        <v>46223</v>
      </c>
      <c r="G2152" s="395"/>
      <c r="H2152" s="60" t="s">
        <v>120</v>
      </c>
      <c r="I2152" s="60" t="s">
        <v>15</v>
      </c>
      <c r="J2152" s="60">
        <v>28</v>
      </c>
      <c r="K2152" s="60">
        <v>0</v>
      </c>
      <c r="L2152" s="60">
        <v>0</v>
      </c>
      <c r="M2152" s="60">
        <v>2</v>
      </c>
      <c r="N2152" s="312">
        <v>26</v>
      </c>
      <c r="O2152" s="60">
        <v>0</v>
      </c>
      <c r="P2152" s="312">
        <v>0</v>
      </c>
      <c r="Q2152" s="182">
        <f t="shared" ref="Q2152" si="2643">(K2152+L2152)/J2152</f>
        <v>0</v>
      </c>
      <c r="R2152" s="183">
        <f t="shared" ref="R2152" si="2644">N2152/J2152</f>
        <v>0.9285714285714286</v>
      </c>
      <c r="S2152" s="183">
        <f t="shared" ref="S2152" si="2645">P2152/J2152</f>
        <v>0</v>
      </c>
      <c r="T2152" s="183">
        <f t="shared" ref="T2152" si="2646">O2152/J2152</f>
        <v>0</v>
      </c>
      <c r="U2152" s="184">
        <f t="shared" ref="U2152" si="2647">S2152+R2152+Q2152+T2152</f>
        <v>0.9285714285714286</v>
      </c>
    </row>
    <row r="2153" spans="2:22" ht="15.75" hidden="1" customHeight="1" x14ac:dyDescent="0.2">
      <c r="B2153" s="711">
        <v>46222</v>
      </c>
      <c r="C2153" s="105" t="s">
        <v>18</v>
      </c>
      <c r="D2153" s="105" t="s">
        <v>163</v>
      </c>
      <c r="E2153" s="711">
        <v>46223</v>
      </c>
      <c r="G2153" s="395"/>
      <c r="H2153" s="60" t="s">
        <v>183</v>
      </c>
      <c r="I2153" s="60" t="s">
        <v>15</v>
      </c>
      <c r="J2153" s="60">
        <v>47</v>
      </c>
      <c r="K2153" s="60">
        <v>0</v>
      </c>
      <c r="L2153" s="60">
        <v>0</v>
      </c>
      <c r="M2153" s="60">
        <v>35</v>
      </c>
      <c r="N2153" s="312">
        <v>12</v>
      </c>
      <c r="O2153" s="60">
        <v>0</v>
      </c>
      <c r="P2153" s="312">
        <v>34</v>
      </c>
      <c r="Q2153" s="182">
        <f t="shared" ref="Q2153" si="2648">(K2153+L2153)/J2153</f>
        <v>0</v>
      </c>
      <c r="R2153" s="183">
        <f t="shared" ref="R2153" si="2649">N2153/J2153</f>
        <v>0.25531914893617019</v>
      </c>
      <c r="S2153" s="183">
        <f t="shared" ref="S2153" si="2650">P2153/J2153</f>
        <v>0.72340425531914898</v>
      </c>
      <c r="T2153" s="183">
        <f t="shared" ref="T2153" si="2651">O2153/J2153</f>
        <v>0</v>
      </c>
      <c r="U2153" s="184">
        <f t="shared" ref="U2153" si="2652">S2153+R2153+Q2153+T2153</f>
        <v>0.97872340425531923</v>
      </c>
    </row>
    <row r="2154" spans="2:22" ht="15.75" hidden="1" customHeight="1" x14ac:dyDescent="0.2">
      <c r="B2154" s="711">
        <v>46222</v>
      </c>
      <c r="C2154" s="105" t="s">
        <v>18</v>
      </c>
      <c r="D2154" s="105" t="s">
        <v>163</v>
      </c>
      <c r="E2154" s="711">
        <v>46223</v>
      </c>
      <c r="G2154" s="395"/>
      <c r="H2154" s="60" t="s">
        <v>118</v>
      </c>
      <c r="I2154" s="60" t="s">
        <v>27</v>
      </c>
      <c r="J2154" s="60">
        <v>209</v>
      </c>
      <c r="K2154" s="60">
        <f>209-22-3-5-13</f>
        <v>166</v>
      </c>
      <c r="L2154" s="60">
        <v>22</v>
      </c>
      <c r="M2154" s="60">
        <v>3</v>
      </c>
      <c r="N2154" s="312">
        <v>0</v>
      </c>
      <c r="O2154" s="60">
        <v>5</v>
      </c>
      <c r="P2154" s="312">
        <v>13</v>
      </c>
      <c r="Q2154" s="182">
        <f t="shared" si="2638"/>
        <v>0.8995215311004785</v>
      </c>
      <c r="R2154" s="183">
        <f t="shared" si="2639"/>
        <v>0</v>
      </c>
      <c r="S2154" s="183">
        <f t="shared" si="2640"/>
        <v>6.2200956937799042E-2</v>
      </c>
      <c r="T2154" s="183">
        <f t="shared" si="2641"/>
        <v>2.3923444976076555E-2</v>
      </c>
      <c r="U2154" s="184">
        <f t="shared" si="2642"/>
        <v>0.9856459330143541</v>
      </c>
    </row>
    <row r="2155" spans="2:22" ht="15.75" hidden="1" customHeight="1" x14ac:dyDescent="0.2">
      <c r="B2155" s="711">
        <v>46222</v>
      </c>
      <c r="C2155" s="105" t="s">
        <v>18</v>
      </c>
      <c r="D2155" s="105" t="s">
        <v>163</v>
      </c>
      <c r="E2155" s="711">
        <v>46223</v>
      </c>
      <c r="G2155" s="395"/>
      <c r="H2155" s="775" t="s">
        <v>19</v>
      </c>
      <c r="I2155" s="777"/>
      <c r="J2155" s="190">
        <f t="shared" ref="J2155:P2155" si="2653">SUM(J2150:J2154)</f>
        <v>728</v>
      </c>
      <c r="K2155" s="190">
        <f t="shared" si="2653"/>
        <v>507</v>
      </c>
      <c r="L2155" s="190">
        <f t="shared" si="2653"/>
        <v>51</v>
      </c>
      <c r="M2155" s="190">
        <f t="shared" si="2653"/>
        <v>45</v>
      </c>
      <c r="N2155" s="190">
        <f t="shared" si="2653"/>
        <v>38</v>
      </c>
      <c r="O2155" s="190">
        <f t="shared" si="2653"/>
        <v>15</v>
      </c>
      <c r="P2155" s="190">
        <f t="shared" si="2653"/>
        <v>108</v>
      </c>
      <c r="Q2155" s="191">
        <f>(K2155+L2155)/J2155</f>
        <v>0.76648351648351654</v>
      </c>
      <c r="R2155" s="192">
        <f t="shared" si="2639"/>
        <v>5.21978021978022E-2</v>
      </c>
      <c r="S2155" s="192">
        <f t="shared" si="2640"/>
        <v>0.14835164835164835</v>
      </c>
      <c r="T2155" s="192">
        <f t="shared" si="2641"/>
        <v>2.0604395604395604E-2</v>
      </c>
      <c r="U2155" s="193">
        <f t="shared" si="2642"/>
        <v>0.98763736263736279</v>
      </c>
      <c r="V2155" s="213"/>
    </row>
    <row r="2156" spans="2:22" ht="15.75" hidden="1" customHeight="1" x14ac:dyDescent="0.2">
      <c r="B2156" s="711">
        <v>46223</v>
      </c>
      <c r="C2156" s="711" t="s">
        <v>22</v>
      </c>
      <c r="D2156" s="711" t="s">
        <v>20</v>
      </c>
      <c r="E2156" s="711">
        <v>46223</v>
      </c>
      <c r="G2156" s="395"/>
      <c r="H2156" s="60" t="s">
        <v>16</v>
      </c>
      <c r="I2156" s="60" t="s">
        <v>83</v>
      </c>
      <c r="J2156" s="60">
        <v>223</v>
      </c>
      <c r="K2156" s="60">
        <f>223-66</f>
        <v>157</v>
      </c>
      <c r="L2156" s="60">
        <v>44</v>
      </c>
      <c r="M2156" s="60">
        <v>0</v>
      </c>
      <c r="N2156" s="312">
        <v>0</v>
      </c>
      <c r="O2156" s="60">
        <v>20</v>
      </c>
      <c r="P2156" s="312">
        <v>2</v>
      </c>
      <c r="Q2156" s="182">
        <f t="shared" ref="Q2156:Q2160" si="2654">(K2156+L2156)/J2156</f>
        <v>0.90134529147982068</v>
      </c>
      <c r="R2156" s="183">
        <f t="shared" ref="R2156:R2161" si="2655">N2156/J2156</f>
        <v>0</v>
      </c>
      <c r="S2156" s="183">
        <f t="shared" ref="S2156:S2161" si="2656">P2156/J2156</f>
        <v>8.9686098654708519E-3</v>
      </c>
      <c r="T2156" s="183">
        <f t="shared" ref="T2156:T2161" si="2657">O2156/J2156</f>
        <v>8.9686098654708515E-2</v>
      </c>
      <c r="U2156" s="184">
        <f t="shared" ref="U2156:U2161" si="2658">S2156+R2156+Q2156+T2156</f>
        <v>1</v>
      </c>
    </row>
    <row r="2157" spans="2:22" ht="15.75" hidden="1" customHeight="1" x14ac:dyDescent="0.2">
      <c r="B2157" s="711">
        <v>46223</v>
      </c>
      <c r="C2157" s="711" t="s">
        <v>22</v>
      </c>
      <c r="D2157" s="711" t="s">
        <v>20</v>
      </c>
      <c r="E2157" s="711">
        <v>46223</v>
      </c>
      <c r="G2157" s="395"/>
      <c r="H2157" s="60" t="s">
        <v>186</v>
      </c>
      <c r="I2157" s="60" t="s">
        <v>22</v>
      </c>
      <c r="J2157" s="60">
        <v>277</v>
      </c>
      <c r="K2157" s="60">
        <f>277-64</f>
        <v>213</v>
      </c>
      <c r="L2157" s="60">
        <v>27</v>
      </c>
      <c r="M2157" s="60">
        <v>3</v>
      </c>
      <c r="N2157" s="312">
        <v>0</v>
      </c>
      <c r="O2157" s="60">
        <v>0</v>
      </c>
      <c r="P2157" s="312">
        <v>34</v>
      </c>
      <c r="Q2157" s="182">
        <f t="shared" si="2654"/>
        <v>0.86642599277978338</v>
      </c>
      <c r="R2157" s="183">
        <f t="shared" si="2655"/>
        <v>0</v>
      </c>
      <c r="S2157" s="183">
        <f t="shared" si="2656"/>
        <v>0.12274368231046931</v>
      </c>
      <c r="T2157" s="183">
        <f t="shared" si="2657"/>
        <v>0</v>
      </c>
      <c r="U2157" s="184">
        <f t="shared" si="2658"/>
        <v>0.98916967509025266</v>
      </c>
    </row>
    <row r="2158" spans="2:22" ht="15.75" hidden="1" customHeight="1" x14ac:dyDescent="0.2">
      <c r="B2158" s="711">
        <v>46223</v>
      </c>
      <c r="C2158" s="711" t="s">
        <v>22</v>
      </c>
      <c r="D2158" s="711" t="s">
        <v>20</v>
      </c>
      <c r="E2158" s="711">
        <v>46223</v>
      </c>
      <c r="G2158" s="395"/>
      <c r="H2158" s="60" t="s">
        <v>120</v>
      </c>
      <c r="I2158" s="60" t="s">
        <v>15</v>
      </c>
      <c r="J2158" s="60">
        <v>28</v>
      </c>
      <c r="K2158" s="60">
        <v>0</v>
      </c>
      <c r="L2158" s="60">
        <v>0</v>
      </c>
      <c r="M2158" s="60">
        <v>2</v>
      </c>
      <c r="N2158" s="312">
        <v>26</v>
      </c>
      <c r="O2158" s="60">
        <v>0</v>
      </c>
      <c r="P2158" s="312">
        <v>0</v>
      </c>
      <c r="Q2158" s="182">
        <f t="shared" si="2654"/>
        <v>0</v>
      </c>
      <c r="R2158" s="183">
        <f t="shared" si="2655"/>
        <v>0.9285714285714286</v>
      </c>
      <c r="S2158" s="183">
        <f t="shared" si="2656"/>
        <v>0</v>
      </c>
      <c r="T2158" s="183">
        <f t="shared" si="2657"/>
        <v>0</v>
      </c>
      <c r="U2158" s="184">
        <f t="shared" si="2658"/>
        <v>0.9285714285714286</v>
      </c>
    </row>
    <row r="2159" spans="2:22" ht="15.75" hidden="1" customHeight="1" x14ac:dyDescent="0.2">
      <c r="B2159" s="711">
        <v>46223</v>
      </c>
      <c r="C2159" s="711" t="s">
        <v>22</v>
      </c>
      <c r="D2159" s="711" t="s">
        <v>20</v>
      </c>
      <c r="E2159" s="711">
        <v>46223</v>
      </c>
      <c r="G2159" s="395"/>
      <c r="H2159" s="60" t="s">
        <v>183</v>
      </c>
      <c r="I2159" s="60" t="s">
        <v>15</v>
      </c>
      <c r="J2159" s="60">
        <v>47</v>
      </c>
      <c r="K2159" s="60">
        <v>0</v>
      </c>
      <c r="L2159" s="60">
        <v>0</v>
      </c>
      <c r="M2159" s="60">
        <v>0</v>
      </c>
      <c r="N2159" s="312">
        <v>47</v>
      </c>
      <c r="O2159" s="60">
        <v>0</v>
      </c>
      <c r="P2159" s="312">
        <v>0</v>
      </c>
      <c r="Q2159" s="182">
        <f t="shared" si="2654"/>
        <v>0</v>
      </c>
      <c r="R2159" s="183">
        <f t="shared" si="2655"/>
        <v>1</v>
      </c>
      <c r="S2159" s="183">
        <f t="shared" si="2656"/>
        <v>0</v>
      </c>
      <c r="T2159" s="183">
        <f t="shared" si="2657"/>
        <v>0</v>
      </c>
      <c r="U2159" s="184">
        <f t="shared" si="2658"/>
        <v>1</v>
      </c>
    </row>
    <row r="2160" spans="2:22" ht="15.75" hidden="1" customHeight="1" x14ac:dyDescent="0.2">
      <c r="B2160" s="711">
        <v>46223</v>
      </c>
      <c r="C2160" s="711" t="s">
        <v>22</v>
      </c>
      <c r="D2160" s="711" t="s">
        <v>20</v>
      </c>
      <c r="E2160" s="711">
        <v>46223</v>
      </c>
      <c r="G2160" s="395"/>
      <c r="H2160" s="60" t="s">
        <v>118</v>
      </c>
      <c r="I2160" s="60" t="s">
        <v>27</v>
      </c>
      <c r="J2160" s="60">
        <v>209</v>
      </c>
      <c r="K2160" s="60">
        <f>209-45</f>
        <v>164</v>
      </c>
      <c r="L2160" s="60">
        <v>24</v>
      </c>
      <c r="M2160" s="60">
        <v>3</v>
      </c>
      <c r="N2160" s="312">
        <v>0</v>
      </c>
      <c r="O2160" s="60">
        <v>5</v>
      </c>
      <c r="P2160" s="312">
        <v>13</v>
      </c>
      <c r="Q2160" s="182">
        <f t="shared" si="2654"/>
        <v>0.8995215311004785</v>
      </c>
      <c r="R2160" s="183">
        <f t="shared" si="2655"/>
        <v>0</v>
      </c>
      <c r="S2160" s="183">
        <f t="shared" si="2656"/>
        <v>6.2200956937799042E-2</v>
      </c>
      <c r="T2160" s="183">
        <f t="shared" si="2657"/>
        <v>2.3923444976076555E-2</v>
      </c>
      <c r="U2160" s="184">
        <f t="shared" si="2658"/>
        <v>0.9856459330143541</v>
      </c>
    </row>
    <row r="2161" spans="2:22" ht="15.75" hidden="1" customHeight="1" x14ac:dyDescent="0.2">
      <c r="B2161" s="711">
        <v>46223</v>
      </c>
      <c r="C2161" s="711" t="s">
        <v>22</v>
      </c>
      <c r="D2161" s="711" t="s">
        <v>20</v>
      </c>
      <c r="E2161" s="711">
        <v>46223</v>
      </c>
      <c r="G2161" s="395"/>
      <c r="H2161" s="775" t="s">
        <v>19</v>
      </c>
      <c r="I2161" s="777"/>
      <c r="J2161" s="190">
        <f>SUM(J2155:J2160)</f>
        <v>1512</v>
      </c>
      <c r="K2161" s="190">
        <f t="shared" ref="K2161:P2161" si="2659">SUM(K2155:K2160)</f>
        <v>1041</v>
      </c>
      <c r="L2161" s="190">
        <f t="shared" si="2659"/>
        <v>146</v>
      </c>
      <c r="M2161" s="190">
        <f t="shared" si="2659"/>
        <v>53</v>
      </c>
      <c r="N2161" s="190">
        <f t="shared" si="2659"/>
        <v>111</v>
      </c>
      <c r="O2161" s="190">
        <f t="shared" si="2659"/>
        <v>40</v>
      </c>
      <c r="P2161" s="190">
        <f t="shared" si="2659"/>
        <v>157</v>
      </c>
      <c r="Q2161" s="191">
        <f>(K2161+L2161)/J2161</f>
        <v>0.78505291005291</v>
      </c>
      <c r="R2161" s="192">
        <f t="shared" si="2655"/>
        <v>7.3412698412698416E-2</v>
      </c>
      <c r="S2161" s="192">
        <f t="shared" si="2656"/>
        <v>0.10383597883597884</v>
      </c>
      <c r="T2161" s="192">
        <f t="shared" si="2657"/>
        <v>2.6455026455026454E-2</v>
      </c>
      <c r="U2161" s="193">
        <f t="shared" si="2658"/>
        <v>0.98875661375661372</v>
      </c>
      <c r="V2161" s="213"/>
    </row>
    <row r="2162" spans="2:22" ht="15.75" hidden="1" customHeight="1" x14ac:dyDescent="0.2">
      <c r="B2162" s="711">
        <v>46223</v>
      </c>
      <c r="C2162" s="711" t="s">
        <v>12</v>
      </c>
      <c r="D2162" s="711" t="s">
        <v>13</v>
      </c>
      <c r="E2162" s="711">
        <v>46224</v>
      </c>
      <c r="G2162" s="395"/>
      <c r="H2162" s="60" t="s">
        <v>16</v>
      </c>
      <c r="I2162" s="60" t="s">
        <v>83</v>
      </c>
      <c r="J2162" s="60">
        <v>223</v>
      </c>
      <c r="K2162" s="60">
        <v>45</v>
      </c>
      <c r="L2162" s="60">
        <v>13</v>
      </c>
      <c r="M2162" s="60">
        <v>110</v>
      </c>
      <c r="N2162" s="312">
        <v>47</v>
      </c>
      <c r="O2162" s="60">
        <v>0</v>
      </c>
      <c r="P2162" s="312">
        <v>8</v>
      </c>
      <c r="Q2162" s="182">
        <f t="shared" ref="Q2162:Q2163" si="2660">(K2162+L2162)/J2162</f>
        <v>0.26008968609865468</v>
      </c>
      <c r="R2162" s="183">
        <f t="shared" ref="R2162:R2168" si="2661">N2162/J2162</f>
        <v>0.21076233183856502</v>
      </c>
      <c r="S2162" s="183">
        <f t="shared" ref="S2162:S2168" si="2662">P2162/J2162</f>
        <v>3.5874439461883408E-2</v>
      </c>
      <c r="T2162" s="183">
        <f t="shared" ref="T2162:T2168" si="2663">O2162/J2162</f>
        <v>0</v>
      </c>
      <c r="U2162" s="184">
        <f t="shared" ref="U2162:U2168" si="2664">S2162+R2162+Q2162+T2162</f>
        <v>0.50672645739910305</v>
      </c>
    </row>
    <row r="2163" spans="2:22" ht="15.75" hidden="1" customHeight="1" x14ac:dyDescent="0.2">
      <c r="B2163" s="711">
        <v>46223</v>
      </c>
      <c r="C2163" s="711" t="s">
        <v>12</v>
      </c>
      <c r="D2163" s="711" t="s">
        <v>13</v>
      </c>
      <c r="E2163" s="711">
        <v>46224</v>
      </c>
      <c r="G2163" s="395"/>
      <c r="H2163" s="60" t="s">
        <v>186</v>
      </c>
      <c r="I2163" s="60" t="s">
        <v>22</v>
      </c>
      <c r="J2163" s="60">
        <v>123</v>
      </c>
      <c r="K2163" s="60">
        <v>0</v>
      </c>
      <c r="L2163" s="60">
        <v>0</v>
      </c>
      <c r="M2163" s="60">
        <v>118</v>
      </c>
      <c r="N2163" s="312">
        <v>0</v>
      </c>
      <c r="O2163" s="60">
        <v>0</v>
      </c>
      <c r="P2163" s="312">
        <v>5</v>
      </c>
      <c r="Q2163" s="182">
        <f t="shared" si="2660"/>
        <v>0</v>
      </c>
      <c r="R2163" s="183">
        <f t="shared" si="2661"/>
        <v>0</v>
      </c>
      <c r="S2163" s="183">
        <f t="shared" si="2662"/>
        <v>4.065040650406504E-2</v>
      </c>
      <c r="T2163" s="183">
        <f t="shared" si="2663"/>
        <v>0</v>
      </c>
      <c r="U2163" s="184">
        <f t="shared" si="2664"/>
        <v>4.065040650406504E-2</v>
      </c>
    </row>
    <row r="2164" spans="2:22" ht="15.75" hidden="1" customHeight="1" x14ac:dyDescent="0.2">
      <c r="B2164" s="711">
        <v>46223</v>
      </c>
      <c r="C2164" s="711" t="s">
        <v>12</v>
      </c>
      <c r="D2164" s="711" t="s">
        <v>13</v>
      </c>
      <c r="E2164" s="711">
        <v>46224</v>
      </c>
      <c r="G2164" s="395"/>
      <c r="H2164" s="775" t="s">
        <v>19</v>
      </c>
      <c r="I2164" s="777"/>
      <c r="J2164" s="190">
        <f>SUM(J2162:J2163)</f>
        <v>346</v>
      </c>
      <c r="K2164" s="190">
        <f t="shared" ref="K2164:P2164" si="2665">SUM(K2162:K2163)</f>
        <v>45</v>
      </c>
      <c r="L2164" s="190">
        <f t="shared" si="2665"/>
        <v>13</v>
      </c>
      <c r="M2164" s="190">
        <f t="shared" si="2665"/>
        <v>228</v>
      </c>
      <c r="N2164" s="190">
        <f t="shared" si="2665"/>
        <v>47</v>
      </c>
      <c r="O2164" s="190">
        <f t="shared" si="2665"/>
        <v>0</v>
      </c>
      <c r="P2164" s="190">
        <f t="shared" si="2665"/>
        <v>13</v>
      </c>
      <c r="Q2164" s="191">
        <f>(K2164+L2164)/J2164</f>
        <v>0.16763005780346821</v>
      </c>
      <c r="R2164" s="192">
        <f t="shared" si="2661"/>
        <v>0.13583815028901733</v>
      </c>
      <c r="S2164" s="192">
        <f t="shared" si="2662"/>
        <v>3.7572254335260118E-2</v>
      </c>
      <c r="T2164" s="192">
        <f t="shared" si="2663"/>
        <v>0</v>
      </c>
      <c r="U2164" s="193">
        <f t="shared" si="2664"/>
        <v>0.34104046242774566</v>
      </c>
      <c r="V2164" s="213"/>
    </row>
    <row r="2165" spans="2:22" ht="15.75" hidden="1" customHeight="1" x14ac:dyDescent="0.2">
      <c r="B2165" s="711">
        <v>46224</v>
      </c>
      <c r="C2165" s="711" t="s">
        <v>22</v>
      </c>
      <c r="D2165" s="711" t="s">
        <v>20</v>
      </c>
      <c r="E2165" s="711">
        <v>46224</v>
      </c>
      <c r="G2165" s="395"/>
      <c r="H2165" s="60" t="s">
        <v>16</v>
      </c>
      <c r="I2165" s="60" t="s">
        <v>15</v>
      </c>
      <c r="J2165" s="60">
        <f>SUM(K2165:P2165)</f>
        <v>181</v>
      </c>
      <c r="K2165" s="60">
        <v>116</v>
      </c>
      <c r="L2165" s="60">
        <v>50</v>
      </c>
      <c r="M2165" s="60">
        <v>0</v>
      </c>
      <c r="N2165" s="312">
        <v>0</v>
      </c>
      <c r="O2165" s="60">
        <v>8</v>
      </c>
      <c r="P2165" s="312">
        <v>7</v>
      </c>
      <c r="Q2165" s="182">
        <f t="shared" ref="Q2165:Q2167" si="2666">(K2165+L2165)/J2165</f>
        <v>0.91712707182320441</v>
      </c>
      <c r="R2165" s="183">
        <f t="shared" si="2661"/>
        <v>0</v>
      </c>
      <c r="S2165" s="183">
        <f t="shared" si="2662"/>
        <v>3.8674033149171269E-2</v>
      </c>
      <c r="T2165" s="183">
        <f t="shared" si="2663"/>
        <v>4.4198895027624308E-2</v>
      </c>
      <c r="U2165" s="184">
        <f t="shared" si="2664"/>
        <v>1</v>
      </c>
    </row>
    <row r="2166" spans="2:22" ht="15.75" hidden="1" customHeight="1" x14ac:dyDescent="0.2">
      <c r="B2166" s="711">
        <v>46224</v>
      </c>
      <c r="C2166" s="711" t="s">
        <v>22</v>
      </c>
      <c r="D2166" s="711" t="s">
        <v>20</v>
      </c>
      <c r="E2166" s="711">
        <v>46224</v>
      </c>
      <c r="G2166" s="395"/>
      <c r="H2166" s="60" t="s">
        <v>186</v>
      </c>
      <c r="I2166" s="60" t="s">
        <v>22</v>
      </c>
      <c r="J2166" s="60">
        <f t="shared" ref="J2166:J2167" si="2667">SUM(K2166:P2166)</f>
        <v>123</v>
      </c>
      <c r="K2166" s="60">
        <v>72</v>
      </c>
      <c r="L2166" s="60">
        <v>5</v>
      </c>
      <c r="M2166" s="60">
        <v>17</v>
      </c>
      <c r="N2166" s="312">
        <v>24</v>
      </c>
      <c r="O2166" s="60">
        <v>0</v>
      </c>
      <c r="P2166" s="312">
        <v>5</v>
      </c>
      <c r="Q2166" s="182">
        <f t="shared" si="2666"/>
        <v>0.62601626016260159</v>
      </c>
      <c r="R2166" s="183">
        <f t="shared" si="2661"/>
        <v>0.1951219512195122</v>
      </c>
      <c r="S2166" s="183">
        <f t="shared" si="2662"/>
        <v>4.065040650406504E-2</v>
      </c>
      <c r="T2166" s="183">
        <f t="shared" si="2663"/>
        <v>0</v>
      </c>
      <c r="U2166" s="184">
        <f t="shared" si="2664"/>
        <v>0.86178861788617889</v>
      </c>
    </row>
    <row r="2167" spans="2:22" ht="15.75" hidden="1" customHeight="1" x14ac:dyDescent="0.2">
      <c r="B2167" s="711">
        <v>46224</v>
      </c>
      <c r="C2167" s="711" t="s">
        <v>22</v>
      </c>
      <c r="D2167" s="711" t="s">
        <v>20</v>
      </c>
      <c r="E2167" s="711">
        <v>46224</v>
      </c>
      <c r="G2167" s="395"/>
      <c r="H2167" s="60" t="s">
        <v>118</v>
      </c>
      <c r="I2167" s="60" t="s">
        <v>22</v>
      </c>
      <c r="J2167" s="60">
        <f t="shared" si="2667"/>
        <v>236</v>
      </c>
      <c r="K2167" s="60">
        <v>18</v>
      </c>
      <c r="L2167" s="60">
        <v>1</v>
      </c>
      <c r="M2167" s="60">
        <v>145</v>
      </c>
      <c r="N2167" s="312">
        <v>28</v>
      </c>
      <c r="O2167" s="60">
        <v>7</v>
      </c>
      <c r="P2167" s="312">
        <v>37</v>
      </c>
      <c r="Q2167" s="182">
        <f t="shared" si="2666"/>
        <v>8.050847457627118E-2</v>
      </c>
      <c r="R2167" s="183">
        <f t="shared" si="2661"/>
        <v>0.11864406779661017</v>
      </c>
      <c r="S2167" s="183">
        <f t="shared" si="2662"/>
        <v>0.15677966101694915</v>
      </c>
      <c r="T2167" s="183">
        <f t="shared" si="2663"/>
        <v>2.9661016949152543E-2</v>
      </c>
      <c r="U2167" s="184">
        <f t="shared" si="2664"/>
        <v>0.38559322033898302</v>
      </c>
    </row>
    <row r="2168" spans="2:22" ht="15.75" hidden="1" customHeight="1" x14ac:dyDescent="0.2">
      <c r="B2168" s="711">
        <v>46224</v>
      </c>
      <c r="C2168" s="711" t="s">
        <v>22</v>
      </c>
      <c r="D2168" s="711" t="s">
        <v>20</v>
      </c>
      <c r="E2168" s="711">
        <v>46224</v>
      </c>
      <c r="G2168" s="395"/>
      <c r="H2168" s="775" t="s">
        <v>19</v>
      </c>
      <c r="I2168" s="777"/>
      <c r="J2168" s="190">
        <f t="shared" ref="J2168:P2168" si="2668">SUM(J2164:J2167)</f>
        <v>886</v>
      </c>
      <c r="K2168" s="190">
        <f t="shared" si="2668"/>
        <v>251</v>
      </c>
      <c r="L2168" s="190">
        <f t="shared" si="2668"/>
        <v>69</v>
      </c>
      <c r="M2168" s="190">
        <f t="shared" si="2668"/>
        <v>390</v>
      </c>
      <c r="N2168" s="190">
        <f t="shared" si="2668"/>
        <v>99</v>
      </c>
      <c r="O2168" s="190">
        <f t="shared" si="2668"/>
        <v>15</v>
      </c>
      <c r="P2168" s="190">
        <f t="shared" si="2668"/>
        <v>62</v>
      </c>
      <c r="Q2168" s="191">
        <f>(K2168+L2168)/J2168</f>
        <v>0.36117381489841988</v>
      </c>
      <c r="R2168" s="192">
        <f t="shared" si="2661"/>
        <v>0.11173814898419865</v>
      </c>
      <c r="S2168" s="192">
        <f t="shared" si="2662"/>
        <v>6.9977426636568849E-2</v>
      </c>
      <c r="T2168" s="192">
        <f t="shared" si="2663"/>
        <v>1.6930022573363433E-2</v>
      </c>
      <c r="U2168" s="193">
        <f t="shared" si="2664"/>
        <v>0.55981941309255079</v>
      </c>
      <c r="V2168" s="213"/>
    </row>
    <row r="2169" spans="2:22" ht="15.75" hidden="1" customHeight="1" x14ac:dyDescent="0.2">
      <c r="B2169" s="711">
        <v>46224</v>
      </c>
      <c r="C2169" s="711" t="s">
        <v>12</v>
      </c>
      <c r="D2169" s="711" t="s">
        <v>188</v>
      </c>
      <c r="E2169" s="711">
        <v>46225</v>
      </c>
      <c r="G2169" s="395"/>
      <c r="H2169" s="60" t="s">
        <v>16</v>
      </c>
      <c r="I2169" s="60" t="s">
        <v>15</v>
      </c>
      <c r="J2169" s="60">
        <v>225</v>
      </c>
      <c r="K2169" s="60">
        <v>23</v>
      </c>
      <c r="L2169" s="60">
        <v>8</v>
      </c>
      <c r="M2169" s="60">
        <v>185</v>
      </c>
      <c r="N2169" s="312">
        <v>0</v>
      </c>
      <c r="O2169" s="60">
        <v>0</v>
      </c>
      <c r="P2169" s="312">
        <v>9</v>
      </c>
      <c r="Q2169" s="182">
        <f t="shared" ref="Q2169:Q2170" si="2669">(K2169+L2169)/J2169</f>
        <v>0.13777777777777778</v>
      </c>
      <c r="R2169" s="183">
        <f t="shared" ref="R2169:R2175" si="2670">N2169/J2169</f>
        <v>0</v>
      </c>
      <c r="S2169" s="183">
        <f t="shared" ref="S2169:S2175" si="2671">P2169/J2169</f>
        <v>0.04</v>
      </c>
      <c r="T2169" s="183">
        <f t="shared" ref="T2169:T2175" si="2672">O2169/J2169</f>
        <v>0</v>
      </c>
      <c r="U2169" s="184">
        <f t="shared" ref="U2169:U2175" si="2673">S2169+R2169+Q2169+T2169</f>
        <v>0.17777777777777778</v>
      </c>
    </row>
    <row r="2170" spans="2:22" ht="15.75" hidden="1" customHeight="1" x14ac:dyDescent="0.2">
      <c r="B2170" s="711">
        <v>46224</v>
      </c>
      <c r="C2170" s="711" t="s">
        <v>12</v>
      </c>
      <c r="D2170" s="711" t="s">
        <v>188</v>
      </c>
      <c r="E2170" s="711">
        <v>46225</v>
      </c>
      <c r="G2170" s="395"/>
      <c r="H2170" s="60" t="s">
        <v>118</v>
      </c>
      <c r="I2170" s="60" t="s">
        <v>22</v>
      </c>
      <c r="J2170" s="60">
        <v>236</v>
      </c>
      <c r="K2170" s="60">
        <f>236-116</f>
        <v>120</v>
      </c>
      <c r="L2170" s="60">
        <v>25</v>
      </c>
      <c r="M2170" s="60">
        <v>52</v>
      </c>
      <c r="N2170" s="312">
        <v>3</v>
      </c>
      <c r="O2170" s="60">
        <v>0</v>
      </c>
      <c r="P2170" s="312">
        <v>36</v>
      </c>
      <c r="Q2170" s="182">
        <f t="shared" si="2669"/>
        <v>0.61440677966101698</v>
      </c>
      <c r="R2170" s="183">
        <f t="shared" si="2670"/>
        <v>1.2711864406779662E-2</v>
      </c>
      <c r="S2170" s="183">
        <f t="shared" si="2671"/>
        <v>0.15254237288135594</v>
      </c>
      <c r="T2170" s="183">
        <f t="shared" si="2672"/>
        <v>0</v>
      </c>
      <c r="U2170" s="184">
        <f t="shared" si="2673"/>
        <v>0.77966101694915257</v>
      </c>
    </row>
    <row r="2171" spans="2:22" ht="15.75" hidden="1" customHeight="1" x14ac:dyDescent="0.2">
      <c r="B2171" s="711">
        <v>46224</v>
      </c>
      <c r="C2171" s="711" t="s">
        <v>12</v>
      </c>
      <c r="D2171" s="711" t="s">
        <v>188</v>
      </c>
      <c r="E2171" s="711">
        <v>46225</v>
      </c>
      <c r="G2171" s="395"/>
      <c r="H2171" s="775" t="s">
        <v>19</v>
      </c>
      <c r="I2171" s="777"/>
      <c r="J2171" s="190">
        <f>SUM(J2169:J2170)</f>
        <v>461</v>
      </c>
      <c r="K2171" s="190">
        <f t="shared" ref="K2171:P2171" si="2674">SUM(K2169:K2170)</f>
        <v>143</v>
      </c>
      <c r="L2171" s="190">
        <f t="shared" si="2674"/>
        <v>33</v>
      </c>
      <c r="M2171" s="190">
        <f t="shared" si="2674"/>
        <v>237</v>
      </c>
      <c r="N2171" s="190">
        <f t="shared" si="2674"/>
        <v>3</v>
      </c>
      <c r="O2171" s="190">
        <f t="shared" si="2674"/>
        <v>0</v>
      </c>
      <c r="P2171" s="190">
        <f t="shared" si="2674"/>
        <v>45</v>
      </c>
      <c r="Q2171" s="191">
        <f>(K2171+L2171)/J2171</f>
        <v>0.38177874186550975</v>
      </c>
      <c r="R2171" s="192">
        <f t="shared" si="2670"/>
        <v>6.5075921908893707E-3</v>
      </c>
      <c r="S2171" s="192">
        <f t="shared" si="2671"/>
        <v>9.7613882863340565E-2</v>
      </c>
      <c r="T2171" s="192">
        <f t="shared" si="2672"/>
        <v>0</v>
      </c>
      <c r="U2171" s="193">
        <f t="shared" si="2673"/>
        <v>0.48590021691973967</v>
      </c>
      <c r="V2171" s="213"/>
    </row>
    <row r="2172" spans="2:22" ht="15.75" hidden="1" customHeight="1" x14ac:dyDescent="0.2">
      <c r="B2172" s="711">
        <v>46225</v>
      </c>
      <c r="C2172" s="711" t="s">
        <v>22</v>
      </c>
      <c r="D2172" s="711" t="s">
        <v>20</v>
      </c>
      <c r="E2172" s="711">
        <v>46223</v>
      </c>
      <c r="G2172" s="395"/>
      <c r="H2172" s="60" t="s">
        <v>16</v>
      </c>
      <c r="I2172" s="60" t="s">
        <v>15</v>
      </c>
      <c r="J2172" s="60">
        <f>SUM(K2172:P2172)</f>
        <v>217</v>
      </c>
      <c r="K2172" s="60">
        <v>98</v>
      </c>
      <c r="L2172" s="60">
        <v>56</v>
      </c>
      <c r="M2172" s="60">
        <v>38</v>
      </c>
      <c r="N2172" s="312">
        <v>0</v>
      </c>
      <c r="O2172" s="60">
        <v>20</v>
      </c>
      <c r="P2172" s="312">
        <v>5</v>
      </c>
      <c r="Q2172" s="182">
        <f t="shared" ref="Q2172:Q2174" si="2675">(K2172+L2172)/J2172</f>
        <v>0.70967741935483875</v>
      </c>
      <c r="R2172" s="183">
        <f t="shared" si="2670"/>
        <v>0</v>
      </c>
      <c r="S2172" s="183">
        <f t="shared" si="2671"/>
        <v>2.3041474654377881E-2</v>
      </c>
      <c r="T2172" s="183">
        <f t="shared" si="2672"/>
        <v>9.2165898617511524E-2</v>
      </c>
      <c r="U2172" s="184">
        <f t="shared" si="2673"/>
        <v>0.8248847926267282</v>
      </c>
    </row>
    <row r="2173" spans="2:22" ht="15.75" hidden="1" customHeight="1" x14ac:dyDescent="0.2">
      <c r="B2173" s="711">
        <v>46225</v>
      </c>
      <c r="C2173" s="711" t="s">
        <v>22</v>
      </c>
      <c r="D2173" s="711" t="s">
        <v>20</v>
      </c>
      <c r="E2173" s="711">
        <v>46223</v>
      </c>
      <c r="G2173" s="395"/>
      <c r="H2173" s="60" t="s">
        <v>186</v>
      </c>
      <c r="I2173" s="60" t="s">
        <v>22</v>
      </c>
      <c r="J2173" s="60">
        <f t="shared" ref="J2173:J2174" si="2676">SUM(K2173:P2173)</f>
        <v>15</v>
      </c>
      <c r="K2173" s="60">
        <v>12</v>
      </c>
      <c r="L2173" s="60">
        <v>3</v>
      </c>
      <c r="M2173" s="60">
        <v>0</v>
      </c>
      <c r="N2173" s="312">
        <v>0</v>
      </c>
      <c r="O2173" s="60">
        <v>0</v>
      </c>
      <c r="P2173" s="312">
        <v>0</v>
      </c>
      <c r="Q2173" s="182">
        <f t="shared" si="2675"/>
        <v>1</v>
      </c>
      <c r="R2173" s="183">
        <f t="shared" si="2670"/>
        <v>0</v>
      </c>
      <c r="S2173" s="183">
        <f t="shared" si="2671"/>
        <v>0</v>
      </c>
      <c r="T2173" s="183">
        <f t="shared" si="2672"/>
        <v>0</v>
      </c>
      <c r="U2173" s="184">
        <f t="shared" si="2673"/>
        <v>1</v>
      </c>
    </row>
    <row r="2174" spans="2:22" ht="15.75" hidden="1" customHeight="1" x14ac:dyDescent="0.2">
      <c r="B2174" s="711">
        <v>46225</v>
      </c>
      <c r="C2174" s="711" t="s">
        <v>22</v>
      </c>
      <c r="D2174" s="711" t="s">
        <v>20</v>
      </c>
      <c r="E2174" s="711">
        <v>46223</v>
      </c>
      <c r="G2174" s="395"/>
      <c r="H2174" s="60" t="s">
        <v>118</v>
      </c>
      <c r="I2174" s="60" t="s">
        <v>15</v>
      </c>
      <c r="J2174" s="60">
        <f t="shared" si="2676"/>
        <v>90</v>
      </c>
      <c r="K2174" s="60">
        <v>37</v>
      </c>
      <c r="L2174" s="60">
        <v>11</v>
      </c>
      <c r="M2174" s="60">
        <v>3</v>
      </c>
      <c r="N2174" s="312">
        <v>0</v>
      </c>
      <c r="O2174" s="60">
        <v>3</v>
      </c>
      <c r="P2174" s="312">
        <v>36</v>
      </c>
      <c r="Q2174" s="182">
        <f t="shared" si="2675"/>
        <v>0.53333333333333333</v>
      </c>
      <c r="R2174" s="183">
        <f t="shared" si="2670"/>
        <v>0</v>
      </c>
      <c r="S2174" s="183">
        <f t="shared" si="2671"/>
        <v>0.4</v>
      </c>
      <c r="T2174" s="183">
        <f t="shared" si="2672"/>
        <v>3.3333333333333333E-2</v>
      </c>
      <c r="U2174" s="184">
        <f t="shared" si="2673"/>
        <v>0.96666666666666667</v>
      </c>
    </row>
    <row r="2175" spans="2:22" ht="15.75" hidden="1" customHeight="1" x14ac:dyDescent="0.2">
      <c r="B2175" s="711">
        <v>46225</v>
      </c>
      <c r="C2175" s="711" t="s">
        <v>22</v>
      </c>
      <c r="D2175" s="711" t="s">
        <v>20</v>
      </c>
      <c r="E2175" s="711">
        <v>46223</v>
      </c>
      <c r="G2175" s="395"/>
      <c r="H2175" s="775" t="s">
        <v>19</v>
      </c>
      <c r="I2175" s="777"/>
      <c r="J2175" s="190">
        <f t="shared" ref="J2175:P2175" si="2677">SUM(J2171:J2174)</f>
        <v>783</v>
      </c>
      <c r="K2175" s="190">
        <f t="shared" si="2677"/>
        <v>290</v>
      </c>
      <c r="L2175" s="190">
        <f t="shared" si="2677"/>
        <v>103</v>
      </c>
      <c r="M2175" s="190">
        <f t="shared" si="2677"/>
        <v>278</v>
      </c>
      <c r="N2175" s="190">
        <f t="shared" si="2677"/>
        <v>3</v>
      </c>
      <c r="O2175" s="190">
        <f t="shared" si="2677"/>
        <v>23</v>
      </c>
      <c r="P2175" s="190">
        <f t="shared" si="2677"/>
        <v>86</v>
      </c>
      <c r="Q2175" s="191">
        <f>(K2175+L2175)/J2175</f>
        <v>0.50191570881226055</v>
      </c>
      <c r="R2175" s="192">
        <f t="shared" si="2670"/>
        <v>3.8314176245210726E-3</v>
      </c>
      <c r="S2175" s="192">
        <f t="shared" si="2671"/>
        <v>0.10983397190293742</v>
      </c>
      <c r="T2175" s="192">
        <f t="shared" si="2672"/>
        <v>2.9374201787994891E-2</v>
      </c>
      <c r="U2175" s="193">
        <f t="shared" si="2673"/>
        <v>0.64495530012771396</v>
      </c>
      <c r="V2175" s="213"/>
    </row>
    <row r="2176" spans="2:22" ht="15.75" hidden="1" customHeight="1" x14ac:dyDescent="0.2">
      <c r="B2176" s="711">
        <v>46225</v>
      </c>
      <c r="C2176" s="711" t="s">
        <v>12</v>
      </c>
      <c r="D2176" s="711" t="s">
        <v>188</v>
      </c>
      <c r="E2176" s="711">
        <v>46226</v>
      </c>
      <c r="G2176" s="395"/>
      <c r="H2176" s="60" t="s">
        <v>16</v>
      </c>
      <c r="I2176" s="60" t="s">
        <v>83</v>
      </c>
      <c r="J2176" s="60">
        <v>241</v>
      </c>
      <c r="K2176" s="60">
        <v>39</v>
      </c>
      <c r="L2176" s="60">
        <v>16</v>
      </c>
      <c r="M2176" s="60">
        <v>179</v>
      </c>
      <c r="N2176" s="312">
        <v>0</v>
      </c>
      <c r="O2176" s="60">
        <v>0</v>
      </c>
      <c r="P2176" s="312">
        <v>7</v>
      </c>
      <c r="Q2176" s="182">
        <f t="shared" ref="Q2176:Q2178" si="2678">(K2176+L2176)/J2176</f>
        <v>0.22821576763485477</v>
      </c>
      <c r="R2176" s="183">
        <f t="shared" ref="R2176:R2179" si="2679">N2176/J2176</f>
        <v>0</v>
      </c>
      <c r="S2176" s="183">
        <f t="shared" ref="S2176:S2179" si="2680">P2176/J2176</f>
        <v>2.9045643153526972E-2</v>
      </c>
      <c r="T2176" s="183">
        <f t="shared" ref="T2176:T2179" si="2681">O2176/J2176</f>
        <v>0</v>
      </c>
      <c r="U2176" s="184">
        <f t="shared" ref="U2176:U2179" si="2682">S2176+R2176+Q2176+T2176</f>
        <v>0.25726141078838172</v>
      </c>
    </row>
    <row r="2177" spans="2:22" ht="15.75" hidden="1" customHeight="1" x14ac:dyDescent="0.2">
      <c r="B2177" s="711">
        <v>46225</v>
      </c>
      <c r="C2177" s="711" t="s">
        <v>12</v>
      </c>
      <c r="D2177" s="711" t="s">
        <v>188</v>
      </c>
      <c r="E2177" s="711">
        <v>46226</v>
      </c>
      <c r="G2177" s="395"/>
      <c r="H2177" s="60" t="s">
        <v>17</v>
      </c>
      <c r="I2177" s="60" t="s">
        <v>22</v>
      </c>
      <c r="J2177" s="60">
        <v>109</v>
      </c>
      <c r="K2177" s="60">
        <v>0</v>
      </c>
      <c r="L2177" s="60">
        <v>0</v>
      </c>
      <c r="M2177" s="60">
        <v>104</v>
      </c>
      <c r="N2177" s="312">
        <v>0</v>
      </c>
      <c r="O2177" s="60">
        <v>0</v>
      </c>
      <c r="P2177" s="312">
        <v>5</v>
      </c>
      <c r="Q2177" s="182">
        <f t="shared" si="2678"/>
        <v>0</v>
      </c>
      <c r="R2177" s="183">
        <f t="shared" si="2679"/>
        <v>0</v>
      </c>
      <c r="S2177" s="183">
        <f t="shared" si="2680"/>
        <v>4.5871559633027525E-2</v>
      </c>
      <c r="T2177" s="183">
        <f t="shared" si="2681"/>
        <v>0</v>
      </c>
      <c r="U2177" s="184">
        <f t="shared" si="2682"/>
        <v>4.5871559633027525E-2</v>
      </c>
    </row>
    <row r="2178" spans="2:22" ht="15.75" hidden="1" customHeight="1" x14ac:dyDescent="0.2">
      <c r="B2178" s="711">
        <v>46225</v>
      </c>
      <c r="C2178" s="711" t="s">
        <v>12</v>
      </c>
      <c r="D2178" s="711" t="s">
        <v>188</v>
      </c>
      <c r="E2178" s="711">
        <v>46226</v>
      </c>
      <c r="G2178" s="395"/>
      <c r="H2178" s="60" t="s">
        <v>84</v>
      </c>
      <c r="I2178" s="60" t="s">
        <v>27</v>
      </c>
      <c r="J2178" s="60">
        <v>278</v>
      </c>
      <c r="K2178" s="60">
        <v>4</v>
      </c>
      <c r="L2178" s="60">
        <v>1</v>
      </c>
      <c r="M2178" s="60">
        <v>218</v>
      </c>
      <c r="N2178" s="312">
        <v>21</v>
      </c>
      <c r="O2178" s="60">
        <v>0</v>
      </c>
      <c r="P2178" s="312">
        <v>34</v>
      </c>
      <c r="Q2178" s="182">
        <f t="shared" si="2678"/>
        <v>1.7985611510791366E-2</v>
      </c>
      <c r="R2178" s="183">
        <f t="shared" si="2679"/>
        <v>7.5539568345323743E-2</v>
      </c>
      <c r="S2178" s="183">
        <f t="shared" si="2680"/>
        <v>0.1223021582733813</v>
      </c>
      <c r="T2178" s="183">
        <f t="shared" si="2681"/>
        <v>0</v>
      </c>
      <c r="U2178" s="184">
        <f t="shared" si="2682"/>
        <v>0.21582733812949639</v>
      </c>
    </row>
    <row r="2179" spans="2:22" ht="15.75" hidden="1" customHeight="1" x14ac:dyDescent="0.2">
      <c r="B2179" s="711">
        <v>46225</v>
      </c>
      <c r="C2179" s="711" t="s">
        <v>12</v>
      </c>
      <c r="D2179" s="711" t="s">
        <v>188</v>
      </c>
      <c r="E2179" s="711">
        <v>46226</v>
      </c>
      <c r="G2179" s="395"/>
      <c r="H2179" s="775" t="s">
        <v>19</v>
      </c>
      <c r="I2179" s="777"/>
      <c r="J2179" s="190">
        <f>SUM(J2176:J2178)</f>
        <v>628</v>
      </c>
      <c r="K2179" s="190">
        <f t="shared" ref="K2179:P2179" si="2683">SUM(K2176:K2178)</f>
        <v>43</v>
      </c>
      <c r="L2179" s="190">
        <f t="shared" si="2683"/>
        <v>17</v>
      </c>
      <c r="M2179" s="190">
        <f t="shared" si="2683"/>
        <v>501</v>
      </c>
      <c r="N2179" s="190">
        <f t="shared" si="2683"/>
        <v>21</v>
      </c>
      <c r="O2179" s="190">
        <f t="shared" si="2683"/>
        <v>0</v>
      </c>
      <c r="P2179" s="190">
        <f t="shared" si="2683"/>
        <v>46</v>
      </c>
      <c r="Q2179" s="191">
        <f>(K2179+L2179)/J2179</f>
        <v>9.5541401273885357E-2</v>
      </c>
      <c r="R2179" s="192">
        <f t="shared" si="2679"/>
        <v>3.3439490445859872E-2</v>
      </c>
      <c r="S2179" s="192">
        <f t="shared" si="2680"/>
        <v>7.32484076433121E-2</v>
      </c>
      <c r="T2179" s="192">
        <f t="shared" si="2681"/>
        <v>0</v>
      </c>
      <c r="U2179" s="193">
        <f t="shared" si="2682"/>
        <v>0.20222929936305734</v>
      </c>
      <c r="V2179" s="213"/>
    </row>
    <row r="2180" spans="2:22" ht="15.75" hidden="1" customHeight="1" x14ac:dyDescent="0.2">
      <c r="B2180" s="711">
        <v>46226</v>
      </c>
      <c r="C2180" s="711" t="s">
        <v>22</v>
      </c>
      <c r="D2180" s="711" t="s">
        <v>20</v>
      </c>
      <c r="E2180" s="711">
        <v>46226</v>
      </c>
      <c r="G2180" s="831">
        <v>46226</v>
      </c>
      <c r="H2180" s="60" t="s">
        <v>16</v>
      </c>
      <c r="I2180" s="60" t="s">
        <v>83</v>
      </c>
      <c r="J2180" s="60">
        <v>241</v>
      </c>
      <c r="K2180" s="60">
        <f>241-116</f>
        <v>125</v>
      </c>
      <c r="L2180" s="60">
        <v>78</v>
      </c>
      <c r="M2180" s="60">
        <v>12</v>
      </c>
      <c r="N2180" s="312">
        <v>0</v>
      </c>
      <c r="O2180" s="60">
        <v>20</v>
      </c>
      <c r="P2180" s="312">
        <v>6</v>
      </c>
      <c r="Q2180" s="182">
        <f t="shared" ref="Q2180:Q2182" si="2684">(K2180+L2180)/J2180</f>
        <v>0.84232365145228216</v>
      </c>
      <c r="R2180" s="183">
        <f t="shared" ref="R2180:R2182" si="2685">N2180/J2180</f>
        <v>0</v>
      </c>
      <c r="S2180" s="183">
        <f t="shared" ref="S2180:S2182" si="2686">P2180/J2180</f>
        <v>2.4896265560165973E-2</v>
      </c>
      <c r="T2180" s="183">
        <f t="shared" ref="T2180:T2182" si="2687">O2180/J2180</f>
        <v>8.2987551867219914E-2</v>
      </c>
      <c r="U2180" s="184">
        <f t="shared" ref="U2180:U2182" si="2688">S2180+R2180+Q2180+T2180</f>
        <v>0.95020746887966812</v>
      </c>
    </row>
    <row r="2181" spans="2:22" ht="15.75" hidden="1" customHeight="1" x14ac:dyDescent="0.2">
      <c r="B2181" s="711">
        <v>46226</v>
      </c>
      <c r="C2181" s="711" t="s">
        <v>22</v>
      </c>
      <c r="D2181" s="711" t="s">
        <v>20</v>
      </c>
      <c r="E2181" s="711">
        <v>46226</v>
      </c>
      <c r="G2181" s="831"/>
      <c r="H2181" s="60" t="s">
        <v>17</v>
      </c>
      <c r="I2181" s="60" t="s">
        <v>22</v>
      </c>
      <c r="J2181" s="60">
        <v>115</v>
      </c>
      <c r="K2181" s="60">
        <f>115-63</f>
        <v>52</v>
      </c>
      <c r="L2181" s="60">
        <v>14</v>
      </c>
      <c r="M2181" s="60">
        <v>19</v>
      </c>
      <c r="N2181" s="312">
        <v>0</v>
      </c>
      <c r="O2181" s="60">
        <v>26</v>
      </c>
      <c r="P2181" s="312">
        <v>4</v>
      </c>
      <c r="Q2181" s="182">
        <f t="shared" si="2684"/>
        <v>0.57391304347826089</v>
      </c>
      <c r="R2181" s="183">
        <f t="shared" si="2685"/>
        <v>0</v>
      </c>
      <c r="S2181" s="183">
        <f t="shared" si="2686"/>
        <v>3.4782608695652174E-2</v>
      </c>
      <c r="T2181" s="183">
        <f t="shared" si="2687"/>
        <v>0.22608695652173913</v>
      </c>
      <c r="U2181" s="184">
        <f t="shared" si="2688"/>
        <v>0.83478260869565224</v>
      </c>
    </row>
    <row r="2182" spans="2:22" ht="15.75" hidden="1" customHeight="1" x14ac:dyDescent="0.2">
      <c r="B2182" s="711">
        <v>46226</v>
      </c>
      <c r="C2182" s="711" t="s">
        <v>22</v>
      </c>
      <c r="D2182" s="711" t="s">
        <v>20</v>
      </c>
      <c r="E2182" s="711">
        <v>46226</v>
      </c>
      <c r="G2182" s="831"/>
      <c r="H2182" s="60" t="s">
        <v>84</v>
      </c>
      <c r="I2182" s="60" t="s">
        <v>27</v>
      </c>
      <c r="J2182" s="60">
        <v>274</v>
      </c>
      <c r="K2182" s="60">
        <v>0</v>
      </c>
      <c r="L2182" s="60">
        <v>1</v>
      </c>
      <c r="M2182" s="60">
        <v>207</v>
      </c>
      <c r="N2182" s="312">
        <v>21</v>
      </c>
      <c r="O2182" s="60">
        <v>11</v>
      </c>
      <c r="P2182" s="312">
        <v>34</v>
      </c>
      <c r="Q2182" s="182">
        <f t="shared" si="2684"/>
        <v>3.6496350364963502E-3</v>
      </c>
      <c r="R2182" s="183">
        <f t="shared" si="2685"/>
        <v>7.6642335766423361E-2</v>
      </c>
      <c r="S2182" s="183">
        <f t="shared" si="2686"/>
        <v>0.12408759124087591</v>
      </c>
      <c r="T2182" s="183">
        <f t="shared" si="2687"/>
        <v>4.0145985401459854E-2</v>
      </c>
      <c r="U2182" s="184">
        <f t="shared" si="2688"/>
        <v>0.24452554744525548</v>
      </c>
    </row>
    <row r="2183" spans="2:22" ht="15.75" hidden="1" customHeight="1" x14ac:dyDescent="0.2">
      <c r="B2183" s="711">
        <v>46226</v>
      </c>
      <c r="C2183" s="711" t="s">
        <v>22</v>
      </c>
      <c r="D2183" s="711" t="s">
        <v>20</v>
      </c>
      <c r="E2183" s="711">
        <v>46226</v>
      </c>
      <c r="G2183" s="831"/>
      <c r="H2183" s="775" t="s">
        <v>19</v>
      </c>
      <c r="I2183" s="777"/>
      <c r="J2183" s="190">
        <f>SUM(J2180:J2182)</f>
        <v>630</v>
      </c>
      <c r="K2183" s="190">
        <f t="shared" ref="K2183:P2183" si="2689">SUM(K2180:K2182)</f>
        <v>177</v>
      </c>
      <c r="L2183" s="190">
        <f t="shared" si="2689"/>
        <v>93</v>
      </c>
      <c r="M2183" s="190">
        <f t="shared" si="2689"/>
        <v>238</v>
      </c>
      <c r="N2183" s="190">
        <f t="shared" si="2689"/>
        <v>21</v>
      </c>
      <c r="O2183" s="190">
        <f t="shared" si="2689"/>
        <v>57</v>
      </c>
      <c r="P2183" s="190">
        <f t="shared" si="2689"/>
        <v>44</v>
      </c>
      <c r="Q2183" s="191">
        <f>(K2183+L2183)/J2183</f>
        <v>0.42857142857142855</v>
      </c>
      <c r="R2183" s="192">
        <f t="shared" ref="R2183:R2186" si="2690">N2183/J2183</f>
        <v>3.3333333333333333E-2</v>
      </c>
      <c r="S2183" s="192">
        <f t="shared" ref="S2183:S2186" si="2691">P2183/J2183</f>
        <v>6.9841269841269843E-2</v>
      </c>
      <c r="T2183" s="192">
        <f t="shared" ref="T2183:T2186" si="2692">O2183/J2183</f>
        <v>9.0476190476190474E-2</v>
      </c>
      <c r="U2183" s="193">
        <f t="shared" ref="U2183:U2186" si="2693">S2183+R2183+Q2183+T2183</f>
        <v>0.62222222222222223</v>
      </c>
      <c r="V2183" s="213"/>
    </row>
    <row r="2184" spans="2:22" ht="15.75" hidden="1" customHeight="1" x14ac:dyDescent="0.2">
      <c r="B2184" s="711">
        <v>46226</v>
      </c>
      <c r="C2184" s="711" t="s">
        <v>12</v>
      </c>
      <c r="D2184" s="711" t="s">
        <v>13</v>
      </c>
      <c r="E2184" s="711">
        <v>46226</v>
      </c>
      <c r="G2184" s="395"/>
      <c r="H2184" s="60" t="s">
        <v>16</v>
      </c>
      <c r="I2184" s="60" t="s">
        <v>83</v>
      </c>
      <c r="J2184" s="60">
        <v>241</v>
      </c>
      <c r="K2184" s="60">
        <v>131</v>
      </c>
      <c r="L2184" s="60">
        <v>80</v>
      </c>
      <c r="M2184" s="60">
        <v>6</v>
      </c>
      <c r="N2184" s="312">
        <v>0</v>
      </c>
      <c r="O2184" s="60">
        <v>20</v>
      </c>
      <c r="P2184" s="312">
        <v>4</v>
      </c>
      <c r="Q2184" s="182">
        <f t="shared" ref="Q2184:Q2186" si="2694">(K2184+L2184)/J2184</f>
        <v>0.87551867219917012</v>
      </c>
      <c r="R2184" s="183">
        <f t="shared" si="2690"/>
        <v>0</v>
      </c>
      <c r="S2184" s="183">
        <f t="shared" si="2691"/>
        <v>1.6597510373443983E-2</v>
      </c>
      <c r="T2184" s="183">
        <f t="shared" si="2692"/>
        <v>8.2987551867219914E-2</v>
      </c>
      <c r="U2184" s="184">
        <f t="shared" si="2693"/>
        <v>0.97510373443983411</v>
      </c>
    </row>
    <row r="2185" spans="2:22" ht="15.75" hidden="1" customHeight="1" x14ac:dyDescent="0.2">
      <c r="B2185" s="711">
        <v>46226</v>
      </c>
      <c r="C2185" s="711" t="s">
        <v>12</v>
      </c>
      <c r="D2185" s="711" t="s">
        <v>13</v>
      </c>
      <c r="E2185" s="711">
        <v>46226</v>
      </c>
      <c r="G2185" s="395"/>
      <c r="H2185" s="60" t="s">
        <v>17</v>
      </c>
      <c r="I2185" s="60" t="s">
        <v>22</v>
      </c>
      <c r="J2185" s="60">
        <v>115</v>
      </c>
      <c r="K2185" s="60">
        <v>53</v>
      </c>
      <c r="L2185" s="60">
        <v>14</v>
      </c>
      <c r="M2185" s="60">
        <v>18</v>
      </c>
      <c r="N2185" s="312">
        <v>0</v>
      </c>
      <c r="O2185" s="60">
        <v>26</v>
      </c>
      <c r="P2185" s="312">
        <v>4</v>
      </c>
      <c r="Q2185" s="182">
        <f t="shared" si="2694"/>
        <v>0.58260869565217388</v>
      </c>
      <c r="R2185" s="183">
        <f t="shared" si="2690"/>
        <v>0</v>
      </c>
      <c r="S2185" s="183">
        <f t="shared" si="2691"/>
        <v>3.4782608695652174E-2</v>
      </c>
      <c r="T2185" s="183">
        <f t="shared" si="2692"/>
        <v>0.22608695652173913</v>
      </c>
      <c r="U2185" s="184">
        <f t="shared" si="2693"/>
        <v>0.84347826086956523</v>
      </c>
    </row>
    <row r="2186" spans="2:22" ht="15.75" hidden="1" customHeight="1" x14ac:dyDescent="0.2">
      <c r="B2186" s="711">
        <v>46226</v>
      </c>
      <c r="C2186" s="711" t="s">
        <v>12</v>
      </c>
      <c r="D2186" s="711" t="s">
        <v>13</v>
      </c>
      <c r="E2186" s="711">
        <v>46226</v>
      </c>
      <c r="G2186" s="395"/>
      <c r="H2186" s="60" t="s">
        <v>84</v>
      </c>
      <c r="I2186" s="60" t="s">
        <v>27</v>
      </c>
      <c r="J2186" s="60">
        <v>274</v>
      </c>
      <c r="K2186" s="60">
        <v>81</v>
      </c>
      <c r="L2186" s="60">
        <v>29</v>
      </c>
      <c r="M2186" s="60">
        <v>121</v>
      </c>
      <c r="N2186" s="312">
        <v>0</v>
      </c>
      <c r="O2186" s="60">
        <v>11</v>
      </c>
      <c r="P2186" s="312">
        <v>32</v>
      </c>
      <c r="Q2186" s="182">
        <f t="shared" si="2694"/>
        <v>0.40145985401459855</v>
      </c>
      <c r="R2186" s="183">
        <f t="shared" si="2690"/>
        <v>0</v>
      </c>
      <c r="S2186" s="183">
        <f t="shared" si="2691"/>
        <v>0.11678832116788321</v>
      </c>
      <c r="T2186" s="183">
        <f t="shared" si="2692"/>
        <v>4.0145985401459854E-2</v>
      </c>
      <c r="U2186" s="184">
        <f t="shared" si="2693"/>
        <v>0.55839416058394165</v>
      </c>
    </row>
    <row r="2187" spans="2:22" ht="15.75" hidden="1" customHeight="1" x14ac:dyDescent="0.2">
      <c r="B2187" s="711">
        <v>46226</v>
      </c>
      <c r="C2187" s="711" t="s">
        <v>12</v>
      </c>
      <c r="D2187" s="711" t="s">
        <v>13</v>
      </c>
      <c r="E2187" s="711">
        <v>46226</v>
      </c>
      <c r="G2187" s="395"/>
      <c r="H2187" s="775" t="s">
        <v>19</v>
      </c>
      <c r="I2187" s="777"/>
      <c r="J2187" s="190">
        <f>SUM(J2184:J2186)</f>
        <v>630</v>
      </c>
      <c r="K2187" s="190">
        <f t="shared" ref="K2187:P2187" si="2695">SUM(K2184:K2186)</f>
        <v>265</v>
      </c>
      <c r="L2187" s="190">
        <f t="shared" si="2695"/>
        <v>123</v>
      </c>
      <c r="M2187" s="190">
        <f t="shared" si="2695"/>
        <v>145</v>
      </c>
      <c r="N2187" s="190">
        <f t="shared" si="2695"/>
        <v>0</v>
      </c>
      <c r="O2187" s="190">
        <f t="shared" si="2695"/>
        <v>57</v>
      </c>
      <c r="P2187" s="190">
        <f t="shared" si="2695"/>
        <v>40</v>
      </c>
      <c r="Q2187" s="191">
        <f>(K2187+L2187)/J2187</f>
        <v>0.61587301587301591</v>
      </c>
      <c r="R2187" s="192">
        <f t="shared" ref="R2187:R2190" si="2696">N2187/J2187</f>
        <v>0</v>
      </c>
      <c r="S2187" s="192">
        <f t="shared" ref="S2187:S2190" si="2697">P2187/J2187</f>
        <v>6.3492063492063489E-2</v>
      </c>
      <c r="T2187" s="192">
        <f t="shared" ref="T2187:T2190" si="2698">O2187/J2187</f>
        <v>9.0476190476190474E-2</v>
      </c>
      <c r="U2187" s="193">
        <f t="shared" ref="U2187:U2190" si="2699">S2187+R2187+Q2187+T2187</f>
        <v>0.76984126984126988</v>
      </c>
      <c r="V2187" s="213"/>
    </row>
    <row r="2188" spans="2:22" ht="15.75" hidden="1" x14ac:dyDescent="0.2">
      <c r="B2188" s="711">
        <v>46226</v>
      </c>
      <c r="C2188" s="711" t="s">
        <v>18</v>
      </c>
      <c r="D2188" s="711" t="s">
        <v>163</v>
      </c>
      <c r="E2188" s="711">
        <v>46226</v>
      </c>
      <c r="G2188" s="395"/>
      <c r="H2188" s="60" t="s">
        <v>16</v>
      </c>
      <c r="I2188" s="60" t="s">
        <v>83</v>
      </c>
      <c r="J2188" s="60">
        <v>241</v>
      </c>
      <c r="K2188" s="60">
        <f>241-66</f>
        <v>175</v>
      </c>
      <c r="L2188" s="60">
        <v>43</v>
      </c>
      <c r="M2188" s="60">
        <v>0</v>
      </c>
      <c r="N2188" s="312">
        <v>0</v>
      </c>
      <c r="O2188" s="60">
        <v>20</v>
      </c>
      <c r="P2188" s="312">
        <v>3</v>
      </c>
      <c r="Q2188" s="182">
        <f t="shared" ref="Q2188:Q2190" si="2700">(K2188+L2188)/J2188</f>
        <v>0.9045643153526971</v>
      </c>
      <c r="R2188" s="183">
        <f t="shared" si="2696"/>
        <v>0</v>
      </c>
      <c r="S2188" s="183">
        <f t="shared" si="2697"/>
        <v>1.2448132780082987E-2</v>
      </c>
      <c r="T2188" s="183">
        <f t="shared" si="2698"/>
        <v>8.2987551867219914E-2</v>
      </c>
      <c r="U2188" s="184">
        <f t="shared" si="2699"/>
        <v>1</v>
      </c>
    </row>
    <row r="2189" spans="2:22" ht="15.75" hidden="1" x14ac:dyDescent="0.2">
      <c r="B2189" s="711">
        <v>46226</v>
      </c>
      <c r="C2189" s="711" t="s">
        <v>18</v>
      </c>
      <c r="D2189" s="711" t="s">
        <v>163</v>
      </c>
      <c r="E2189" s="711">
        <v>46226</v>
      </c>
      <c r="G2189" s="395"/>
      <c r="H2189" s="60" t="s">
        <v>17</v>
      </c>
      <c r="I2189" s="60" t="s">
        <v>22</v>
      </c>
      <c r="J2189" s="60">
        <v>115</v>
      </c>
      <c r="K2189" s="60">
        <f>115-41</f>
        <v>74</v>
      </c>
      <c r="L2189" s="60">
        <v>9</v>
      </c>
      <c r="M2189" s="60">
        <v>5</v>
      </c>
      <c r="N2189" s="312">
        <v>0</v>
      </c>
      <c r="O2189" s="60">
        <v>23</v>
      </c>
      <c r="P2189" s="312">
        <v>4</v>
      </c>
      <c r="Q2189" s="182">
        <f t="shared" si="2700"/>
        <v>0.72173913043478266</v>
      </c>
      <c r="R2189" s="183">
        <f t="shared" si="2696"/>
        <v>0</v>
      </c>
      <c r="S2189" s="183">
        <f t="shared" si="2697"/>
        <v>3.4782608695652174E-2</v>
      </c>
      <c r="T2189" s="183">
        <f t="shared" si="2698"/>
        <v>0.2</v>
      </c>
      <c r="U2189" s="184">
        <f>S2189+R2189+Q2189+T2189</f>
        <v>0.95652173913043481</v>
      </c>
    </row>
    <row r="2190" spans="2:22" ht="15.75" hidden="1" x14ac:dyDescent="0.2">
      <c r="B2190" s="711">
        <v>46226</v>
      </c>
      <c r="C2190" s="711" t="s">
        <v>18</v>
      </c>
      <c r="D2190" s="711" t="s">
        <v>163</v>
      </c>
      <c r="E2190" s="711">
        <v>46226</v>
      </c>
      <c r="G2190" s="395"/>
      <c r="H2190" s="60" t="s">
        <v>84</v>
      </c>
      <c r="I2190" s="60" t="s">
        <v>27</v>
      </c>
      <c r="J2190" s="60">
        <v>274</v>
      </c>
      <c r="K2190" s="60">
        <f>274-173</f>
        <v>101</v>
      </c>
      <c r="L2190" s="60">
        <v>27</v>
      </c>
      <c r="M2190" s="60">
        <v>114</v>
      </c>
      <c r="N2190" s="312">
        <v>0</v>
      </c>
      <c r="O2190" s="60">
        <v>0</v>
      </c>
      <c r="P2190" s="312">
        <v>32</v>
      </c>
      <c r="Q2190" s="182">
        <f t="shared" si="2700"/>
        <v>0.46715328467153283</v>
      </c>
      <c r="R2190" s="183">
        <f t="shared" si="2696"/>
        <v>0</v>
      </c>
      <c r="S2190" s="183">
        <f t="shared" si="2697"/>
        <v>0.11678832116788321</v>
      </c>
      <c r="T2190" s="183">
        <f t="shared" si="2698"/>
        <v>0</v>
      </c>
      <c r="U2190" s="184">
        <f t="shared" si="2699"/>
        <v>0.58394160583941601</v>
      </c>
    </row>
    <row r="2191" spans="2:22" ht="15.75" hidden="1" x14ac:dyDescent="0.2">
      <c r="B2191" s="711">
        <v>46226</v>
      </c>
      <c r="C2191" s="711" t="s">
        <v>18</v>
      </c>
      <c r="D2191" s="711" t="s">
        <v>163</v>
      </c>
      <c r="E2191" s="711">
        <v>46226</v>
      </c>
      <c r="G2191" s="190"/>
      <c r="H2191" s="775" t="s">
        <v>19</v>
      </c>
      <c r="I2191" s="777"/>
      <c r="J2191" s="190">
        <f>SUM(J2188:J2190)</f>
        <v>630</v>
      </c>
      <c r="K2191" s="190">
        <f t="shared" ref="K2191:P2191" si="2701">SUM(K2188:K2190)</f>
        <v>350</v>
      </c>
      <c r="L2191" s="190">
        <f t="shared" si="2701"/>
        <v>79</v>
      </c>
      <c r="M2191" s="190">
        <f t="shared" si="2701"/>
        <v>119</v>
      </c>
      <c r="N2191" s="190">
        <f t="shared" si="2701"/>
        <v>0</v>
      </c>
      <c r="O2191" s="190">
        <f t="shared" si="2701"/>
        <v>43</v>
      </c>
      <c r="P2191" s="190">
        <f t="shared" si="2701"/>
        <v>39</v>
      </c>
      <c r="Q2191" s="191">
        <f>(K2191+L2191)/J2191</f>
        <v>0.68095238095238098</v>
      </c>
      <c r="R2191" s="192">
        <f t="shared" ref="R2191:R2203" si="2702">N2191/J2191</f>
        <v>0</v>
      </c>
      <c r="S2191" s="192">
        <f t="shared" ref="S2191:S2203" si="2703">P2191/J2191</f>
        <v>6.1904761904761907E-2</v>
      </c>
      <c r="T2191" s="192">
        <f t="shared" ref="T2191:T2203" si="2704">O2191/J2191</f>
        <v>6.8253968253968247E-2</v>
      </c>
      <c r="U2191" s="193">
        <f t="shared" ref="U2191:U2203" si="2705">S2191+R2191+Q2191+T2191</f>
        <v>0.81111111111111112</v>
      </c>
      <c r="V2191" s="213"/>
    </row>
    <row r="2192" spans="2:22" ht="15.75" hidden="1" x14ac:dyDescent="0.2">
      <c r="B2192" s="711">
        <v>46226</v>
      </c>
      <c r="C2192" s="711" t="s">
        <v>18</v>
      </c>
      <c r="D2192" s="711" t="s">
        <v>163</v>
      </c>
      <c r="E2192" s="711">
        <v>46227</v>
      </c>
      <c r="G2192" s="830">
        <v>46227</v>
      </c>
      <c r="H2192" s="60" t="s">
        <v>16</v>
      </c>
      <c r="I2192" s="60" t="s">
        <v>83</v>
      </c>
      <c r="J2192" s="60">
        <v>247</v>
      </c>
      <c r="K2192" s="60">
        <f>247-208</f>
        <v>39</v>
      </c>
      <c r="L2192" s="60">
        <v>36</v>
      </c>
      <c r="M2192" s="60">
        <v>147</v>
      </c>
      <c r="N2192" s="312">
        <v>0</v>
      </c>
      <c r="O2192" s="60">
        <v>20</v>
      </c>
      <c r="P2192" s="312">
        <v>5</v>
      </c>
      <c r="Q2192" s="182">
        <f t="shared" ref="Q2192:Q2195" si="2706">(K2192+L2192)/J2192</f>
        <v>0.30364372469635625</v>
      </c>
      <c r="R2192" s="183">
        <f t="shared" si="2702"/>
        <v>0</v>
      </c>
      <c r="S2192" s="183">
        <f t="shared" si="2703"/>
        <v>2.0242914979757085E-2</v>
      </c>
      <c r="T2192" s="183">
        <f t="shared" si="2704"/>
        <v>8.0971659919028341E-2</v>
      </c>
      <c r="U2192" s="184">
        <f t="shared" si="2705"/>
        <v>0.40485829959514169</v>
      </c>
    </row>
    <row r="2193" spans="2:22" ht="15.75" hidden="1" x14ac:dyDescent="0.2">
      <c r="B2193" s="711">
        <v>46226</v>
      </c>
      <c r="C2193" s="711" t="s">
        <v>18</v>
      </c>
      <c r="D2193" s="711" t="s">
        <v>163</v>
      </c>
      <c r="E2193" s="711">
        <v>46227</v>
      </c>
      <c r="G2193" s="831"/>
      <c r="H2193" s="60" t="s">
        <v>17</v>
      </c>
      <c r="I2193" s="60" t="s">
        <v>22</v>
      </c>
      <c r="J2193" s="60">
        <v>109</v>
      </c>
      <c r="K2193" s="60">
        <v>0</v>
      </c>
      <c r="L2193" s="60">
        <v>0</v>
      </c>
      <c r="M2193" s="60">
        <v>108</v>
      </c>
      <c r="N2193" s="312">
        <v>0</v>
      </c>
      <c r="O2193" s="60">
        <v>0</v>
      </c>
      <c r="P2193" s="312">
        <v>1</v>
      </c>
      <c r="Q2193" s="182">
        <f t="shared" si="2706"/>
        <v>0</v>
      </c>
      <c r="R2193" s="183">
        <f t="shared" si="2702"/>
        <v>0</v>
      </c>
      <c r="S2193" s="183">
        <f t="shared" si="2703"/>
        <v>9.1743119266055051E-3</v>
      </c>
      <c r="T2193" s="183">
        <f t="shared" si="2704"/>
        <v>0</v>
      </c>
      <c r="U2193" s="184">
        <f t="shared" si="2705"/>
        <v>9.1743119266055051E-3</v>
      </c>
    </row>
    <row r="2194" spans="2:22" ht="15.75" hidden="1" x14ac:dyDescent="0.2">
      <c r="B2194" s="711">
        <v>46226</v>
      </c>
      <c r="C2194" s="711" t="s">
        <v>18</v>
      </c>
      <c r="D2194" s="711" t="s">
        <v>163</v>
      </c>
      <c r="E2194" s="711">
        <v>46227</v>
      </c>
      <c r="G2194" s="831"/>
      <c r="H2194" s="60" t="s">
        <v>120</v>
      </c>
      <c r="I2194" s="60" t="s">
        <v>22</v>
      </c>
      <c r="J2194" s="60">
        <v>21</v>
      </c>
      <c r="K2194" s="60">
        <v>0</v>
      </c>
      <c r="L2194" s="60">
        <v>0</v>
      </c>
      <c r="M2194" s="60">
        <v>0</v>
      </c>
      <c r="N2194" s="312">
        <v>20</v>
      </c>
      <c r="O2194" s="60">
        <v>0</v>
      </c>
      <c r="P2194" s="312">
        <v>1</v>
      </c>
      <c r="Q2194" s="182">
        <f t="shared" ref="Q2194" si="2707">(K2194+L2194)/J2194</f>
        <v>0</v>
      </c>
      <c r="R2194" s="183">
        <f t="shared" ref="R2194" si="2708">N2194/J2194</f>
        <v>0.95238095238095233</v>
      </c>
      <c r="S2194" s="183">
        <f t="shared" ref="S2194" si="2709">P2194/J2194</f>
        <v>4.7619047619047616E-2</v>
      </c>
      <c r="T2194" s="183">
        <f t="shared" ref="T2194" si="2710">O2194/J2194</f>
        <v>0</v>
      </c>
      <c r="U2194" s="184">
        <f t="shared" ref="U2194" si="2711">S2194+R2194+Q2194+T2194</f>
        <v>1</v>
      </c>
    </row>
    <row r="2195" spans="2:22" ht="15.75" hidden="1" x14ac:dyDescent="0.2">
      <c r="B2195" s="711">
        <v>46226</v>
      </c>
      <c r="C2195" s="711" t="s">
        <v>18</v>
      </c>
      <c r="D2195" s="711" t="s">
        <v>163</v>
      </c>
      <c r="E2195" s="711">
        <v>46227</v>
      </c>
      <c r="G2195" s="831"/>
      <c r="H2195" s="60" t="s">
        <v>118</v>
      </c>
      <c r="I2195" s="60" t="s">
        <v>12</v>
      </c>
      <c r="J2195" s="60">
        <v>241</v>
      </c>
      <c r="K2195" s="60">
        <v>0</v>
      </c>
      <c r="L2195" s="60">
        <v>4</v>
      </c>
      <c r="M2195" s="60">
        <v>181</v>
      </c>
      <c r="N2195" s="312">
        <v>0</v>
      </c>
      <c r="O2195" s="60">
        <v>3</v>
      </c>
      <c r="P2195" s="312">
        <v>53</v>
      </c>
      <c r="Q2195" s="182">
        <f t="shared" si="2706"/>
        <v>1.6597510373443983E-2</v>
      </c>
      <c r="R2195" s="183">
        <f t="shared" si="2702"/>
        <v>0</v>
      </c>
      <c r="S2195" s="183">
        <f t="shared" si="2703"/>
        <v>0.21991701244813278</v>
      </c>
      <c r="T2195" s="183">
        <f t="shared" si="2704"/>
        <v>1.2448132780082987E-2</v>
      </c>
      <c r="U2195" s="184">
        <f t="shared" si="2705"/>
        <v>0.24896265560165975</v>
      </c>
    </row>
    <row r="2196" spans="2:22" ht="15.75" hidden="1" x14ac:dyDescent="0.2">
      <c r="B2196" s="711">
        <v>46226</v>
      </c>
      <c r="C2196" s="711" t="s">
        <v>18</v>
      </c>
      <c r="D2196" s="711" t="s">
        <v>163</v>
      </c>
      <c r="E2196" s="711">
        <v>46227</v>
      </c>
      <c r="G2196" s="705"/>
      <c r="H2196" s="60" t="s">
        <v>180</v>
      </c>
      <c r="I2196" s="60" t="s">
        <v>22</v>
      </c>
      <c r="J2196" s="60">
        <v>200</v>
      </c>
      <c r="K2196" s="60">
        <v>77</v>
      </c>
      <c r="L2196" s="60">
        <v>0</v>
      </c>
      <c r="M2196" s="60">
        <v>55</v>
      </c>
      <c r="N2196" s="312">
        <v>63</v>
      </c>
      <c r="O2196" s="60">
        <v>0</v>
      </c>
      <c r="P2196" s="312">
        <v>5</v>
      </c>
      <c r="Q2196" s="182">
        <f t="shared" ref="Q2196" si="2712">(K2196+L2196)/J2196</f>
        <v>0.38500000000000001</v>
      </c>
      <c r="R2196" s="183">
        <f t="shared" ref="R2196" si="2713">N2196/J2196</f>
        <v>0.315</v>
      </c>
      <c r="S2196" s="183">
        <f t="shared" ref="S2196" si="2714">P2196/J2196</f>
        <v>2.5000000000000001E-2</v>
      </c>
      <c r="T2196" s="183">
        <f t="shared" ref="T2196" si="2715">O2196/J2196</f>
        <v>0</v>
      </c>
      <c r="U2196" s="184">
        <f t="shared" ref="U2196" si="2716">S2196+R2196+Q2196+T2196</f>
        <v>0.72500000000000009</v>
      </c>
    </row>
    <row r="2197" spans="2:22" ht="15.75" hidden="1" x14ac:dyDescent="0.2">
      <c r="B2197" s="711">
        <v>46226</v>
      </c>
      <c r="C2197" s="711" t="s">
        <v>18</v>
      </c>
      <c r="D2197" s="711" t="s">
        <v>163</v>
      </c>
      <c r="E2197" s="711">
        <v>46227</v>
      </c>
      <c r="G2197" s="190"/>
      <c r="H2197" s="775" t="s">
        <v>19</v>
      </c>
      <c r="I2197" s="777"/>
      <c r="J2197" s="190">
        <f>SUM(J2192:J2196)</f>
        <v>818</v>
      </c>
      <c r="K2197" s="190">
        <f t="shared" ref="K2197:P2197" si="2717">SUM(K2192:K2196)</f>
        <v>116</v>
      </c>
      <c r="L2197" s="190">
        <f t="shared" si="2717"/>
        <v>40</v>
      </c>
      <c r="M2197" s="190">
        <f t="shared" si="2717"/>
        <v>491</v>
      </c>
      <c r="N2197" s="190">
        <f t="shared" si="2717"/>
        <v>83</v>
      </c>
      <c r="O2197" s="190">
        <f t="shared" si="2717"/>
        <v>23</v>
      </c>
      <c r="P2197" s="190">
        <f t="shared" si="2717"/>
        <v>65</v>
      </c>
      <c r="Q2197" s="191">
        <f>(K2197+L2197)/J2197</f>
        <v>0.19070904645476772</v>
      </c>
      <c r="R2197" s="192">
        <f t="shared" si="2702"/>
        <v>0.10146699266503667</v>
      </c>
      <c r="S2197" s="192">
        <f t="shared" si="2703"/>
        <v>7.9462102689486558E-2</v>
      </c>
      <c r="T2197" s="192">
        <f t="shared" si="2704"/>
        <v>2.8117359413202935E-2</v>
      </c>
      <c r="U2197" s="193">
        <f t="shared" si="2705"/>
        <v>0.39975550122249387</v>
      </c>
      <c r="V2197" s="213"/>
    </row>
    <row r="2198" spans="2:22" ht="15.75" hidden="1" customHeight="1" x14ac:dyDescent="0.2">
      <c r="B2198" s="711">
        <v>46227</v>
      </c>
      <c r="C2198" s="711" t="s">
        <v>22</v>
      </c>
      <c r="D2198" s="711" t="s">
        <v>20</v>
      </c>
      <c r="E2198" s="711">
        <v>46227</v>
      </c>
      <c r="G2198" s="827">
        <v>46227</v>
      </c>
      <c r="H2198" s="60" t="s">
        <v>16</v>
      </c>
      <c r="I2198" s="60" t="s">
        <v>83</v>
      </c>
      <c r="J2198" s="60">
        <f>SUM(K2198:P2198)</f>
        <v>210</v>
      </c>
      <c r="K2198" s="60">
        <v>69</v>
      </c>
      <c r="L2198" s="60">
        <v>68</v>
      </c>
      <c r="M2198" s="60">
        <v>49</v>
      </c>
      <c r="N2198" s="312">
        <v>0</v>
      </c>
      <c r="O2198" s="60">
        <v>20</v>
      </c>
      <c r="P2198" s="312">
        <v>4</v>
      </c>
      <c r="Q2198" s="182">
        <f t="shared" ref="Q2198:Q2199" si="2718">(K2198+L2198)/J2198</f>
        <v>0.65238095238095239</v>
      </c>
      <c r="R2198" s="183">
        <f t="shared" si="2702"/>
        <v>0</v>
      </c>
      <c r="S2198" s="183">
        <f t="shared" si="2703"/>
        <v>1.9047619047619049E-2</v>
      </c>
      <c r="T2198" s="183">
        <f t="shared" si="2704"/>
        <v>9.5238095238095233E-2</v>
      </c>
      <c r="U2198" s="184">
        <f t="shared" si="2705"/>
        <v>0.76666666666666672</v>
      </c>
    </row>
    <row r="2199" spans="2:22" ht="15.75" hidden="1" customHeight="1" x14ac:dyDescent="0.2">
      <c r="B2199" s="711">
        <v>46227</v>
      </c>
      <c r="C2199" s="711" t="s">
        <v>22</v>
      </c>
      <c r="D2199" s="711" t="s">
        <v>20</v>
      </c>
      <c r="E2199" s="711">
        <v>46227</v>
      </c>
      <c r="G2199" s="828"/>
      <c r="H2199" s="60" t="s">
        <v>17</v>
      </c>
      <c r="I2199" s="60" t="s">
        <v>22</v>
      </c>
      <c r="J2199" s="60">
        <f t="shared" ref="J2199:J2201" si="2719">SUM(K2199:P2199)</f>
        <v>119</v>
      </c>
      <c r="K2199" s="60">
        <v>63</v>
      </c>
      <c r="L2199" s="60">
        <v>14</v>
      </c>
      <c r="M2199" s="60">
        <v>25</v>
      </c>
      <c r="N2199" s="312">
        <v>16</v>
      </c>
      <c r="O2199" s="60">
        <v>0</v>
      </c>
      <c r="P2199" s="312">
        <v>1</v>
      </c>
      <c r="Q2199" s="182">
        <f t="shared" si="2718"/>
        <v>0.6470588235294118</v>
      </c>
      <c r="R2199" s="183">
        <f t="shared" si="2702"/>
        <v>0.13445378151260504</v>
      </c>
      <c r="S2199" s="183">
        <f t="shared" si="2703"/>
        <v>8.4033613445378148E-3</v>
      </c>
      <c r="T2199" s="183">
        <f t="shared" si="2704"/>
        <v>0</v>
      </c>
      <c r="U2199" s="184">
        <f t="shared" si="2705"/>
        <v>0.7899159663865547</v>
      </c>
    </row>
    <row r="2200" spans="2:22" ht="15.75" hidden="1" customHeight="1" x14ac:dyDescent="0.2">
      <c r="B2200" s="711">
        <v>46227</v>
      </c>
      <c r="C2200" s="711" t="s">
        <v>22</v>
      </c>
      <c r="D2200" s="711" t="s">
        <v>20</v>
      </c>
      <c r="E2200" s="711">
        <v>46227</v>
      </c>
      <c r="G2200" s="828"/>
      <c r="H2200" s="60" t="s">
        <v>148</v>
      </c>
      <c r="I2200" s="60" t="s">
        <v>22</v>
      </c>
      <c r="J2200" s="60">
        <f t="shared" si="2719"/>
        <v>21</v>
      </c>
      <c r="K2200" s="60">
        <v>20</v>
      </c>
      <c r="L2200" s="60">
        <v>0</v>
      </c>
      <c r="M2200" s="60">
        <v>0</v>
      </c>
      <c r="N2200" s="312">
        <v>0</v>
      </c>
      <c r="O2200" s="60">
        <v>0</v>
      </c>
      <c r="P2200" s="312">
        <v>1</v>
      </c>
      <c r="Q2200" s="182">
        <f t="shared" ref="Q2200:Q2202" si="2720">(K2200+L2200)/J2200</f>
        <v>0.95238095238095233</v>
      </c>
      <c r="R2200" s="183">
        <f t="shared" ref="R2200:R2202" si="2721">N2200/J2200</f>
        <v>0</v>
      </c>
      <c r="S2200" s="183">
        <f t="shared" ref="S2200:S2202" si="2722">P2200/J2200</f>
        <v>4.7619047619047616E-2</v>
      </c>
      <c r="T2200" s="183">
        <f t="shared" ref="T2200:T2202" si="2723">O2200/J2200</f>
        <v>0</v>
      </c>
      <c r="U2200" s="184">
        <f t="shared" ref="U2200:U2202" si="2724">S2200+R2200+Q2200+T2200</f>
        <v>1</v>
      </c>
    </row>
    <row r="2201" spans="2:22" ht="15.75" hidden="1" customHeight="1" x14ac:dyDescent="0.2">
      <c r="B2201" s="711">
        <v>46227</v>
      </c>
      <c r="C2201" s="711" t="s">
        <v>22</v>
      </c>
      <c r="D2201" s="711" t="s">
        <v>20</v>
      </c>
      <c r="E2201" s="711">
        <v>46227</v>
      </c>
      <c r="G2201" s="828"/>
      <c r="H2201" s="60" t="s">
        <v>180</v>
      </c>
      <c r="I2201" s="60" t="s">
        <v>22</v>
      </c>
      <c r="J2201" s="60">
        <f t="shared" si="2719"/>
        <v>104</v>
      </c>
      <c r="K2201" s="60">
        <v>99</v>
      </c>
      <c r="L2201" s="60">
        <v>0</v>
      </c>
      <c r="M2201" s="60">
        <v>0</v>
      </c>
      <c r="N2201" s="312">
        <v>0</v>
      </c>
      <c r="O2201" s="60">
        <v>0</v>
      </c>
      <c r="P2201" s="312">
        <v>5</v>
      </c>
      <c r="Q2201" s="182">
        <f t="shared" si="2720"/>
        <v>0.95192307692307687</v>
      </c>
      <c r="R2201" s="183">
        <f t="shared" si="2721"/>
        <v>0</v>
      </c>
      <c r="S2201" s="183">
        <f t="shared" si="2722"/>
        <v>4.807692307692308E-2</v>
      </c>
      <c r="T2201" s="183">
        <f t="shared" si="2723"/>
        <v>0</v>
      </c>
      <c r="U2201" s="184">
        <f t="shared" si="2724"/>
        <v>1</v>
      </c>
    </row>
    <row r="2202" spans="2:22" ht="15.75" hidden="1" customHeight="1" x14ac:dyDescent="0.2">
      <c r="B2202" s="711">
        <v>46227</v>
      </c>
      <c r="C2202" s="711" t="s">
        <v>22</v>
      </c>
      <c r="D2202" s="711" t="s">
        <v>20</v>
      </c>
      <c r="E2202" s="711">
        <v>46227</v>
      </c>
      <c r="G2202" s="829"/>
      <c r="H2202" s="60" t="s">
        <v>118</v>
      </c>
      <c r="I2202" s="60" t="s">
        <v>12</v>
      </c>
      <c r="J2202" s="60">
        <v>237</v>
      </c>
      <c r="K2202" s="60">
        <v>0</v>
      </c>
      <c r="L2202" s="60">
        <v>0</v>
      </c>
      <c r="M2202" s="60">
        <v>181</v>
      </c>
      <c r="N2202" s="312">
        <v>0</v>
      </c>
      <c r="O2202" s="60">
        <v>8</v>
      </c>
      <c r="P2202" s="312">
        <v>53</v>
      </c>
      <c r="Q2202" s="182">
        <f t="shared" si="2720"/>
        <v>0</v>
      </c>
      <c r="R2202" s="183">
        <f t="shared" si="2721"/>
        <v>0</v>
      </c>
      <c r="S2202" s="183">
        <f t="shared" si="2722"/>
        <v>0.22362869198312235</v>
      </c>
      <c r="T2202" s="183">
        <f t="shared" si="2723"/>
        <v>3.3755274261603373E-2</v>
      </c>
      <c r="U2202" s="184">
        <f t="shared" si="2724"/>
        <v>0.2573839662447257</v>
      </c>
    </row>
    <row r="2203" spans="2:22" ht="15.75" hidden="1" customHeight="1" x14ac:dyDescent="0.2">
      <c r="B2203" s="711">
        <v>46227</v>
      </c>
      <c r="C2203" s="711" t="s">
        <v>22</v>
      </c>
      <c r="D2203" s="711" t="s">
        <v>20</v>
      </c>
      <c r="E2203" s="711">
        <v>46227</v>
      </c>
      <c r="G2203" s="396"/>
      <c r="H2203" s="775" t="s">
        <v>19</v>
      </c>
      <c r="I2203" s="777"/>
      <c r="J2203" s="190">
        <f t="shared" ref="J2203:P2203" si="2725">SUM(J2198:J2202)</f>
        <v>691</v>
      </c>
      <c r="K2203" s="190">
        <f t="shared" si="2725"/>
        <v>251</v>
      </c>
      <c r="L2203" s="190">
        <f t="shared" si="2725"/>
        <v>82</v>
      </c>
      <c r="M2203" s="190">
        <f t="shared" si="2725"/>
        <v>255</v>
      </c>
      <c r="N2203" s="190">
        <f t="shared" si="2725"/>
        <v>16</v>
      </c>
      <c r="O2203" s="190">
        <f t="shared" si="2725"/>
        <v>28</v>
      </c>
      <c r="P2203" s="190">
        <f t="shared" si="2725"/>
        <v>64</v>
      </c>
      <c r="Q2203" s="191">
        <f>(K2203+L2203)/J2203</f>
        <v>0.48191027496382055</v>
      </c>
      <c r="R2203" s="192">
        <f t="shared" si="2702"/>
        <v>2.3154848046309694E-2</v>
      </c>
      <c r="S2203" s="192">
        <f t="shared" si="2703"/>
        <v>9.2619392185238777E-2</v>
      </c>
      <c r="T2203" s="192">
        <f t="shared" si="2704"/>
        <v>4.0520984081041968E-2</v>
      </c>
      <c r="U2203" s="193">
        <f t="shared" si="2705"/>
        <v>0.63820549927641101</v>
      </c>
      <c r="V2203" s="213"/>
    </row>
    <row r="2204" spans="2:22" ht="15.75" hidden="1" x14ac:dyDescent="0.2">
      <c r="B2204" s="711">
        <v>46227</v>
      </c>
      <c r="C2204" s="711" t="s">
        <v>12</v>
      </c>
      <c r="D2204" s="711" t="s">
        <v>13</v>
      </c>
      <c r="E2204" s="711">
        <v>46227</v>
      </c>
      <c r="G2204" s="827">
        <v>46227</v>
      </c>
      <c r="H2204" s="60" t="s">
        <v>16</v>
      </c>
      <c r="I2204" s="60" t="s">
        <v>83</v>
      </c>
      <c r="J2204" s="60">
        <v>247</v>
      </c>
      <c r="K2204" s="60">
        <f>247-115</f>
        <v>132</v>
      </c>
      <c r="L2204" s="60">
        <v>75</v>
      </c>
      <c r="M2204" s="60">
        <v>16</v>
      </c>
      <c r="N2204" s="312">
        <v>0</v>
      </c>
      <c r="O2204" s="60">
        <v>20</v>
      </c>
      <c r="P2204" s="312">
        <v>4</v>
      </c>
      <c r="Q2204" s="182">
        <f t="shared" ref="Q2204:Q2207" si="2726">(K2204+L2204)/J2204</f>
        <v>0.83805668016194335</v>
      </c>
      <c r="R2204" s="183">
        <f t="shared" ref="R2204:R2214" si="2727">N2204/J2204</f>
        <v>0</v>
      </c>
      <c r="S2204" s="183">
        <f t="shared" ref="S2204:S2214" si="2728">P2204/J2204</f>
        <v>1.6194331983805668E-2</v>
      </c>
      <c r="T2204" s="183">
        <f t="shared" ref="T2204:T2214" si="2729">O2204/J2204</f>
        <v>8.0971659919028341E-2</v>
      </c>
      <c r="U2204" s="184">
        <f t="shared" ref="U2204:U2214" si="2730">S2204+R2204+Q2204+T2204</f>
        <v>0.93522267206477738</v>
      </c>
    </row>
    <row r="2205" spans="2:22" ht="15.75" hidden="1" x14ac:dyDescent="0.2">
      <c r="B2205" s="711">
        <v>46227</v>
      </c>
      <c r="C2205" s="711" t="s">
        <v>12</v>
      </c>
      <c r="D2205" s="711" t="s">
        <v>13</v>
      </c>
      <c r="E2205" s="711">
        <v>46227</v>
      </c>
      <c r="G2205" s="828"/>
      <c r="H2205" s="60" t="s">
        <v>17</v>
      </c>
      <c r="I2205" s="60" t="s">
        <v>22</v>
      </c>
      <c r="J2205" s="60">
        <f t="shared" ref="J2205" si="2731">SUM(K2205:P2205)</f>
        <v>110</v>
      </c>
      <c r="K2205" s="60">
        <v>63</v>
      </c>
      <c r="L2205" s="60">
        <v>14</v>
      </c>
      <c r="M2205" s="60">
        <v>24</v>
      </c>
      <c r="N2205" s="312">
        <v>8</v>
      </c>
      <c r="O2205" s="60">
        <v>0</v>
      </c>
      <c r="P2205" s="312">
        <v>1</v>
      </c>
      <c r="Q2205" s="182">
        <f t="shared" si="2726"/>
        <v>0.7</v>
      </c>
      <c r="R2205" s="183">
        <f t="shared" si="2727"/>
        <v>7.2727272727272724E-2</v>
      </c>
      <c r="S2205" s="183">
        <f t="shared" si="2728"/>
        <v>9.0909090909090905E-3</v>
      </c>
      <c r="T2205" s="183">
        <f t="shared" si="2729"/>
        <v>0</v>
      </c>
      <c r="U2205" s="184">
        <f t="shared" si="2730"/>
        <v>0.78181818181818175</v>
      </c>
    </row>
    <row r="2206" spans="2:22" ht="15.75" hidden="1" x14ac:dyDescent="0.2">
      <c r="B2206" s="711">
        <v>46227</v>
      </c>
      <c r="C2206" s="711" t="s">
        <v>12</v>
      </c>
      <c r="D2206" s="711" t="s">
        <v>13</v>
      </c>
      <c r="E2206" s="711">
        <v>46227</v>
      </c>
      <c r="G2206" s="828"/>
      <c r="H2206" s="60" t="s">
        <v>180</v>
      </c>
      <c r="I2206" s="60" t="s">
        <v>22</v>
      </c>
      <c r="J2206" s="60">
        <v>200</v>
      </c>
      <c r="K2206" s="60">
        <v>173</v>
      </c>
      <c r="L2206" s="60">
        <v>0</v>
      </c>
      <c r="M2206" s="60">
        <v>22</v>
      </c>
      <c r="N2206" s="312">
        <v>0</v>
      </c>
      <c r="O2206" s="60">
        <v>0</v>
      </c>
      <c r="P2206" s="312">
        <v>5</v>
      </c>
      <c r="Q2206" s="182">
        <f t="shared" si="2726"/>
        <v>0.86499999999999999</v>
      </c>
      <c r="R2206" s="183">
        <f t="shared" si="2727"/>
        <v>0</v>
      </c>
      <c r="S2206" s="183">
        <f t="shared" si="2728"/>
        <v>2.5000000000000001E-2</v>
      </c>
      <c r="T2206" s="183">
        <f t="shared" si="2729"/>
        <v>0</v>
      </c>
      <c r="U2206" s="184">
        <f t="shared" si="2730"/>
        <v>0.89</v>
      </c>
    </row>
    <row r="2207" spans="2:22" ht="15.75" hidden="1" x14ac:dyDescent="0.2">
      <c r="B2207" s="711">
        <v>46227</v>
      </c>
      <c r="C2207" s="711" t="s">
        <v>12</v>
      </c>
      <c r="D2207" s="711" t="s">
        <v>13</v>
      </c>
      <c r="E2207" s="711">
        <v>46227</v>
      </c>
      <c r="G2207" s="829"/>
      <c r="H2207" s="60" t="s">
        <v>118</v>
      </c>
      <c r="I2207" s="60" t="s">
        <v>12</v>
      </c>
      <c r="J2207" s="60">
        <v>274</v>
      </c>
      <c r="K2207" s="60">
        <v>124</v>
      </c>
      <c r="L2207" s="60">
        <v>50</v>
      </c>
      <c r="M2207" s="60">
        <v>41</v>
      </c>
      <c r="N2207" s="312">
        <v>0</v>
      </c>
      <c r="O2207" s="60">
        <v>8</v>
      </c>
      <c r="P2207" s="312">
        <v>51</v>
      </c>
      <c r="Q2207" s="182">
        <f t="shared" si="2726"/>
        <v>0.63503649635036497</v>
      </c>
      <c r="R2207" s="183">
        <f t="shared" si="2727"/>
        <v>0</v>
      </c>
      <c r="S2207" s="183">
        <f t="shared" si="2728"/>
        <v>0.18613138686131386</v>
      </c>
      <c r="T2207" s="183">
        <f t="shared" si="2729"/>
        <v>2.9197080291970802E-2</v>
      </c>
      <c r="U2207" s="184">
        <f t="shared" si="2730"/>
        <v>0.85036496350364965</v>
      </c>
    </row>
    <row r="2208" spans="2:22" ht="15.75" hidden="1" x14ac:dyDescent="0.2">
      <c r="B2208" s="711">
        <v>46227</v>
      </c>
      <c r="C2208" s="711" t="s">
        <v>12</v>
      </c>
      <c r="D2208" s="711" t="s">
        <v>13</v>
      </c>
      <c r="E2208" s="711">
        <v>46227</v>
      </c>
      <c r="G2208" s="396"/>
      <c r="H2208" s="775" t="s">
        <v>19</v>
      </c>
      <c r="I2208" s="777"/>
      <c r="J2208" s="190">
        <f t="shared" ref="J2208:P2208" si="2732">SUM(J2204:J2207)</f>
        <v>831</v>
      </c>
      <c r="K2208" s="190">
        <f t="shared" si="2732"/>
        <v>492</v>
      </c>
      <c r="L2208" s="190">
        <f t="shared" si="2732"/>
        <v>139</v>
      </c>
      <c r="M2208" s="190">
        <f t="shared" si="2732"/>
        <v>103</v>
      </c>
      <c r="N2208" s="190">
        <f t="shared" si="2732"/>
        <v>8</v>
      </c>
      <c r="O2208" s="190">
        <f t="shared" si="2732"/>
        <v>28</v>
      </c>
      <c r="P2208" s="190">
        <f t="shared" si="2732"/>
        <v>61</v>
      </c>
      <c r="Q2208" s="191">
        <f>(K2208+L2208)/J2208</f>
        <v>0.75932611311672682</v>
      </c>
      <c r="R2208" s="192">
        <f t="shared" si="2727"/>
        <v>9.6269554753309269E-3</v>
      </c>
      <c r="S2208" s="192">
        <f t="shared" si="2728"/>
        <v>7.3405535499398308E-2</v>
      </c>
      <c r="T2208" s="192">
        <f t="shared" si="2729"/>
        <v>3.3694344163658241E-2</v>
      </c>
      <c r="U2208" s="193">
        <f t="shared" si="2730"/>
        <v>0.87605294825511426</v>
      </c>
      <c r="V2208" s="213"/>
    </row>
    <row r="2209" spans="2:22" ht="15.75" hidden="1" x14ac:dyDescent="0.2">
      <c r="B2209" s="711">
        <v>46227</v>
      </c>
      <c r="C2209" s="711" t="s">
        <v>18</v>
      </c>
      <c r="D2209" s="711" t="s">
        <v>163</v>
      </c>
      <c r="E2209" s="711">
        <v>46227</v>
      </c>
      <c r="G2209" s="830">
        <v>46227</v>
      </c>
      <c r="H2209" s="60" t="s">
        <v>16</v>
      </c>
      <c r="I2209" s="60" t="s">
        <v>83</v>
      </c>
      <c r="J2209" s="60">
        <v>247</v>
      </c>
      <c r="K2209" s="60">
        <f>247-80</f>
        <v>167</v>
      </c>
      <c r="L2209" s="60">
        <v>51</v>
      </c>
      <c r="M2209" s="60">
        <v>5</v>
      </c>
      <c r="N2209" s="312">
        <v>0</v>
      </c>
      <c r="O2209" s="60">
        <v>20</v>
      </c>
      <c r="P2209" s="312">
        <v>4</v>
      </c>
      <c r="Q2209" s="182">
        <f t="shared" ref="Q2209:Q2213" si="2733">(K2209+L2209)/J2209</f>
        <v>0.88259109311740891</v>
      </c>
      <c r="R2209" s="183">
        <f t="shared" si="2727"/>
        <v>0</v>
      </c>
      <c r="S2209" s="183">
        <f t="shared" si="2728"/>
        <v>1.6194331983805668E-2</v>
      </c>
      <c r="T2209" s="183">
        <f t="shared" si="2729"/>
        <v>8.0971659919028341E-2</v>
      </c>
      <c r="U2209" s="184">
        <f t="shared" si="2730"/>
        <v>0.97975708502024295</v>
      </c>
    </row>
    <row r="2210" spans="2:22" ht="15.75" hidden="1" x14ac:dyDescent="0.2">
      <c r="B2210" s="711">
        <v>46227</v>
      </c>
      <c r="C2210" s="711" t="s">
        <v>18</v>
      </c>
      <c r="D2210" s="711" t="s">
        <v>163</v>
      </c>
      <c r="E2210" s="711">
        <v>46227</v>
      </c>
      <c r="G2210" s="831"/>
      <c r="H2210" s="60" t="s">
        <v>17</v>
      </c>
      <c r="I2210" s="60" t="s">
        <v>22</v>
      </c>
      <c r="J2210" s="60">
        <v>109</v>
      </c>
      <c r="K2210" s="60">
        <f>109-56</f>
        <v>53</v>
      </c>
      <c r="L2210" s="60">
        <v>7</v>
      </c>
      <c r="M2210" s="60">
        <v>18</v>
      </c>
      <c r="N2210" s="312">
        <v>8</v>
      </c>
      <c r="O2210" s="60">
        <v>22</v>
      </c>
      <c r="P2210" s="312">
        <v>1</v>
      </c>
      <c r="Q2210" s="182">
        <f t="shared" si="2733"/>
        <v>0.55045871559633031</v>
      </c>
      <c r="R2210" s="183">
        <f t="shared" si="2727"/>
        <v>7.3394495412844041E-2</v>
      </c>
      <c r="S2210" s="183">
        <f t="shared" si="2728"/>
        <v>9.1743119266055051E-3</v>
      </c>
      <c r="T2210" s="183">
        <f t="shared" si="2729"/>
        <v>0.20183486238532111</v>
      </c>
      <c r="U2210" s="184">
        <f t="shared" si="2730"/>
        <v>0.83486238532110091</v>
      </c>
    </row>
    <row r="2211" spans="2:22" ht="15.75" hidden="1" x14ac:dyDescent="0.2">
      <c r="B2211" s="711">
        <v>46227</v>
      </c>
      <c r="C2211" s="711" t="s">
        <v>18</v>
      </c>
      <c r="D2211" s="711" t="s">
        <v>163</v>
      </c>
      <c r="E2211" s="711">
        <v>46227</v>
      </c>
      <c r="G2211" s="831"/>
      <c r="H2211" s="60" t="s">
        <v>120</v>
      </c>
      <c r="I2211" s="60" t="s">
        <v>22</v>
      </c>
      <c r="J2211" s="60">
        <v>21</v>
      </c>
      <c r="K2211" s="60">
        <v>20</v>
      </c>
      <c r="L2211" s="60">
        <v>0</v>
      </c>
      <c r="M2211" s="60">
        <v>0</v>
      </c>
      <c r="N2211" s="312">
        <v>0</v>
      </c>
      <c r="O2211" s="60">
        <v>0</v>
      </c>
      <c r="P2211" s="312">
        <v>1</v>
      </c>
      <c r="Q2211" s="182">
        <f t="shared" si="2733"/>
        <v>0.95238095238095233</v>
      </c>
      <c r="R2211" s="183">
        <f t="shared" si="2727"/>
        <v>0</v>
      </c>
      <c r="S2211" s="183">
        <f t="shared" si="2728"/>
        <v>4.7619047619047616E-2</v>
      </c>
      <c r="T2211" s="183">
        <f t="shared" si="2729"/>
        <v>0</v>
      </c>
      <c r="U2211" s="184">
        <f t="shared" si="2730"/>
        <v>1</v>
      </c>
    </row>
    <row r="2212" spans="2:22" ht="15.75" hidden="1" x14ac:dyDescent="0.2">
      <c r="B2212" s="711">
        <v>46227</v>
      </c>
      <c r="C2212" s="711" t="s">
        <v>18</v>
      </c>
      <c r="D2212" s="711" t="s">
        <v>163</v>
      </c>
      <c r="E2212" s="711">
        <v>46227</v>
      </c>
      <c r="G2212" s="831"/>
      <c r="H2212" s="60" t="s">
        <v>118</v>
      </c>
      <c r="I2212" s="60" t="s">
        <v>12</v>
      </c>
      <c r="J2212" s="60">
        <v>241</v>
      </c>
      <c r="K2212" s="60">
        <f>241-122</f>
        <v>119</v>
      </c>
      <c r="L2212" s="60">
        <v>21</v>
      </c>
      <c r="M2212" s="60">
        <v>47</v>
      </c>
      <c r="N2212" s="312">
        <v>0</v>
      </c>
      <c r="O2212" s="60">
        <v>3</v>
      </c>
      <c r="P2212" s="312">
        <v>51</v>
      </c>
      <c r="Q2212" s="182">
        <f t="shared" si="2733"/>
        <v>0.58091286307053946</v>
      </c>
      <c r="R2212" s="183">
        <f t="shared" si="2727"/>
        <v>0</v>
      </c>
      <c r="S2212" s="183">
        <f t="shared" si="2728"/>
        <v>0.21161825726141079</v>
      </c>
      <c r="T2212" s="183">
        <f t="shared" si="2729"/>
        <v>1.2448132780082987E-2</v>
      </c>
      <c r="U2212" s="184">
        <f t="shared" si="2730"/>
        <v>0.80497925311203322</v>
      </c>
    </row>
    <row r="2213" spans="2:22" ht="15.75" hidden="1" x14ac:dyDescent="0.2">
      <c r="B2213" s="711">
        <v>46227</v>
      </c>
      <c r="C2213" s="711" t="s">
        <v>18</v>
      </c>
      <c r="D2213" s="711" t="s">
        <v>163</v>
      </c>
      <c r="E2213" s="711">
        <v>46227</v>
      </c>
      <c r="G2213" s="831"/>
      <c r="H2213" s="60" t="s">
        <v>180</v>
      </c>
      <c r="I2213" s="60" t="s">
        <v>22</v>
      </c>
      <c r="J2213" s="60">
        <v>200</v>
      </c>
      <c r="K2213" s="60">
        <f>200-27</f>
        <v>173</v>
      </c>
      <c r="L2213" s="60">
        <v>0</v>
      </c>
      <c r="M2213" s="60">
        <v>0</v>
      </c>
      <c r="N2213" s="312">
        <v>22</v>
      </c>
      <c r="O2213" s="60">
        <v>0</v>
      </c>
      <c r="P2213" s="312">
        <v>5</v>
      </c>
      <c r="Q2213" s="182">
        <f t="shared" si="2733"/>
        <v>0.86499999999999999</v>
      </c>
      <c r="R2213" s="183">
        <f t="shared" si="2727"/>
        <v>0.11</v>
      </c>
      <c r="S2213" s="183">
        <f t="shared" si="2728"/>
        <v>2.5000000000000001E-2</v>
      </c>
      <c r="T2213" s="183">
        <f t="shared" si="2729"/>
        <v>0</v>
      </c>
      <c r="U2213" s="184">
        <f t="shared" si="2730"/>
        <v>1</v>
      </c>
    </row>
    <row r="2214" spans="2:22" ht="15.75" hidden="1" x14ac:dyDescent="0.2">
      <c r="B2214" s="711">
        <v>46227</v>
      </c>
      <c r="C2214" s="711" t="s">
        <v>18</v>
      </c>
      <c r="D2214" s="711" t="s">
        <v>163</v>
      </c>
      <c r="E2214" s="711">
        <v>46227</v>
      </c>
      <c r="G2214" s="190"/>
      <c r="H2214" s="775" t="s">
        <v>19</v>
      </c>
      <c r="I2214" s="777"/>
      <c r="J2214" s="190">
        <f>SUM(J2209:J2213)</f>
        <v>818</v>
      </c>
      <c r="K2214" s="190">
        <f t="shared" ref="K2214:P2214" si="2734">SUM(K2209:K2213)</f>
        <v>532</v>
      </c>
      <c r="L2214" s="190">
        <f t="shared" si="2734"/>
        <v>79</v>
      </c>
      <c r="M2214" s="190">
        <f t="shared" si="2734"/>
        <v>70</v>
      </c>
      <c r="N2214" s="190">
        <f t="shared" si="2734"/>
        <v>30</v>
      </c>
      <c r="O2214" s="190">
        <f t="shared" si="2734"/>
        <v>45</v>
      </c>
      <c r="P2214" s="190">
        <f t="shared" si="2734"/>
        <v>62</v>
      </c>
      <c r="Q2214" s="191">
        <f>(K2214+L2214)/J2214</f>
        <v>0.74694376528117357</v>
      </c>
      <c r="R2214" s="192">
        <f t="shared" si="2727"/>
        <v>3.6674816625916873E-2</v>
      </c>
      <c r="S2214" s="192">
        <f t="shared" si="2728"/>
        <v>7.5794621026894868E-2</v>
      </c>
      <c r="T2214" s="192">
        <f t="shared" si="2729"/>
        <v>5.5012224938875302E-2</v>
      </c>
      <c r="U2214" s="193">
        <f t="shared" si="2730"/>
        <v>0.91442542787286052</v>
      </c>
      <c r="V2214" s="213"/>
    </row>
    <row r="2215" spans="2:22" ht="15.75" hidden="1" x14ac:dyDescent="0.2">
      <c r="B2215" s="711">
        <v>46227</v>
      </c>
      <c r="C2215" s="711" t="s">
        <v>18</v>
      </c>
      <c r="D2215" s="711" t="s">
        <v>163</v>
      </c>
      <c r="E2215" s="711">
        <v>46228</v>
      </c>
      <c r="G2215" s="830">
        <v>46228</v>
      </c>
      <c r="H2215" s="60" t="s">
        <v>16</v>
      </c>
      <c r="I2215" s="60" t="s">
        <v>15</v>
      </c>
      <c r="J2215" s="60">
        <v>243</v>
      </c>
      <c r="K2215" s="60">
        <v>55</v>
      </c>
      <c r="L2215" s="60">
        <v>52</v>
      </c>
      <c r="M2215" s="60">
        <v>126</v>
      </c>
      <c r="N2215" s="312">
        <v>0</v>
      </c>
      <c r="O2215" s="60">
        <v>0</v>
      </c>
      <c r="P2215" s="312">
        <v>10</v>
      </c>
      <c r="Q2215" s="182">
        <f t="shared" ref="Q2215:Q2218" si="2735">(K2215+L2215)/J2215</f>
        <v>0.44032921810699588</v>
      </c>
      <c r="R2215" s="183">
        <f t="shared" ref="R2215:R2225" si="2736">N2215/J2215</f>
        <v>0</v>
      </c>
      <c r="S2215" s="183">
        <f t="shared" ref="S2215:S2225" si="2737">P2215/J2215</f>
        <v>4.1152263374485597E-2</v>
      </c>
      <c r="T2215" s="183">
        <f t="shared" ref="T2215:T2225" si="2738">O2215/J2215</f>
        <v>0</v>
      </c>
      <c r="U2215" s="184">
        <f t="shared" ref="U2215:U2225" si="2739">S2215+R2215+Q2215+T2215</f>
        <v>0.48148148148148145</v>
      </c>
    </row>
    <row r="2216" spans="2:22" ht="15.75" hidden="1" x14ac:dyDescent="0.2">
      <c r="B2216" s="711">
        <v>46227</v>
      </c>
      <c r="C2216" s="711" t="s">
        <v>18</v>
      </c>
      <c r="D2216" s="711" t="s">
        <v>163</v>
      </c>
      <c r="E2216" s="711">
        <v>46228</v>
      </c>
      <c r="G2216" s="831"/>
      <c r="H2216" s="60" t="s">
        <v>17</v>
      </c>
      <c r="I2216" s="60" t="s">
        <v>22</v>
      </c>
      <c r="J2216" s="60">
        <v>160</v>
      </c>
      <c r="K2216" s="60">
        <v>0</v>
      </c>
      <c r="L2216" s="60">
        <v>3</v>
      </c>
      <c r="M2216" s="60">
        <v>153</v>
      </c>
      <c r="N2216" s="312">
        <v>0</v>
      </c>
      <c r="O2216" s="60">
        <v>0</v>
      </c>
      <c r="P2216" s="312">
        <v>4</v>
      </c>
      <c r="Q2216" s="182">
        <f t="shared" si="2735"/>
        <v>1.8749999999999999E-2</v>
      </c>
      <c r="R2216" s="183">
        <f t="shared" si="2736"/>
        <v>0</v>
      </c>
      <c r="S2216" s="183">
        <f t="shared" si="2737"/>
        <v>2.5000000000000001E-2</v>
      </c>
      <c r="T2216" s="183">
        <f t="shared" si="2738"/>
        <v>0</v>
      </c>
      <c r="U2216" s="184">
        <f t="shared" si="2739"/>
        <v>4.3749999999999997E-2</v>
      </c>
    </row>
    <row r="2217" spans="2:22" ht="15.75" hidden="1" x14ac:dyDescent="0.2">
      <c r="B2217" s="711">
        <v>46227</v>
      </c>
      <c r="C2217" s="711" t="s">
        <v>18</v>
      </c>
      <c r="D2217" s="711" t="s">
        <v>163</v>
      </c>
      <c r="E2217" s="711">
        <v>46228</v>
      </c>
      <c r="G2217" s="831"/>
      <c r="H2217" s="60" t="s">
        <v>14</v>
      </c>
      <c r="I2217" s="60" t="s">
        <v>18</v>
      </c>
      <c r="J2217" s="60">
        <v>102</v>
      </c>
      <c r="K2217" s="60">
        <v>0</v>
      </c>
      <c r="L2217" s="60">
        <v>0</v>
      </c>
      <c r="M2217" s="60">
        <v>101</v>
      </c>
      <c r="N2217" s="312">
        <v>0</v>
      </c>
      <c r="O2217" s="60">
        <v>0</v>
      </c>
      <c r="P2217" s="312">
        <v>1</v>
      </c>
      <c r="Q2217" s="182">
        <f t="shared" si="2735"/>
        <v>0</v>
      </c>
      <c r="R2217" s="183">
        <f t="shared" si="2736"/>
        <v>0</v>
      </c>
      <c r="S2217" s="183">
        <f t="shared" si="2737"/>
        <v>9.8039215686274508E-3</v>
      </c>
      <c r="T2217" s="183">
        <f t="shared" si="2738"/>
        <v>0</v>
      </c>
      <c r="U2217" s="184">
        <f t="shared" si="2739"/>
        <v>9.8039215686274508E-3</v>
      </c>
    </row>
    <row r="2218" spans="2:22" ht="15.75" hidden="1" x14ac:dyDescent="0.2">
      <c r="B2218" s="711">
        <v>46227</v>
      </c>
      <c r="C2218" s="711" t="s">
        <v>18</v>
      </c>
      <c r="D2218" s="711" t="s">
        <v>163</v>
      </c>
      <c r="E2218" s="711">
        <v>46228</v>
      </c>
      <c r="G2218" s="831"/>
      <c r="H2218" s="60" t="s">
        <v>180</v>
      </c>
      <c r="I2218" s="60" t="s">
        <v>12</v>
      </c>
      <c r="J2218" s="60">
        <v>36</v>
      </c>
      <c r="K2218" s="60">
        <v>0</v>
      </c>
      <c r="L2218" s="60">
        <v>0</v>
      </c>
      <c r="M2218" s="60">
        <v>9</v>
      </c>
      <c r="N2218" s="312">
        <v>19</v>
      </c>
      <c r="O2218" s="60">
        <v>0</v>
      </c>
      <c r="P2218" s="312">
        <v>8</v>
      </c>
      <c r="Q2218" s="182">
        <f t="shared" si="2735"/>
        <v>0</v>
      </c>
      <c r="R2218" s="183">
        <f t="shared" si="2736"/>
        <v>0.52777777777777779</v>
      </c>
      <c r="S2218" s="183">
        <f t="shared" si="2737"/>
        <v>0.22222222222222221</v>
      </c>
      <c r="T2218" s="183">
        <f t="shared" si="2738"/>
        <v>0</v>
      </c>
      <c r="U2218" s="184">
        <f t="shared" si="2739"/>
        <v>0.75</v>
      </c>
    </row>
    <row r="2219" spans="2:22" ht="15.75" hidden="1" x14ac:dyDescent="0.2">
      <c r="B2219" s="711">
        <v>46227</v>
      </c>
      <c r="C2219" s="711" t="s">
        <v>18</v>
      </c>
      <c r="D2219" s="711" t="s">
        <v>163</v>
      </c>
      <c r="E2219" s="711">
        <v>46228</v>
      </c>
      <c r="G2219" s="190"/>
      <c r="H2219" s="775" t="s">
        <v>19</v>
      </c>
      <c r="I2219" s="777"/>
      <c r="J2219" s="190">
        <f>SUM(J2215:J2218)</f>
        <v>541</v>
      </c>
      <c r="K2219" s="190">
        <f t="shared" ref="K2219:P2219" si="2740">SUM(K2215:K2218)</f>
        <v>55</v>
      </c>
      <c r="L2219" s="190">
        <f t="shared" si="2740"/>
        <v>55</v>
      </c>
      <c r="M2219" s="190">
        <f t="shared" si="2740"/>
        <v>389</v>
      </c>
      <c r="N2219" s="190">
        <f t="shared" si="2740"/>
        <v>19</v>
      </c>
      <c r="O2219" s="190">
        <f t="shared" si="2740"/>
        <v>0</v>
      </c>
      <c r="P2219" s="190">
        <f t="shared" si="2740"/>
        <v>23</v>
      </c>
      <c r="Q2219" s="191">
        <f>(K2219+L2219)/J2219</f>
        <v>0.20332717190388169</v>
      </c>
      <c r="R2219" s="192">
        <f t="shared" si="2736"/>
        <v>3.512014787430684E-2</v>
      </c>
      <c r="S2219" s="192">
        <f t="shared" si="2737"/>
        <v>4.2513863216266171E-2</v>
      </c>
      <c r="T2219" s="192">
        <f t="shared" si="2738"/>
        <v>0</v>
      </c>
      <c r="U2219" s="193">
        <f t="shared" si="2739"/>
        <v>0.28096118299445472</v>
      </c>
      <c r="V2219" s="213"/>
    </row>
    <row r="2220" spans="2:22" ht="15.75" hidden="1" customHeight="1" x14ac:dyDescent="0.2">
      <c r="B2220" s="711">
        <v>46228</v>
      </c>
      <c r="C2220" s="711" t="s">
        <v>22</v>
      </c>
      <c r="D2220" s="711" t="s">
        <v>20</v>
      </c>
      <c r="E2220" s="711">
        <v>46228</v>
      </c>
      <c r="G2220" s="827">
        <v>46228</v>
      </c>
      <c r="H2220" s="60" t="s">
        <v>16</v>
      </c>
      <c r="I2220" s="60" t="s">
        <v>15</v>
      </c>
      <c r="J2220" s="60">
        <f>SUM(K2220:P2220)</f>
        <v>153</v>
      </c>
      <c r="K2220" s="60">
        <v>67</v>
      </c>
      <c r="L2220" s="60">
        <v>66</v>
      </c>
      <c r="M2220" s="60">
        <v>0</v>
      </c>
      <c r="N2220" s="312">
        <v>0</v>
      </c>
      <c r="O2220" s="60">
        <v>14</v>
      </c>
      <c r="P2220" s="312">
        <v>6</v>
      </c>
      <c r="Q2220" s="182">
        <f t="shared" ref="Q2220:Q2224" si="2741">(K2220+L2220)/J2220</f>
        <v>0.86928104575163401</v>
      </c>
      <c r="R2220" s="183">
        <f t="shared" si="2736"/>
        <v>0</v>
      </c>
      <c r="S2220" s="183">
        <f t="shared" si="2737"/>
        <v>3.9215686274509803E-2</v>
      </c>
      <c r="T2220" s="183">
        <f t="shared" si="2738"/>
        <v>9.1503267973856203E-2</v>
      </c>
      <c r="U2220" s="184">
        <f t="shared" si="2739"/>
        <v>1</v>
      </c>
    </row>
    <row r="2221" spans="2:22" ht="15.75" hidden="1" customHeight="1" x14ac:dyDescent="0.2">
      <c r="B2221" s="711">
        <v>46228</v>
      </c>
      <c r="C2221" s="711" t="s">
        <v>22</v>
      </c>
      <c r="D2221" s="711" t="s">
        <v>20</v>
      </c>
      <c r="E2221" s="711">
        <v>46228</v>
      </c>
      <c r="G2221" s="828"/>
      <c r="H2221" s="60" t="s">
        <v>17</v>
      </c>
      <c r="I2221" s="60" t="s">
        <v>22</v>
      </c>
      <c r="J2221" s="60">
        <f t="shared" ref="J2221:J2222" si="2742">SUM(K2221:P2221)</f>
        <v>200</v>
      </c>
      <c r="K2221" s="60">
        <v>77</v>
      </c>
      <c r="L2221" s="60">
        <v>12</v>
      </c>
      <c r="M2221" s="60">
        <v>84</v>
      </c>
      <c r="N2221" s="312">
        <v>1</v>
      </c>
      <c r="O2221" s="60">
        <v>22</v>
      </c>
      <c r="P2221" s="312">
        <v>4</v>
      </c>
      <c r="Q2221" s="182">
        <f t="shared" si="2741"/>
        <v>0.44500000000000001</v>
      </c>
      <c r="R2221" s="183">
        <f t="shared" si="2736"/>
        <v>5.0000000000000001E-3</v>
      </c>
      <c r="S2221" s="183">
        <f t="shared" si="2737"/>
        <v>0.02</v>
      </c>
      <c r="T2221" s="183">
        <f t="shared" si="2738"/>
        <v>0.11</v>
      </c>
      <c r="U2221" s="184">
        <f t="shared" si="2739"/>
        <v>0.58000000000000007</v>
      </c>
    </row>
    <row r="2222" spans="2:22" ht="15.75" hidden="1" customHeight="1" x14ac:dyDescent="0.2">
      <c r="B2222" s="711">
        <v>46228</v>
      </c>
      <c r="C2222" s="711" t="s">
        <v>22</v>
      </c>
      <c r="D2222" s="711" t="s">
        <v>20</v>
      </c>
      <c r="E2222" s="711">
        <v>46228</v>
      </c>
      <c r="G2222" s="828"/>
      <c r="H2222" s="60" t="s">
        <v>180</v>
      </c>
      <c r="I2222" s="60" t="s">
        <v>22</v>
      </c>
      <c r="J2222" s="60">
        <f t="shared" si="2742"/>
        <v>66</v>
      </c>
      <c r="K2222" s="60">
        <v>37</v>
      </c>
      <c r="L2222" s="60">
        <v>17</v>
      </c>
      <c r="M2222" s="60">
        <v>4</v>
      </c>
      <c r="N2222" s="312">
        <v>0</v>
      </c>
      <c r="O2222" s="60">
        <v>0</v>
      </c>
      <c r="P2222" s="312">
        <v>8</v>
      </c>
      <c r="Q2222" s="182">
        <f t="shared" si="2741"/>
        <v>0.81818181818181823</v>
      </c>
      <c r="R2222" s="183">
        <f t="shared" si="2736"/>
        <v>0</v>
      </c>
      <c r="S2222" s="183">
        <f t="shared" si="2737"/>
        <v>0.12121212121212122</v>
      </c>
      <c r="T2222" s="183">
        <f t="shared" si="2738"/>
        <v>0</v>
      </c>
      <c r="U2222" s="184">
        <f t="shared" si="2739"/>
        <v>0.93939393939393945</v>
      </c>
    </row>
    <row r="2223" spans="2:22" ht="15.75" hidden="1" customHeight="1" x14ac:dyDescent="0.2">
      <c r="B2223" s="711">
        <v>46228</v>
      </c>
      <c r="C2223" s="711" t="s">
        <v>22</v>
      </c>
      <c r="D2223" s="711" t="s">
        <v>20</v>
      </c>
      <c r="E2223" s="711">
        <v>46228</v>
      </c>
      <c r="G2223" s="828"/>
      <c r="H2223" s="60" t="s">
        <v>118</v>
      </c>
      <c r="I2223" s="60" t="s">
        <v>12</v>
      </c>
      <c r="J2223" s="60">
        <f t="shared" ref="J2223" si="2743">SUM(K2223:P2223)</f>
        <v>14</v>
      </c>
      <c r="K2223" s="60">
        <v>13</v>
      </c>
      <c r="L2223" s="60">
        <v>1</v>
      </c>
      <c r="M2223" s="60">
        <v>0</v>
      </c>
      <c r="N2223" s="312">
        <v>0</v>
      </c>
      <c r="O2223" s="60">
        <v>0</v>
      </c>
      <c r="P2223" s="312">
        <v>0</v>
      </c>
      <c r="Q2223" s="182">
        <f t="shared" ref="Q2223" si="2744">(K2223+L2223)/J2223</f>
        <v>1</v>
      </c>
      <c r="R2223" s="183">
        <f t="shared" ref="R2223" si="2745">N2223/J2223</f>
        <v>0</v>
      </c>
      <c r="S2223" s="183">
        <f t="shared" ref="S2223" si="2746">P2223/J2223</f>
        <v>0</v>
      </c>
      <c r="T2223" s="183">
        <f t="shared" ref="T2223" si="2747">O2223/J2223</f>
        <v>0</v>
      </c>
      <c r="U2223" s="184">
        <f t="shared" ref="U2223" si="2748">S2223+R2223+Q2223+T2223</f>
        <v>1</v>
      </c>
    </row>
    <row r="2224" spans="2:22" ht="15.75" hidden="1" customHeight="1" x14ac:dyDescent="0.2">
      <c r="B2224" s="711">
        <v>46228</v>
      </c>
      <c r="C2224" s="711" t="s">
        <v>22</v>
      </c>
      <c r="D2224" s="711" t="s">
        <v>20</v>
      </c>
      <c r="E2224" s="711">
        <v>46228</v>
      </c>
      <c r="G2224" s="829"/>
      <c r="H2224" s="60" t="s">
        <v>14</v>
      </c>
      <c r="I2224" s="60" t="s">
        <v>18</v>
      </c>
      <c r="J2224" s="60">
        <v>101</v>
      </c>
      <c r="K2224" s="60">
        <v>0</v>
      </c>
      <c r="L2224" s="60">
        <v>0</v>
      </c>
      <c r="M2224" s="60">
        <v>93</v>
      </c>
      <c r="N2224" s="312">
        <v>0</v>
      </c>
      <c r="O2224" s="60">
        <v>7</v>
      </c>
      <c r="P2224" s="312">
        <v>1</v>
      </c>
      <c r="Q2224" s="182">
        <f t="shared" si="2741"/>
        <v>0</v>
      </c>
      <c r="R2224" s="183">
        <f t="shared" si="2736"/>
        <v>0</v>
      </c>
      <c r="S2224" s="183">
        <f t="shared" si="2737"/>
        <v>9.9009900990099011E-3</v>
      </c>
      <c r="T2224" s="183">
        <f t="shared" si="2738"/>
        <v>6.9306930693069313E-2</v>
      </c>
      <c r="U2224" s="184">
        <f t="shared" si="2739"/>
        <v>7.9207920792079209E-2</v>
      </c>
    </row>
    <row r="2225" spans="2:22" ht="15.75" hidden="1" customHeight="1" x14ac:dyDescent="0.2">
      <c r="B2225" s="711">
        <v>46228</v>
      </c>
      <c r="C2225" s="711" t="s">
        <v>22</v>
      </c>
      <c r="D2225" s="711" t="s">
        <v>20</v>
      </c>
      <c r="E2225" s="711">
        <v>46228</v>
      </c>
      <c r="G2225" s="396"/>
      <c r="H2225" s="775" t="s">
        <v>19</v>
      </c>
      <c r="I2225" s="777"/>
      <c r="J2225" s="190">
        <f t="shared" ref="J2225:P2225" si="2749">SUM(J2220:J2224)</f>
        <v>534</v>
      </c>
      <c r="K2225" s="190">
        <f t="shared" si="2749"/>
        <v>194</v>
      </c>
      <c r="L2225" s="190">
        <f t="shared" si="2749"/>
        <v>96</v>
      </c>
      <c r="M2225" s="190">
        <f t="shared" si="2749"/>
        <v>181</v>
      </c>
      <c r="N2225" s="190">
        <f t="shared" si="2749"/>
        <v>1</v>
      </c>
      <c r="O2225" s="190">
        <f t="shared" si="2749"/>
        <v>43</v>
      </c>
      <c r="P2225" s="190">
        <f t="shared" si="2749"/>
        <v>19</v>
      </c>
      <c r="Q2225" s="191">
        <f>(K2225+L2225)/J2225</f>
        <v>0.54307116104868913</v>
      </c>
      <c r="R2225" s="192">
        <f t="shared" si="2736"/>
        <v>1.8726591760299626E-3</v>
      </c>
      <c r="S2225" s="192">
        <f t="shared" si="2737"/>
        <v>3.5580524344569285E-2</v>
      </c>
      <c r="T2225" s="192">
        <f t="shared" si="2738"/>
        <v>8.0524344569288392E-2</v>
      </c>
      <c r="U2225" s="193">
        <f t="shared" si="2739"/>
        <v>0.66104868913857673</v>
      </c>
      <c r="V2225" s="213"/>
    </row>
    <row r="2226" spans="2:22" ht="15.75" hidden="1" x14ac:dyDescent="0.2">
      <c r="B2226" s="711">
        <v>46228</v>
      </c>
      <c r="C2226" s="711" t="s">
        <v>22</v>
      </c>
      <c r="D2226" s="711" t="s">
        <v>13</v>
      </c>
      <c r="E2226" s="711">
        <v>46228</v>
      </c>
      <c r="G2226" s="827">
        <v>46228</v>
      </c>
      <c r="H2226" s="60" t="s">
        <v>16</v>
      </c>
      <c r="I2226" s="60" t="s">
        <v>15</v>
      </c>
      <c r="J2226" s="60">
        <f>SUM(K2226:P2226)</f>
        <v>153</v>
      </c>
      <c r="K2226" s="60">
        <v>67</v>
      </c>
      <c r="L2226" s="60">
        <v>66</v>
      </c>
      <c r="M2226" s="60">
        <v>0</v>
      </c>
      <c r="N2226" s="312">
        <v>0</v>
      </c>
      <c r="O2226" s="60">
        <v>14</v>
      </c>
      <c r="P2226" s="312">
        <v>6</v>
      </c>
      <c r="Q2226" s="182">
        <f t="shared" ref="Q2226:Q2230" si="2750">(K2226+L2226)/J2226</f>
        <v>0.86928104575163401</v>
      </c>
      <c r="R2226" s="183">
        <f t="shared" ref="R2226:R2231" si="2751">N2226/J2226</f>
        <v>0</v>
      </c>
      <c r="S2226" s="183">
        <f t="shared" ref="S2226:S2231" si="2752">P2226/J2226</f>
        <v>3.9215686274509803E-2</v>
      </c>
      <c r="T2226" s="183">
        <f t="shared" ref="T2226:T2231" si="2753">O2226/J2226</f>
        <v>9.1503267973856203E-2</v>
      </c>
      <c r="U2226" s="184">
        <f t="shared" ref="U2226:U2231" si="2754">S2226+R2226+Q2226+T2226</f>
        <v>1</v>
      </c>
    </row>
    <row r="2227" spans="2:22" ht="15.75" hidden="1" x14ac:dyDescent="0.2">
      <c r="B2227" s="711">
        <v>46228</v>
      </c>
      <c r="C2227" s="711" t="s">
        <v>22</v>
      </c>
      <c r="D2227" s="711" t="s">
        <v>13</v>
      </c>
      <c r="E2227" s="711">
        <v>46228</v>
      </c>
      <c r="G2227" s="828"/>
      <c r="H2227" s="60" t="s">
        <v>17</v>
      </c>
      <c r="I2227" s="60" t="s">
        <v>22</v>
      </c>
      <c r="J2227" s="60">
        <f t="shared" ref="J2227:J2228" si="2755">SUM(K2227:P2227)</f>
        <v>180</v>
      </c>
      <c r="K2227" s="60">
        <v>77</v>
      </c>
      <c r="L2227" s="60">
        <v>30</v>
      </c>
      <c r="M2227" s="60">
        <v>47</v>
      </c>
      <c r="N2227" s="312">
        <v>1</v>
      </c>
      <c r="O2227" s="60">
        <v>22</v>
      </c>
      <c r="P2227" s="312">
        <v>3</v>
      </c>
      <c r="Q2227" s="182">
        <f t="shared" si="2750"/>
        <v>0.59444444444444444</v>
      </c>
      <c r="R2227" s="183">
        <f t="shared" si="2751"/>
        <v>5.5555555555555558E-3</v>
      </c>
      <c r="S2227" s="183">
        <f t="shared" si="2752"/>
        <v>1.6666666666666666E-2</v>
      </c>
      <c r="T2227" s="183">
        <f t="shared" si="2753"/>
        <v>0.12222222222222222</v>
      </c>
      <c r="U2227" s="184">
        <f t="shared" si="2754"/>
        <v>0.73888888888888893</v>
      </c>
    </row>
    <row r="2228" spans="2:22" ht="15.75" hidden="1" x14ac:dyDescent="0.2">
      <c r="B2228" s="711">
        <v>46228</v>
      </c>
      <c r="C2228" s="711" t="s">
        <v>22</v>
      </c>
      <c r="D2228" s="711" t="s">
        <v>13</v>
      </c>
      <c r="E2228" s="711">
        <v>46228</v>
      </c>
      <c r="G2228" s="828"/>
      <c r="H2228" s="60" t="s">
        <v>180</v>
      </c>
      <c r="I2228" s="60" t="s">
        <v>22</v>
      </c>
      <c r="J2228" s="60">
        <f t="shared" si="2755"/>
        <v>65</v>
      </c>
      <c r="K2228" s="60">
        <v>37</v>
      </c>
      <c r="L2228" s="60">
        <v>17</v>
      </c>
      <c r="M2228" s="60">
        <v>3</v>
      </c>
      <c r="N2228" s="312">
        <v>0</v>
      </c>
      <c r="O2228" s="60">
        <v>0</v>
      </c>
      <c r="P2228" s="312">
        <v>8</v>
      </c>
      <c r="Q2228" s="182">
        <f t="shared" si="2750"/>
        <v>0.83076923076923082</v>
      </c>
      <c r="R2228" s="183">
        <f t="shared" si="2751"/>
        <v>0</v>
      </c>
      <c r="S2228" s="183">
        <f t="shared" si="2752"/>
        <v>0.12307692307692308</v>
      </c>
      <c r="T2228" s="183">
        <f t="shared" si="2753"/>
        <v>0</v>
      </c>
      <c r="U2228" s="184">
        <f t="shared" si="2754"/>
        <v>0.9538461538461539</v>
      </c>
    </row>
    <row r="2229" spans="2:22" ht="15.75" hidden="1" x14ac:dyDescent="0.2">
      <c r="B2229" s="711">
        <v>46228</v>
      </c>
      <c r="C2229" s="711" t="s">
        <v>22</v>
      </c>
      <c r="D2229" s="711" t="s">
        <v>13</v>
      </c>
      <c r="E2229" s="711">
        <v>46228</v>
      </c>
      <c r="G2229" s="828"/>
      <c r="H2229" s="60" t="s">
        <v>118</v>
      </c>
      <c r="I2229" s="60" t="s">
        <v>12</v>
      </c>
      <c r="J2229" s="60">
        <v>56</v>
      </c>
      <c r="K2229" s="60">
        <v>28</v>
      </c>
      <c r="L2229" s="60">
        <v>28</v>
      </c>
      <c r="M2229" s="60">
        <v>0</v>
      </c>
      <c r="N2229" s="312">
        <v>0</v>
      </c>
      <c r="O2229" s="60">
        <v>0</v>
      </c>
      <c r="P2229" s="312">
        <v>0</v>
      </c>
      <c r="Q2229" s="182">
        <f t="shared" si="2750"/>
        <v>1</v>
      </c>
      <c r="R2229" s="183">
        <f t="shared" si="2751"/>
        <v>0</v>
      </c>
      <c r="S2229" s="183">
        <f t="shared" si="2752"/>
        <v>0</v>
      </c>
      <c r="T2229" s="183">
        <f t="shared" si="2753"/>
        <v>0</v>
      </c>
      <c r="U2229" s="184">
        <f t="shared" si="2754"/>
        <v>1</v>
      </c>
    </row>
    <row r="2230" spans="2:22" ht="15.75" hidden="1" x14ac:dyDescent="0.2">
      <c r="B2230" s="711">
        <v>46228</v>
      </c>
      <c r="C2230" s="711" t="s">
        <v>22</v>
      </c>
      <c r="D2230" s="711" t="s">
        <v>13</v>
      </c>
      <c r="E2230" s="711">
        <v>46228</v>
      </c>
      <c r="G2230" s="829"/>
      <c r="H2230" s="60" t="s">
        <v>14</v>
      </c>
      <c r="I2230" s="60" t="s">
        <v>18</v>
      </c>
      <c r="J2230" s="60">
        <v>101</v>
      </c>
      <c r="K2230" s="60">
        <v>50</v>
      </c>
      <c r="L2230" s="60">
        <v>5</v>
      </c>
      <c r="M2230" s="60">
        <v>38</v>
      </c>
      <c r="N2230" s="312">
        <v>0</v>
      </c>
      <c r="O2230" s="60">
        <v>7</v>
      </c>
      <c r="P2230" s="312">
        <v>1</v>
      </c>
      <c r="Q2230" s="182">
        <f t="shared" si="2750"/>
        <v>0.54455445544554459</v>
      </c>
      <c r="R2230" s="183">
        <f t="shared" si="2751"/>
        <v>0</v>
      </c>
      <c r="S2230" s="183">
        <f t="shared" si="2752"/>
        <v>9.9009900990099011E-3</v>
      </c>
      <c r="T2230" s="183">
        <f t="shared" si="2753"/>
        <v>6.9306930693069313E-2</v>
      </c>
      <c r="U2230" s="184">
        <f t="shared" si="2754"/>
        <v>0.62376237623762387</v>
      </c>
    </row>
    <row r="2231" spans="2:22" ht="15.75" hidden="1" x14ac:dyDescent="0.2">
      <c r="B2231" s="711">
        <v>46228</v>
      </c>
      <c r="C2231" s="711" t="s">
        <v>22</v>
      </c>
      <c r="D2231" s="711" t="s">
        <v>13</v>
      </c>
      <c r="E2231" s="711">
        <v>46228</v>
      </c>
      <c r="G2231" s="396"/>
      <c r="H2231" s="775" t="s">
        <v>19</v>
      </c>
      <c r="I2231" s="777"/>
      <c r="J2231" s="190">
        <f t="shared" ref="J2231" si="2756">SUM(J2226:J2230)</f>
        <v>555</v>
      </c>
      <c r="K2231" s="190">
        <f t="shared" ref="K2231" si="2757">SUM(K2226:K2230)</f>
        <v>259</v>
      </c>
      <c r="L2231" s="190">
        <f t="shared" ref="L2231" si="2758">SUM(L2226:L2230)</f>
        <v>146</v>
      </c>
      <c r="M2231" s="190">
        <f t="shared" ref="M2231" si="2759">SUM(M2226:M2230)</f>
        <v>88</v>
      </c>
      <c r="N2231" s="190">
        <f t="shared" ref="N2231" si="2760">SUM(N2226:N2230)</f>
        <v>1</v>
      </c>
      <c r="O2231" s="190">
        <f t="shared" ref="O2231" si="2761">SUM(O2226:O2230)</f>
        <v>43</v>
      </c>
      <c r="P2231" s="190">
        <f t="shared" ref="P2231" si="2762">SUM(P2226:P2230)</f>
        <v>18</v>
      </c>
      <c r="Q2231" s="191">
        <f>(K2231+L2231)/J2231</f>
        <v>0.72972972972972971</v>
      </c>
      <c r="R2231" s="192">
        <f t="shared" si="2751"/>
        <v>1.8018018018018018E-3</v>
      </c>
      <c r="S2231" s="192">
        <f t="shared" si="2752"/>
        <v>3.2432432432432434E-2</v>
      </c>
      <c r="T2231" s="192">
        <f t="shared" si="2753"/>
        <v>7.7477477477477477E-2</v>
      </c>
      <c r="U2231" s="193">
        <f t="shared" si="2754"/>
        <v>0.8414414414414414</v>
      </c>
      <c r="V2231" s="213"/>
    </row>
    <row r="2232" spans="2:22" ht="15.75" hidden="1" x14ac:dyDescent="0.2">
      <c r="B2232" s="711">
        <v>46228</v>
      </c>
      <c r="C2232" s="711" t="s">
        <v>18</v>
      </c>
      <c r="D2232" s="711" t="s">
        <v>188</v>
      </c>
      <c r="E2232" s="711">
        <v>46230</v>
      </c>
      <c r="G2232" s="770">
        <v>46230</v>
      </c>
      <c r="H2232" s="60" t="s">
        <v>16</v>
      </c>
      <c r="I2232" s="60" t="s">
        <v>15</v>
      </c>
      <c r="J2232" s="60">
        <v>230</v>
      </c>
      <c r="K2232" s="60">
        <v>151</v>
      </c>
      <c r="L2232" s="60">
        <v>16</v>
      </c>
      <c r="M2232" s="60">
        <v>22</v>
      </c>
      <c r="N2232" s="312">
        <v>8</v>
      </c>
      <c r="O2232" s="60">
        <v>20</v>
      </c>
      <c r="P2232" s="312">
        <v>13</v>
      </c>
      <c r="Q2232" s="182">
        <f t="shared" ref="Q2232:Q2235" si="2763">(K2232+L2232)/J2232</f>
        <v>0.72608695652173916</v>
      </c>
      <c r="R2232" s="183">
        <f t="shared" ref="R2232:R2236" si="2764">N2232/J2232</f>
        <v>3.4782608695652174E-2</v>
      </c>
      <c r="S2232" s="183">
        <f t="shared" ref="S2232:S2236" si="2765">P2232/J2232</f>
        <v>5.6521739130434782E-2</v>
      </c>
      <c r="T2232" s="183">
        <f t="shared" ref="T2232:T2236" si="2766">O2232/J2232</f>
        <v>8.6956521739130432E-2</v>
      </c>
      <c r="U2232" s="184">
        <f t="shared" ref="U2232:U2236" si="2767">S2232+R2232+Q2232+T2232</f>
        <v>0.90434782608695663</v>
      </c>
    </row>
    <row r="2233" spans="2:22" ht="15.75" hidden="1" x14ac:dyDescent="0.2">
      <c r="B2233" s="711">
        <v>46228</v>
      </c>
      <c r="C2233" s="711" t="s">
        <v>18</v>
      </c>
      <c r="D2233" s="711" t="s">
        <v>188</v>
      </c>
      <c r="E2233" s="711">
        <v>46230</v>
      </c>
      <c r="G2233" s="771"/>
      <c r="H2233" s="60" t="s">
        <v>17</v>
      </c>
      <c r="I2233" s="60" t="s">
        <v>106</v>
      </c>
      <c r="J2233" s="60">
        <v>191</v>
      </c>
      <c r="K2233" s="60">
        <v>17</v>
      </c>
      <c r="L2233" s="60">
        <v>18</v>
      </c>
      <c r="M2233" s="60">
        <v>122</v>
      </c>
      <c r="N2233" s="312">
        <v>4</v>
      </c>
      <c r="O2233" s="60">
        <v>28</v>
      </c>
      <c r="P2233" s="312">
        <v>2</v>
      </c>
      <c r="Q2233" s="182">
        <f t="shared" si="2763"/>
        <v>0.18324607329842932</v>
      </c>
      <c r="R2233" s="183">
        <f t="shared" si="2764"/>
        <v>2.0942408376963352E-2</v>
      </c>
      <c r="S2233" s="183">
        <f t="shared" si="2765"/>
        <v>1.0471204188481676E-2</v>
      </c>
      <c r="T2233" s="183">
        <f t="shared" si="2766"/>
        <v>0.14659685863874344</v>
      </c>
      <c r="U2233" s="184">
        <f t="shared" si="2767"/>
        <v>0.36125654450261779</v>
      </c>
    </row>
    <row r="2234" spans="2:22" ht="15.75" hidden="1" x14ac:dyDescent="0.2">
      <c r="B2234" s="711">
        <v>46228</v>
      </c>
      <c r="C2234" s="711" t="s">
        <v>18</v>
      </c>
      <c r="D2234" s="711" t="s">
        <v>188</v>
      </c>
      <c r="E2234" s="711">
        <v>46230</v>
      </c>
      <c r="G2234" s="771"/>
      <c r="H2234" s="60" t="s">
        <v>180</v>
      </c>
      <c r="I2234" s="60" t="s">
        <v>22</v>
      </c>
      <c r="J2234" s="60">
        <v>39</v>
      </c>
      <c r="K2234" s="60">
        <v>0</v>
      </c>
      <c r="L2234" s="60">
        <v>0</v>
      </c>
      <c r="M2234" s="60">
        <v>37</v>
      </c>
      <c r="N2234" s="312">
        <v>0</v>
      </c>
      <c r="O2234" s="60">
        <v>0</v>
      </c>
      <c r="P2234" s="312">
        <v>2</v>
      </c>
      <c r="Q2234" s="182">
        <f t="shared" si="2763"/>
        <v>0</v>
      </c>
      <c r="R2234" s="183">
        <f t="shared" si="2764"/>
        <v>0</v>
      </c>
      <c r="S2234" s="183">
        <f t="shared" si="2765"/>
        <v>5.128205128205128E-2</v>
      </c>
      <c r="T2234" s="183">
        <f t="shared" si="2766"/>
        <v>0</v>
      </c>
      <c r="U2234" s="184">
        <f t="shared" si="2767"/>
        <v>5.128205128205128E-2</v>
      </c>
    </row>
    <row r="2235" spans="2:22" ht="15.75" hidden="1" x14ac:dyDescent="0.2">
      <c r="B2235" s="711">
        <v>46228</v>
      </c>
      <c r="C2235" s="711" t="s">
        <v>18</v>
      </c>
      <c r="D2235" s="711" t="s">
        <v>188</v>
      </c>
      <c r="E2235" s="711">
        <v>46230</v>
      </c>
      <c r="G2235" s="772"/>
      <c r="H2235" s="60" t="s">
        <v>14</v>
      </c>
      <c r="I2235" s="60" t="s">
        <v>105</v>
      </c>
      <c r="J2235" s="60">
        <v>156</v>
      </c>
      <c r="K2235" s="60">
        <v>0</v>
      </c>
      <c r="L2235" s="60">
        <v>0</v>
      </c>
      <c r="M2235" s="60">
        <v>155</v>
      </c>
      <c r="N2235" s="312">
        <v>0</v>
      </c>
      <c r="O2235" s="60">
        <v>0</v>
      </c>
      <c r="P2235" s="312">
        <v>1</v>
      </c>
      <c r="Q2235" s="182">
        <f t="shared" si="2763"/>
        <v>0</v>
      </c>
      <c r="R2235" s="183">
        <f t="shared" si="2764"/>
        <v>0</v>
      </c>
      <c r="S2235" s="183">
        <f t="shared" si="2765"/>
        <v>6.41025641025641E-3</v>
      </c>
      <c r="T2235" s="183">
        <f t="shared" si="2766"/>
        <v>0</v>
      </c>
      <c r="U2235" s="184">
        <f t="shared" si="2767"/>
        <v>6.41025641025641E-3</v>
      </c>
      <c r="V2235" s="385"/>
    </row>
    <row r="2236" spans="2:22" ht="15.75" hidden="1" x14ac:dyDescent="0.2">
      <c r="B2236" s="711">
        <v>46228</v>
      </c>
      <c r="C2236" s="711" t="s">
        <v>18</v>
      </c>
      <c r="D2236" s="711" t="s">
        <v>188</v>
      </c>
      <c r="E2236" s="711">
        <v>46230</v>
      </c>
      <c r="G2236" s="396"/>
      <c r="H2236" s="775" t="s">
        <v>19</v>
      </c>
      <c r="I2236" s="777"/>
      <c r="J2236" s="190">
        <f>SUM(J2232:J2235)</f>
        <v>616</v>
      </c>
      <c r="K2236" s="190">
        <f t="shared" ref="K2236:P2236" si="2768">SUM(K2232:K2235)</f>
        <v>168</v>
      </c>
      <c r="L2236" s="190">
        <f t="shared" si="2768"/>
        <v>34</v>
      </c>
      <c r="M2236" s="190">
        <f t="shared" si="2768"/>
        <v>336</v>
      </c>
      <c r="N2236" s="190">
        <f t="shared" si="2768"/>
        <v>12</v>
      </c>
      <c r="O2236" s="190">
        <f t="shared" si="2768"/>
        <v>48</v>
      </c>
      <c r="P2236" s="190">
        <f t="shared" si="2768"/>
        <v>18</v>
      </c>
      <c r="Q2236" s="191">
        <f>(K2236+L2236)/J2236</f>
        <v>0.32792207792207795</v>
      </c>
      <c r="R2236" s="192">
        <f t="shared" si="2764"/>
        <v>1.948051948051948E-2</v>
      </c>
      <c r="S2236" s="192">
        <f t="shared" si="2765"/>
        <v>2.922077922077922E-2</v>
      </c>
      <c r="T2236" s="192">
        <f t="shared" si="2766"/>
        <v>7.792207792207792E-2</v>
      </c>
      <c r="U2236" s="193">
        <f t="shared" si="2767"/>
        <v>0.45454545454545459</v>
      </c>
      <c r="V2236" s="401"/>
    </row>
    <row r="2237" spans="2:22" ht="15.75" hidden="1" x14ac:dyDescent="0.2">
      <c r="B2237" s="711">
        <v>46230</v>
      </c>
      <c r="C2237" s="711" t="s">
        <v>22</v>
      </c>
      <c r="D2237" s="711" t="s">
        <v>13</v>
      </c>
      <c r="E2237" s="711">
        <v>46230</v>
      </c>
      <c r="G2237" s="770">
        <v>46230</v>
      </c>
      <c r="H2237" s="60" t="s">
        <v>16</v>
      </c>
      <c r="I2237" s="60" t="s">
        <v>15</v>
      </c>
      <c r="J2237" s="60">
        <v>230</v>
      </c>
      <c r="K2237" s="60">
        <v>160</v>
      </c>
      <c r="L2237" s="60">
        <v>19</v>
      </c>
      <c r="M2237" s="60">
        <v>19</v>
      </c>
      <c r="N2237" s="312">
        <v>0</v>
      </c>
      <c r="O2237" s="60">
        <v>20</v>
      </c>
      <c r="P2237" s="312">
        <v>12</v>
      </c>
      <c r="Q2237" s="182">
        <f t="shared" ref="Q2237:Q2240" si="2769">(K2237+L2237)/J2237</f>
        <v>0.77826086956521734</v>
      </c>
      <c r="R2237" s="183">
        <f t="shared" ref="R2237:R2241" si="2770">N2237/J2237</f>
        <v>0</v>
      </c>
      <c r="S2237" s="183">
        <f t="shared" ref="S2237:S2241" si="2771">P2237/J2237</f>
        <v>5.2173913043478258E-2</v>
      </c>
      <c r="T2237" s="183">
        <f t="shared" ref="T2237:T2241" si="2772">O2237/J2237</f>
        <v>8.6956521739130432E-2</v>
      </c>
      <c r="U2237" s="184">
        <f t="shared" ref="U2237:U2241" si="2773">S2237+R2237+Q2237+T2237</f>
        <v>0.91739130434782612</v>
      </c>
      <c r="V2237" s="385"/>
    </row>
    <row r="2238" spans="2:22" ht="15.75" hidden="1" x14ac:dyDescent="0.2">
      <c r="B2238" s="711">
        <v>46230</v>
      </c>
      <c r="C2238" s="711" t="s">
        <v>22</v>
      </c>
      <c r="D2238" s="711" t="s">
        <v>13</v>
      </c>
      <c r="E2238" s="711">
        <v>46230</v>
      </c>
      <c r="G2238" s="771"/>
      <c r="H2238" s="60" t="s">
        <v>17</v>
      </c>
      <c r="I2238" s="60" t="s">
        <v>106</v>
      </c>
      <c r="J2238" s="60">
        <v>191</v>
      </c>
      <c r="K2238" s="60">
        <v>104</v>
      </c>
      <c r="L2238" s="60">
        <v>50</v>
      </c>
      <c r="M2238" s="60">
        <v>7</v>
      </c>
      <c r="N2238" s="312">
        <v>0</v>
      </c>
      <c r="O2238" s="60">
        <v>28</v>
      </c>
      <c r="P2238" s="312">
        <v>2</v>
      </c>
      <c r="Q2238" s="182">
        <f t="shared" si="2769"/>
        <v>0.80628272251308897</v>
      </c>
      <c r="R2238" s="183">
        <f t="shared" si="2770"/>
        <v>0</v>
      </c>
      <c r="S2238" s="183">
        <f t="shared" si="2771"/>
        <v>1.0471204188481676E-2</v>
      </c>
      <c r="T2238" s="183">
        <f t="shared" si="2772"/>
        <v>0.14659685863874344</v>
      </c>
      <c r="U2238" s="184">
        <f t="shared" si="2773"/>
        <v>0.96335078534031404</v>
      </c>
      <c r="V2238" s="385"/>
    </row>
    <row r="2239" spans="2:22" ht="15.75" hidden="1" x14ac:dyDescent="0.2">
      <c r="B2239" s="711">
        <v>46230</v>
      </c>
      <c r="C2239" s="711" t="s">
        <v>22</v>
      </c>
      <c r="D2239" s="711" t="s">
        <v>13</v>
      </c>
      <c r="E2239" s="711">
        <v>46230</v>
      </c>
      <c r="G2239" s="771"/>
      <c r="H2239" s="60" t="s">
        <v>180</v>
      </c>
      <c r="I2239" s="60" t="s">
        <v>22</v>
      </c>
      <c r="J2239" s="60">
        <v>247</v>
      </c>
      <c r="K2239" s="60">
        <v>30</v>
      </c>
      <c r="L2239" s="60">
        <v>6</v>
      </c>
      <c r="M2239" s="60">
        <v>202</v>
      </c>
      <c r="N2239" s="312">
        <v>0</v>
      </c>
      <c r="O2239" s="60">
        <v>0</v>
      </c>
      <c r="P2239" s="312">
        <v>9</v>
      </c>
      <c r="Q2239" s="182">
        <f t="shared" si="2769"/>
        <v>0.145748987854251</v>
      </c>
      <c r="R2239" s="183">
        <f t="shared" si="2770"/>
        <v>0</v>
      </c>
      <c r="S2239" s="183">
        <f t="shared" si="2771"/>
        <v>3.643724696356275E-2</v>
      </c>
      <c r="T2239" s="183">
        <f t="shared" si="2772"/>
        <v>0</v>
      </c>
      <c r="U2239" s="184">
        <f t="shared" si="2773"/>
        <v>0.18218623481781376</v>
      </c>
      <c r="V2239" s="385"/>
    </row>
    <row r="2240" spans="2:22" ht="15.75" hidden="1" x14ac:dyDescent="0.2">
      <c r="B2240" s="711">
        <v>46230</v>
      </c>
      <c r="C2240" s="711" t="s">
        <v>22</v>
      </c>
      <c r="D2240" s="711" t="s">
        <v>13</v>
      </c>
      <c r="E2240" s="711">
        <v>46230</v>
      </c>
      <c r="G2240" s="772"/>
      <c r="H2240" s="60" t="s">
        <v>14</v>
      </c>
      <c r="I2240" s="60" t="s">
        <v>105</v>
      </c>
      <c r="J2240" s="60">
        <v>156</v>
      </c>
      <c r="K2240" s="60">
        <v>29</v>
      </c>
      <c r="L2240" s="60">
        <v>13</v>
      </c>
      <c r="M2240" s="60">
        <v>101</v>
      </c>
      <c r="N2240" s="312">
        <v>0</v>
      </c>
      <c r="O2240" s="60">
        <v>12</v>
      </c>
      <c r="P2240" s="312">
        <v>1</v>
      </c>
      <c r="Q2240" s="182">
        <f t="shared" si="2769"/>
        <v>0.26923076923076922</v>
      </c>
      <c r="R2240" s="183">
        <f t="shared" si="2770"/>
        <v>0</v>
      </c>
      <c r="S2240" s="183">
        <f t="shared" si="2771"/>
        <v>6.41025641025641E-3</v>
      </c>
      <c r="T2240" s="183">
        <f t="shared" si="2772"/>
        <v>7.6923076923076927E-2</v>
      </c>
      <c r="U2240" s="184">
        <f t="shared" si="2773"/>
        <v>0.35256410256410253</v>
      </c>
      <c r="V2240" s="385"/>
    </row>
    <row r="2241" spans="2:22" ht="15.75" hidden="1" x14ac:dyDescent="0.2">
      <c r="B2241" s="711">
        <v>46230</v>
      </c>
      <c r="C2241" s="711" t="s">
        <v>22</v>
      </c>
      <c r="D2241" s="711" t="s">
        <v>13</v>
      </c>
      <c r="E2241" s="711">
        <v>46230</v>
      </c>
      <c r="G2241" s="396"/>
      <c r="H2241" s="775" t="s">
        <v>19</v>
      </c>
      <c r="I2241" s="777"/>
      <c r="J2241" s="190">
        <f>SUM(J2237:J2240)</f>
        <v>824</v>
      </c>
      <c r="K2241" s="190">
        <f t="shared" ref="K2241:P2241" si="2774">SUM(K2237:K2240)</f>
        <v>323</v>
      </c>
      <c r="L2241" s="190">
        <f t="shared" si="2774"/>
        <v>88</v>
      </c>
      <c r="M2241" s="190">
        <f t="shared" si="2774"/>
        <v>329</v>
      </c>
      <c r="N2241" s="190">
        <f t="shared" si="2774"/>
        <v>0</v>
      </c>
      <c r="O2241" s="190">
        <f t="shared" si="2774"/>
        <v>60</v>
      </c>
      <c r="P2241" s="190">
        <f t="shared" si="2774"/>
        <v>24</v>
      </c>
      <c r="Q2241" s="191">
        <f>(K2241+L2241)/J2241</f>
        <v>0.49878640776699029</v>
      </c>
      <c r="R2241" s="192">
        <f t="shared" si="2770"/>
        <v>0</v>
      </c>
      <c r="S2241" s="192">
        <f t="shared" si="2771"/>
        <v>2.9126213592233011E-2</v>
      </c>
      <c r="T2241" s="192">
        <f t="shared" si="2772"/>
        <v>7.281553398058252E-2</v>
      </c>
      <c r="U2241" s="193">
        <f t="shared" si="2773"/>
        <v>0.60072815533980584</v>
      </c>
      <c r="V2241" s="401"/>
    </row>
    <row r="2242" spans="2:22" ht="15.75" hidden="1" x14ac:dyDescent="0.2">
      <c r="B2242" s="711">
        <v>46230</v>
      </c>
      <c r="C2242" s="711" t="s">
        <v>106</v>
      </c>
      <c r="D2242" s="711" t="s">
        <v>13</v>
      </c>
      <c r="E2242" s="711">
        <v>46230</v>
      </c>
      <c r="G2242" s="770">
        <v>46230</v>
      </c>
      <c r="H2242" s="60" t="s">
        <v>16</v>
      </c>
      <c r="I2242" s="60" t="s">
        <v>15</v>
      </c>
      <c r="J2242" s="60">
        <v>230</v>
      </c>
      <c r="K2242" s="60">
        <v>160</v>
      </c>
      <c r="L2242" s="60">
        <v>19</v>
      </c>
      <c r="M2242" s="60">
        <v>19</v>
      </c>
      <c r="N2242" s="312">
        <v>0</v>
      </c>
      <c r="O2242" s="60">
        <v>20</v>
      </c>
      <c r="P2242" s="312">
        <v>12</v>
      </c>
      <c r="Q2242" s="182">
        <f t="shared" ref="Q2242:Q2245" si="2775">(K2242+L2242)/J2242</f>
        <v>0.77826086956521734</v>
      </c>
      <c r="R2242" s="183">
        <f t="shared" ref="R2242:R2246" si="2776">N2242/J2242</f>
        <v>0</v>
      </c>
      <c r="S2242" s="183">
        <f t="shared" ref="S2242:S2246" si="2777">P2242/J2242</f>
        <v>5.2173913043478258E-2</v>
      </c>
      <c r="T2242" s="183">
        <f t="shared" ref="T2242:T2246" si="2778">O2242/J2242</f>
        <v>8.6956521739130432E-2</v>
      </c>
      <c r="U2242" s="184">
        <f t="shared" ref="U2242:U2246" si="2779">S2242+R2242+Q2242+T2242</f>
        <v>0.91739130434782612</v>
      </c>
      <c r="V2242" s="385"/>
    </row>
    <row r="2243" spans="2:22" ht="15.75" hidden="1" x14ac:dyDescent="0.2">
      <c r="B2243" s="711">
        <v>46230</v>
      </c>
      <c r="C2243" s="711" t="s">
        <v>106</v>
      </c>
      <c r="D2243" s="711" t="s">
        <v>13</v>
      </c>
      <c r="E2243" s="711">
        <v>46230</v>
      </c>
      <c r="G2243" s="771"/>
      <c r="H2243" s="60" t="s">
        <v>17</v>
      </c>
      <c r="I2243" s="60" t="s">
        <v>106</v>
      </c>
      <c r="J2243" s="60">
        <v>191</v>
      </c>
      <c r="K2243" s="60">
        <v>104</v>
      </c>
      <c r="L2243" s="60">
        <v>50</v>
      </c>
      <c r="M2243" s="60">
        <v>7</v>
      </c>
      <c r="N2243" s="312">
        <v>0</v>
      </c>
      <c r="O2243" s="60">
        <v>28</v>
      </c>
      <c r="P2243" s="312">
        <v>2</v>
      </c>
      <c r="Q2243" s="182">
        <f t="shared" si="2775"/>
        <v>0.80628272251308897</v>
      </c>
      <c r="R2243" s="183">
        <f t="shared" si="2776"/>
        <v>0</v>
      </c>
      <c r="S2243" s="183">
        <f t="shared" si="2777"/>
        <v>1.0471204188481676E-2</v>
      </c>
      <c r="T2243" s="183">
        <f t="shared" si="2778"/>
        <v>0.14659685863874344</v>
      </c>
      <c r="U2243" s="184">
        <f t="shared" si="2779"/>
        <v>0.96335078534031404</v>
      </c>
      <c r="V2243" s="385"/>
    </row>
    <row r="2244" spans="2:22" ht="15.75" hidden="1" x14ac:dyDescent="0.2">
      <c r="B2244" s="711">
        <v>46230</v>
      </c>
      <c r="C2244" s="711" t="s">
        <v>106</v>
      </c>
      <c r="D2244" s="711" t="s">
        <v>13</v>
      </c>
      <c r="E2244" s="711">
        <v>46230</v>
      </c>
      <c r="G2244" s="771"/>
      <c r="H2244" s="60" t="s">
        <v>180</v>
      </c>
      <c r="I2244" s="60" t="s">
        <v>22</v>
      </c>
      <c r="J2244" s="60">
        <v>247</v>
      </c>
      <c r="K2244" s="60">
        <v>30</v>
      </c>
      <c r="L2244" s="60">
        <v>6</v>
      </c>
      <c r="M2244" s="60">
        <v>202</v>
      </c>
      <c r="N2244" s="312">
        <v>0</v>
      </c>
      <c r="O2244" s="60">
        <v>0</v>
      </c>
      <c r="P2244" s="312">
        <v>9</v>
      </c>
      <c r="Q2244" s="182">
        <f t="shared" si="2775"/>
        <v>0.145748987854251</v>
      </c>
      <c r="R2244" s="183">
        <f t="shared" si="2776"/>
        <v>0</v>
      </c>
      <c r="S2244" s="183">
        <f t="shared" si="2777"/>
        <v>3.643724696356275E-2</v>
      </c>
      <c r="T2244" s="183">
        <f t="shared" si="2778"/>
        <v>0</v>
      </c>
      <c r="U2244" s="184">
        <f t="shared" si="2779"/>
        <v>0.18218623481781376</v>
      </c>
      <c r="V2244" s="385"/>
    </row>
    <row r="2245" spans="2:22" ht="15.75" hidden="1" x14ac:dyDescent="0.2">
      <c r="B2245" s="711">
        <v>46230</v>
      </c>
      <c r="C2245" s="711" t="s">
        <v>106</v>
      </c>
      <c r="D2245" s="711" t="s">
        <v>13</v>
      </c>
      <c r="E2245" s="711">
        <v>46230</v>
      </c>
      <c r="G2245" s="772"/>
      <c r="H2245" s="60" t="s">
        <v>14</v>
      </c>
      <c r="I2245" s="60" t="s">
        <v>105</v>
      </c>
      <c r="J2245" s="60">
        <v>156</v>
      </c>
      <c r="K2245" s="60">
        <v>29</v>
      </c>
      <c r="L2245" s="60">
        <v>13</v>
      </c>
      <c r="M2245" s="60">
        <v>101</v>
      </c>
      <c r="N2245" s="312">
        <v>0</v>
      </c>
      <c r="O2245" s="60">
        <v>12</v>
      </c>
      <c r="P2245" s="312">
        <v>1</v>
      </c>
      <c r="Q2245" s="182">
        <f t="shared" si="2775"/>
        <v>0.26923076923076922</v>
      </c>
      <c r="R2245" s="183">
        <f t="shared" si="2776"/>
        <v>0</v>
      </c>
      <c r="S2245" s="183">
        <f t="shared" si="2777"/>
        <v>6.41025641025641E-3</v>
      </c>
      <c r="T2245" s="183">
        <f t="shared" si="2778"/>
        <v>7.6923076923076927E-2</v>
      </c>
      <c r="U2245" s="184">
        <f t="shared" si="2779"/>
        <v>0.35256410256410253</v>
      </c>
      <c r="V2245" s="385"/>
    </row>
    <row r="2246" spans="2:22" ht="15.75" hidden="1" x14ac:dyDescent="0.2">
      <c r="B2246" s="711">
        <v>46230</v>
      </c>
      <c r="C2246" s="711" t="s">
        <v>106</v>
      </c>
      <c r="D2246" s="711" t="s">
        <v>13</v>
      </c>
      <c r="E2246" s="711">
        <v>46230</v>
      </c>
      <c r="G2246" s="396"/>
      <c r="H2246" s="775" t="s">
        <v>19</v>
      </c>
      <c r="I2246" s="777"/>
      <c r="J2246" s="190">
        <f>SUM(J2242:J2245)</f>
        <v>824</v>
      </c>
      <c r="K2246" s="190">
        <f t="shared" ref="K2246:P2246" si="2780">SUM(K2242:K2245)</f>
        <v>323</v>
      </c>
      <c r="L2246" s="190">
        <f t="shared" si="2780"/>
        <v>88</v>
      </c>
      <c r="M2246" s="190">
        <f t="shared" si="2780"/>
        <v>329</v>
      </c>
      <c r="N2246" s="190">
        <f t="shared" si="2780"/>
        <v>0</v>
      </c>
      <c r="O2246" s="190">
        <f t="shared" si="2780"/>
        <v>60</v>
      </c>
      <c r="P2246" s="190">
        <f t="shared" si="2780"/>
        <v>24</v>
      </c>
      <c r="Q2246" s="191">
        <f>(K2246+L2246)/J2246</f>
        <v>0.49878640776699029</v>
      </c>
      <c r="R2246" s="192">
        <f t="shared" si="2776"/>
        <v>0</v>
      </c>
      <c r="S2246" s="192">
        <f t="shared" si="2777"/>
        <v>2.9126213592233011E-2</v>
      </c>
      <c r="T2246" s="192">
        <f t="shared" si="2778"/>
        <v>7.281553398058252E-2</v>
      </c>
      <c r="U2246" s="193">
        <f t="shared" si="2779"/>
        <v>0.60072815533980584</v>
      </c>
      <c r="V2246" s="385"/>
    </row>
    <row r="2247" spans="2:22" ht="15.75" hidden="1" x14ac:dyDescent="0.2">
      <c r="B2247" s="711">
        <v>46230</v>
      </c>
      <c r="C2247" s="711" t="s">
        <v>12</v>
      </c>
      <c r="D2247" s="711" t="s">
        <v>13</v>
      </c>
      <c r="E2247" s="711">
        <v>46230</v>
      </c>
      <c r="G2247" s="770">
        <v>46230</v>
      </c>
      <c r="H2247" s="60" t="s">
        <v>16</v>
      </c>
      <c r="I2247" s="60" t="s">
        <v>15</v>
      </c>
      <c r="J2247" s="60">
        <v>230</v>
      </c>
      <c r="K2247" s="60">
        <f>230-19-10-20-12</f>
        <v>169</v>
      </c>
      <c r="L2247" s="60">
        <v>19</v>
      </c>
      <c r="M2247" s="60">
        <v>10</v>
      </c>
      <c r="N2247" s="312">
        <v>0</v>
      </c>
      <c r="O2247" s="60">
        <v>20</v>
      </c>
      <c r="P2247" s="312">
        <v>12</v>
      </c>
      <c r="Q2247" s="182">
        <f t="shared" ref="Q2247:Q2250" si="2781">(K2247+L2247)/J2247</f>
        <v>0.81739130434782614</v>
      </c>
      <c r="R2247" s="183">
        <f t="shared" ref="R2247:R2251" si="2782">N2247/J2247</f>
        <v>0</v>
      </c>
      <c r="S2247" s="183">
        <f t="shared" ref="S2247:S2251" si="2783">P2247/J2247</f>
        <v>5.2173913043478258E-2</v>
      </c>
      <c r="T2247" s="183">
        <f t="shared" ref="T2247:T2251" si="2784">O2247/J2247</f>
        <v>8.6956521739130432E-2</v>
      </c>
      <c r="U2247" s="184">
        <f t="shared" ref="U2247:U2251" si="2785">S2247+R2247+Q2247+T2247</f>
        <v>0.95652173913043481</v>
      </c>
      <c r="V2247" s="385"/>
    </row>
    <row r="2248" spans="2:22" ht="15.75" hidden="1" x14ac:dyDescent="0.2">
      <c r="B2248" s="711">
        <v>46230</v>
      </c>
      <c r="C2248" s="711" t="s">
        <v>12</v>
      </c>
      <c r="D2248" s="711" t="s">
        <v>13</v>
      </c>
      <c r="E2248" s="711">
        <v>46230</v>
      </c>
      <c r="G2248" s="771"/>
      <c r="H2248" s="60" t="s">
        <v>17</v>
      </c>
      <c r="I2248" s="60" t="s">
        <v>106</v>
      </c>
      <c r="J2248" s="60">
        <v>191</v>
      </c>
      <c r="K2248" s="60">
        <f>191-28-2-10</f>
        <v>151</v>
      </c>
      <c r="L2248" s="60">
        <v>10</v>
      </c>
      <c r="M2248" s="60">
        <v>0</v>
      </c>
      <c r="N2248" s="312">
        <v>0</v>
      </c>
      <c r="O2248" s="60">
        <v>28</v>
      </c>
      <c r="P2248" s="312">
        <v>2</v>
      </c>
      <c r="Q2248" s="182">
        <f t="shared" si="2781"/>
        <v>0.84293193717277481</v>
      </c>
      <c r="R2248" s="183">
        <f t="shared" si="2782"/>
        <v>0</v>
      </c>
      <c r="S2248" s="183">
        <f t="shared" si="2783"/>
        <v>1.0471204188481676E-2</v>
      </c>
      <c r="T2248" s="183">
        <f t="shared" si="2784"/>
        <v>0.14659685863874344</v>
      </c>
      <c r="U2248" s="184">
        <f t="shared" si="2785"/>
        <v>1</v>
      </c>
      <c r="V2248" s="385"/>
    </row>
    <row r="2249" spans="2:22" ht="15.75" hidden="1" x14ac:dyDescent="0.2">
      <c r="B2249" s="711">
        <v>46230</v>
      </c>
      <c r="C2249" s="711" t="s">
        <v>12</v>
      </c>
      <c r="D2249" s="711" t="s">
        <v>13</v>
      </c>
      <c r="E2249" s="711">
        <v>46230</v>
      </c>
      <c r="G2249" s="771"/>
      <c r="H2249" s="60" t="s">
        <v>180</v>
      </c>
      <c r="I2249" s="60" t="s">
        <v>22</v>
      </c>
      <c r="J2249" s="60">
        <v>247</v>
      </c>
      <c r="K2249" s="60">
        <v>30</v>
      </c>
      <c r="L2249" s="60">
        <v>6</v>
      </c>
      <c r="M2249" s="60">
        <v>174</v>
      </c>
      <c r="N2249" s="312">
        <v>28</v>
      </c>
      <c r="O2249" s="60">
        <v>0</v>
      </c>
      <c r="P2249" s="312">
        <v>9</v>
      </c>
      <c r="Q2249" s="182">
        <f t="shared" si="2781"/>
        <v>0.145748987854251</v>
      </c>
      <c r="R2249" s="183">
        <f t="shared" si="2782"/>
        <v>0.11336032388663968</v>
      </c>
      <c r="S2249" s="183">
        <f t="shared" si="2783"/>
        <v>3.643724696356275E-2</v>
      </c>
      <c r="T2249" s="183">
        <f t="shared" si="2784"/>
        <v>0</v>
      </c>
      <c r="U2249" s="184">
        <f t="shared" si="2785"/>
        <v>0.29554655870445345</v>
      </c>
      <c r="V2249" s="385"/>
    </row>
    <row r="2250" spans="2:22" ht="15.75" hidden="1" x14ac:dyDescent="0.2">
      <c r="B2250" s="711">
        <v>46230</v>
      </c>
      <c r="C2250" s="711" t="s">
        <v>12</v>
      </c>
      <c r="D2250" s="711" t="s">
        <v>13</v>
      </c>
      <c r="E2250" s="711">
        <v>46230</v>
      </c>
      <c r="G2250" s="772"/>
      <c r="H2250" s="60" t="s">
        <v>14</v>
      </c>
      <c r="I2250" s="60" t="s">
        <v>105</v>
      </c>
      <c r="J2250" s="60">
        <v>156</v>
      </c>
      <c r="K2250" s="60">
        <v>29</v>
      </c>
      <c r="L2250" s="60">
        <v>19</v>
      </c>
      <c r="M2250" s="60">
        <v>10</v>
      </c>
      <c r="N2250" s="312">
        <v>0</v>
      </c>
      <c r="O2250" s="60">
        <v>12</v>
      </c>
      <c r="P2250" s="312">
        <v>1</v>
      </c>
      <c r="Q2250" s="182">
        <f t="shared" si="2781"/>
        <v>0.30769230769230771</v>
      </c>
      <c r="R2250" s="183">
        <f t="shared" si="2782"/>
        <v>0</v>
      </c>
      <c r="S2250" s="183">
        <f t="shared" si="2783"/>
        <v>6.41025641025641E-3</v>
      </c>
      <c r="T2250" s="183">
        <f t="shared" si="2784"/>
        <v>7.6923076923076927E-2</v>
      </c>
      <c r="U2250" s="184">
        <f t="shared" si="2785"/>
        <v>0.39102564102564102</v>
      </c>
      <c r="V2250" s="385"/>
    </row>
    <row r="2251" spans="2:22" ht="15.75" hidden="1" x14ac:dyDescent="0.2">
      <c r="B2251" s="711">
        <v>46230</v>
      </c>
      <c r="C2251" s="711" t="s">
        <v>106</v>
      </c>
      <c r="D2251" s="711" t="s">
        <v>13</v>
      </c>
      <c r="E2251" s="711">
        <v>46230</v>
      </c>
      <c r="G2251" s="396"/>
      <c r="H2251" s="775" t="s">
        <v>19</v>
      </c>
      <c r="I2251" s="777"/>
      <c r="J2251" s="190">
        <f>SUM(J2247:J2250)</f>
        <v>824</v>
      </c>
      <c r="K2251" s="190">
        <f t="shared" ref="K2251:P2251" si="2786">SUM(K2247:K2250)</f>
        <v>379</v>
      </c>
      <c r="L2251" s="190">
        <f t="shared" si="2786"/>
        <v>54</v>
      </c>
      <c r="M2251" s="190">
        <f t="shared" si="2786"/>
        <v>194</v>
      </c>
      <c r="N2251" s="190">
        <f t="shared" si="2786"/>
        <v>28</v>
      </c>
      <c r="O2251" s="190">
        <f t="shared" si="2786"/>
        <v>60</v>
      </c>
      <c r="P2251" s="190">
        <f t="shared" si="2786"/>
        <v>24</v>
      </c>
      <c r="Q2251" s="191">
        <f>(K2251+L2251)/J2251</f>
        <v>0.52548543689320393</v>
      </c>
      <c r="R2251" s="192">
        <f t="shared" si="2782"/>
        <v>3.3980582524271843E-2</v>
      </c>
      <c r="S2251" s="192">
        <f t="shared" si="2783"/>
        <v>2.9126213592233011E-2</v>
      </c>
      <c r="T2251" s="192">
        <f t="shared" si="2784"/>
        <v>7.281553398058252E-2</v>
      </c>
      <c r="U2251" s="193">
        <f t="shared" si="2785"/>
        <v>0.66140776699029125</v>
      </c>
      <c r="V2251" s="385"/>
    </row>
    <row r="2252" spans="2:22" ht="15.75" hidden="1" x14ac:dyDescent="0.2">
      <c r="B2252" s="711">
        <v>46230</v>
      </c>
      <c r="C2252" s="711" t="s">
        <v>18</v>
      </c>
      <c r="D2252" s="711" t="s">
        <v>189</v>
      </c>
      <c r="E2252" s="711">
        <v>46230</v>
      </c>
      <c r="G2252" s="770">
        <v>46230</v>
      </c>
      <c r="H2252" s="60" t="s">
        <v>14</v>
      </c>
      <c r="I2252" s="60" t="s">
        <v>18</v>
      </c>
      <c r="J2252" s="60">
        <f>SUM(K2252:P2252)</f>
        <v>14</v>
      </c>
      <c r="K2252" s="60">
        <v>8</v>
      </c>
      <c r="L2252" s="60">
        <v>6</v>
      </c>
      <c r="M2252" s="60">
        <v>0</v>
      </c>
      <c r="N2252" s="312">
        <v>0</v>
      </c>
      <c r="O2252" s="60">
        <v>0</v>
      </c>
      <c r="P2252" s="312">
        <v>0</v>
      </c>
      <c r="Q2252" s="182">
        <f t="shared" ref="Q2252:Q2254" si="2787">(K2252+L2252)/J2252</f>
        <v>1</v>
      </c>
      <c r="R2252" s="183">
        <f t="shared" ref="R2252:R2258" si="2788">N2252/J2252</f>
        <v>0</v>
      </c>
      <c r="S2252" s="183">
        <f t="shared" ref="S2252:S2258" si="2789">P2252/J2252</f>
        <v>0</v>
      </c>
      <c r="T2252" s="183">
        <f t="shared" ref="T2252:T2258" si="2790">O2252/J2252</f>
        <v>0</v>
      </c>
      <c r="U2252" s="184">
        <f t="shared" ref="U2252:U2258" si="2791">S2252+R2252+Q2252+T2252</f>
        <v>1</v>
      </c>
      <c r="V2252" s="385"/>
    </row>
    <row r="2253" spans="2:22" ht="15.75" hidden="1" x14ac:dyDescent="0.2">
      <c r="B2253" s="711">
        <v>46230</v>
      </c>
      <c r="C2253" s="711" t="s">
        <v>18</v>
      </c>
      <c r="D2253" s="711" t="s">
        <v>189</v>
      </c>
      <c r="E2253" s="711">
        <v>46230</v>
      </c>
      <c r="G2253" s="772"/>
      <c r="H2253" s="60" t="s">
        <v>120</v>
      </c>
      <c r="I2253" s="60" t="s">
        <v>18</v>
      </c>
      <c r="J2253" s="60">
        <f>SUM(K2253:P2253)</f>
        <v>6</v>
      </c>
      <c r="K2253" s="60">
        <v>6</v>
      </c>
      <c r="L2253" s="60">
        <v>0</v>
      </c>
      <c r="M2253" s="60">
        <v>0</v>
      </c>
      <c r="N2253" s="312">
        <v>0</v>
      </c>
      <c r="O2253" s="60">
        <v>0</v>
      </c>
      <c r="P2253" s="312">
        <v>0</v>
      </c>
      <c r="Q2253" s="182">
        <f t="shared" si="2787"/>
        <v>1</v>
      </c>
      <c r="R2253" s="183">
        <f t="shared" si="2788"/>
        <v>0</v>
      </c>
      <c r="S2253" s="183">
        <f t="shared" si="2789"/>
        <v>0</v>
      </c>
      <c r="T2253" s="183">
        <f t="shared" si="2790"/>
        <v>0</v>
      </c>
      <c r="U2253" s="184">
        <f t="shared" si="2791"/>
        <v>1</v>
      </c>
      <c r="V2253" s="385"/>
    </row>
    <row r="2254" spans="2:22" ht="15.75" hidden="1" x14ac:dyDescent="0.2">
      <c r="B2254" s="711">
        <v>46230</v>
      </c>
      <c r="C2254" s="711" t="s">
        <v>18</v>
      </c>
      <c r="D2254" s="711" t="s">
        <v>189</v>
      </c>
      <c r="E2254" s="711">
        <v>46230</v>
      </c>
      <c r="G2254" s="770">
        <v>46231</v>
      </c>
      <c r="H2254" s="60" t="s">
        <v>75</v>
      </c>
      <c r="I2254" s="60" t="s">
        <v>15</v>
      </c>
      <c r="J2254" s="60">
        <v>212</v>
      </c>
      <c r="K2254" s="60">
        <v>79</v>
      </c>
      <c r="L2254" s="60">
        <v>32</v>
      </c>
      <c r="M2254" s="60">
        <v>68</v>
      </c>
      <c r="N2254" s="312">
        <v>0</v>
      </c>
      <c r="O2254" s="60">
        <v>20</v>
      </c>
      <c r="P2254" s="312">
        <v>14</v>
      </c>
      <c r="Q2254" s="182">
        <f t="shared" si="2787"/>
        <v>0.52358490566037741</v>
      </c>
      <c r="R2254" s="183">
        <f t="shared" si="2788"/>
        <v>0</v>
      </c>
      <c r="S2254" s="183">
        <f t="shared" si="2789"/>
        <v>6.6037735849056603E-2</v>
      </c>
      <c r="T2254" s="183">
        <f t="shared" si="2790"/>
        <v>9.4339622641509441E-2</v>
      </c>
      <c r="U2254" s="184">
        <f t="shared" si="2791"/>
        <v>0.68396226415094341</v>
      </c>
      <c r="V2254" s="385"/>
    </row>
    <row r="2255" spans="2:22" ht="15.75" hidden="1" x14ac:dyDescent="0.2">
      <c r="B2255" s="711">
        <v>46230</v>
      </c>
      <c r="C2255" s="711" t="s">
        <v>18</v>
      </c>
      <c r="D2255" s="711" t="s">
        <v>189</v>
      </c>
      <c r="E2255" s="711">
        <v>46230</v>
      </c>
      <c r="G2255" s="771"/>
      <c r="H2255" s="60" t="s">
        <v>17</v>
      </c>
      <c r="I2255" s="60" t="s">
        <v>106</v>
      </c>
      <c r="J2255" s="60">
        <f>112+66+36</f>
        <v>214</v>
      </c>
      <c r="K2255" s="60">
        <v>127</v>
      </c>
      <c r="L2255" s="60">
        <v>45</v>
      </c>
      <c r="M2255" s="60">
        <v>7</v>
      </c>
      <c r="N2255" s="312">
        <v>0</v>
      </c>
      <c r="O2255" s="60">
        <v>25</v>
      </c>
      <c r="P2255" s="312">
        <v>9</v>
      </c>
      <c r="Q2255" s="182">
        <f t="shared" ref="Q2255:Q2257" si="2792">(K2255+L2255)/J2255</f>
        <v>0.80373831775700932</v>
      </c>
      <c r="R2255" s="183">
        <f t="shared" ref="R2255:R2257" si="2793">N2255/J2255</f>
        <v>0</v>
      </c>
      <c r="S2255" s="183">
        <f t="shared" ref="S2255:S2257" si="2794">P2255/J2255</f>
        <v>4.2056074766355138E-2</v>
      </c>
      <c r="T2255" s="183">
        <f t="shared" ref="T2255:T2257" si="2795">O2255/J2255</f>
        <v>0.11682242990654206</v>
      </c>
      <c r="U2255" s="184">
        <f t="shared" ref="U2255:U2257" si="2796">S2255+R2255+Q2255+T2255</f>
        <v>0.96261682242990643</v>
      </c>
      <c r="V2255" s="385"/>
    </row>
    <row r="2256" spans="2:22" ht="15.75" hidden="1" x14ac:dyDescent="0.2">
      <c r="B2256" s="711">
        <v>46230</v>
      </c>
      <c r="C2256" s="711" t="s">
        <v>18</v>
      </c>
      <c r="D2256" s="711" t="s">
        <v>189</v>
      </c>
      <c r="E2256" s="711">
        <v>46230</v>
      </c>
      <c r="G2256" s="771"/>
      <c r="H2256" s="60" t="s">
        <v>180</v>
      </c>
      <c r="I2256" s="60" t="s">
        <v>43</v>
      </c>
      <c r="J2256" s="60">
        <v>211</v>
      </c>
      <c r="K2256" s="60">
        <v>0</v>
      </c>
      <c r="L2256" s="60">
        <v>0</v>
      </c>
      <c r="M2256" s="60">
        <v>52</v>
      </c>
      <c r="N2256" s="312">
        <f>150-28</f>
        <v>122</v>
      </c>
      <c r="O2256" s="60">
        <v>0</v>
      </c>
      <c r="P2256" s="312">
        <v>9</v>
      </c>
      <c r="Q2256" s="182">
        <f t="shared" ref="Q2256" si="2797">(K2256+L2256)/J2256</f>
        <v>0</v>
      </c>
      <c r="R2256" s="183">
        <f t="shared" ref="R2256" si="2798">N2256/J2256</f>
        <v>0.5781990521327014</v>
      </c>
      <c r="S2256" s="183">
        <f t="shared" ref="S2256" si="2799">P2256/J2256</f>
        <v>4.2654028436018961E-2</v>
      </c>
      <c r="T2256" s="183">
        <f t="shared" ref="T2256" si="2800">O2256/J2256</f>
        <v>0</v>
      </c>
      <c r="U2256" s="184">
        <f t="shared" ref="U2256" si="2801">S2256+R2256+Q2256+T2256</f>
        <v>0.62085308056872035</v>
      </c>
      <c r="V2256" s="385"/>
    </row>
    <row r="2257" spans="2:22" ht="15.75" hidden="1" x14ac:dyDescent="0.2">
      <c r="B2257" s="711">
        <v>46230</v>
      </c>
      <c r="C2257" s="711" t="s">
        <v>18</v>
      </c>
      <c r="D2257" s="711" t="s">
        <v>189</v>
      </c>
      <c r="E2257" s="711">
        <v>46230</v>
      </c>
      <c r="G2257" s="772"/>
      <c r="H2257" s="60" t="s">
        <v>14</v>
      </c>
      <c r="I2257" s="60" t="s">
        <v>18</v>
      </c>
      <c r="J2257" s="60">
        <v>159</v>
      </c>
      <c r="K2257" s="60">
        <v>0</v>
      </c>
      <c r="L2257" s="60">
        <v>0</v>
      </c>
      <c r="M2257" s="60">
        <v>147</v>
      </c>
      <c r="N2257" s="312">
        <v>0</v>
      </c>
      <c r="O2257" s="60">
        <v>12</v>
      </c>
      <c r="P2257" s="312">
        <v>0</v>
      </c>
      <c r="Q2257" s="182">
        <f t="shared" si="2792"/>
        <v>0</v>
      </c>
      <c r="R2257" s="183">
        <f t="shared" si="2793"/>
        <v>0</v>
      </c>
      <c r="S2257" s="183">
        <f t="shared" si="2794"/>
        <v>0</v>
      </c>
      <c r="T2257" s="183">
        <f t="shared" si="2795"/>
        <v>7.5471698113207544E-2</v>
      </c>
      <c r="U2257" s="184">
        <f t="shared" si="2796"/>
        <v>7.5471698113207544E-2</v>
      </c>
      <c r="V2257" s="385"/>
    </row>
    <row r="2258" spans="2:22" ht="15.75" hidden="1" x14ac:dyDescent="0.2">
      <c r="B2258" s="711">
        <v>46230</v>
      </c>
      <c r="C2258" s="711" t="s">
        <v>18</v>
      </c>
      <c r="D2258" s="711" t="s">
        <v>189</v>
      </c>
      <c r="E2258" s="711">
        <v>46230</v>
      </c>
      <c r="G2258" s="396"/>
      <c r="H2258" s="775" t="s">
        <v>19</v>
      </c>
      <c r="I2258" s="777"/>
      <c r="J2258" s="190">
        <f t="shared" ref="J2258:P2258" si="2802">SUM(J2252:J2257)</f>
        <v>816</v>
      </c>
      <c r="K2258" s="190">
        <f t="shared" si="2802"/>
        <v>220</v>
      </c>
      <c r="L2258" s="190">
        <f t="shared" si="2802"/>
        <v>83</v>
      </c>
      <c r="M2258" s="190">
        <f t="shared" si="2802"/>
        <v>274</v>
      </c>
      <c r="N2258" s="190">
        <f t="shared" si="2802"/>
        <v>122</v>
      </c>
      <c r="O2258" s="190">
        <f t="shared" si="2802"/>
        <v>57</v>
      </c>
      <c r="P2258" s="190">
        <f t="shared" si="2802"/>
        <v>32</v>
      </c>
      <c r="Q2258" s="191">
        <f>(K2258+L2258)/J2258</f>
        <v>0.37132352941176472</v>
      </c>
      <c r="R2258" s="192">
        <f t="shared" si="2788"/>
        <v>0.14950980392156862</v>
      </c>
      <c r="S2258" s="192">
        <f t="shared" si="2789"/>
        <v>3.9215686274509803E-2</v>
      </c>
      <c r="T2258" s="192">
        <f t="shared" si="2790"/>
        <v>6.985294117647059E-2</v>
      </c>
      <c r="U2258" s="193">
        <f t="shared" si="2791"/>
        <v>0.62990196078431371</v>
      </c>
      <c r="V2258" s="385"/>
    </row>
    <row r="2259" spans="2:22" ht="15.75" hidden="1" x14ac:dyDescent="0.2">
      <c r="B2259" s="711">
        <v>46230</v>
      </c>
      <c r="C2259" s="711" t="s">
        <v>22</v>
      </c>
      <c r="D2259" s="711" t="s">
        <v>13</v>
      </c>
      <c r="E2259" s="711">
        <v>46230</v>
      </c>
      <c r="G2259" s="770">
        <v>46231</v>
      </c>
      <c r="H2259" s="60" t="s">
        <v>75</v>
      </c>
      <c r="I2259" s="60" t="s">
        <v>15</v>
      </c>
      <c r="J2259" s="60">
        <v>212</v>
      </c>
      <c r="K2259" s="60">
        <v>105</v>
      </c>
      <c r="L2259" s="60">
        <v>75</v>
      </c>
      <c r="M2259" s="60">
        <v>10</v>
      </c>
      <c r="N2259" s="312">
        <v>0</v>
      </c>
      <c r="O2259" s="60">
        <v>20</v>
      </c>
      <c r="P2259" s="312">
        <v>2</v>
      </c>
      <c r="Q2259" s="182">
        <f t="shared" ref="Q2259:Q2262" si="2803">(K2259+L2259)/J2259</f>
        <v>0.84905660377358494</v>
      </c>
      <c r="R2259" s="183">
        <f t="shared" ref="R2259:R2263" si="2804">N2259/J2259</f>
        <v>0</v>
      </c>
      <c r="S2259" s="183">
        <f t="shared" ref="S2259:S2263" si="2805">P2259/J2259</f>
        <v>9.433962264150943E-3</v>
      </c>
      <c r="T2259" s="183">
        <f t="shared" ref="T2259:T2263" si="2806">O2259/J2259</f>
        <v>9.4339622641509441E-2</v>
      </c>
      <c r="U2259" s="184">
        <f t="shared" ref="U2259:U2263" si="2807">S2259+R2259+Q2259+T2259</f>
        <v>0.95283018867924529</v>
      </c>
      <c r="V2259" s="385"/>
    </row>
    <row r="2260" spans="2:22" ht="15.75" hidden="1" x14ac:dyDescent="0.2">
      <c r="B2260" s="711">
        <v>46230</v>
      </c>
      <c r="C2260" s="711" t="s">
        <v>22</v>
      </c>
      <c r="D2260" s="711" t="s">
        <v>13</v>
      </c>
      <c r="E2260" s="711">
        <v>46230</v>
      </c>
      <c r="G2260" s="771"/>
      <c r="H2260" s="60" t="s">
        <v>17</v>
      </c>
      <c r="I2260" s="60" t="s">
        <v>106</v>
      </c>
      <c r="J2260" s="60">
        <f>112+66+36</f>
        <v>214</v>
      </c>
      <c r="K2260" s="60">
        <f>214-83</f>
        <v>131</v>
      </c>
      <c r="L2260" s="60">
        <v>50</v>
      </c>
      <c r="M2260" s="60">
        <v>1</v>
      </c>
      <c r="N2260" s="312">
        <v>0</v>
      </c>
      <c r="O2260" s="60">
        <v>25</v>
      </c>
      <c r="P2260" s="312">
        <v>7</v>
      </c>
      <c r="Q2260" s="182">
        <f t="shared" si="2803"/>
        <v>0.84579439252336452</v>
      </c>
      <c r="R2260" s="183">
        <f t="shared" si="2804"/>
        <v>0</v>
      </c>
      <c r="S2260" s="183">
        <f t="shared" si="2805"/>
        <v>3.2710280373831772E-2</v>
      </c>
      <c r="T2260" s="183">
        <f t="shared" si="2806"/>
        <v>0.11682242990654206</v>
      </c>
      <c r="U2260" s="184">
        <f t="shared" si="2807"/>
        <v>0.99532710280373826</v>
      </c>
      <c r="V2260" s="385"/>
    </row>
    <row r="2261" spans="2:22" ht="15.75" hidden="1" x14ac:dyDescent="0.2">
      <c r="B2261" s="711">
        <v>46230</v>
      </c>
      <c r="C2261" s="711" t="s">
        <v>22</v>
      </c>
      <c r="D2261" s="711" t="s">
        <v>13</v>
      </c>
      <c r="E2261" s="711">
        <v>46230</v>
      </c>
      <c r="G2261" s="771"/>
      <c r="H2261" s="60" t="s">
        <v>180</v>
      </c>
      <c r="I2261" s="60" t="s">
        <v>43</v>
      </c>
      <c r="J2261" s="60">
        <v>211</v>
      </c>
      <c r="K2261" s="60">
        <v>129</v>
      </c>
      <c r="L2261" s="60">
        <v>14</v>
      </c>
      <c r="M2261" s="60">
        <v>50</v>
      </c>
      <c r="N2261" s="312">
        <v>9</v>
      </c>
      <c r="O2261" s="60">
        <v>0</v>
      </c>
      <c r="P2261" s="312">
        <v>9</v>
      </c>
      <c r="Q2261" s="182">
        <f t="shared" si="2803"/>
        <v>0.67772511848341233</v>
      </c>
      <c r="R2261" s="183">
        <f t="shared" si="2804"/>
        <v>4.2654028436018961E-2</v>
      </c>
      <c r="S2261" s="183">
        <f t="shared" si="2805"/>
        <v>4.2654028436018961E-2</v>
      </c>
      <c r="T2261" s="183">
        <f t="shared" si="2806"/>
        <v>0</v>
      </c>
      <c r="U2261" s="184">
        <f t="shared" si="2807"/>
        <v>0.76303317535545023</v>
      </c>
      <c r="V2261" s="385"/>
    </row>
    <row r="2262" spans="2:22" ht="15.75" hidden="1" x14ac:dyDescent="0.2">
      <c r="B2262" s="711">
        <v>46230</v>
      </c>
      <c r="C2262" s="711" t="s">
        <v>22</v>
      </c>
      <c r="D2262" s="711" t="s">
        <v>13</v>
      </c>
      <c r="E2262" s="711">
        <v>46230</v>
      </c>
      <c r="G2262" s="772"/>
      <c r="H2262" s="60" t="s">
        <v>14</v>
      </c>
      <c r="I2262" s="60" t="s">
        <v>18</v>
      </c>
      <c r="J2262" s="60">
        <v>159</v>
      </c>
      <c r="K2262" s="60">
        <v>50</v>
      </c>
      <c r="L2262" s="60">
        <v>20</v>
      </c>
      <c r="M2262" s="60">
        <v>54</v>
      </c>
      <c r="N2262" s="312">
        <v>23</v>
      </c>
      <c r="O2262" s="60">
        <v>12</v>
      </c>
      <c r="P2262" s="312">
        <v>0</v>
      </c>
      <c r="Q2262" s="182">
        <f t="shared" si="2803"/>
        <v>0.44025157232704404</v>
      </c>
      <c r="R2262" s="183">
        <f t="shared" si="2804"/>
        <v>0.14465408805031446</v>
      </c>
      <c r="S2262" s="183">
        <f t="shared" si="2805"/>
        <v>0</v>
      </c>
      <c r="T2262" s="183">
        <f t="shared" si="2806"/>
        <v>7.5471698113207544E-2</v>
      </c>
      <c r="U2262" s="184">
        <f t="shared" si="2807"/>
        <v>0.660377358490566</v>
      </c>
      <c r="V2262" s="385"/>
    </row>
    <row r="2263" spans="2:22" ht="15.75" hidden="1" x14ac:dyDescent="0.2">
      <c r="B2263" s="711">
        <v>46230</v>
      </c>
      <c r="C2263" s="711" t="s">
        <v>22</v>
      </c>
      <c r="D2263" s="711" t="s">
        <v>13</v>
      </c>
      <c r="E2263" s="711">
        <v>46230</v>
      </c>
      <c r="G2263" s="396"/>
      <c r="H2263" s="775" t="s">
        <v>19</v>
      </c>
      <c r="I2263" s="777"/>
      <c r="J2263" s="190">
        <f t="shared" ref="J2263" si="2808">SUM(J2257:J2262)</f>
        <v>1771</v>
      </c>
      <c r="K2263" s="190">
        <f t="shared" ref="K2263" si="2809">SUM(K2257:K2262)</f>
        <v>635</v>
      </c>
      <c r="L2263" s="190">
        <f t="shared" ref="L2263" si="2810">SUM(L2257:L2262)</f>
        <v>242</v>
      </c>
      <c r="M2263" s="190">
        <f t="shared" ref="M2263" si="2811">SUM(M2257:M2262)</f>
        <v>536</v>
      </c>
      <c r="N2263" s="190">
        <f t="shared" ref="N2263" si="2812">SUM(N2257:N2262)</f>
        <v>154</v>
      </c>
      <c r="O2263" s="190">
        <f t="shared" ref="O2263" si="2813">SUM(O2257:O2262)</f>
        <v>126</v>
      </c>
      <c r="P2263" s="190">
        <f t="shared" ref="P2263" si="2814">SUM(P2257:P2262)</f>
        <v>50</v>
      </c>
      <c r="Q2263" s="191">
        <f>(K2263+L2263)/J2263</f>
        <v>0.49520045172219085</v>
      </c>
      <c r="R2263" s="192">
        <f t="shared" si="2804"/>
        <v>8.6956521739130432E-2</v>
      </c>
      <c r="S2263" s="192">
        <f t="shared" si="2805"/>
        <v>2.8232636928289104E-2</v>
      </c>
      <c r="T2263" s="192">
        <f t="shared" si="2806"/>
        <v>7.1146245059288543E-2</v>
      </c>
      <c r="U2263" s="193">
        <f t="shared" si="2807"/>
        <v>0.68153585544889894</v>
      </c>
      <c r="V2263" s="385"/>
    </row>
    <row r="2264" spans="2:22" ht="15.75" hidden="1" x14ac:dyDescent="0.2">
      <c r="B2264" s="711">
        <v>46230</v>
      </c>
      <c r="C2264" s="711" t="s">
        <v>22</v>
      </c>
      <c r="D2264" s="711" t="s">
        <v>13</v>
      </c>
      <c r="E2264" s="711">
        <v>46230</v>
      </c>
      <c r="G2264" s="770">
        <v>46232</v>
      </c>
      <c r="H2264" s="60" t="s">
        <v>75</v>
      </c>
      <c r="I2264" s="60" t="s">
        <v>15</v>
      </c>
      <c r="J2264" s="60">
        <v>241</v>
      </c>
      <c r="K2264" s="60">
        <v>0</v>
      </c>
      <c r="L2264" s="60">
        <v>0</v>
      </c>
      <c r="M2264" s="60">
        <v>221</v>
      </c>
      <c r="N2264" s="312">
        <v>0</v>
      </c>
      <c r="O2264" s="60">
        <v>20</v>
      </c>
      <c r="P2264" s="312">
        <v>0</v>
      </c>
      <c r="Q2264" s="182">
        <f t="shared" ref="Q2264:Q2266" si="2815">(K2264+L2264)/J2264</f>
        <v>0</v>
      </c>
      <c r="R2264" s="183">
        <f t="shared" ref="R2264:R2272" si="2816">N2264/J2264</f>
        <v>0</v>
      </c>
      <c r="S2264" s="183">
        <f t="shared" ref="S2264:S2272" si="2817">P2264/J2264</f>
        <v>0</v>
      </c>
      <c r="T2264" s="183">
        <f t="shared" ref="T2264:T2272" si="2818">O2264/J2264</f>
        <v>8.2987551867219914E-2</v>
      </c>
      <c r="U2264" s="184">
        <f t="shared" ref="U2264:U2272" si="2819">S2264+R2264+Q2264+T2264</f>
        <v>8.2987551867219914E-2</v>
      </c>
      <c r="V2264" s="385"/>
    </row>
    <row r="2265" spans="2:22" ht="15.75" hidden="1" x14ac:dyDescent="0.2">
      <c r="B2265" s="711">
        <v>46230</v>
      </c>
      <c r="C2265" s="711" t="s">
        <v>22</v>
      </c>
      <c r="D2265" s="711" t="s">
        <v>13</v>
      </c>
      <c r="E2265" s="711">
        <v>46230</v>
      </c>
      <c r="G2265" s="771"/>
      <c r="H2265" s="60" t="s">
        <v>17</v>
      </c>
      <c r="I2265" s="60" t="s">
        <v>106</v>
      </c>
      <c r="J2265" s="60">
        <v>182</v>
      </c>
      <c r="K2265" s="60">
        <v>0</v>
      </c>
      <c r="L2265" s="60">
        <v>0</v>
      </c>
      <c r="M2265" s="60">
        <v>148</v>
      </c>
      <c r="N2265" s="312">
        <v>0</v>
      </c>
      <c r="O2265" s="60">
        <v>30</v>
      </c>
      <c r="P2265" s="312">
        <v>4</v>
      </c>
      <c r="Q2265" s="182">
        <f t="shared" si="2815"/>
        <v>0</v>
      </c>
      <c r="R2265" s="183">
        <f t="shared" si="2816"/>
        <v>0</v>
      </c>
      <c r="S2265" s="183">
        <f t="shared" si="2817"/>
        <v>2.197802197802198E-2</v>
      </c>
      <c r="T2265" s="183">
        <f t="shared" si="2818"/>
        <v>0.16483516483516483</v>
      </c>
      <c r="U2265" s="184">
        <f t="shared" si="2819"/>
        <v>0.18681318681318682</v>
      </c>
      <c r="V2265" s="385"/>
    </row>
    <row r="2266" spans="2:22" ht="15.75" hidden="1" x14ac:dyDescent="0.2">
      <c r="B2266" s="711">
        <v>46230</v>
      </c>
      <c r="C2266" s="711" t="s">
        <v>22</v>
      </c>
      <c r="D2266" s="711" t="s">
        <v>13</v>
      </c>
      <c r="E2266" s="711">
        <v>46230</v>
      </c>
      <c r="G2266" s="772"/>
      <c r="H2266" s="60" t="s">
        <v>14</v>
      </c>
      <c r="I2266" s="60" t="s">
        <v>18</v>
      </c>
      <c r="J2266" s="60">
        <v>156</v>
      </c>
      <c r="K2266" s="60">
        <v>0</v>
      </c>
      <c r="L2266" s="60">
        <v>0</v>
      </c>
      <c r="M2266" s="60">
        <v>156</v>
      </c>
      <c r="N2266" s="312">
        <v>0</v>
      </c>
      <c r="O2266" s="60">
        <v>11</v>
      </c>
      <c r="P2266" s="312">
        <v>0</v>
      </c>
      <c r="Q2266" s="182">
        <f t="shared" si="2815"/>
        <v>0</v>
      </c>
      <c r="R2266" s="183">
        <f t="shared" si="2816"/>
        <v>0</v>
      </c>
      <c r="S2266" s="183">
        <f t="shared" si="2817"/>
        <v>0</v>
      </c>
      <c r="T2266" s="183">
        <f t="shared" si="2818"/>
        <v>7.0512820512820512E-2</v>
      </c>
      <c r="U2266" s="184">
        <f t="shared" si="2819"/>
        <v>7.0512820512820512E-2</v>
      </c>
      <c r="V2266" s="385"/>
    </row>
    <row r="2267" spans="2:22" ht="15.75" hidden="1" x14ac:dyDescent="0.2">
      <c r="B2267" s="711">
        <v>46230</v>
      </c>
      <c r="C2267" s="711" t="s">
        <v>22</v>
      </c>
      <c r="D2267" s="711" t="s">
        <v>13</v>
      </c>
      <c r="E2267" s="711">
        <v>46230</v>
      </c>
      <c r="G2267" s="396"/>
      <c r="H2267" s="775" t="s">
        <v>19</v>
      </c>
      <c r="I2267" s="777"/>
      <c r="J2267" s="190">
        <f t="shared" ref="J2267:P2267" si="2820">SUM(J2262:J2266)</f>
        <v>2509</v>
      </c>
      <c r="K2267" s="190">
        <f t="shared" si="2820"/>
        <v>685</v>
      </c>
      <c r="L2267" s="190">
        <f t="shared" si="2820"/>
        <v>262</v>
      </c>
      <c r="M2267" s="190">
        <f t="shared" si="2820"/>
        <v>1115</v>
      </c>
      <c r="N2267" s="190">
        <f t="shared" si="2820"/>
        <v>177</v>
      </c>
      <c r="O2267" s="190">
        <f t="shared" si="2820"/>
        <v>199</v>
      </c>
      <c r="P2267" s="190">
        <f t="shared" si="2820"/>
        <v>54</v>
      </c>
      <c r="Q2267" s="191">
        <f>(K2267+L2267)/J2267</f>
        <v>0.37744121163810285</v>
      </c>
      <c r="R2267" s="192">
        <f t="shared" si="2816"/>
        <v>7.0546034276604219E-2</v>
      </c>
      <c r="S2267" s="192">
        <f t="shared" si="2817"/>
        <v>2.1522518931845355E-2</v>
      </c>
      <c r="T2267" s="192">
        <f t="shared" si="2818"/>
        <v>7.9314467915504186E-2</v>
      </c>
      <c r="U2267" s="193">
        <f t="shared" si="2819"/>
        <v>0.54882423276205661</v>
      </c>
      <c r="V2267" s="385"/>
    </row>
    <row r="2268" spans="2:22" ht="15.75" hidden="1" x14ac:dyDescent="0.2">
      <c r="B2268" s="711">
        <v>46230</v>
      </c>
      <c r="C2268" s="711" t="s">
        <v>106</v>
      </c>
      <c r="D2268" s="711" t="s">
        <v>13</v>
      </c>
      <c r="E2268" s="711">
        <v>46230</v>
      </c>
      <c r="G2268" s="770">
        <v>46231</v>
      </c>
      <c r="H2268" s="60" t="s">
        <v>75</v>
      </c>
      <c r="I2268" s="60" t="s">
        <v>15</v>
      </c>
      <c r="J2268" s="60">
        <v>212</v>
      </c>
      <c r="K2268" s="60">
        <v>110</v>
      </c>
      <c r="L2268" s="60">
        <v>75</v>
      </c>
      <c r="M2268" s="60">
        <v>0</v>
      </c>
      <c r="N2268" s="312">
        <v>0</v>
      </c>
      <c r="O2268" s="60">
        <v>20</v>
      </c>
      <c r="P2268" s="312">
        <v>2</v>
      </c>
      <c r="Q2268" s="182">
        <f t="shared" ref="Q2268:Q2271" si="2821">(K2268+L2268)/J2268</f>
        <v>0.87264150943396224</v>
      </c>
      <c r="R2268" s="183">
        <f t="shared" si="2816"/>
        <v>0</v>
      </c>
      <c r="S2268" s="183">
        <f t="shared" si="2817"/>
        <v>9.433962264150943E-3</v>
      </c>
      <c r="T2268" s="183">
        <f t="shared" si="2818"/>
        <v>9.4339622641509441E-2</v>
      </c>
      <c r="U2268" s="184">
        <f t="shared" si="2819"/>
        <v>0.97641509433962259</v>
      </c>
      <c r="V2268" s="385"/>
    </row>
    <row r="2269" spans="2:22" ht="15.75" hidden="1" x14ac:dyDescent="0.2">
      <c r="B2269" s="711">
        <v>46230</v>
      </c>
      <c r="C2269" s="711" t="s">
        <v>106</v>
      </c>
      <c r="D2269" s="711" t="s">
        <v>13</v>
      </c>
      <c r="E2269" s="711">
        <v>46230</v>
      </c>
      <c r="G2269" s="771"/>
      <c r="H2269" s="60" t="s">
        <v>17</v>
      </c>
      <c r="I2269" s="60" t="s">
        <v>106</v>
      </c>
      <c r="J2269" s="60">
        <f>112+66+36</f>
        <v>214</v>
      </c>
      <c r="K2269" s="60">
        <f>214-50-25-7</f>
        <v>132</v>
      </c>
      <c r="L2269" s="60">
        <v>50</v>
      </c>
      <c r="M2269" s="60">
        <v>0</v>
      </c>
      <c r="N2269" s="312">
        <v>0</v>
      </c>
      <c r="O2269" s="60">
        <v>25</v>
      </c>
      <c r="P2269" s="312">
        <v>7</v>
      </c>
      <c r="Q2269" s="182">
        <f t="shared" si="2821"/>
        <v>0.85046728971962615</v>
      </c>
      <c r="R2269" s="183">
        <f t="shared" si="2816"/>
        <v>0</v>
      </c>
      <c r="S2269" s="183">
        <f t="shared" si="2817"/>
        <v>3.2710280373831772E-2</v>
      </c>
      <c r="T2269" s="183">
        <f t="shared" si="2818"/>
        <v>0.11682242990654206</v>
      </c>
      <c r="U2269" s="184">
        <f t="shared" si="2819"/>
        <v>0.99999999999999989</v>
      </c>
      <c r="V2269" s="385"/>
    </row>
    <row r="2270" spans="2:22" ht="15.75" hidden="1" x14ac:dyDescent="0.2">
      <c r="B2270" s="711">
        <v>46230</v>
      </c>
      <c r="C2270" s="711" t="s">
        <v>106</v>
      </c>
      <c r="D2270" s="711" t="s">
        <v>13</v>
      </c>
      <c r="E2270" s="711">
        <v>46230</v>
      </c>
      <c r="G2270" s="771"/>
      <c r="H2270" s="60" t="s">
        <v>180</v>
      </c>
      <c r="I2270" s="60" t="s">
        <v>43</v>
      </c>
      <c r="J2270" s="60">
        <v>211</v>
      </c>
      <c r="K2270" s="60">
        <f>211-14-9</f>
        <v>188</v>
      </c>
      <c r="L2270" s="60">
        <v>14</v>
      </c>
      <c r="M2270" s="60">
        <v>0</v>
      </c>
      <c r="N2270" s="312">
        <v>0</v>
      </c>
      <c r="O2270" s="60">
        <v>0</v>
      </c>
      <c r="P2270" s="312">
        <v>9</v>
      </c>
      <c r="Q2270" s="182">
        <f t="shared" si="2821"/>
        <v>0.95734597156398105</v>
      </c>
      <c r="R2270" s="183">
        <f t="shared" si="2816"/>
        <v>0</v>
      </c>
      <c r="S2270" s="183">
        <f t="shared" si="2817"/>
        <v>4.2654028436018961E-2</v>
      </c>
      <c r="T2270" s="183">
        <f t="shared" si="2818"/>
        <v>0</v>
      </c>
      <c r="U2270" s="184">
        <f t="shared" si="2819"/>
        <v>1</v>
      </c>
      <c r="V2270" s="385"/>
    </row>
    <row r="2271" spans="2:22" ht="15.75" hidden="1" x14ac:dyDescent="0.2">
      <c r="B2271" s="711">
        <v>46230</v>
      </c>
      <c r="C2271" s="711" t="s">
        <v>106</v>
      </c>
      <c r="D2271" s="711" t="s">
        <v>13</v>
      </c>
      <c r="E2271" s="711">
        <v>46230</v>
      </c>
      <c r="G2271" s="772"/>
      <c r="H2271" s="60" t="s">
        <v>14</v>
      </c>
      <c r="I2271" s="60" t="s">
        <v>18</v>
      </c>
      <c r="J2271" s="60">
        <v>159</v>
      </c>
      <c r="K2271" s="60">
        <f>159-20-21-23-12</f>
        <v>83</v>
      </c>
      <c r="L2271" s="60">
        <v>20</v>
      </c>
      <c r="M2271" s="60">
        <v>21</v>
      </c>
      <c r="N2271" s="312">
        <v>23</v>
      </c>
      <c r="O2271" s="60">
        <v>12</v>
      </c>
      <c r="P2271" s="312">
        <v>0</v>
      </c>
      <c r="Q2271" s="182">
        <f t="shared" si="2821"/>
        <v>0.64779874213836475</v>
      </c>
      <c r="R2271" s="183">
        <f t="shared" si="2816"/>
        <v>0.14465408805031446</v>
      </c>
      <c r="S2271" s="183">
        <f t="shared" si="2817"/>
        <v>0</v>
      </c>
      <c r="T2271" s="183">
        <f t="shared" si="2818"/>
        <v>7.5471698113207544E-2</v>
      </c>
      <c r="U2271" s="184">
        <f t="shared" si="2819"/>
        <v>0.86792452830188671</v>
      </c>
      <c r="V2271" s="385"/>
    </row>
    <row r="2272" spans="2:22" ht="15.75" hidden="1" x14ac:dyDescent="0.2">
      <c r="B2272" s="711">
        <v>46230</v>
      </c>
      <c r="C2272" s="711" t="s">
        <v>106</v>
      </c>
      <c r="D2272" s="711" t="s">
        <v>13</v>
      </c>
      <c r="E2272" s="711">
        <v>46230</v>
      </c>
      <c r="G2272" s="396"/>
      <c r="H2272" s="775" t="s">
        <v>19</v>
      </c>
      <c r="I2272" s="777"/>
      <c r="J2272" s="190">
        <f t="shared" ref="J2272:P2272" si="2822">SUM(J2266:J2271)</f>
        <v>3461</v>
      </c>
      <c r="K2272" s="190">
        <f t="shared" si="2822"/>
        <v>1198</v>
      </c>
      <c r="L2272" s="190">
        <f t="shared" si="2822"/>
        <v>421</v>
      </c>
      <c r="M2272" s="190">
        <f t="shared" si="2822"/>
        <v>1292</v>
      </c>
      <c r="N2272" s="190">
        <f t="shared" si="2822"/>
        <v>200</v>
      </c>
      <c r="O2272" s="190">
        <f t="shared" si="2822"/>
        <v>267</v>
      </c>
      <c r="P2272" s="190">
        <f t="shared" si="2822"/>
        <v>72</v>
      </c>
      <c r="Q2272" s="191">
        <f>(K2272+L2272)/J2272</f>
        <v>0.4677838774920543</v>
      </c>
      <c r="R2272" s="192">
        <f t="shared" si="2816"/>
        <v>5.7786766830395839E-2</v>
      </c>
      <c r="S2272" s="192">
        <f t="shared" si="2817"/>
        <v>2.0803236058942503E-2</v>
      </c>
      <c r="T2272" s="192">
        <f t="shared" si="2818"/>
        <v>7.7145333718578443E-2</v>
      </c>
      <c r="U2272" s="193">
        <f t="shared" si="2819"/>
        <v>0.62351921409997113</v>
      </c>
      <c r="V2272" s="385"/>
    </row>
    <row r="2273" spans="2:22" ht="15.75" hidden="1" x14ac:dyDescent="0.2">
      <c r="B2273" s="711">
        <v>46230</v>
      </c>
      <c r="C2273" s="711" t="s">
        <v>106</v>
      </c>
      <c r="D2273" s="711" t="s">
        <v>13</v>
      </c>
      <c r="E2273" s="711">
        <v>46230</v>
      </c>
      <c r="G2273" s="770">
        <v>46232</v>
      </c>
      <c r="H2273" s="60" t="s">
        <v>75</v>
      </c>
      <c r="I2273" s="60" t="s">
        <v>15</v>
      </c>
      <c r="J2273" s="60">
        <v>241</v>
      </c>
      <c r="K2273" s="60">
        <v>0</v>
      </c>
      <c r="L2273" s="60">
        <v>0</v>
      </c>
      <c r="M2273" s="60">
        <v>221</v>
      </c>
      <c r="N2273" s="312">
        <v>0</v>
      </c>
      <c r="O2273" s="60">
        <v>20</v>
      </c>
      <c r="P2273" s="312">
        <v>0</v>
      </c>
      <c r="Q2273" s="182">
        <f t="shared" ref="Q2273:Q2275" si="2823">(K2273+L2273)/J2273</f>
        <v>0</v>
      </c>
      <c r="R2273" s="183">
        <f t="shared" ref="R2273:R2281" si="2824">N2273/J2273</f>
        <v>0</v>
      </c>
      <c r="S2273" s="183">
        <f t="shared" ref="S2273:S2281" si="2825">P2273/J2273</f>
        <v>0</v>
      </c>
      <c r="T2273" s="183">
        <f t="shared" ref="T2273:T2281" si="2826">O2273/J2273</f>
        <v>8.2987551867219914E-2</v>
      </c>
      <c r="U2273" s="184">
        <f t="shared" ref="U2273:U2281" si="2827">S2273+R2273+Q2273+T2273</f>
        <v>8.2987551867219914E-2</v>
      </c>
      <c r="V2273" s="385"/>
    </row>
    <row r="2274" spans="2:22" ht="15.75" hidden="1" x14ac:dyDescent="0.2">
      <c r="B2274" s="711">
        <v>46230</v>
      </c>
      <c r="C2274" s="711" t="s">
        <v>106</v>
      </c>
      <c r="D2274" s="711" t="s">
        <v>13</v>
      </c>
      <c r="E2274" s="711">
        <v>46230</v>
      </c>
      <c r="G2274" s="771"/>
      <c r="H2274" s="60" t="s">
        <v>17</v>
      </c>
      <c r="I2274" s="60" t="s">
        <v>106</v>
      </c>
      <c r="J2274" s="60">
        <v>182</v>
      </c>
      <c r="K2274" s="60">
        <v>0</v>
      </c>
      <c r="L2274" s="60">
        <v>0</v>
      </c>
      <c r="M2274" s="60">
        <v>148</v>
      </c>
      <c r="N2274" s="312">
        <v>0</v>
      </c>
      <c r="O2274" s="60">
        <v>30</v>
      </c>
      <c r="P2274" s="312">
        <v>4</v>
      </c>
      <c r="Q2274" s="182">
        <f t="shared" si="2823"/>
        <v>0</v>
      </c>
      <c r="R2274" s="183">
        <f t="shared" si="2824"/>
        <v>0</v>
      </c>
      <c r="S2274" s="183">
        <f t="shared" si="2825"/>
        <v>2.197802197802198E-2</v>
      </c>
      <c r="T2274" s="183">
        <f t="shared" si="2826"/>
        <v>0.16483516483516483</v>
      </c>
      <c r="U2274" s="184">
        <f t="shared" si="2827"/>
        <v>0.18681318681318682</v>
      </c>
      <c r="V2274" s="385"/>
    </row>
    <row r="2275" spans="2:22" ht="15.75" hidden="1" x14ac:dyDescent="0.2">
      <c r="B2275" s="711">
        <v>46230</v>
      </c>
      <c r="C2275" s="711" t="s">
        <v>106</v>
      </c>
      <c r="D2275" s="711" t="s">
        <v>13</v>
      </c>
      <c r="E2275" s="711">
        <v>46230</v>
      </c>
      <c r="G2275" s="772"/>
      <c r="H2275" s="60" t="s">
        <v>14</v>
      </c>
      <c r="I2275" s="60" t="s">
        <v>18</v>
      </c>
      <c r="J2275" s="60">
        <v>156</v>
      </c>
      <c r="K2275" s="60">
        <v>0</v>
      </c>
      <c r="L2275" s="60">
        <v>0</v>
      </c>
      <c r="M2275" s="60">
        <v>156</v>
      </c>
      <c r="N2275" s="312">
        <v>0</v>
      </c>
      <c r="O2275" s="60">
        <v>11</v>
      </c>
      <c r="P2275" s="312">
        <v>0</v>
      </c>
      <c r="Q2275" s="182">
        <f t="shared" si="2823"/>
        <v>0</v>
      </c>
      <c r="R2275" s="183">
        <f t="shared" si="2824"/>
        <v>0</v>
      </c>
      <c r="S2275" s="183">
        <f t="shared" si="2825"/>
        <v>0</v>
      </c>
      <c r="T2275" s="183">
        <f t="shared" si="2826"/>
        <v>7.0512820512820512E-2</v>
      </c>
      <c r="U2275" s="184">
        <f t="shared" si="2827"/>
        <v>7.0512820512820512E-2</v>
      </c>
      <c r="V2275" s="385"/>
    </row>
    <row r="2276" spans="2:22" ht="15.75" hidden="1" x14ac:dyDescent="0.2">
      <c r="B2276" s="711">
        <v>46230</v>
      </c>
      <c r="C2276" s="711" t="s">
        <v>106</v>
      </c>
      <c r="D2276" s="711" t="s">
        <v>13</v>
      </c>
      <c r="E2276" s="711">
        <v>46230</v>
      </c>
      <c r="G2276" s="396"/>
      <c r="H2276" s="775" t="s">
        <v>19</v>
      </c>
      <c r="I2276" s="777"/>
      <c r="J2276" s="190">
        <f t="shared" ref="J2276" si="2828">SUM(J2271:J2275)</f>
        <v>4199</v>
      </c>
      <c r="K2276" s="190">
        <f t="shared" ref="K2276" si="2829">SUM(K2271:K2275)</f>
        <v>1281</v>
      </c>
      <c r="L2276" s="190">
        <f t="shared" ref="L2276" si="2830">SUM(L2271:L2275)</f>
        <v>441</v>
      </c>
      <c r="M2276" s="190">
        <f t="shared" ref="M2276" si="2831">SUM(M2271:M2275)</f>
        <v>1838</v>
      </c>
      <c r="N2276" s="190">
        <f t="shared" ref="N2276" si="2832">SUM(N2271:N2275)</f>
        <v>223</v>
      </c>
      <c r="O2276" s="190">
        <f t="shared" ref="O2276" si="2833">SUM(O2271:O2275)</f>
        <v>340</v>
      </c>
      <c r="P2276" s="190">
        <f t="shared" ref="P2276" si="2834">SUM(P2271:P2275)</f>
        <v>76</v>
      </c>
      <c r="Q2276" s="191">
        <f>(K2276+L2276)/J2276</f>
        <v>0.41009764229578471</v>
      </c>
      <c r="R2276" s="192">
        <f t="shared" si="2824"/>
        <v>5.3107882829245057E-2</v>
      </c>
      <c r="S2276" s="192">
        <f t="shared" si="2825"/>
        <v>1.8099547511312219E-2</v>
      </c>
      <c r="T2276" s="192">
        <f t="shared" si="2826"/>
        <v>8.0971659919028341E-2</v>
      </c>
      <c r="U2276" s="193">
        <f t="shared" si="2827"/>
        <v>0.56227673255537036</v>
      </c>
      <c r="V2276" s="385"/>
    </row>
    <row r="2277" spans="2:22" ht="15.75" hidden="1" x14ac:dyDescent="0.2">
      <c r="B2277" s="711">
        <v>46231</v>
      </c>
      <c r="C2277" s="711" t="s">
        <v>12</v>
      </c>
      <c r="D2277" s="711" t="s">
        <v>163</v>
      </c>
      <c r="E2277" s="711">
        <v>46230</v>
      </c>
      <c r="G2277" s="770">
        <v>46231</v>
      </c>
      <c r="H2277" s="60" t="s">
        <v>75</v>
      </c>
      <c r="I2277" s="60" t="s">
        <v>15</v>
      </c>
      <c r="J2277" s="60">
        <v>212</v>
      </c>
      <c r="K2277" s="60">
        <v>110</v>
      </c>
      <c r="L2277" s="60">
        <v>77</v>
      </c>
      <c r="M2277" s="60">
        <v>0</v>
      </c>
      <c r="N2277" s="312">
        <v>0</v>
      </c>
      <c r="O2277" s="60">
        <v>20</v>
      </c>
      <c r="P2277" s="312">
        <v>2</v>
      </c>
      <c r="Q2277" s="182">
        <f t="shared" ref="Q2277:Q2280" si="2835">(K2277+L2277)/J2277</f>
        <v>0.88207547169811318</v>
      </c>
      <c r="R2277" s="183">
        <f t="shared" si="2824"/>
        <v>0</v>
      </c>
      <c r="S2277" s="183">
        <f t="shared" si="2825"/>
        <v>9.433962264150943E-3</v>
      </c>
      <c r="T2277" s="183">
        <f t="shared" si="2826"/>
        <v>9.4339622641509441E-2</v>
      </c>
      <c r="U2277" s="184">
        <f t="shared" si="2827"/>
        <v>0.98584905660377353</v>
      </c>
      <c r="V2277" s="385"/>
    </row>
    <row r="2278" spans="2:22" ht="15.75" hidden="1" x14ac:dyDescent="0.2">
      <c r="B2278" s="711">
        <v>46231</v>
      </c>
      <c r="C2278" s="711" t="s">
        <v>12</v>
      </c>
      <c r="D2278" s="711" t="s">
        <v>163</v>
      </c>
      <c r="E2278" s="711">
        <v>46230</v>
      </c>
      <c r="G2278" s="771"/>
      <c r="H2278" s="60" t="s">
        <v>17</v>
      </c>
      <c r="I2278" s="60" t="s">
        <v>106</v>
      </c>
      <c r="J2278" s="60">
        <f>112+66+36</f>
        <v>214</v>
      </c>
      <c r="K2278" s="60">
        <f>214-50-25-7</f>
        <v>132</v>
      </c>
      <c r="L2278" s="60">
        <v>50</v>
      </c>
      <c r="M2278" s="60">
        <v>0</v>
      </c>
      <c r="N2278" s="312">
        <v>0</v>
      </c>
      <c r="O2278" s="60">
        <v>25</v>
      </c>
      <c r="P2278" s="312">
        <v>7</v>
      </c>
      <c r="Q2278" s="182">
        <f t="shared" si="2835"/>
        <v>0.85046728971962615</v>
      </c>
      <c r="R2278" s="183">
        <f t="shared" si="2824"/>
        <v>0</v>
      </c>
      <c r="S2278" s="183">
        <f t="shared" si="2825"/>
        <v>3.2710280373831772E-2</v>
      </c>
      <c r="T2278" s="183">
        <f t="shared" si="2826"/>
        <v>0.11682242990654206</v>
      </c>
      <c r="U2278" s="184">
        <f t="shared" si="2827"/>
        <v>0.99999999999999989</v>
      </c>
      <c r="V2278" s="385"/>
    </row>
    <row r="2279" spans="2:22" ht="15.75" hidden="1" x14ac:dyDescent="0.2">
      <c r="B2279" s="711">
        <v>46231</v>
      </c>
      <c r="C2279" s="711" t="s">
        <v>12</v>
      </c>
      <c r="D2279" s="711" t="s">
        <v>163</v>
      </c>
      <c r="E2279" s="711">
        <v>46230</v>
      </c>
      <c r="G2279" s="771"/>
      <c r="H2279" s="60" t="s">
        <v>180</v>
      </c>
      <c r="I2279" s="60" t="s">
        <v>43</v>
      </c>
      <c r="J2279" s="60">
        <v>211</v>
      </c>
      <c r="K2279" s="60">
        <f>211-14-9</f>
        <v>188</v>
      </c>
      <c r="L2279" s="60">
        <v>14</v>
      </c>
      <c r="M2279" s="60">
        <v>0</v>
      </c>
      <c r="N2279" s="312">
        <v>0</v>
      </c>
      <c r="O2279" s="60">
        <v>0</v>
      </c>
      <c r="P2279" s="312">
        <v>9</v>
      </c>
      <c r="Q2279" s="182">
        <f t="shared" si="2835"/>
        <v>0.95734597156398105</v>
      </c>
      <c r="R2279" s="183">
        <f t="shared" si="2824"/>
        <v>0</v>
      </c>
      <c r="S2279" s="183">
        <f t="shared" si="2825"/>
        <v>4.2654028436018961E-2</v>
      </c>
      <c r="T2279" s="183">
        <f t="shared" si="2826"/>
        <v>0</v>
      </c>
      <c r="U2279" s="184">
        <f t="shared" si="2827"/>
        <v>1</v>
      </c>
      <c r="V2279" s="385"/>
    </row>
    <row r="2280" spans="2:22" ht="15.75" hidden="1" x14ac:dyDescent="0.2">
      <c r="B2280" s="711">
        <v>46231</v>
      </c>
      <c r="C2280" s="711" t="s">
        <v>12</v>
      </c>
      <c r="D2280" s="711" t="s">
        <v>163</v>
      </c>
      <c r="E2280" s="711">
        <v>46230</v>
      </c>
      <c r="G2280" s="772"/>
      <c r="H2280" s="60" t="s">
        <v>14</v>
      </c>
      <c r="I2280" s="60" t="s">
        <v>18</v>
      </c>
      <c r="J2280" s="60">
        <v>159</v>
      </c>
      <c r="K2280" s="60">
        <f>159-20-12</f>
        <v>127</v>
      </c>
      <c r="L2280" s="60">
        <v>20</v>
      </c>
      <c r="M2280" s="60">
        <v>0</v>
      </c>
      <c r="N2280" s="312">
        <v>0</v>
      </c>
      <c r="O2280" s="60">
        <v>12</v>
      </c>
      <c r="P2280" s="312">
        <v>0</v>
      </c>
      <c r="Q2280" s="182">
        <f t="shared" si="2835"/>
        <v>0.92452830188679247</v>
      </c>
      <c r="R2280" s="183">
        <f t="shared" si="2824"/>
        <v>0</v>
      </c>
      <c r="S2280" s="183">
        <f t="shared" si="2825"/>
        <v>0</v>
      </c>
      <c r="T2280" s="183">
        <f t="shared" si="2826"/>
        <v>7.5471698113207544E-2</v>
      </c>
      <c r="U2280" s="184">
        <f t="shared" si="2827"/>
        <v>1</v>
      </c>
      <c r="V2280" s="385"/>
    </row>
    <row r="2281" spans="2:22" ht="15.75" hidden="1" x14ac:dyDescent="0.2">
      <c r="B2281" s="711">
        <v>46231</v>
      </c>
      <c r="C2281" s="711" t="s">
        <v>12</v>
      </c>
      <c r="D2281" s="711" t="s">
        <v>163</v>
      </c>
      <c r="E2281" s="711">
        <v>46230</v>
      </c>
      <c r="G2281" s="396"/>
      <c r="H2281" s="775" t="s">
        <v>19</v>
      </c>
      <c r="I2281" s="777"/>
      <c r="J2281" s="190">
        <f t="shared" ref="J2281:P2281" si="2836">SUM(J2275:J2280)</f>
        <v>5151</v>
      </c>
      <c r="K2281" s="190">
        <f t="shared" si="2836"/>
        <v>1838</v>
      </c>
      <c r="L2281" s="190">
        <f t="shared" si="2836"/>
        <v>602</v>
      </c>
      <c r="M2281" s="190">
        <f t="shared" si="2836"/>
        <v>1994</v>
      </c>
      <c r="N2281" s="190">
        <f t="shared" si="2836"/>
        <v>223</v>
      </c>
      <c r="O2281" s="190">
        <f t="shared" si="2836"/>
        <v>408</v>
      </c>
      <c r="P2281" s="190">
        <f t="shared" si="2836"/>
        <v>94</v>
      </c>
      <c r="Q2281" s="191">
        <f>(K2281+L2281)/J2281</f>
        <v>0.47369442826635605</v>
      </c>
      <c r="R2281" s="192">
        <f t="shared" si="2824"/>
        <v>4.3292564550572704E-2</v>
      </c>
      <c r="S2281" s="192">
        <f t="shared" si="2825"/>
        <v>1.8248883711900601E-2</v>
      </c>
      <c r="T2281" s="192">
        <f t="shared" si="2826"/>
        <v>7.9207920792079209E-2</v>
      </c>
      <c r="U2281" s="193">
        <f t="shared" si="2827"/>
        <v>0.61444379732090848</v>
      </c>
      <c r="V2281" s="385"/>
    </row>
    <row r="2282" spans="2:22" ht="15.75" hidden="1" x14ac:dyDescent="0.2">
      <c r="B2282" s="711">
        <v>46231</v>
      </c>
      <c r="C2282" s="711" t="s">
        <v>12</v>
      </c>
      <c r="D2282" s="711" t="s">
        <v>163</v>
      </c>
      <c r="E2282" s="711">
        <v>46230</v>
      </c>
      <c r="G2282" s="770">
        <v>46232</v>
      </c>
      <c r="H2282" s="60" t="s">
        <v>75</v>
      </c>
      <c r="I2282" s="60" t="s">
        <v>15</v>
      </c>
      <c r="J2282" s="60">
        <v>241</v>
      </c>
      <c r="K2282" s="60">
        <v>51</v>
      </c>
      <c r="L2282" s="60">
        <v>12</v>
      </c>
      <c r="M2282" s="60">
        <f>241-51-12-20-6</f>
        <v>152</v>
      </c>
      <c r="N2282" s="312">
        <v>0</v>
      </c>
      <c r="O2282" s="60">
        <v>20</v>
      </c>
      <c r="P2282" s="312">
        <v>6</v>
      </c>
      <c r="Q2282" s="182">
        <f t="shared" ref="Q2282:Q2284" si="2837">(K2282+L2282)/J2282</f>
        <v>0.26141078838174275</v>
      </c>
      <c r="R2282" s="183">
        <f t="shared" ref="R2282:R2295" si="2838">N2282/J2282</f>
        <v>0</v>
      </c>
      <c r="S2282" s="183">
        <f t="shared" ref="S2282:S2295" si="2839">P2282/J2282</f>
        <v>2.4896265560165973E-2</v>
      </c>
      <c r="T2282" s="183">
        <f t="shared" ref="T2282:T2295" si="2840">O2282/J2282</f>
        <v>8.2987551867219914E-2</v>
      </c>
      <c r="U2282" s="184">
        <f t="shared" ref="U2282:U2295" si="2841">S2282+R2282+Q2282+T2282</f>
        <v>0.36929460580912865</v>
      </c>
      <c r="V2282" s="385"/>
    </row>
    <row r="2283" spans="2:22" ht="15.75" hidden="1" x14ac:dyDescent="0.2">
      <c r="B2283" s="711">
        <v>46231</v>
      </c>
      <c r="C2283" s="711" t="s">
        <v>12</v>
      </c>
      <c r="D2283" s="711" t="s">
        <v>163</v>
      </c>
      <c r="E2283" s="711">
        <v>46230</v>
      </c>
      <c r="G2283" s="771"/>
      <c r="H2283" s="60" t="s">
        <v>17</v>
      </c>
      <c r="I2283" s="60" t="s">
        <v>106</v>
      </c>
      <c r="J2283" s="60">
        <v>182</v>
      </c>
      <c r="K2283" s="60">
        <v>0</v>
      </c>
      <c r="L2283" s="60">
        <v>0</v>
      </c>
      <c r="M2283" s="60">
        <v>148</v>
      </c>
      <c r="N2283" s="312">
        <v>0</v>
      </c>
      <c r="O2283" s="60">
        <v>30</v>
      </c>
      <c r="P2283" s="312">
        <v>4</v>
      </c>
      <c r="Q2283" s="182">
        <f t="shared" si="2837"/>
        <v>0</v>
      </c>
      <c r="R2283" s="183">
        <f t="shared" si="2838"/>
        <v>0</v>
      </c>
      <c r="S2283" s="183">
        <f t="shared" si="2839"/>
        <v>2.197802197802198E-2</v>
      </c>
      <c r="T2283" s="183">
        <f t="shared" si="2840"/>
        <v>0.16483516483516483</v>
      </c>
      <c r="U2283" s="184">
        <f t="shared" si="2841"/>
        <v>0.18681318681318682</v>
      </c>
      <c r="V2283" s="385"/>
    </row>
    <row r="2284" spans="2:22" ht="15.75" hidden="1" x14ac:dyDescent="0.2">
      <c r="B2284" s="711">
        <v>46231</v>
      </c>
      <c r="C2284" s="711" t="s">
        <v>12</v>
      </c>
      <c r="D2284" s="711" t="s">
        <v>163</v>
      </c>
      <c r="E2284" s="711">
        <v>46230</v>
      </c>
      <c r="G2284" s="772"/>
      <c r="H2284" s="60" t="s">
        <v>14</v>
      </c>
      <c r="I2284" s="60" t="s">
        <v>18</v>
      </c>
      <c r="J2284" s="60">
        <v>156</v>
      </c>
      <c r="K2284" s="60">
        <v>0</v>
      </c>
      <c r="L2284" s="60">
        <v>0</v>
      </c>
      <c r="M2284" s="60">
        <v>156</v>
      </c>
      <c r="N2284" s="312">
        <v>0</v>
      </c>
      <c r="O2284" s="60">
        <v>11</v>
      </c>
      <c r="P2284" s="312">
        <v>0</v>
      </c>
      <c r="Q2284" s="182">
        <f t="shared" si="2837"/>
        <v>0</v>
      </c>
      <c r="R2284" s="183">
        <f t="shared" si="2838"/>
        <v>0</v>
      </c>
      <c r="S2284" s="183">
        <f t="shared" si="2839"/>
        <v>0</v>
      </c>
      <c r="T2284" s="183">
        <f t="shared" si="2840"/>
        <v>7.0512820512820512E-2</v>
      </c>
      <c r="U2284" s="184">
        <f t="shared" si="2841"/>
        <v>7.0512820512820512E-2</v>
      </c>
      <c r="V2284" s="385"/>
    </row>
    <row r="2285" spans="2:22" ht="15.75" hidden="1" x14ac:dyDescent="0.2">
      <c r="B2285" s="711">
        <v>46231</v>
      </c>
      <c r="C2285" s="711" t="s">
        <v>12</v>
      </c>
      <c r="D2285" s="711" t="s">
        <v>163</v>
      </c>
      <c r="E2285" s="711">
        <v>46230</v>
      </c>
      <c r="G2285" s="396"/>
      <c r="H2285" s="775" t="s">
        <v>19</v>
      </c>
      <c r="I2285" s="777"/>
      <c r="J2285" s="190">
        <f t="shared" ref="J2285" si="2842">SUM(J2280:J2284)</f>
        <v>5889</v>
      </c>
      <c r="K2285" s="190">
        <f t="shared" ref="K2285" si="2843">SUM(K2280:K2284)</f>
        <v>2016</v>
      </c>
      <c r="L2285" s="190">
        <f t="shared" ref="L2285" si="2844">SUM(L2280:L2284)</f>
        <v>634</v>
      </c>
      <c r="M2285" s="190">
        <f t="shared" ref="M2285" si="2845">SUM(M2280:M2284)</f>
        <v>2450</v>
      </c>
      <c r="N2285" s="190">
        <f t="shared" ref="N2285" si="2846">SUM(N2280:N2284)</f>
        <v>223</v>
      </c>
      <c r="O2285" s="190">
        <f t="shared" ref="O2285" si="2847">SUM(O2280:O2284)</f>
        <v>481</v>
      </c>
      <c r="P2285" s="190">
        <f t="shared" ref="P2285" si="2848">SUM(P2280:P2284)</f>
        <v>104</v>
      </c>
      <c r="Q2285" s="191">
        <f>(K2285+L2285)/J2285</f>
        <v>0.44999150959415862</v>
      </c>
      <c r="R2285" s="192">
        <f t="shared" si="2838"/>
        <v>3.7867210052640515E-2</v>
      </c>
      <c r="S2285" s="192">
        <f t="shared" si="2839"/>
        <v>1.7660044150110375E-2</v>
      </c>
      <c r="T2285" s="192">
        <f t="shared" si="2840"/>
        <v>8.1677704194260486E-2</v>
      </c>
      <c r="U2285" s="193">
        <f t="shared" si="2841"/>
        <v>0.58719646799116998</v>
      </c>
      <c r="V2285" s="385"/>
    </row>
    <row r="2286" spans="2:22" ht="15.75" hidden="1" x14ac:dyDescent="0.2">
      <c r="B2286" s="711">
        <v>46231</v>
      </c>
      <c r="C2286" s="711" t="s">
        <v>18</v>
      </c>
      <c r="D2286" s="711" t="s">
        <v>189</v>
      </c>
      <c r="E2286" s="711">
        <v>46230</v>
      </c>
      <c r="G2286" s="770">
        <v>46231</v>
      </c>
      <c r="H2286" s="60" t="s">
        <v>14</v>
      </c>
      <c r="I2286" s="60" t="s">
        <v>18</v>
      </c>
      <c r="J2286" s="60">
        <f>SUM(K2286:P2286)</f>
        <v>21</v>
      </c>
      <c r="K2286" s="60">
        <v>14</v>
      </c>
      <c r="L2286" s="60">
        <v>7</v>
      </c>
      <c r="M2286" s="60">
        <v>0</v>
      </c>
      <c r="N2286" s="312">
        <v>0</v>
      </c>
      <c r="O2286" s="60">
        <v>0</v>
      </c>
      <c r="P2286" s="312">
        <v>0</v>
      </c>
      <c r="Q2286" s="182">
        <f t="shared" ref="Q2286:Q2290" si="2849">(K2286+L2286)/J2286</f>
        <v>1</v>
      </c>
      <c r="R2286" s="183">
        <f t="shared" si="2838"/>
        <v>0</v>
      </c>
      <c r="S2286" s="183">
        <f t="shared" si="2839"/>
        <v>0</v>
      </c>
      <c r="T2286" s="183">
        <f t="shared" si="2840"/>
        <v>0</v>
      </c>
      <c r="U2286" s="184">
        <f t="shared" si="2841"/>
        <v>1</v>
      </c>
      <c r="V2286" s="385"/>
    </row>
    <row r="2287" spans="2:22" ht="15.75" hidden="1" x14ac:dyDescent="0.2">
      <c r="B2287" s="711">
        <v>46231</v>
      </c>
      <c r="C2287" s="711" t="s">
        <v>18</v>
      </c>
      <c r="D2287" s="711" t="s">
        <v>189</v>
      </c>
      <c r="E2287" s="711">
        <v>46230</v>
      </c>
      <c r="G2287" s="772"/>
      <c r="H2287" s="60" t="s">
        <v>120</v>
      </c>
      <c r="I2287" s="60" t="s">
        <v>18</v>
      </c>
      <c r="J2287" s="60">
        <f>SUM(K2287:P2287)</f>
        <v>2</v>
      </c>
      <c r="K2287" s="60">
        <v>2</v>
      </c>
      <c r="L2287" s="60">
        <v>0</v>
      </c>
      <c r="M2287" s="60">
        <v>0</v>
      </c>
      <c r="N2287" s="312">
        <v>0</v>
      </c>
      <c r="O2287" s="60">
        <v>0</v>
      </c>
      <c r="P2287" s="312">
        <v>0</v>
      </c>
      <c r="Q2287" s="182">
        <f t="shared" si="2849"/>
        <v>1</v>
      </c>
      <c r="R2287" s="183">
        <f t="shared" si="2838"/>
        <v>0</v>
      </c>
      <c r="S2287" s="183">
        <f t="shared" si="2839"/>
        <v>0</v>
      </c>
      <c r="T2287" s="183">
        <f t="shared" si="2840"/>
        <v>0</v>
      </c>
      <c r="U2287" s="184">
        <f t="shared" si="2841"/>
        <v>1</v>
      </c>
      <c r="V2287" s="385"/>
    </row>
    <row r="2288" spans="2:22" ht="15.75" hidden="1" x14ac:dyDescent="0.2">
      <c r="B2288" s="711">
        <v>46231</v>
      </c>
      <c r="C2288" s="711" t="s">
        <v>18</v>
      </c>
      <c r="D2288" s="711" t="s">
        <v>189</v>
      </c>
      <c r="E2288" s="711">
        <v>46230</v>
      </c>
      <c r="G2288" s="770">
        <v>46232</v>
      </c>
      <c r="H2288" s="60" t="s">
        <v>75</v>
      </c>
      <c r="I2288" s="60" t="s">
        <v>15</v>
      </c>
      <c r="J2288" s="60">
        <f>161+18</f>
        <v>179</v>
      </c>
      <c r="K2288" s="60">
        <v>82</v>
      </c>
      <c r="L2288" s="60">
        <v>33</v>
      </c>
      <c r="M2288" s="60">
        <f>56-18</f>
        <v>38</v>
      </c>
      <c r="N2288" s="312">
        <v>0</v>
      </c>
      <c r="O2288" s="60">
        <v>18</v>
      </c>
      <c r="P2288" s="312">
        <v>8</v>
      </c>
      <c r="Q2288" s="182">
        <f t="shared" si="2849"/>
        <v>0.64245810055865926</v>
      </c>
      <c r="R2288" s="183">
        <f t="shared" si="2838"/>
        <v>0</v>
      </c>
      <c r="S2288" s="183">
        <f t="shared" si="2839"/>
        <v>4.4692737430167599E-2</v>
      </c>
      <c r="T2288" s="183">
        <f t="shared" si="2840"/>
        <v>0.1005586592178771</v>
      </c>
      <c r="U2288" s="184">
        <f t="shared" si="2841"/>
        <v>0.78770949720670391</v>
      </c>
      <c r="V2288" s="385"/>
    </row>
    <row r="2289" spans="2:22" ht="15.75" hidden="1" x14ac:dyDescent="0.2">
      <c r="B2289" s="711">
        <v>46231</v>
      </c>
      <c r="C2289" s="711" t="s">
        <v>18</v>
      </c>
      <c r="D2289" s="711" t="s">
        <v>189</v>
      </c>
      <c r="E2289" s="711">
        <v>46230</v>
      </c>
      <c r="G2289" s="771"/>
      <c r="H2289" s="60" t="s">
        <v>17</v>
      </c>
      <c r="I2289" s="60" t="s">
        <v>106</v>
      </c>
      <c r="J2289" s="60">
        <f>163+19</f>
        <v>182</v>
      </c>
      <c r="K2289" s="60">
        <v>72</v>
      </c>
      <c r="L2289" s="60">
        <v>28</v>
      </c>
      <c r="M2289" s="60">
        <f>76-28</f>
        <v>48</v>
      </c>
      <c r="N2289" s="312">
        <v>2</v>
      </c>
      <c r="O2289" s="60">
        <v>28</v>
      </c>
      <c r="P2289" s="312">
        <v>4</v>
      </c>
      <c r="Q2289" s="182">
        <f t="shared" si="2849"/>
        <v>0.5494505494505495</v>
      </c>
      <c r="R2289" s="183">
        <f t="shared" si="2838"/>
        <v>1.098901098901099E-2</v>
      </c>
      <c r="S2289" s="183">
        <f t="shared" si="2839"/>
        <v>2.197802197802198E-2</v>
      </c>
      <c r="T2289" s="183">
        <f t="shared" si="2840"/>
        <v>0.15384615384615385</v>
      </c>
      <c r="U2289" s="184">
        <f t="shared" si="2841"/>
        <v>0.73626373626373631</v>
      </c>
      <c r="V2289" s="385"/>
    </row>
    <row r="2290" spans="2:22" ht="15.75" hidden="1" x14ac:dyDescent="0.2">
      <c r="B2290" s="711">
        <v>46231</v>
      </c>
      <c r="C2290" s="711" t="s">
        <v>18</v>
      </c>
      <c r="D2290" s="711" t="s">
        <v>189</v>
      </c>
      <c r="E2290" s="711">
        <v>46230</v>
      </c>
      <c r="G2290" s="772"/>
      <c r="H2290" s="60" t="s">
        <v>25</v>
      </c>
      <c r="I2290" s="60" t="s">
        <v>105</v>
      </c>
      <c r="J2290" s="60">
        <v>131</v>
      </c>
      <c r="K2290" s="60">
        <v>5</v>
      </c>
      <c r="L2290" s="60">
        <v>0</v>
      </c>
      <c r="M2290" s="60">
        <v>96</v>
      </c>
      <c r="N2290" s="312">
        <v>4</v>
      </c>
      <c r="O2290" s="60">
        <v>20</v>
      </c>
      <c r="P2290" s="312">
        <v>6</v>
      </c>
      <c r="Q2290" s="182">
        <f t="shared" si="2849"/>
        <v>3.8167938931297711E-2</v>
      </c>
      <c r="R2290" s="183">
        <f t="shared" si="2838"/>
        <v>3.0534351145038167E-2</v>
      </c>
      <c r="S2290" s="183">
        <f t="shared" si="2839"/>
        <v>4.5801526717557252E-2</v>
      </c>
      <c r="T2290" s="183">
        <f t="shared" si="2840"/>
        <v>0.15267175572519084</v>
      </c>
      <c r="U2290" s="184">
        <f t="shared" si="2841"/>
        <v>0.26717557251908397</v>
      </c>
      <c r="V2290" s="385"/>
    </row>
    <row r="2291" spans="2:22" ht="15.75" hidden="1" x14ac:dyDescent="0.2">
      <c r="B2291" s="711">
        <v>46231</v>
      </c>
      <c r="C2291" s="711" t="s">
        <v>18</v>
      </c>
      <c r="D2291" s="711" t="s">
        <v>189</v>
      </c>
      <c r="E2291" s="711">
        <v>46230</v>
      </c>
      <c r="G2291" s="396"/>
      <c r="H2291" s="775" t="s">
        <v>19</v>
      </c>
      <c r="I2291" s="777"/>
      <c r="J2291" s="190">
        <f t="shared" ref="J2291:P2291" si="2850">SUM(J2286:J2290)</f>
        <v>515</v>
      </c>
      <c r="K2291" s="190">
        <f t="shared" si="2850"/>
        <v>175</v>
      </c>
      <c r="L2291" s="190">
        <f t="shared" si="2850"/>
        <v>68</v>
      </c>
      <c r="M2291" s="190">
        <f t="shared" si="2850"/>
        <v>182</v>
      </c>
      <c r="N2291" s="190">
        <f t="shared" si="2850"/>
        <v>6</v>
      </c>
      <c r="O2291" s="190">
        <f t="shared" si="2850"/>
        <v>66</v>
      </c>
      <c r="P2291" s="190">
        <f t="shared" si="2850"/>
        <v>18</v>
      </c>
      <c r="Q2291" s="191">
        <f>(K2291+L2291)/J2291</f>
        <v>0.47184466019417476</v>
      </c>
      <c r="R2291" s="192">
        <f t="shared" si="2838"/>
        <v>1.1650485436893204E-2</v>
      </c>
      <c r="S2291" s="192">
        <f t="shared" si="2839"/>
        <v>3.4951456310679613E-2</v>
      </c>
      <c r="T2291" s="192">
        <f t="shared" si="2840"/>
        <v>0.12815533980582525</v>
      </c>
      <c r="U2291" s="193">
        <f t="shared" si="2841"/>
        <v>0.64660194174757279</v>
      </c>
      <c r="V2291" s="385"/>
    </row>
    <row r="2292" spans="2:22" ht="15.75" hidden="1" x14ac:dyDescent="0.2">
      <c r="B2292" s="711">
        <v>46230</v>
      </c>
      <c r="C2292" s="711" t="s">
        <v>22</v>
      </c>
      <c r="D2292" s="711" t="s">
        <v>13</v>
      </c>
      <c r="E2292" s="711">
        <v>46232</v>
      </c>
      <c r="G2292" s="770">
        <v>46232</v>
      </c>
      <c r="H2292" s="60" t="s">
        <v>75</v>
      </c>
      <c r="I2292" s="60" t="s">
        <v>15</v>
      </c>
      <c r="J2292" s="60">
        <v>241</v>
      </c>
      <c r="K2292" s="60">
        <v>164</v>
      </c>
      <c r="L2292" s="60">
        <v>52</v>
      </c>
      <c r="M2292" s="60">
        <v>0</v>
      </c>
      <c r="N2292" s="312">
        <v>0</v>
      </c>
      <c r="O2292" s="60">
        <v>20</v>
      </c>
      <c r="P2292" s="312">
        <v>5</v>
      </c>
      <c r="Q2292" s="182">
        <f t="shared" ref="Q2292:Q2294" si="2851">(K2292+L2292)/J2292</f>
        <v>0.89626556016597514</v>
      </c>
      <c r="R2292" s="183">
        <f t="shared" si="2838"/>
        <v>0</v>
      </c>
      <c r="S2292" s="183">
        <f t="shared" si="2839"/>
        <v>2.0746887966804978E-2</v>
      </c>
      <c r="T2292" s="183">
        <f t="shared" si="2840"/>
        <v>8.2987551867219914E-2</v>
      </c>
      <c r="U2292" s="184">
        <f t="shared" si="2841"/>
        <v>1</v>
      </c>
      <c r="V2292" s="385"/>
    </row>
    <row r="2293" spans="2:22" ht="15.75" hidden="1" x14ac:dyDescent="0.2">
      <c r="B2293" s="711">
        <v>46230</v>
      </c>
      <c r="C2293" s="711" t="s">
        <v>22</v>
      </c>
      <c r="D2293" s="711" t="s">
        <v>13</v>
      </c>
      <c r="E2293" s="711">
        <v>46232</v>
      </c>
      <c r="G2293" s="771"/>
      <c r="H2293" s="60" t="s">
        <v>17</v>
      </c>
      <c r="I2293" s="60" t="s">
        <v>106</v>
      </c>
      <c r="J2293" s="60">
        <v>182</v>
      </c>
      <c r="K2293" s="60">
        <v>109</v>
      </c>
      <c r="L2293" s="60">
        <v>40</v>
      </c>
      <c r="M2293" s="60">
        <v>0</v>
      </c>
      <c r="N2293" s="312">
        <v>0</v>
      </c>
      <c r="O2293" s="60">
        <v>30</v>
      </c>
      <c r="P2293" s="312">
        <v>3</v>
      </c>
      <c r="Q2293" s="182">
        <f t="shared" si="2851"/>
        <v>0.81868131868131866</v>
      </c>
      <c r="R2293" s="183">
        <f t="shared" si="2838"/>
        <v>0</v>
      </c>
      <c r="S2293" s="183">
        <f t="shared" si="2839"/>
        <v>1.6483516483516484E-2</v>
      </c>
      <c r="T2293" s="183">
        <f t="shared" si="2840"/>
        <v>0.16483516483516483</v>
      </c>
      <c r="U2293" s="184">
        <f t="shared" si="2841"/>
        <v>1</v>
      </c>
      <c r="V2293" s="385"/>
    </row>
    <row r="2294" spans="2:22" ht="15.75" hidden="1" x14ac:dyDescent="0.2">
      <c r="B2294" s="711">
        <v>46230</v>
      </c>
      <c r="C2294" s="711" t="s">
        <v>22</v>
      </c>
      <c r="D2294" s="711" t="s">
        <v>13</v>
      </c>
      <c r="E2294" s="711">
        <v>46232</v>
      </c>
      <c r="G2294" s="772"/>
      <c r="H2294" s="60" t="s">
        <v>14</v>
      </c>
      <c r="I2294" s="60" t="s">
        <v>18</v>
      </c>
      <c r="J2294" s="60">
        <v>156</v>
      </c>
      <c r="K2294" s="60">
        <v>106</v>
      </c>
      <c r="L2294" s="60">
        <v>14</v>
      </c>
      <c r="M2294" s="60">
        <v>11</v>
      </c>
      <c r="N2294" s="312">
        <v>0</v>
      </c>
      <c r="O2294" s="60">
        <v>20</v>
      </c>
      <c r="P2294" s="312">
        <v>5</v>
      </c>
      <c r="Q2294" s="182">
        <f t="shared" si="2851"/>
        <v>0.76923076923076927</v>
      </c>
      <c r="R2294" s="183">
        <f t="shared" si="2838"/>
        <v>0</v>
      </c>
      <c r="S2294" s="183">
        <f t="shared" si="2839"/>
        <v>3.2051282051282048E-2</v>
      </c>
      <c r="T2294" s="183">
        <f t="shared" si="2840"/>
        <v>0.12820512820512819</v>
      </c>
      <c r="U2294" s="184">
        <f t="shared" si="2841"/>
        <v>0.92948717948717952</v>
      </c>
      <c r="V2294" s="385"/>
    </row>
    <row r="2295" spans="2:22" ht="15.75" hidden="1" x14ac:dyDescent="0.2">
      <c r="B2295" s="711">
        <v>46230</v>
      </c>
      <c r="C2295" s="711" t="s">
        <v>22</v>
      </c>
      <c r="D2295" s="711" t="s">
        <v>13</v>
      </c>
      <c r="E2295" s="711">
        <v>46232</v>
      </c>
      <c r="G2295" s="396"/>
      <c r="H2295" s="775" t="s">
        <v>19</v>
      </c>
      <c r="I2295" s="777"/>
      <c r="J2295" s="190">
        <f t="shared" ref="J2295:P2295" si="2852">SUM(J2290:J2294)</f>
        <v>1225</v>
      </c>
      <c r="K2295" s="190">
        <f t="shared" si="2852"/>
        <v>559</v>
      </c>
      <c r="L2295" s="190">
        <f t="shared" si="2852"/>
        <v>174</v>
      </c>
      <c r="M2295" s="190">
        <f t="shared" si="2852"/>
        <v>289</v>
      </c>
      <c r="N2295" s="190">
        <f t="shared" si="2852"/>
        <v>10</v>
      </c>
      <c r="O2295" s="190">
        <f t="shared" si="2852"/>
        <v>156</v>
      </c>
      <c r="P2295" s="190">
        <f t="shared" si="2852"/>
        <v>37</v>
      </c>
      <c r="Q2295" s="191">
        <f>(K2295+L2295)/J2295</f>
        <v>0.59836734693877547</v>
      </c>
      <c r="R2295" s="192">
        <f t="shared" si="2838"/>
        <v>8.1632653061224497E-3</v>
      </c>
      <c r="S2295" s="192">
        <f t="shared" si="2839"/>
        <v>3.0204081632653063E-2</v>
      </c>
      <c r="T2295" s="192">
        <f t="shared" si="2840"/>
        <v>0.1273469387755102</v>
      </c>
      <c r="U2295" s="193">
        <f t="shared" si="2841"/>
        <v>0.76408163265306117</v>
      </c>
      <c r="V2295" s="385"/>
    </row>
    <row r="2296" spans="2:22" ht="15.75" hidden="1" x14ac:dyDescent="0.2">
      <c r="B2296" s="711">
        <v>46230</v>
      </c>
      <c r="C2296" s="711" t="s">
        <v>22</v>
      </c>
      <c r="D2296" s="711" t="s">
        <v>13</v>
      </c>
      <c r="E2296" s="711">
        <v>46232</v>
      </c>
      <c r="G2296" s="770">
        <v>46233</v>
      </c>
      <c r="H2296" s="60" t="s">
        <v>75</v>
      </c>
      <c r="I2296" s="60" t="s">
        <v>15</v>
      </c>
      <c r="J2296" s="60">
        <v>244</v>
      </c>
      <c r="K2296" s="60">
        <v>14</v>
      </c>
      <c r="L2296" s="60">
        <v>10</v>
      </c>
      <c r="M2296" s="60">
        <v>177</v>
      </c>
      <c r="N2296" s="312">
        <v>18</v>
      </c>
      <c r="O2296" s="60">
        <v>20</v>
      </c>
      <c r="P2296" s="312">
        <v>5</v>
      </c>
      <c r="Q2296" s="182">
        <f t="shared" ref="Q2296:Q2298" si="2853">(K2296+L2296)/J2296</f>
        <v>9.8360655737704916E-2</v>
      </c>
      <c r="R2296" s="183">
        <f t="shared" ref="R2296:R2303" si="2854">N2296/J2296</f>
        <v>7.3770491803278687E-2</v>
      </c>
      <c r="S2296" s="183">
        <f t="shared" ref="S2296:S2303" si="2855">P2296/J2296</f>
        <v>2.0491803278688523E-2</v>
      </c>
      <c r="T2296" s="183">
        <f t="shared" ref="T2296:T2303" si="2856">O2296/J2296</f>
        <v>8.1967213114754092E-2</v>
      </c>
      <c r="U2296" s="184">
        <f t="shared" ref="U2296:U2303" si="2857">S2296+R2296+Q2296+T2296</f>
        <v>0.2745901639344262</v>
      </c>
      <c r="V2296" s="385"/>
    </row>
    <row r="2297" spans="2:22" ht="15.75" hidden="1" x14ac:dyDescent="0.2">
      <c r="B2297" s="711">
        <v>46230</v>
      </c>
      <c r="C2297" s="711" t="s">
        <v>22</v>
      </c>
      <c r="D2297" s="711" t="s">
        <v>13</v>
      </c>
      <c r="E2297" s="711">
        <v>46232</v>
      </c>
      <c r="G2297" s="771"/>
      <c r="H2297" s="60" t="s">
        <v>17</v>
      </c>
      <c r="I2297" s="60" t="s">
        <v>106</v>
      </c>
      <c r="J2297" s="60">
        <v>211</v>
      </c>
      <c r="K2297" s="60">
        <v>0</v>
      </c>
      <c r="L2297" s="60">
        <v>181</v>
      </c>
      <c r="M2297" s="60">
        <v>0</v>
      </c>
      <c r="N2297" s="312">
        <v>0</v>
      </c>
      <c r="O2297" s="60">
        <v>30</v>
      </c>
      <c r="P2297" s="312">
        <v>0</v>
      </c>
      <c r="Q2297" s="182">
        <f t="shared" si="2853"/>
        <v>0.85781990521327012</v>
      </c>
      <c r="R2297" s="183">
        <f t="shared" si="2854"/>
        <v>0</v>
      </c>
      <c r="S2297" s="183">
        <f t="shared" si="2855"/>
        <v>0</v>
      </c>
      <c r="T2297" s="183">
        <f t="shared" si="2856"/>
        <v>0.14218009478672985</v>
      </c>
      <c r="U2297" s="184">
        <f t="shared" si="2857"/>
        <v>1</v>
      </c>
      <c r="V2297" s="385"/>
    </row>
    <row r="2298" spans="2:22" ht="15.75" hidden="1" x14ac:dyDescent="0.2">
      <c r="B2298" s="711">
        <v>46230</v>
      </c>
      <c r="C2298" s="711" t="s">
        <v>22</v>
      </c>
      <c r="D2298" s="711" t="s">
        <v>13</v>
      </c>
      <c r="E2298" s="711">
        <v>46232</v>
      </c>
      <c r="G2298" s="772"/>
      <c r="H2298" s="60" t="s">
        <v>14</v>
      </c>
      <c r="I2298" s="60" t="s">
        <v>18</v>
      </c>
      <c r="J2298" s="60">
        <v>165</v>
      </c>
      <c r="K2298" s="60">
        <v>0</v>
      </c>
      <c r="L2298" s="60">
        <v>0</v>
      </c>
      <c r="M2298" s="60">
        <v>155</v>
      </c>
      <c r="N2298" s="312">
        <v>0</v>
      </c>
      <c r="O2298" s="60">
        <v>10</v>
      </c>
      <c r="P2298" s="312">
        <v>0</v>
      </c>
      <c r="Q2298" s="182">
        <f t="shared" si="2853"/>
        <v>0</v>
      </c>
      <c r="R2298" s="183">
        <f t="shared" si="2854"/>
        <v>0</v>
      </c>
      <c r="S2298" s="183">
        <f t="shared" si="2855"/>
        <v>0</v>
      </c>
      <c r="T2298" s="183">
        <f t="shared" si="2856"/>
        <v>6.0606060606060608E-2</v>
      </c>
      <c r="U2298" s="184">
        <f t="shared" si="2857"/>
        <v>6.0606060606060608E-2</v>
      </c>
      <c r="V2298" s="385"/>
    </row>
    <row r="2299" spans="2:22" ht="15.75" hidden="1" x14ac:dyDescent="0.2">
      <c r="B2299" s="711">
        <v>46230</v>
      </c>
      <c r="C2299" s="711" t="s">
        <v>22</v>
      </c>
      <c r="D2299" s="711" t="s">
        <v>13</v>
      </c>
      <c r="E2299" s="711">
        <v>46232</v>
      </c>
      <c r="G2299" s="396"/>
      <c r="H2299" s="775" t="s">
        <v>19</v>
      </c>
      <c r="I2299" s="777"/>
      <c r="J2299" s="190">
        <f t="shared" ref="J2299:P2299" si="2858">SUM(J2294:J2298)</f>
        <v>2001</v>
      </c>
      <c r="K2299" s="190">
        <f t="shared" si="2858"/>
        <v>679</v>
      </c>
      <c r="L2299" s="190">
        <f t="shared" si="2858"/>
        <v>379</v>
      </c>
      <c r="M2299" s="190">
        <f t="shared" si="2858"/>
        <v>632</v>
      </c>
      <c r="N2299" s="190">
        <f t="shared" si="2858"/>
        <v>28</v>
      </c>
      <c r="O2299" s="190">
        <f t="shared" si="2858"/>
        <v>236</v>
      </c>
      <c r="P2299" s="190">
        <f t="shared" si="2858"/>
        <v>47</v>
      </c>
      <c r="Q2299" s="191">
        <f>(K2299+L2299)/J2299</f>
        <v>0.52873563218390807</v>
      </c>
      <c r="R2299" s="192">
        <f t="shared" si="2854"/>
        <v>1.3993003498250875E-2</v>
      </c>
      <c r="S2299" s="192">
        <f t="shared" si="2855"/>
        <v>2.3488255872063969E-2</v>
      </c>
      <c r="T2299" s="192">
        <f t="shared" si="2856"/>
        <v>0.11794102948525736</v>
      </c>
      <c r="U2299" s="193">
        <f t="shared" si="2857"/>
        <v>0.68415792103948037</v>
      </c>
      <c r="V2299" s="385"/>
    </row>
    <row r="2300" spans="2:22" ht="15.75" hidden="1" x14ac:dyDescent="0.2">
      <c r="B2300" s="711">
        <v>46232</v>
      </c>
      <c r="C2300" s="711" t="s">
        <v>106</v>
      </c>
      <c r="D2300" s="711" t="s">
        <v>13</v>
      </c>
      <c r="E2300" s="711">
        <v>46232</v>
      </c>
      <c r="G2300" s="770">
        <v>46232</v>
      </c>
      <c r="H2300" s="60" t="s">
        <v>75</v>
      </c>
      <c r="I2300" s="60" t="s">
        <v>15</v>
      </c>
      <c r="J2300" s="60">
        <v>241</v>
      </c>
      <c r="K2300" s="60">
        <v>164</v>
      </c>
      <c r="L2300" s="60">
        <v>52</v>
      </c>
      <c r="M2300" s="60">
        <v>0</v>
      </c>
      <c r="N2300" s="312">
        <v>0</v>
      </c>
      <c r="O2300" s="60">
        <v>20</v>
      </c>
      <c r="P2300" s="312">
        <v>5</v>
      </c>
      <c r="Q2300" s="182">
        <f t="shared" ref="Q2300:Q2302" si="2859">(K2300+L2300)/J2300</f>
        <v>0.89626556016597514</v>
      </c>
      <c r="R2300" s="183">
        <f t="shared" si="2854"/>
        <v>0</v>
      </c>
      <c r="S2300" s="183">
        <f t="shared" si="2855"/>
        <v>2.0746887966804978E-2</v>
      </c>
      <c r="T2300" s="183">
        <f t="shared" si="2856"/>
        <v>8.2987551867219914E-2</v>
      </c>
      <c r="U2300" s="184">
        <f t="shared" si="2857"/>
        <v>1</v>
      </c>
      <c r="V2300" s="385"/>
    </row>
    <row r="2301" spans="2:22" ht="15.75" hidden="1" x14ac:dyDescent="0.2">
      <c r="B2301" s="711">
        <v>46232</v>
      </c>
      <c r="C2301" s="711" t="s">
        <v>106</v>
      </c>
      <c r="D2301" s="711" t="s">
        <v>13</v>
      </c>
      <c r="E2301" s="711">
        <v>46232</v>
      </c>
      <c r="G2301" s="771"/>
      <c r="H2301" s="60" t="s">
        <v>17</v>
      </c>
      <c r="I2301" s="60" t="s">
        <v>106</v>
      </c>
      <c r="J2301" s="60">
        <v>182</v>
      </c>
      <c r="K2301" s="60">
        <v>109</v>
      </c>
      <c r="L2301" s="60">
        <v>40</v>
      </c>
      <c r="M2301" s="60">
        <v>0</v>
      </c>
      <c r="N2301" s="312">
        <v>0</v>
      </c>
      <c r="O2301" s="60">
        <v>30</v>
      </c>
      <c r="P2301" s="312">
        <v>3</v>
      </c>
      <c r="Q2301" s="182">
        <f t="shared" si="2859"/>
        <v>0.81868131868131866</v>
      </c>
      <c r="R2301" s="183">
        <f t="shared" si="2854"/>
        <v>0</v>
      </c>
      <c r="S2301" s="183">
        <f t="shared" si="2855"/>
        <v>1.6483516483516484E-2</v>
      </c>
      <c r="T2301" s="183">
        <f t="shared" si="2856"/>
        <v>0.16483516483516483</v>
      </c>
      <c r="U2301" s="184">
        <f t="shared" si="2857"/>
        <v>1</v>
      </c>
      <c r="V2301" s="385"/>
    </row>
    <row r="2302" spans="2:22" ht="15.75" hidden="1" x14ac:dyDescent="0.2">
      <c r="B2302" s="711">
        <v>46232</v>
      </c>
      <c r="C2302" s="711" t="s">
        <v>106</v>
      </c>
      <c r="D2302" s="711" t="s">
        <v>13</v>
      </c>
      <c r="E2302" s="711">
        <v>46232</v>
      </c>
      <c r="G2302" s="772"/>
      <c r="H2302" s="60" t="s">
        <v>14</v>
      </c>
      <c r="I2302" s="60" t="s">
        <v>18</v>
      </c>
      <c r="J2302" s="60">
        <v>156</v>
      </c>
      <c r="K2302" s="60">
        <v>106</v>
      </c>
      <c r="L2302" s="60">
        <v>14</v>
      </c>
      <c r="M2302" s="60">
        <v>8</v>
      </c>
      <c r="N2302" s="312">
        <v>0</v>
      </c>
      <c r="O2302" s="60">
        <v>20</v>
      </c>
      <c r="P2302" s="312">
        <v>5</v>
      </c>
      <c r="Q2302" s="182">
        <f t="shared" si="2859"/>
        <v>0.76923076923076927</v>
      </c>
      <c r="R2302" s="183">
        <f t="shared" si="2854"/>
        <v>0</v>
      </c>
      <c r="S2302" s="183">
        <f t="shared" si="2855"/>
        <v>3.2051282051282048E-2</v>
      </c>
      <c r="T2302" s="183">
        <f t="shared" si="2856"/>
        <v>0.12820512820512819</v>
      </c>
      <c r="U2302" s="184">
        <f t="shared" si="2857"/>
        <v>0.92948717948717952</v>
      </c>
      <c r="V2302" s="385"/>
    </row>
    <row r="2303" spans="2:22" ht="15.75" hidden="1" x14ac:dyDescent="0.2">
      <c r="B2303" s="711">
        <v>46232</v>
      </c>
      <c r="C2303" s="711" t="s">
        <v>106</v>
      </c>
      <c r="D2303" s="711" t="s">
        <v>13</v>
      </c>
      <c r="E2303" s="711">
        <v>46232</v>
      </c>
      <c r="G2303" s="396"/>
      <c r="H2303" s="775" t="s">
        <v>19</v>
      </c>
      <c r="I2303" s="777"/>
      <c r="J2303" s="190">
        <f t="shared" ref="J2303:P2303" si="2860">SUM(J2298:J2302)</f>
        <v>2745</v>
      </c>
      <c r="K2303" s="190">
        <f t="shared" si="2860"/>
        <v>1058</v>
      </c>
      <c r="L2303" s="190">
        <f t="shared" si="2860"/>
        <v>485</v>
      </c>
      <c r="M2303" s="190">
        <f t="shared" si="2860"/>
        <v>795</v>
      </c>
      <c r="N2303" s="190">
        <f t="shared" si="2860"/>
        <v>28</v>
      </c>
      <c r="O2303" s="190">
        <f t="shared" si="2860"/>
        <v>316</v>
      </c>
      <c r="P2303" s="190">
        <f t="shared" si="2860"/>
        <v>60</v>
      </c>
      <c r="Q2303" s="191">
        <f>(K2303+L2303)/J2303</f>
        <v>0.56211293260473594</v>
      </c>
      <c r="R2303" s="192">
        <f t="shared" si="2854"/>
        <v>1.0200364298724954E-2</v>
      </c>
      <c r="S2303" s="192">
        <f t="shared" si="2855"/>
        <v>2.185792349726776E-2</v>
      </c>
      <c r="T2303" s="192">
        <f t="shared" si="2856"/>
        <v>0.1151183970856102</v>
      </c>
      <c r="U2303" s="193">
        <f t="shared" si="2857"/>
        <v>0.7092896174863389</v>
      </c>
      <c r="V2303" s="385"/>
    </row>
    <row r="2304" spans="2:22" ht="15.75" hidden="1" x14ac:dyDescent="0.2">
      <c r="B2304" s="711">
        <v>46232</v>
      </c>
      <c r="C2304" s="711" t="s">
        <v>106</v>
      </c>
      <c r="D2304" s="711" t="s">
        <v>13</v>
      </c>
      <c r="E2304" s="711">
        <v>46232</v>
      </c>
      <c r="G2304" s="770">
        <v>46233</v>
      </c>
      <c r="H2304" s="60" t="s">
        <v>75</v>
      </c>
      <c r="I2304" s="60" t="s">
        <v>15</v>
      </c>
      <c r="J2304" s="60">
        <v>244</v>
      </c>
      <c r="K2304" s="60">
        <f>244-18-152-20</f>
        <v>54</v>
      </c>
      <c r="L2304" s="60">
        <v>18</v>
      </c>
      <c r="M2304" s="60">
        <v>152</v>
      </c>
      <c r="N2304" s="312">
        <v>1</v>
      </c>
      <c r="O2304" s="60">
        <v>20</v>
      </c>
      <c r="P2304" s="312">
        <v>5</v>
      </c>
      <c r="Q2304" s="182">
        <f t="shared" ref="Q2304:Q2306" si="2861">(K2304+L2304)/J2304</f>
        <v>0.29508196721311475</v>
      </c>
      <c r="R2304" s="183">
        <f t="shared" ref="R2304:R2311" si="2862">N2304/J2304</f>
        <v>4.0983606557377051E-3</v>
      </c>
      <c r="S2304" s="183">
        <f t="shared" ref="S2304:S2311" si="2863">P2304/J2304</f>
        <v>2.0491803278688523E-2</v>
      </c>
      <c r="T2304" s="183">
        <f t="shared" ref="T2304:T2311" si="2864">O2304/J2304</f>
        <v>8.1967213114754092E-2</v>
      </c>
      <c r="U2304" s="184">
        <f t="shared" ref="U2304:U2311" si="2865">S2304+R2304+Q2304+T2304</f>
        <v>0.40163934426229508</v>
      </c>
      <c r="V2304" s="385"/>
    </row>
    <row r="2305" spans="2:22" ht="15.75" hidden="1" x14ac:dyDescent="0.2">
      <c r="B2305" s="711">
        <v>46232</v>
      </c>
      <c r="C2305" s="711" t="s">
        <v>106</v>
      </c>
      <c r="D2305" s="711" t="s">
        <v>13</v>
      </c>
      <c r="E2305" s="711">
        <v>46232</v>
      </c>
      <c r="G2305" s="771"/>
      <c r="H2305" s="60" t="s">
        <v>17</v>
      </c>
      <c r="I2305" s="60" t="s">
        <v>106</v>
      </c>
      <c r="J2305" s="60">
        <v>211</v>
      </c>
      <c r="K2305" s="60">
        <v>0</v>
      </c>
      <c r="L2305" s="60">
        <v>181</v>
      </c>
      <c r="M2305" s="60">
        <v>0</v>
      </c>
      <c r="N2305" s="312">
        <v>0</v>
      </c>
      <c r="O2305" s="60">
        <v>30</v>
      </c>
      <c r="P2305" s="312">
        <v>0</v>
      </c>
      <c r="Q2305" s="182">
        <f t="shared" si="2861"/>
        <v>0.85781990521327012</v>
      </c>
      <c r="R2305" s="183">
        <f t="shared" si="2862"/>
        <v>0</v>
      </c>
      <c r="S2305" s="183">
        <f t="shared" si="2863"/>
        <v>0</v>
      </c>
      <c r="T2305" s="183">
        <f t="shared" si="2864"/>
        <v>0.14218009478672985</v>
      </c>
      <c r="U2305" s="184">
        <f t="shared" si="2865"/>
        <v>1</v>
      </c>
      <c r="V2305" s="385"/>
    </row>
    <row r="2306" spans="2:22" ht="15.75" hidden="1" x14ac:dyDescent="0.2">
      <c r="B2306" s="711">
        <v>46232</v>
      </c>
      <c r="C2306" s="711" t="s">
        <v>106</v>
      </c>
      <c r="D2306" s="711" t="s">
        <v>13</v>
      </c>
      <c r="E2306" s="711">
        <v>46232</v>
      </c>
      <c r="G2306" s="772"/>
      <c r="H2306" s="60" t="s">
        <v>14</v>
      </c>
      <c r="I2306" s="60" t="s">
        <v>18</v>
      </c>
      <c r="J2306" s="60">
        <v>165</v>
      </c>
      <c r="K2306" s="60">
        <v>0</v>
      </c>
      <c r="L2306" s="60">
        <v>0</v>
      </c>
      <c r="M2306" s="60">
        <v>155</v>
      </c>
      <c r="N2306" s="312">
        <v>0</v>
      </c>
      <c r="O2306" s="60">
        <v>10</v>
      </c>
      <c r="P2306" s="312">
        <v>0</v>
      </c>
      <c r="Q2306" s="182">
        <f t="shared" si="2861"/>
        <v>0</v>
      </c>
      <c r="R2306" s="183">
        <f t="shared" si="2862"/>
        <v>0</v>
      </c>
      <c r="S2306" s="183">
        <f t="shared" si="2863"/>
        <v>0</v>
      </c>
      <c r="T2306" s="183">
        <f t="shared" si="2864"/>
        <v>6.0606060606060608E-2</v>
      </c>
      <c r="U2306" s="184">
        <f t="shared" si="2865"/>
        <v>6.0606060606060608E-2</v>
      </c>
      <c r="V2306" s="385"/>
    </row>
    <row r="2307" spans="2:22" ht="15.75" hidden="1" x14ac:dyDescent="0.2">
      <c r="B2307" s="711">
        <v>46232</v>
      </c>
      <c r="C2307" s="711" t="s">
        <v>106</v>
      </c>
      <c r="D2307" s="711" t="s">
        <v>13</v>
      </c>
      <c r="E2307" s="711">
        <v>46232</v>
      </c>
      <c r="G2307" s="396"/>
      <c r="H2307" s="775" t="s">
        <v>19</v>
      </c>
      <c r="I2307" s="777"/>
      <c r="J2307" s="190">
        <f t="shared" ref="J2307:P2307" si="2866">SUM(J2302:J2306)</f>
        <v>3521</v>
      </c>
      <c r="K2307" s="190">
        <f t="shared" si="2866"/>
        <v>1218</v>
      </c>
      <c r="L2307" s="190">
        <f t="shared" si="2866"/>
        <v>698</v>
      </c>
      <c r="M2307" s="190">
        <f t="shared" si="2866"/>
        <v>1110</v>
      </c>
      <c r="N2307" s="190">
        <f t="shared" si="2866"/>
        <v>29</v>
      </c>
      <c r="O2307" s="190">
        <f t="shared" si="2866"/>
        <v>396</v>
      </c>
      <c r="P2307" s="190">
        <f t="shared" si="2866"/>
        <v>70</v>
      </c>
      <c r="Q2307" s="191">
        <f>(K2307+L2307)/J2307</f>
        <v>0.54416358988923597</v>
      </c>
      <c r="R2307" s="192">
        <f t="shared" si="2862"/>
        <v>8.2362965066742396E-3</v>
      </c>
      <c r="S2307" s="192">
        <f t="shared" si="2863"/>
        <v>1.9880715705765408E-2</v>
      </c>
      <c r="T2307" s="192">
        <f t="shared" si="2864"/>
        <v>0.1124680488497586</v>
      </c>
      <c r="U2307" s="193">
        <f t="shared" si="2865"/>
        <v>0.68474865095143422</v>
      </c>
      <c r="V2307" s="385"/>
    </row>
    <row r="2308" spans="2:22" ht="15.75" hidden="1" x14ac:dyDescent="0.2">
      <c r="B2308" s="711">
        <v>46232</v>
      </c>
      <c r="C2308" s="711" t="s">
        <v>12</v>
      </c>
      <c r="D2308" s="711" t="s">
        <v>163</v>
      </c>
      <c r="E2308" s="711">
        <v>46232</v>
      </c>
      <c r="G2308" s="770">
        <v>46232</v>
      </c>
      <c r="H2308" s="60" t="s">
        <v>75</v>
      </c>
      <c r="I2308" s="60" t="s">
        <v>15</v>
      </c>
      <c r="J2308" s="60">
        <v>241</v>
      </c>
      <c r="K2308" s="60">
        <v>164</v>
      </c>
      <c r="L2308" s="60">
        <v>52</v>
      </c>
      <c r="M2308" s="60">
        <v>0</v>
      </c>
      <c r="N2308" s="312">
        <v>0</v>
      </c>
      <c r="O2308" s="60">
        <v>20</v>
      </c>
      <c r="P2308" s="312">
        <v>5</v>
      </c>
      <c r="Q2308" s="182">
        <f t="shared" ref="Q2308:Q2310" si="2867">(K2308+L2308)/J2308</f>
        <v>0.89626556016597514</v>
      </c>
      <c r="R2308" s="183">
        <f t="shared" si="2862"/>
        <v>0</v>
      </c>
      <c r="S2308" s="183">
        <f t="shared" si="2863"/>
        <v>2.0746887966804978E-2</v>
      </c>
      <c r="T2308" s="183">
        <f t="shared" si="2864"/>
        <v>8.2987551867219914E-2</v>
      </c>
      <c r="U2308" s="184">
        <f t="shared" si="2865"/>
        <v>1</v>
      </c>
      <c r="V2308" s="385"/>
    </row>
    <row r="2309" spans="2:22" ht="15.75" hidden="1" x14ac:dyDescent="0.2">
      <c r="B2309" s="711">
        <v>46232</v>
      </c>
      <c r="C2309" s="711" t="s">
        <v>12</v>
      </c>
      <c r="D2309" s="711" t="s">
        <v>163</v>
      </c>
      <c r="E2309" s="711">
        <v>46232</v>
      </c>
      <c r="G2309" s="771"/>
      <c r="H2309" s="60" t="s">
        <v>17</v>
      </c>
      <c r="I2309" s="60" t="s">
        <v>106</v>
      </c>
      <c r="J2309" s="60">
        <v>182</v>
      </c>
      <c r="K2309" s="60">
        <v>109</v>
      </c>
      <c r="L2309" s="60">
        <v>40</v>
      </c>
      <c r="M2309" s="60">
        <v>0</v>
      </c>
      <c r="N2309" s="312">
        <v>0</v>
      </c>
      <c r="O2309" s="60">
        <v>30</v>
      </c>
      <c r="P2309" s="312">
        <v>3</v>
      </c>
      <c r="Q2309" s="182">
        <f t="shared" si="2867"/>
        <v>0.81868131868131866</v>
      </c>
      <c r="R2309" s="183">
        <f t="shared" si="2862"/>
        <v>0</v>
      </c>
      <c r="S2309" s="183">
        <f t="shared" si="2863"/>
        <v>1.6483516483516484E-2</v>
      </c>
      <c r="T2309" s="183">
        <f t="shared" si="2864"/>
        <v>0.16483516483516483</v>
      </c>
      <c r="U2309" s="184">
        <f t="shared" si="2865"/>
        <v>1</v>
      </c>
      <c r="V2309" s="385"/>
    </row>
    <row r="2310" spans="2:22" ht="15.75" hidden="1" x14ac:dyDescent="0.2">
      <c r="B2310" s="711">
        <v>46232</v>
      </c>
      <c r="C2310" s="711" t="s">
        <v>12</v>
      </c>
      <c r="D2310" s="711" t="s">
        <v>163</v>
      </c>
      <c r="E2310" s="711">
        <v>46232</v>
      </c>
      <c r="G2310" s="772"/>
      <c r="H2310" s="60" t="s">
        <v>14</v>
      </c>
      <c r="I2310" s="60" t="s">
        <v>18</v>
      </c>
      <c r="J2310" s="60">
        <v>156</v>
      </c>
      <c r="K2310" s="60">
        <f>156-14-20-5</f>
        <v>117</v>
      </c>
      <c r="L2310" s="60">
        <v>14</v>
      </c>
      <c r="M2310" s="60">
        <v>0</v>
      </c>
      <c r="N2310" s="312">
        <v>0</v>
      </c>
      <c r="O2310" s="60">
        <v>20</v>
      </c>
      <c r="P2310" s="312">
        <v>5</v>
      </c>
      <c r="Q2310" s="182">
        <f t="shared" si="2867"/>
        <v>0.83974358974358976</v>
      </c>
      <c r="R2310" s="183">
        <f t="shared" si="2862"/>
        <v>0</v>
      </c>
      <c r="S2310" s="183">
        <f t="shared" si="2863"/>
        <v>3.2051282051282048E-2</v>
      </c>
      <c r="T2310" s="183">
        <f t="shared" si="2864"/>
        <v>0.12820512820512819</v>
      </c>
      <c r="U2310" s="184">
        <f t="shared" si="2865"/>
        <v>1</v>
      </c>
      <c r="V2310" s="385"/>
    </row>
    <row r="2311" spans="2:22" ht="15.75" hidden="1" x14ac:dyDescent="0.2">
      <c r="B2311" s="711">
        <v>46232</v>
      </c>
      <c r="C2311" s="711" t="s">
        <v>12</v>
      </c>
      <c r="D2311" s="711" t="s">
        <v>163</v>
      </c>
      <c r="E2311" s="711">
        <v>46232</v>
      </c>
      <c r="G2311" s="396"/>
      <c r="H2311" s="775" t="s">
        <v>19</v>
      </c>
      <c r="I2311" s="777"/>
      <c r="J2311" s="190">
        <f>SUM(J2308:J2310)</f>
        <v>579</v>
      </c>
      <c r="K2311" s="190">
        <f t="shared" ref="K2311:L2311" si="2868">SUM(K2308:K2310)</f>
        <v>390</v>
      </c>
      <c r="L2311" s="190">
        <f t="shared" si="2868"/>
        <v>106</v>
      </c>
      <c r="M2311" s="190">
        <f t="shared" ref="M2311" si="2869">SUM(M2308:M2310)</f>
        <v>0</v>
      </c>
      <c r="N2311" s="190">
        <f t="shared" ref="N2311" si="2870">SUM(N2308:N2310)</f>
        <v>0</v>
      </c>
      <c r="O2311" s="190">
        <f t="shared" ref="O2311" si="2871">SUM(O2308:O2310)</f>
        <v>70</v>
      </c>
      <c r="P2311" s="190">
        <f t="shared" ref="P2311" si="2872">SUM(P2308:P2310)</f>
        <v>13</v>
      </c>
      <c r="Q2311" s="191">
        <f>(K2311+L2311)/J2311</f>
        <v>0.85664939550949915</v>
      </c>
      <c r="R2311" s="192">
        <f t="shared" si="2862"/>
        <v>0</v>
      </c>
      <c r="S2311" s="192">
        <f t="shared" si="2863"/>
        <v>2.2452504317789293E-2</v>
      </c>
      <c r="T2311" s="192">
        <f t="shared" si="2864"/>
        <v>0.12089810017271158</v>
      </c>
      <c r="U2311" s="193">
        <f t="shared" si="2865"/>
        <v>1</v>
      </c>
      <c r="V2311" s="385"/>
    </row>
    <row r="2312" spans="2:22" ht="15.75" hidden="1" x14ac:dyDescent="0.2">
      <c r="B2312" s="711">
        <v>46232</v>
      </c>
      <c r="C2312" s="711" t="s">
        <v>12</v>
      </c>
      <c r="D2312" s="711" t="s">
        <v>163</v>
      </c>
      <c r="E2312" s="711">
        <v>46232</v>
      </c>
      <c r="G2312" s="770">
        <v>46233</v>
      </c>
      <c r="H2312" s="60" t="s">
        <v>75</v>
      </c>
      <c r="I2312" s="60" t="s">
        <v>15</v>
      </c>
      <c r="J2312" s="60">
        <v>244</v>
      </c>
      <c r="K2312" s="60">
        <v>90</v>
      </c>
      <c r="L2312" s="60">
        <v>55</v>
      </c>
      <c r="M2312" s="60">
        <v>79</v>
      </c>
      <c r="N2312" s="312">
        <v>1</v>
      </c>
      <c r="O2312" s="60">
        <v>20</v>
      </c>
      <c r="P2312" s="312">
        <v>5</v>
      </c>
      <c r="Q2312" s="182">
        <f t="shared" ref="Q2312:Q2314" si="2873">(K2312+L2312)/J2312</f>
        <v>0.59426229508196726</v>
      </c>
      <c r="R2312" s="183">
        <f t="shared" ref="R2312:R2321" si="2874">N2312/J2312</f>
        <v>4.0983606557377051E-3</v>
      </c>
      <c r="S2312" s="183">
        <f t="shared" ref="S2312:S2321" si="2875">P2312/J2312</f>
        <v>2.0491803278688523E-2</v>
      </c>
      <c r="T2312" s="183">
        <f t="shared" ref="T2312:T2321" si="2876">O2312/J2312</f>
        <v>8.1967213114754092E-2</v>
      </c>
      <c r="U2312" s="184">
        <f t="shared" ref="U2312:U2321" si="2877">S2312+R2312+Q2312+T2312</f>
        <v>0.7008196721311476</v>
      </c>
      <c r="V2312" s="385"/>
    </row>
    <row r="2313" spans="2:22" ht="15.75" hidden="1" x14ac:dyDescent="0.2">
      <c r="B2313" s="711">
        <v>46232</v>
      </c>
      <c r="C2313" s="711" t="s">
        <v>12</v>
      </c>
      <c r="D2313" s="711" t="s">
        <v>163</v>
      </c>
      <c r="E2313" s="711">
        <v>46232</v>
      </c>
      <c r="G2313" s="771"/>
      <c r="H2313" s="60" t="s">
        <v>17</v>
      </c>
      <c r="I2313" s="60" t="s">
        <v>106</v>
      </c>
      <c r="J2313" s="60">
        <v>211</v>
      </c>
      <c r="K2313" s="60">
        <v>0</v>
      </c>
      <c r="L2313" s="60">
        <v>0</v>
      </c>
      <c r="M2313" s="60">
        <v>0</v>
      </c>
      <c r="N2313" s="312">
        <v>0</v>
      </c>
      <c r="O2313" s="60">
        <v>30</v>
      </c>
      <c r="P2313" s="312">
        <v>0</v>
      </c>
      <c r="Q2313" s="182">
        <f t="shared" si="2873"/>
        <v>0</v>
      </c>
      <c r="R2313" s="183">
        <f t="shared" si="2874"/>
        <v>0</v>
      </c>
      <c r="S2313" s="183">
        <f t="shared" si="2875"/>
        <v>0</v>
      </c>
      <c r="T2313" s="183">
        <f t="shared" si="2876"/>
        <v>0.14218009478672985</v>
      </c>
      <c r="U2313" s="184">
        <f t="shared" si="2877"/>
        <v>0.14218009478672985</v>
      </c>
      <c r="V2313" s="385"/>
    </row>
    <row r="2314" spans="2:22" ht="15.75" hidden="1" x14ac:dyDescent="0.2">
      <c r="B2314" s="711">
        <v>46232</v>
      </c>
      <c r="C2314" s="711" t="s">
        <v>12</v>
      </c>
      <c r="D2314" s="711" t="s">
        <v>163</v>
      </c>
      <c r="E2314" s="711">
        <v>46232</v>
      </c>
      <c r="G2314" s="772"/>
      <c r="H2314" s="60" t="s">
        <v>14</v>
      </c>
      <c r="I2314" s="60" t="s">
        <v>18</v>
      </c>
      <c r="J2314" s="60">
        <v>165</v>
      </c>
      <c r="K2314" s="60">
        <v>0</v>
      </c>
      <c r="L2314" s="60">
        <v>0</v>
      </c>
      <c r="M2314" s="60">
        <v>155</v>
      </c>
      <c r="N2314" s="312">
        <v>0</v>
      </c>
      <c r="O2314" s="60">
        <v>10</v>
      </c>
      <c r="P2314" s="312">
        <v>0</v>
      </c>
      <c r="Q2314" s="182">
        <f t="shared" si="2873"/>
        <v>0</v>
      </c>
      <c r="R2314" s="183">
        <f t="shared" si="2874"/>
        <v>0</v>
      </c>
      <c r="S2314" s="183">
        <f t="shared" si="2875"/>
        <v>0</v>
      </c>
      <c r="T2314" s="183">
        <f t="shared" si="2876"/>
        <v>6.0606060606060608E-2</v>
      </c>
      <c r="U2314" s="184">
        <f t="shared" si="2877"/>
        <v>6.0606060606060608E-2</v>
      </c>
      <c r="V2314" s="385"/>
    </row>
    <row r="2315" spans="2:22" ht="15.75" hidden="1" x14ac:dyDescent="0.2">
      <c r="B2315" s="711">
        <v>46232</v>
      </c>
      <c r="C2315" s="711" t="s">
        <v>12</v>
      </c>
      <c r="D2315" s="711" t="s">
        <v>163</v>
      </c>
      <c r="E2315" s="711">
        <v>46232</v>
      </c>
      <c r="G2315" s="396"/>
      <c r="H2315" s="775" t="s">
        <v>19</v>
      </c>
      <c r="I2315" s="777"/>
      <c r="J2315" s="190">
        <f>SUM(J2312:J2314)</f>
        <v>620</v>
      </c>
      <c r="K2315" s="190">
        <f>SUM(K2312:K2314)</f>
        <v>90</v>
      </c>
      <c r="L2315" s="190">
        <f t="shared" ref="L2315:P2315" si="2878">SUM(L2312:L2314)</f>
        <v>55</v>
      </c>
      <c r="M2315" s="190">
        <f t="shared" si="2878"/>
        <v>234</v>
      </c>
      <c r="N2315" s="190">
        <f t="shared" si="2878"/>
        <v>1</v>
      </c>
      <c r="O2315" s="190">
        <f t="shared" si="2878"/>
        <v>60</v>
      </c>
      <c r="P2315" s="190">
        <f t="shared" si="2878"/>
        <v>5</v>
      </c>
      <c r="Q2315" s="191">
        <f>(K2315+L2315)/J2315</f>
        <v>0.23387096774193547</v>
      </c>
      <c r="R2315" s="192">
        <f t="shared" si="2874"/>
        <v>1.6129032258064516E-3</v>
      </c>
      <c r="S2315" s="192">
        <f t="shared" si="2875"/>
        <v>8.0645161290322578E-3</v>
      </c>
      <c r="T2315" s="192">
        <f t="shared" si="2876"/>
        <v>9.6774193548387094E-2</v>
      </c>
      <c r="U2315" s="193">
        <f t="shared" si="2877"/>
        <v>0.3403225806451613</v>
      </c>
      <c r="V2315" s="385"/>
    </row>
    <row r="2316" spans="2:22" ht="15.75" hidden="1" x14ac:dyDescent="0.2">
      <c r="B2316" s="711">
        <v>46232</v>
      </c>
      <c r="C2316" s="711" t="s">
        <v>18</v>
      </c>
      <c r="D2316" s="711" t="s">
        <v>189</v>
      </c>
      <c r="E2316" s="711">
        <v>46232</v>
      </c>
      <c r="G2316" s="770">
        <v>46232</v>
      </c>
      <c r="H2316" s="60" t="s">
        <v>25</v>
      </c>
      <c r="I2316" s="60" t="s">
        <v>18</v>
      </c>
      <c r="J2316" s="60">
        <f>SUM(K2316:P2316)</f>
        <v>51</v>
      </c>
      <c r="K2316" s="60">
        <v>41</v>
      </c>
      <c r="L2316" s="60">
        <v>6</v>
      </c>
      <c r="M2316" s="60">
        <v>0</v>
      </c>
      <c r="N2316" s="312">
        <v>0</v>
      </c>
      <c r="O2316" s="60">
        <v>0</v>
      </c>
      <c r="P2316" s="312">
        <v>4</v>
      </c>
      <c r="Q2316" s="182">
        <f t="shared" ref="Q2316:Q2320" si="2879">(K2316+L2316)/J2316</f>
        <v>0.92156862745098034</v>
      </c>
      <c r="R2316" s="183">
        <f t="shared" si="2874"/>
        <v>0</v>
      </c>
      <c r="S2316" s="183">
        <f t="shared" si="2875"/>
        <v>7.8431372549019607E-2</v>
      </c>
      <c r="T2316" s="183">
        <f t="shared" si="2876"/>
        <v>0</v>
      </c>
      <c r="U2316" s="184">
        <f t="shared" si="2877"/>
        <v>1</v>
      </c>
      <c r="V2316" s="385"/>
    </row>
    <row r="2317" spans="2:22" ht="15.75" hidden="1" x14ac:dyDescent="0.2">
      <c r="B2317" s="711">
        <v>46232</v>
      </c>
      <c r="C2317" s="711" t="s">
        <v>18</v>
      </c>
      <c r="D2317" s="711" t="s">
        <v>189</v>
      </c>
      <c r="E2317" s="711">
        <v>46232</v>
      </c>
      <c r="G2317" s="772"/>
      <c r="H2317" s="60" t="s">
        <v>120</v>
      </c>
      <c r="I2317" s="60" t="s">
        <v>18</v>
      </c>
      <c r="J2317" s="60">
        <f>SUM(K2317:P2317)</f>
        <v>2</v>
      </c>
      <c r="K2317" s="60">
        <v>2</v>
      </c>
      <c r="L2317" s="60">
        <v>0</v>
      </c>
      <c r="M2317" s="60">
        <v>0</v>
      </c>
      <c r="N2317" s="312">
        <v>0</v>
      </c>
      <c r="O2317" s="60">
        <v>0</v>
      </c>
      <c r="P2317" s="312">
        <v>0</v>
      </c>
      <c r="Q2317" s="182">
        <f t="shared" si="2879"/>
        <v>1</v>
      </c>
      <c r="R2317" s="183">
        <f t="shared" si="2874"/>
        <v>0</v>
      </c>
      <c r="S2317" s="183">
        <f t="shared" si="2875"/>
        <v>0</v>
      </c>
      <c r="T2317" s="183">
        <f t="shared" si="2876"/>
        <v>0</v>
      </c>
      <c r="U2317" s="184">
        <f t="shared" si="2877"/>
        <v>1</v>
      </c>
      <c r="V2317" s="385"/>
    </row>
    <row r="2318" spans="2:22" ht="15.75" hidden="1" x14ac:dyDescent="0.2">
      <c r="B2318" s="711">
        <v>46232</v>
      </c>
      <c r="C2318" s="711" t="s">
        <v>18</v>
      </c>
      <c r="D2318" s="711" t="s">
        <v>189</v>
      </c>
      <c r="E2318" s="711">
        <v>46232</v>
      </c>
      <c r="G2318" s="770">
        <v>46233</v>
      </c>
      <c r="H2318" s="60" t="s">
        <v>75</v>
      </c>
      <c r="I2318" s="60" t="s">
        <v>15</v>
      </c>
      <c r="J2318" s="60">
        <f>SUM(K2318:P2318)</f>
        <v>88</v>
      </c>
      <c r="K2318" s="60">
        <v>36</v>
      </c>
      <c r="L2318" s="60">
        <v>19</v>
      </c>
      <c r="M2318" s="60">
        <v>8</v>
      </c>
      <c r="N2318" s="312">
        <v>0</v>
      </c>
      <c r="O2318" s="60">
        <v>19</v>
      </c>
      <c r="P2318" s="312">
        <v>6</v>
      </c>
      <c r="Q2318" s="182">
        <f t="shared" si="2879"/>
        <v>0.625</v>
      </c>
      <c r="R2318" s="183">
        <f t="shared" si="2874"/>
        <v>0</v>
      </c>
      <c r="S2318" s="183">
        <f t="shared" si="2875"/>
        <v>6.8181818181818177E-2</v>
      </c>
      <c r="T2318" s="183">
        <f t="shared" si="2876"/>
        <v>0.21590909090909091</v>
      </c>
      <c r="U2318" s="184">
        <f t="shared" si="2877"/>
        <v>0.90909090909090906</v>
      </c>
      <c r="V2318" s="385"/>
    </row>
    <row r="2319" spans="2:22" ht="15.75" hidden="1" x14ac:dyDescent="0.2">
      <c r="B2319" s="711">
        <v>46232</v>
      </c>
      <c r="C2319" s="711" t="s">
        <v>18</v>
      </c>
      <c r="D2319" s="711" t="s">
        <v>189</v>
      </c>
      <c r="E2319" s="711">
        <v>46232</v>
      </c>
      <c r="G2319" s="771"/>
      <c r="H2319" s="60" t="s">
        <v>17</v>
      </c>
      <c r="I2319" s="60" t="s">
        <v>106</v>
      </c>
      <c r="J2319" s="60">
        <v>163</v>
      </c>
      <c r="K2319" s="60">
        <v>112</v>
      </c>
      <c r="L2319" s="60">
        <v>37</v>
      </c>
      <c r="M2319" s="60">
        <f>53-29</f>
        <v>24</v>
      </c>
      <c r="N2319" s="312">
        <v>0</v>
      </c>
      <c r="O2319" s="60">
        <v>29</v>
      </c>
      <c r="P2319" s="312">
        <v>5</v>
      </c>
      <c r="Q2319" s="182">
        <f t="shared" si="2879"/>
        <v>0.91411042944785281</v>
      </c>
      <c r="R2319" s="183">
        <f t="shared" si="2874"/>
        <v>0</v>
      </c>
      <c r="S2319" s="183">
        <f t="shared" si="2875"/>
        <v>3.0674846625766871E-2</v>
      </c>
      <c r="T2319" s="183">
        <f t="shared" si="2876"/>
        <v>0.17791411042944785</v>
      </c>
      <c r="U2319" s="184">
        <f t="shared" si="2877"/>
        <v>1.1226993865030677</v>
      </c>
      <c r="V2319" s="385"/>
    </row>
    <row r="2320" spans="2:22" ht="15.75" hidden="1" x14ac:dyDescent="0.2">
      <c r="B2320" s="711">
        <v>46232</v>
      </c>
      <c r="C2320" s="711" t="s">
        <v>18</v>
      </c>
      <c r="D2320" s="711" t="s">
        <v>189</v>
      </c>
      <c r="E2320" s="711">
        <v>46232</v>
      </c>
      <c r="G2320" s="772"/>
      <c r="H2320" s="60" t="s">
        <v>14</v>
      </c>
      <c r="I2320" s="60" t="s">
        <v>105</v>
      </c>
      <c r="J2320" s="60">
        <v>164</v>
      </c>
      <c r="K2320" s="60">
        <v>15</v>
      </c>
      <c r="L2320" s="60">
        <v>7</v>
      </c>
      <c r="M2320" s="60">
        <v>163</v>
      </c>
      <c r="N2320" s="312">
        <v>0</v>
      </c>
      <c r="O2320" s="60">
        <v>0</v>
      </c>
      <c r="P2320" s="312">
        <v>1</v>
      </c>
      <c r="Q2320" s="182">
        <f t="shared" si="2879"/>
        <v>0.13414634146341464</v>
      </c>
      <c r="R2320" s="183">
        <f t="shared" si="2874"/>
        <v>0</v>
      </c>
      <c r="S2320" s="183">
        <f t="shared" si="2875"/>
        <v>6.0975609756097563E-3</v>
      </c>
      <c r="T2320" s="183">
        <f t="shared" si="2876"/>
        <v>0</v>
      </c>
      <c r="U2320" s="184">
        <f t="shared" si="2877"/>
        <v>0.1402439024390244</v>
      </c>
      <c r="V2320" s="385"/>
    </row>
    <row r="2321" spans="2:22" ht="15.75" hidden="1" x14ac:dyDescent="0.2">
      <c r="B2321" s="711">
        <v>46232</v>
      </c>
      <c r="C2321" s="711" t="s">
        <v>18</v>
      </c>
      <c r="D2321" s="711" t="s">
        <v>189</v>
      </c>
      <c r="E2321" s="711">
        <v>46232</v>
      </c>
      <c r="G2321" s="396"/>
      <c r="H2321" s="775" t="s">
        <v>19</v>
      </c>
      <c r="I2321" s="777"/>
      <c r="J2321" s="190">
        <f t="shared" ref="J2321:P2321" si="2880">SUM(J2316:J2320)</f>
        <v>468</v>
      </c>
      <c r="K2321" s="190">
        <f t="shared" si="2880"/>
        <v>206</v>
      </c>
      <c r="L2321" s="190">
        <f t="shared" si="2880"/>
        <v>69</v>
      </c>
      <c r="M2321" s="190">
        <f t="shared" si="2880"/>
        <v>195</v>
      </c>
      <c r="N2321" s="190">
        <f t="shared" si="2880"/>
        <v>0</v>
      </c>
      <c r="O2321" s="190">
        <f t="shared" si="2880"/>
        <v>48</v>
      </c>
      <c r="P2321" s="190">
        <f t="shared" si="2880"/>
        <v>16</v>
      </c>
      <c r="Q2321" s="191">
        <f>(K2321+L2321)/J2321</f>
        <v>0.58760683760683763</v>
      </c>
      <c r="R2321" s="192">
        <f t="shared" si="2874"/>
        <v>0</v>
      </c>
      <c r="S2321" s="192">
        <f t="shared" si="2875"/>
        <v>3.4188034188034191E-2</v>
      </c>
      <c r="T2321" s="192">
        <f t="shared" si="2876"/>
        <v>0.10256410256410256</v>
      </c>
      <c r="U2321" s="193">
        <f t="shared" si="2877"/>
        <v>0.72435897435897434</v>
      </c>
      <c r="V2321" s="385"/>
    </row>
    <row r="2322" spans="2:22" ht="15.75" hidden="1" x14ac:dyDescent="0.2">
      <c r="B2322" s="711">
        <v>46233</v>
      </c>
      <c r="C2322" s="711" t="s">
        <v>190</v>
      </c>
      <c r="D2322" s="711" t="s">
        <v>13</v>
      </c>
      <c r="E2322" s="711">
        <v>46233</v>
      </c>
      <c r="G2322" s="770">
        <v>46233</v>
      </c>
      <c r="H2322" s="60" t="s">
        <v>75</v>
      </c>
      <c r="I2322" s="60" t="s">
        <v>15</v>
      </c>
      <c r="J2322" s="60">
        <v>244</v>
      </c>
      <c r="K2322" s="60">
        <v>150</v>
      </c>
      <c r="L2322" s="60">
        <v>69</v>
      </c>
      <c r="M2322" s="60">
        <v>0</v>
      </c>
      <c r="N2322" s="312">
        <v>0</v>
      </c>
      <c r="O2322" s="60">
        <v>19</v>
      </c>
      <c r="P2322" s="312">
        <v>6</v>
      </c>
      <c r="Q2322" s="182">
        <f>(K2322+L2322)/J2322</f>
        <v>0.89754098360655743</v>
      </c>
      <c r="R2322" s="183">
        <f t="shared" ref="R2322:R2324" si="2881">N2322/J2322</f>
        <v>0</v>
      </c>
      <c r="S2322" s="183">
        <f t="shared" ref="S2322:S2324" si="2882">P2322/J2322</f>
        <v>2.4590163934426229E-2</v>
      </c>
      <c r="T2322" s="183">
        <f t="shared" ref="T2322:T2324" si="2883">O2322/J2322</f>
        <v>7.7868852459016397E-2</v>
      </c>
      <c r="U2322" s="184">
        <f t="shared" ref="U2322:U2324" si="2884">S2322+R2322+Q2322+T2322</f>
        <v>1</v>
      </c>
      <c r="V2322" s="824"/>
    </row>
    <row r="2323" spans="2:22" ht="15.75" hidden="1" x14ac:dyDescent="0.2">
      <c r="B2323" s="711">
        <v>46233</v>
      </c>
      <c r="C2323" s="711" t="s">
        <v>190</v>
      </c>
      <c r="D2323" s="711" t="s">
        <v>13</v>
      </c>
      <c r="E2323" s="711">
        <v>46233</v>
      </c>
      <c r="G2323" s="771"/>
      <c r="H2323" s="60" t="s">
        <v>17</v>
      </c>
      <c r="I2323" s="60" t="s">
        <v>106</v>
      </c>
      <c r="J2323" s="60">
        <v>211</v>
      </c>
      <c r="K2323" s="60">
        <v>125</v>
      </c>
      <c r="L2323" s="60">
        <v>46</v>
      </c>
      <c r="M2323" s="60">
        <v>6</v>
      </c>
      <c r="N2323" s="312">
        <v>0</v>
      </c>
      <c r="O2323" s="60">
        <v>29</v>
      </c>
      <c r="P2323" s="312">
        <v>5</v>
      </c>
      <c r="Q2323" s="182">
        <f t="shared" ref="Q2323:Q2324" si="2885">(K2323+L2323)/J2323</f>
        <v>0.81042654028436023</v>
      </c>
      <c r="R2323" s="183">
        <f t="shared" si="2881"/>
        <v>0</v>
      </c>
      <c r="S2323" s="183">
        <f t="shared" si="2882"/>
        <v>2.3696682464454975E-2</v>
      </c>
      <c r="T2323" s="183">
        <f t="shared" si="2883"/>
        <v>0.13744075829383887</v>
      </c>
      <c r="U2323" s="184">
        <f t="shared" si="2884"/>
        <v>0.97156398104265407</v>
      </c>
      <c r="V2323" s="825"/>
    </row>
    <row r="2324" spans="2:22" ht="15.75" hidden="1" x14ac:dyDescent="0.2">
      <c r="B2324" s="711">
        <v>46233</v>
      </c>
      <c r="C2324" s="711" t="s">
        <v>190</v>
      </c>
      <c r="D2324" s="711" t="s">
        <v>13</v>
      </c>
      <c r="E2324" s="711">
        <v>46233</v>
      </c>
      <c r="G2324" s="772"/>
      <c r="H2324" s="60" t="s">
        <v>14</v>
      </c>
      <c r="I2324" s="60" t="s">
        <v>105</v>
      </c>
      <c r="J2324" s="60">
        <v>165</v>
      </c>
      <c r="K2324" s="60">
        <v>74</v>
      </c>
      <c r="L2324" s="60">
        <v>25</v>
      </c>
      <c r="M2324" s="60">
        <v>17</v>
      </c>
      <c r="N2324" s="312">
        <v>38</v>
      </c>
      <c r="O2324" s="60">
        <v>10</v>
      </c>
      <c r="P2324" s="312">
        <v>1</v>
      </c>
      <c r="Q2324" s="182">
        <f t="shared" si="2885"/>
        <v>0.6</v>
      </c>
      <c r="R2324" s="183">
        <f t="shared" si="2881"/>
        <v>0.23030303030303031</v>
      </c>
      <c r="S2324" s="183">
        <f t="shared" si="2882"/>
        <v>6.0606060606060606E-3</v>
      </c>
      <c r="T2324" s="183">
        <f t="shared" si="2883"/>
        <v>6.0606060606060608E-2</v>
      </c>
      <c r="U2324" s="184">
        <f t="shared" si="2884"/>
        <v>0.89696969696969697</v>
      </c>
      <c r="V2324" s="825"/>
    </row>
    <row r="2325" spans="2:22" ht="15.75" hidden="1" x14ac:dyDescent="0.2">
      <c r="B2325" s="711">
        <v>46233</v>
      </c>
      <c r="C2325" s="711" t="s">
        <v>190</v>
      </c>
      <c r="D2325" s="711" t="s">
        <v>13</v>
      </c>
      <c r="E2325" s="711">
        <v>46234</v>
      </c>
      <c r="G2325" s="770">
        <v>46234</v>
      </c>
      <c r="H2325" s="60" t="s">
        <v>75</v>
      </c>
      <c r="I2325" s="60" t="s">
        <v>15</v>
      </c>
      <c r="J2325" s="60">
        <v>243</v>
      </c>
      <c r="K2325" s="60">
        <v>0</v>
      </c>
      <c r="L2325" s="60">
        <v>0</v>
      </c>
      <c r="M2325" s="60">
        <v>243</v>
      </c>
      <c r="N2325" s="312">
        <v>0</v>
      </c>
      <c r="O2325" s="60">
        <v>0</v>
      </c>
      <c r="P2325" s="312">
        <v>6</v>
      </c>
      <c r="Q2325" s="182">
        <f t="shared" ref="Q2325:Q2327" si="2886">(K2325+L2325)/J2325</f>
        <v>0</v>
      </c>
      <c r="R2325" s="183">
        <f t="shared" ref="R2325:R2331" si="2887">N2325/J2325</f>
        <v>0</v>
      </c>
      <c r="S2325" s="183">
        <f t="shared" ref="S2325:S2331" si="2888">P2325/J2325</f>
        <v>2.4691358024691357E-2</v>
      </c>
      <c r="T2325" s="183">
        <f t="shared" ref="T2325:T2331" si="2889">O2325/J2325</f>
        <v>0</v>
      </c>
      <c r="U2325" s="184">
        <f t="shared" ref="U2325:U2331" si="2890">S2325+R2325+Q2325+T2325</f>
        <v>2.4691358024691357E-2</v>
      </c>
      <c r="V2325" s="826"/>
    </row>
    <row r="2326" spans="2:22" ht="15.75" hidden="1" x14ac:dyDescent="0.2">
      <c r="B2326" s="711">
        <v>46233</v>
      </c>
      <c r="C2326" s="711" t="s">
        <v>190</v>
      </c>
      <c r="D2326" s="711" t="s">
        <v>13</v>
      </c>
      <c r="E2326" s="711">
        <v>46234</v>
      </c>
      <c r="G2326" s="771"/>
      <c r="H2326" s="60" t="s">
        <v>17</v>
      </c>
      <c r="I2326" s="60" t="s">
        <v>106</v>
      </c>
      <c r="J2326" s="60">
        <v>193</v>
      </c>
      <c r="K2326" s="60">
        <v>0</v>
      </c>
      <c r="L2326" s="60">
        <v>0</v>
      </c>
      <c r="M2326" s="60">
        <v>193</v>
      </c>
      <c r="N2326" s="312">
        <v>0</v>
      </c>
      <c r="O2326" s="60">
        <v>0</v>
      </c>
      <c r="P2326" s="312">
        <v>5</v>
      </c>
      <c r="Q2326" s="182">
        <f t="shared" si="2886"/>
        <v>0</v>
      </c>
      <c r="R2326" s="183">
        <f t="shared" si="2887"/>
        <v>0</v>
      </c>
      <c r="S2326" s="183">
        <f t="shared" si="2888"/>
        <v>2.5906735751295335E-2</v>
      </c>
      <c r="T2326" s="183">
        <f t="shared" si="2889"/>
        <v>0</v>
      </c>
      <c r="U2326" s="184">
        <f t="shared" si="2890"/>
        <v>2.5906735751295335E-2</v>
      </c>
      <c r="V2326" s="824"/>
    </row>
    <row r="2327" spans="2:22" ht="15.75" hidden="1" x14ac:dyDescent="0.2">
      <c r="B2327" s="711">
        <v>46233</v>
      </c>
      <c r="C2327" s="711" t="s">
        <v>190</v>
      </c>
      <c r="D2327" s="711" t="s">
        <v>13</v>
      </c>
      <c r="E2327" s="711">
        <v>46234</v>
      </c>
      <c r="G2327" s="772"/>
      <c r="H2327" s="60" t="s">
        <v>14</v>
      </c>
      <c r="I2327" s="60" t="s">
        <v>105</v>
      </c>
      <c r="J2327" s="60">
        <v>173</v>
      </c>
      <c r="K2327" s="60">
        <v>0</v>
      </c>
      <c r="L2327" s="60">
        <v>0</v>
      </c>
      <c r="M2327" s="60">
        <v>173</v>
      </c>
      <c r="N2327" s="312">
        <v>0</v>
      </c>
      <c r="O2327" s="60">
        <v>0</v>
      </c>
      <c r="P2327" s="312">
        <v>1</v>
      </c>
      <c r="Q2327" s="182">
        <f t="shared" si="2886"/>
        <v>0</v>
      </c>
      <c r="R2327" s="183">
        <f t="shared" si="2887"/>
        <v>0</v>
      </c>
      <c r="S2327" s="183">
        <f t="shared" si="2888"/>
        <v>5.7803468208092483E-3</v>
      </c>
      <c r="T2327" s="183">
        <f t="shared" si="2889"/>
        <v>0</v>
      </c>
      <c r="U2327" s="184">
        <f t="shared" si="2890"/>
        <v>5.7803468208092483E-3</v>
      </c>
      <c r="V2327" s="825"/>
    </row>
    <row r="2328" spans="2:22" ht="15.75" hidden="1" x14ac:dyDescent="0.2">
      <c r="B2328" s="711">
        <v>46233</v>
      </c>
      <c r="C2328" s="711" t="s">
        <v>190</v>
      </c>
      <c r="D2328" s="711" t="s">
        <v>13</v>
      </c>
      <c r="E2328" s="711">
        <v>46234</v>
      </c>
      <c r="G2328" s="396"/>
      <c r="H2328" s="775" t="s">
        <v>19</v>
      </c>
      <c r="I2328" s="777"/>
      <c r="J2328" s="190">
        <f>SUM(J2322:J2327)</f>
        <v>1229</v>
      </c>
      <c r="K2328" s="190">
        <f t="shared" ref="K2328:P2328" si="2891">SUM(K2322:K2327)</f>
        <v>349</v>
      </c>
      <c r="L2328" s="190">
        <f t="shared" si="2891"/>
        <v>140</v>
      </c>
      <c r="M2328" s="190">
        <f t="shared" si="2891"/>
        <v>632</v>
      </c>
      <c r="N2328" s="190">
        <f t="shared" si="2891"/>
        <v>38</v>
      </c>
      <c r="O2328" s="190">
        <f t="shared" si="2891"/>
        <v>58</v>
      </c>
      <c r="P2328" s="190">
        <f t="shared" si="2891"/>
        <v>24</v>
      </c>
      <c r="Q2328" s="191">
        <f>(K2328+L2328)/J2328</f>
        <v>0.39788445890968266</v>
      </c>
      <c r="R2328" s="192">
        <f t="shared" si="2887"/>
        <v>3.0919446704637917E-2</v>
      </c>
      <c r="S2328" s="192">
        <f t="shared" si="2888"/>
        <v>1.9528071602929211E-2</v>
      </c>
      <c r="T2328" s="192">
        <f t="shared" si="2889"/>
        <v>4.7192839707078924E-2</v>
      </c>
      <c r="U2328" s="193">
        <f t="shared" si="2890"/>
        <v>0.4955248169243287</v>
      </c>
      <c r="V2328" s="826"/>
    </row>
    <row r="2329" spans="2:22" ht="15.75" hidden="1" x14ac:dyDescent="0.2">
      <c r="B2329" s="711">
        <v>46233</v>
      </c>
      <c r="C2329" s="711" t="s">
        <v>106</v>
      </c>
      <c r="D2329" s="711" t="s">
        <v>13</v>
      </c>
      <c r="E2329" s="711">
        <v>46233</v>
      </c>
      <c r="G2329" s="770">
        <v>46233</v>
      </c>
      <c r="H2329" s="60" t="s">
        <v>75</v>
      </c>
      <c r="I2329" s="60" t="s">
        <v>15</v>
      </c>
      <c r="J2329" s="60">
        <v>244</v>
      </c>
      <c r="K2329" s="60">
        <v>150</v>
      </c>
      <c r="L2329" s="60">
        <v>69</v>
      </c>
      <c r="M2329" s="60">
        <v>0</v>
      </c>
      <c r="N2329" s="312">
        <v>0</v>
      </c>
      <c r="O2329" s="60">
        <v>19</v>
      </c>
      <c r="P2329" s="312">
        <v>6</v>
      </c>
      <c r="Q2329" s="182">
        <f>(K2329+L2329)/J2329</f>
        <v>0.89754098360655743</v>
      </c>
      <c r="R2329" s="183">
        <f t="shared" si="2887"/>
        <v>0</v>
      </c>
      <c r="S2329" s="183">
        <f t="shared" si="2888"/>
        <v>2.4590163934426229E-2</v>
      </c>
      <c r="T2329" s="183">
        <f t="shared" si="2889"/>
        <v>7.7868852459016397E-2</v>
      </c>
      <c r="U2329" s="184">
        <f t="shared" si="2890"/>
        <v>1</v>
      </c>
    </row>
    <row r="2330" spans="2:22" ht="15.75" hidden="1" x14ac:dyDescent="0.2">
      <c r="B2330" s="711">
        <v>46233</v>
      </c>
      <c r="C2330" s="711" t="s">
        <v>106</v>
      </c>
      <c r="D2330" s="711" t="s">
        <v>13</v>
      </c>
      <c r="E2330" s="711">
        <v>46233</v>
      </c>
      <c r="G2330" s="771"/>
      <c r="H2330" s="60" t="s">
        <v>17</v>
      </c>
      <c r="I2330" s="60" t="s">
        <v>106</v>
      </c>
      <c r="J2330" s="60">
        <v>211</v>
      </c>
      <c r="K2330" s="60">
        <f>211-46-29-5</f>
        <v>131</v>
      </c>
      <c r="L2330" s="60">
        <v>46</v>
      </c>
      <c r="M2330" s="60">
        <v>0</v>
      </c>
      <c r="N2330" s="312">
        <v>0</v>
      </c>
      <c r="O2330" s="60">
        <v>29</v>
      </c>
      <c r="P2330" s="312">
        <v>5</v>
      </c>
      <c r="Q2330" s="182">
        <f t="shared" ref="Q2330:Q2334" si="2892">(K2330+L2330)/J2330</f>
        <v>0.83886255924170616</v>
      </c>
      <c r="R2330" s="183">
        <f t="shared" si="2887"/>
        <v>0</v>
      </c>
      <c r="S2330" s="183">
        <f t="shared" si="2888"/>
        <v>2.3696682464454975E-2</v>
      </c>
      <c r="T2330" s="183">
        <f t="shared" si="2889"/>
        <v>0.13744075829383887</v>
      </c>
      <c r="U2330" s="184">
        <f t="shared" si="2890"/>
        <v>1</v>
      </c>
    </row>
    <row r="2331" spans="2:22" ht="15.75" hidden="1" x14ac:dyDescent="0.2">
      <c r="B2331" s="711">
        <v>46233</v>
      </c>
      <c r="C2331" s="711" t="s">
        <v>106</v>
      </c>
      <c r="D2331" s="711" t="s">
        <v>13</v>
      </c>
      <c r="E2331" s="711">
        <v>46233</v>
      </c>
      <c r="G2331" s="772"/>
      <c r="H2331" s="60" t="s">
        <v>14</v>
      </c>
      <c r="I2331" s="60" t="s">
        <v>105</v>
      </c>
      <c r="J2331" s="60">
        <v>165</v>
      </c>
      <c r="K2331" s="60">
        <f>165-25-1-10-1</f>
        <v>128</v>
      </c>
      <c r="L2331" s="60">
        <v>25</v>
      </c>
      <c r="M2331" s="60">
        <v>1</v>
      </c>
      <c r="N2331" s="312">
        <v>0</v>
      </c>
      <c r="O2331" s="60">
        <v>10</v>
      </c>
      <c r="P2331" s="312">
        <v>1</v>
      </c>
      <c r="Q2331" s="182">
        <f t="shared" si="2892"/>
        <v>0.92727272727272725</v>
      </c>
      <c r="R2331" s="183">
        <f t="shared" si="2887"/>
        <v>0</v>
      </c>
      <c r="S2331" s="183">
        <f t="shared" si="2888"/>
        <v>6.0606060606060606E-3</v>
      </c>
      <c r="T2331" s="183">
        <f t="shared" si="2889"/>
        <v>6.0606060606060608E-2</v>
      </c>
      <c r="U2331" s="184">
        <f t="shared" si="2890"/>
        <v>0.9939393939393939</v>
      </c>
    </row>
    <row r="2332" spans="2:22" ht="15.75" hidden="1" x14ac:dyDescent="0.2">
      <c r="B2332" s="711">
        <v>46233</v>
      </c>
      <c r="C2332" s="711" t="s">
        <v>106</v>
      </c>
      <c r="D2332" s="711" t="s">
        <v>13</v>
      </c>
      <c r="E2332" s="711">
        <v>46234</v>
      </c>
      <c r="G2332" s="770">
        <v>46234</v>
      </c>
      <c r="H2332" s="60" t="s">
        <v>75</v>
      </c>
      <c r="I2332" s="60" t="s">
        <v>15</v>
      </c>
      <c r="J2332" s="60">
        <v>243</v>
      </c>
      <c r="K2332" s="60">
        <v>72</v>
      </c>
      <c r="L2332" s="60">
        <v>20</v>
      </c>
      <c r="M2332" s="60">
        <v>113</v>
      </c>
      <c r="N2332" s="312">
        <v>0</v>
      </c>
      <c r="O2332" s="60">
        <v>0</v>
      </c>
      <c r="P2332" s="312">
        <v>6</v>
      </c>
      <c r="Q2332" s="182">
        <f t="shared" si="2892"/>
        <v>0.37860082304526749</v>
      </c>
      <c r="R2332" s="183">
        <f t="shared" ref="R2332:R2338" si="2893">N2332/J2332</f>
        <v>0</v>
      </c>
      <c r="S2332" s="183">
        <f t="shared" ref="S2332:S2338" si="2894">P2332/J2332</f>
        <v>2.4691358024691357E-2</v>
      </c>
      <c r="T2332" s="183">
        <f t="shared" ref="T2332:T2338" si="2895">O2332/J2332</f>
        <v>0</v>
      </c>
      <c r="U2332" s="184">
        <f t="shared" ref="U2332:U2338" si="2896">S2332+R2332+Q2332+T2332</f>
        <v>0.40329218106995884</v>
      </c>
    </row>
    <row r="2333" spans="2:22" ht="15.75" hidden="1" x14ac:dyDescent="0.2">
      <c r="B2333" s="711">
        <v>46233</v>
      </c>
      <c r="C2333" s="711" t="s">
        <v>106</v>
      </c>
      <c r="D2333" s="711" t="s">
        <v>13</v>
      </c>
      <c r="E2333" s="711">
        <v>46234</v>
      </c>
      <c r="G2333" s="771"/>
      <c r="H2333" s="60" t="s">
        <v>17</v>
      </c>
      <c r="I2333" s="60" t="s">
        <v>106</v>
      </c>
      <c r="J2333" s="60">
        <v>193</v>
      </c>
      <c r="K2333" s="60">
        <v>0</v>
      </c>
      <c r="L2333" s="60">
        <v>0</v>
      </c>
      <c r="M2333" s="60">
        <v>193</v>
      </c>
      <c r="N2333" s="312">
        <v>0</v>
      </c>
      <c r="O2333" s="60">
        <v>0</v>
      </c>
      <c r="P2333" s="312">
        <v>5</v>
      </c>
      <c r="Q2333" s="182">
        <f t="shared" si="2892"/>
        <v>0</v>
      </c>
      <c r="R2333" s="183">
        <f t="shared" si="2893"/>
        <v>0</v>
      </c>
      <c r="S2333" s="183">
        <f t="shared" si="2894"/>
        <v>2.5906735751295335E-2</v>
      </c>
      <c r="T2333" s="183">
        <f t="shared" si="2895"/>
        <v>0</v>
      </c>
      <c r="U2333" s="184">
        <f t="shared" si="2896"/>
        <v>2.5906735751295335E-2</v>
      </c>
    </row>
    <row r="2334" spans="2:22" ht="15.75" hidden="1" x14ac:dyDescent="0.2">
      <c r="B2334" s="711">
        <v>46233</v>
      </c>
      <c r="C2334" s="711" t="s">
        <v>106</v>
      </c>
      <c r="D2334" s="711" t="s">
        <v>13</v>
      </c>
      <c r="E2334" s="711">
        <v>46234</v>
      </c>
      <c r="G2334" s="772"/>
      <c r="H2334" s="60" t="s">
        <v>14</v>
      </c>
      <c r="I2334" s="60" t="s">
        <v>105</v>
      </c>
      <c r="J2334" s="60">
        <v>173</v>
      </c>
      <c r="K2334" s="60">
        <v>0</v>
      </c>
      <c r="L2334" s="60">
        <v>0</v>
      </c>
      <c r="M2334" s="60">
        <v>173</v>
      </c>
      <c r="N2334" s="312">
        <v>0</v>
      </c>
      <c r="O2334" s="60">
        <v>0</v>
      </c>
      <c r="P2334" s="312">
        <v>1</v>
      </c>
      <c r="Q2334" s="182">
        <f t="shared" si="2892"/>
        <v>0</v>
      </c>
      <c r="R2334" s="183">
        <f t="shared" si="2893"/>
        <v>0</v>
      </c>
      <c r="S2334" s="183">
        <f t="shared" si="2894"/>
        <v>5.7803468208092483E-3</v>
      </c>
      <c r="T2334" s="183">
        <f t="shared" si="2895"/>
        <v>0</v>
      </c>
      <c r="U2334" s="184">
        <f t="shared" si="2896"/>
        <v>5.7803468208092483E-3</v>
      </c>
    </row>
    <row r="2335" spans="2:22" ht="15.75" hidden="1" x14ac:dyDescent="0.2">
      <c r="B2335" s="711">
        <v>46233</v>
      </c>
      <c r="C2335" s="711" t="s">
        <v>106</v>
      </c>
      <c r="D2335" s="711" t="s">
        <v>13</v>
      </c>
      <c r="E2335" s="711">
        <v>46234</v>
      </c>
      <c r="G2335" s="396"/>
      <c r="H2335" s="775" t="s">
        <v>19</v>
      </c>
      <c r="I2335" s="777"/>
      <c r="J2335" s="190">
        <f>SUM(J2329:J2334)</f>
        <v>1229</v>
      </c>
      <c r="K2335" s="190">
        <f t="shared" ref="K2335:P2335" si="2897">SUM(K2329:K2334)</f>
        <v>481</v>
      </c>
      <c r="L2335" s="190">
        <f t="shared" si="2897"/>
        <v>160</v>
      </c>
      <c r="M2335" s="190">
        <f t="shared" si="2897"/>
        <v>480</v>
      </c>
      <c r="N2335" s="190">
        <f t="shared" si="2897"/>
        <v>0</v>
      </c>
      <c r="O2335" s="190">
        <f t="shared" si="2897"/>
        <v>58</v>
      </c>
      <c r="P2335" s="190">
        <f t="shared" si="2897"/>
        <v>24</v>
      </c>
      <c r="Q2335" s="191">
        <f>(K2335+L2335)/J2335</f>
        <v>0.52156224572823429</v>
      </c>
      <c r="R2335" s="192">
        <f t="shared" si="2893"/>
        <v>0</v>
      </c>
      <c r="S2335" s="192">
        <f t="shared" si="2894"/>
        <v>1.9528071602929211E-2</v>
      </c>
      <c r="T2335" s="192">
        <f t="shared" si="2895"/>
        <v>4.7192839707078924E-2</v>
      </c>
      <c r="U2335" s="193">
        <f t="shared" si="2896"/>
        <v>0.58828315703824241</v>
      </c>
    </row>
    <row r="2336" spans="2:22" ht="15.75" hidden="1" x14ac:dyDescent="0.2">
      <c r="B2336" s="711">
        <v>46233</v>
      </c>
      <c r="C2336" s="711" t="s">
        <v>12</v>
      </c>
      <c r="D2336" s="711" t="s">
        <v>163</v>
      </c>
      <c r="E2336" s="711">
        <v>46233</v>
      </c>
      <c r="G2336" s="770">
        <v>46233</v>
      </c>
      <c r="H2336" s="60" t="s">
        <v>75</v>
      </c>
      <c r="I2336" s="60" t="s">
        <v>15</v>
      </c>
      <c r="J2336" s="60">
        <v>244</v>
      </c>
      <c r="K2336" s="60">
        <v>150</v>
      </c>
      <c r="L2336" s="60">
        <v>69</v>
      </c>
      <c r="M2336" s="60">
        <v>0</v>
      </c>
      <c r="N2336" s="312">
        <v>0</v>
      </c>
      <c r="O2336" s="60">
        <v>19</v>
      </c>
      <c r="P2336" s="312">
        <v>6</v>
      </c>
      <c r="Q2336" s="182">
        <f>(K2336+L2336)/J2336</f>
        <v>0.89754098360655743</v>
      </c>
      <c r="R2336" s="183">
        <f t="shared" si="2893"/>
        <v>0</v>
      </c>
      <c r="S2336" s="183">
        <f t="shared" si="2894"/>
        <v>2.4590163934426229E-2</v>
      </c>
      <c r="T2336" s="183">
        <f t="shared" si="2895"/>
        <v>7.7868852459016397E-2</v>
      </c>
      <c r="U2336" s="184">
        <f t="shared" si="2896"/>
        <v>1</v>
      </c>
    </row>
    <row r="2337" spans="2:22" ht="15.75" hidden="1" x14ac:dyDescent="0.2">
      <c r="B2337" s="711">
        <v>46233</v>
      </c>
      <c r="C2337" s="711" t="s">
        <v>12</v>
      </c>
      <c r="D2337" s="711" t="s">
        <v>163</v>
      </c>
      <c r="E2337" s="711">
        <v>46233</v>
      </c>
      <c r="G2337" s="771"/>
      <c r="H2337" s="60" t="s">
        <v>17</v>
      </c>
      <c r="I2337" s="60" t="s">
        <v>106</v>
      </c>
      <c r="J2337" s="60">
        <v>211</v>
      </c>
      <c r="K2337" s="60">
        <f>211-46-29-5</f>
        <v>131</v>
      </c>
      <c r="L2337" s="60">
        <v>46</v>
      </c>
      <c r="M2337" s="60">
        <v>0</v>
      </c>
      <c r="N2337" s="312">
        <v>0</v>
      </c>
      <c r="O2337" s="60">
        <v>29</v>
      </c>
      <c r="P2337" s="312">
        <v>5</v>
      </c>
      <c r="Q2337" s="182">
        <f t="shared" ref="Q2337:Q2341" si="2898">(K2337+L2337)/J2337</f>
        <v>0.83886255924170616</v>
      </c>
      <c r="R2337" s="183">
        <f t="shared" si="2893"/>
        <v>0</v>
      </c>
      <c r="S2337" s="183">
        <f t="shared" si="2894"/>
        <v>2.3696682464454975E-2</v>
      </c>
      <c r="T2337" s="183">
        <f t="shared" si="2895"/>
        <v>0.13744075829383887</v>
      </c>
      <c r="U2337" s="184">
        <f t="shared" si="2896"/>
        <v>1</v>
      </c>
    </row>
    <row r="2338" spans="2:22" ht="15.75" hidden="1" x14ac:dyDescent="0.2">
      <c r="B2338" s="711">
        <v>46233</v>
      </c>
      <c r="C2338" s="711" t="s">
        <v>12</v>
      </c>
      <c r="D2338" s="711" t="s">
        <v>163</v>
      </c>
      <c r="E2338" s="711">
        <v>46233</v>
      </c>
      <c r="G2338" s="772"/>
      <c r="H2338" s="60" t="s">
        <v>14</v>
      </c>
      <c r="I2338" s="60" t="s">
        <v>105</v>
      </c>
      <c r="J2338" s="60">
        <v>165</v>
      </c>
      <c r="K2338" s="60">
        <f>165-25-1-10-1</f>
        <v>128</v>
      </c>
      <c r="L2338" s="60">
        <v>25</v>
      </c>
      <c r="M2338" s="60">
        <v>0</v>
      </c>
      <c r="N2338" s="312">
        <v>0</v>
      </c>
      <c r="O2338" s="60">
        <v>10</v>
      </c>
      <c r="P2338" s="312">
        <v>1</v>
      </c>
      <c r="Q2338" s="182">
        <f t="shared" si="2898"/>
        <v>0.92727272727272725</v>
      </c>
      <c r="R2338" s="183">
        <f t="shared" si="2893"/>
        <v>0</v>
      </c>
      <c r="S2338" s="183">
        <f t="shared" si="2894"/>
        <v>6.0606060606060606E-3</v>
      </c>
      <c r="T2338" s="183">
        <f t="shared" si="2895"/>
        <v>6.0606060606060608E-2</v>
      </c>
      <c r="U2338" s="184">
        <f t="shared" si="2896"/>
        <v>0.9939393939393939</v>
      </c>
    </row>
    <row r="2339" spans="2:22" ht="15.75" hidden="1" x14ac:dyDescent="0.2">
      <c r="B2339" s="711">
        <v>46233</v>
      </c>
      <c r="C2339" s="711" t="s">
        <v>12</v>
      </c>
      <c r="D2339" s="711" t="s">
        <v>163</v>
      </c>
      <c r="E2339" s="711">
        <v>46234</v>
      </c>
      <c r="G2339" s="770">
        <v>46234</v>
      </c>
      <c r="H2339" s="60" t="s">
        <v>75</v>
      </c>
      <c r="I2339" s="60" t="s">
        <v>15</v>
      </c>
      <c r="J2339" s="60">
        <v>243</v>
      </c>
      <c r="K2339" s="60">
        <f>243-20-5-20-2</f>
        <v>196</v>
      </c>
      <c r="L2339" s="60">
        <v>20</v>
      </c>
      <c r="M2339" s="60">
        <v>5</v>
      </c>
      <c r="N2339" s="312">
        <v>0</v>
      </c>
      <c r="O2339" s="60">
        <v>20</v>
      </c>
      <c r="P2339" s="312">
        <v>2</v>
      </c>
      <c r="Q2339" s="182">
        <f t="shared" si="2898"/>
        <v>0.88888888888888884</v>
      </c>
      <c r="R2339" s="183">
        <f t="shared" ref="R2339:R2348" si="2899">N2339/J2339</f>
        <v>0</v>
      </c>
      <c r="S2339" s="183">
        <f t="shared" ref="S2339:S2348" si="2900">P2339/J2339</f>
        <v>8.23045267489712E-3</v>
      </c>
      <c r="T2339" s="183">
        <f t="shared" ref="T2339:T2348" si="2901">O2339/J2339</f>
        <v>8.2304526748971193E-2</v>
      </c>
      <c r="U2339" s="184">
        <f t="shared" ref="U2339:U2348" si="2902">S2339+R2339+Q2339+T2339</f>
        <v>0.97942386831275707</v>
      </c>
    </row>
    <row r="2340" spans="2:22" ht="15.75" hidden="1" x14ac:dyDescent="0.2">
      <c r="B2340" s="711">
        <v>46233</v>
      </c>
      <c r="C2340" s="711" t="s">
        <v>12</v>
      </c>
      <c r="D2340" s="711" t="s">
        <v>163</v>
      </c>
      <c r="E2340" s="711">
        <v>46234</v>
      </c>
      <c r="G2340" s="771"/>
      <c r="H2340" s="60" t="s">
        <v>17</v>
      </c>
      <c r="I2340" s="60" t="s">
        <v>106</v>
      </c>
      <c r="J2340" s="60">
        <v>193</v>
      </c>
      <c r="K2340" s="60">
        <v>8</v>
      </c>
      <c r="L2340" s="60">
        <v>0</v>
      </c>
      <c r="M2340" s="60">
        <v>140</v>
      </c>
      <c r="N2340" s="312">
        <v>15</v>
      </c>
      <c r="O2340" s="60">
        <v>30</v>
      </c>
      <c r="P2340" s="312">
        <v>10</v>
      </c>
      <c r="Q2340" s="182">
        <f t="shared" si="2898"/>
        <v>4.145077720207254E-2</v>
      </c>
      <c r="R2340" s="183">
        <f t="shared" si="2899"/>
        <v>7.7720207253886009E-2</v>
      </c>
      <c r="S2340" s="183">
        <f t="shared" si="2900"/>
        <v>5.181347150259067E-2</v>
      </c>
      <c r="T2340" s="183">
        <f t="shared" si="2901"/>
        <v>0.15544041450777202</v>
      </c>
      <c r="U2340" s="184">
        <f t="shared" si="2902"/>
        <v>0.32642487046632124</v>
      </c>
    </row>
    <row r="2341" spans="2:22" ht="15.75" hidden="1" x14ac:dyDescent="0.2">
      <c r="B2341" s="711">
        <v>46233</v>
      </c>
      <c r="C2341" s="711" t="s">
        <v>12</v>
      </c>
      <c r="D2341" s="711" t="s">
        <v>163</v>
      </c>
      <c r="E2341" s="711">
        <v>46234</v>
      </c>
      <c r="G2341" s="772"/>
      <c r="H2341" s="60" t="s">
        <v>14</v>
      </c>
      <c r="I2341" s="60" t="s">
        <v>105</v>
      </c>
      <c r="J2341" s="60">
        <v>173</v>
      </c>
      <c r="K2341" s="60">
        <v>0</v>
      </c>
      <c r="L2341" s="60">
        <v>0</v>
      </c>
      <c r="M2341" s="60">
        <v>173</v>
      </c>
      <c r="N2341" s="312">
        <v>0</v>
      </c>
      <c r="O2341" s="60">
        <v>13</v>
      </c>
      <c r="P2341" s="312">
        <v>3</v>
      </c>
      <c r="Q2341" s="182">
        <f t="shared" si="2898"/>
        <v>0</v>
      </c>
      <c r="R2341" s="183">
        <f t="shared" si="2899"/>
        <v>0</v>
      </c>
      <c r="S2341" s="183">
        <f t="shared" si="2900"/>
        <v>1.7341040462427744E-2</v>
      </c>
      <c r="T2341" s="183">
        <f t="shared" si="2901"/>
        <v>7.5144508670520235E-2</v>
      </c>
      <c r="U2341" s="184">
        <f t="shared" si="2902"/>
        <v>9.2485549132947986E-2</v>
      </c>
    </row>
    <row r="2342" spans="2:22" ht="15.75" hidden="1" x14ac:dyDescent="0.2">
      <c r="B2342" s="711">
        <v>46233</v>
      </c>
      <c r="C2342" s="711" t="s">
        <v>12</v>
      </c>
      <c r="D2342" s="711" t="s">
        <v>163</v>
      </c>
      <c r="E2342" s="711">
        <v>46234</v>
      </c>
      <c r="G2342" s="396"/>
      <c r="H2342" s="775" t="s">
        <v>19</v>
      </c>
      <c r="I2342" s="777"/>
      <c r="J2342" s="190">
        <f>SUM(J2336:J2341)</f>
        <v>1229</v>
      </c>
      <c r="K2342" s="190">
        <f t="shared" ref="K2342:P2342" si="2903">SUM(K2336:K2341)</f>
        <v>613</v>
      </c>
      <c r="L2342" s="190">
        <f t="shared" si="2903"/>
        <v>160</v>
      </c>
      <c r="M2342" s="190">
        <f t="shared" si="2903"/>
        <v>318</v>
      </c>
      <c r="N2342" s="190">
        <f t="shared" si="2903"/>
        <v>15</v>
      </c>
      <c r="O2342" s="190">
        <f t="shared" si="2903"/>
        <v>121</v>
      </c>
      <c r="P2342" s="190">
        <f t="shared" si="2903"/>
        <v>27</v>
      </c>
      <c r="Q2342" s="191">
        <f>(K2342+L2342)/J2342</f>
        <v>0.62896663954434495</v>
      </c>
      <c r="R2342" s="192">
        <f t="shared" si="2899"/>
        <v>1.2205044751830757E-2</v>
      </c>
      <c r="S2342" s="192">
        <f t="shared" si="2900"/>
        <v>2.1969080553295363E-2</v>
      </c>
      <c r="T2342" s="192">
        <f t="shared" si="2901"/>
        <v>9.8454027664768101E-2</v>
      </c>
      <c r="U2342" s="193">
        <f t="shared" si="2902"/>
        <v>0.76159479251423912</v>
      </c>
    </row>
    <row r="2343" spans="2:22" ht="15.75" hidden="1" x14ac:dyDescent="0.2">
      <c r="B2343" s="711">
        <v>46233</v>
      </c>
      <c r="C2343" s="711" t="s">
        <v>18</v>
      </c>
      <c r="D2343" s="711" t="s">
        <v>189</v>
      </c>
      <c r="E2343" s="711">
        <v>46232</v>
      </c>
      <c r="G2343" s="778">
        <v>46233</v>
      </c>
      <c r="H2343" s="60" t="s">
        <v>14</v>
      </c>
      <c r="I2343" s="60" t="s">
        <v>18</v>
      </c>
      <c r="J2343" s="60">
        <f>SUM(K2343:P2343)</f>
        <v>32</v>
      </c>
      <c r="K2343" s="60">
        <f>56-32</f>
        <v>24</v>
      </c>
      <c r="L2343" s="60">
        <f>26-19</f>
        <v>7</v>
      </c>
      <c r="M2343" s="60">
        <v>0</v>
      </c>
      <c r="N2343" s="312">
        <v>0</v>
      </c>
      <c r="O2343" s="60">
        <v>0</v>
      </c>
      <c r="P2343" s="312">
        <v>1</v>
      </c>
      <c r="Q2343" s="182">
        <f t="shared" ref="Q2343:Q2347" si="2904">(K2343+L2343)/J2343</f>
        <v>0.96875</v>
      </c>
      <c r="R2343" s="183">
        <f t="shared" si="2899"/>
        <v>0</v>
      </c>
      <c r="S2343" s="183">
        <f t="shared" si="2900"/>
        <v>3.125E-2</v>
      </c>
      <c r="T2343" s="183">
        <f t="shared" si="2901"/>
        <v>0</v>
      </c>
      <c r="U2343" s="184">
        <f t="shared" si="2902"/>
        <v>1</v>
      </c>
      <c r="V2343" s="385"/>
    </row>
    <row r="2344" spans="2:22" ht="15.75" hidden="1" x14ac:dyDescent="0.2">
      <c r="B2344" s="711">
        <v>46233</v>
      </c>
      <c r="C2344" s="711" t="s">
        <v>18</v>
      </c>
      <c r="D2344" s="711" t="s">
        <v>189</v>
      </c>
      <c r="E2344" s="711">
        <v>46232</v>
      </c>
      <c r="G2344" s="786"/>
      <c r="H2344" s="60" t="s">
        <v>25</v>
      </c>
      <c r="I2344" s="60" t="s">
        <v>18</v>
      </c>
      <c r="J2344" s="60">
        <f>SUM(K2344:P2344)</f>
        <v>4</v>
      </c>
      <c r="K2344" s="60">
        <v>4</v>
      </c>
      <c r="L2344" s="60">
        <v>0</v>
      </c>
      <c r="M2344" s="60">
        <v>0</v>
      </c>
      <c r="N2344" s="312">
        <v>0</v>
      </c>
      <c r="O2344" s="60">
        <v>0</v>
      </c>
      <c r="P2344" s="312">
        <v>0</v>
      </c>
      <c r="Q2344" s="182">
        <f t="shared" ref="Q2344" si="2905">(K2344+L2344)/J2344</f>
        <v>1</v>
      </c>
      <c r="R2344" s="183">
        <f t="shared" ref="R2344" si="2906">N2344/J2344</f>
        <v>0</v>
      </c>
      <c r="S2344" s="183">
        <f t="shared" ref="S2344" si="2907">P2344/J2344</f>
        <v>0</v>
      </c>
      <c r="T2344" s="183">
        <f t="shared" ref="T2344" si="2908">O2344/J2344</f>
        <v>0</v>
      </c>
      <c r="U2344" s="184">
        <f t="shared" ref="U2344" si="2909">S2344+R2344+Q2344+T2344</f>
        <v>1</v>
      </c>
      <c r="V2344" s="385"/>
    </row>
    <row r="2345" spans="2:22" ht="15.75" hidden="1" x14ac:dyDescent="0.2">
      <c r="B2345" s="711">
        <v>46233</v>
      </c>
      <c r="C2345" s="711" t="s">
        <v>18</v>
      </c>
      <c r="D2345" s="711" t="s">
        <v>189</v>
      </c>
      <c r="E2345" s="711">
        <v>46232</v>
      </c>
      <c r="G2345" s="779"/>
      <c r="H2345" s="60" t="s">
        <v>120</v>
      </c>
      <c r="I2345" s="60" t="s">
        <v>18</v>
      </c>
      <c r="J2345" s="60">
        <f>SUM(K2345:P2345)</f>
        <v>2</v>
      </c>
      <c r="K2345" s="60">
        <v>2</v>
      </c>
      <c r="L2345" s="60">
        <v>0</v>
      </c>
      <c r="M2345" s="60">
        <v>0</v>
      </c>
      <c r="N2345" s="312">
        <v>0</v>
      </c>
      <c r="O2345" s="60">
        <v>0</v>
      </c>
      <c r="P2345" s="312">
        <v>0</v>
      </c>
      <c r="Q2345" s="182">
        <f t="shared" si="2904"/>
        <v>1</v>
      </c>
      <c r="R2345" s="183">
        <f t="shared" si="2899"/>
        <v>0</v>
      </c>
      <c r="S2345" s="183">
        <f t="shared" si="2900"/>
        <v>0</v>
      </c>
      <c r="T2345" s="183">
        <f t="shared" si="2901"/>
        <v>0</v>
      </c>
      <c r="U2345" s="184">
        <f t="shared" si="2902"/>
        <v>1</v>
      </c>
      <c r="V2345" s="385"/>
    </row>
    <row r="2346" spans="2:22" ht="15.75" hidden="1" x14ac:dyDescent="0.2">
      <c r="B2346" s="711">
        <v>46233</v>
      </c>
      <c r="C2346" s="711" t="s">
        <v>18</v>
      </c>
      <c r="D2346" s="711" t="s">
        <v>189</v>
      </c>
      <c r="E2346" s="711">
        <v>46232</v>
      </c>
      <c r="G2346" s="770">
        <v>46234</v>
      </c>
      <c r="H2346" s="60" t="s">
        <v>17</v>
      </c>
      <c r="I2346" s="60" t="s">
        <v>106</v>
      </c>
      <c r="J2346" s="60">
        <v>197</v>
      </c>
      <c r="K2346" s="60">
        <v>103</v>
      </c>
      <c r="L2346" s="60">
        <v>24</v>
      </c>
      <c r="M2346" s="60">
        <v>0</v>
      </c>
      <c r="N2346" s="312">
        <v>11</v>
      </c>
      <c r="O2346" s="60">
        <v>27</v>
      </c>
      <c r="P2346" s="312">
        <v>12</v>
      </c>
      <c r="Q2346" s="182">
        <f t="shared" si="2904"/>
        <v>0.64467005076142136</v>
      </c>
      <c r="R2346" s="183">
        <f t="shared" si="2899"/>
        <v>5.5837563451776651E-2</v>
      </c>
      <c r="S2346" s="183">
        <f t="shared" si="2900"/>
        <v>6.0913705583756347E-2</v>
      </c>
      <c r="T2346" s="183">
        <f t="shared" si="2901"/>
        <v>0.13705583756345177</v>
      </c>
      <c r="U2346" s="184">
        <f t="shared" si="2902"/>
        <v>0.89847715736040612</v>
      </c>
      <c r="V2346" s="385"/>
    </row>
    <row r="2347" spans="2:22" ht="15.75" hidden="1" x14ac:dyDescent="0.2">
      <c r="B2347" s="711">
        <v>46233</v>
      </c>
      <c r="C2347" s="711" t="s">
        <v>18</v>
      </c>
      <c r="D2347" s="711" t="s">
        <v>189</v>
      </c>
      <c r="E2347" s="711">
        <v>46232</v>
      </c>
      <c r="G2347" s="772"/>
      <c r="H2347" s="60" t="s">
        <v>14</v>
      </c>
      <c r="I2347" s="60" t="s">
        <v>105</v>
      </c>
      <c r="J2347" s="60">
        <v>157</v>
      </c>
      <c r="K2347" s="60">
        <v>32</v>
      </c>
      <c r="L2347" s="60">
        <v>19</v>
      </c>
      <c r="M2347" s="60">
        <v>75</v>
      </c>
      <c r="N2347" s="312">
        <v>50</v>
      </c>
      <c r="O2347" s="60">
        <v>10</v>
      </c>
      <c r="P2347" s="312">
        <v>3</v>
      </c>
      <c r="Q2347" s="182">
        <f t="shared" si="2904"/>
        <v>0.32484076433121017</v>
      </c>
      <c r="R2347" s="183">
        <f t="shared" si="2899"/>
        <v>0.31847133757961782</v>
      </c>
      <c r="S2347" s="183">
        <f t="shared" si="2900"/>
        <v>1.9108280254777069E-2</v>
      </c>
      <c r="T2347" s="183">
        <f t="shared" si="2901"/>
        <v>6.3694267515923567E-2</v>
      </c>
      <c r="U2347" s="184">
        <f t="shared" si="2902"/>
        <v>0.72611464968152861</v>
      </c>
      <c r="V2347" s="385"/>
    </row>
    <row r="2348" spans="2:22" ht="15.75" hidden="1" x14ac:dyDescent="0.2">
      <c r="B2348" s="711">
        <v>46233</v>
      </c>
      <c r="C2348" s="711" t="s">
        <v>18</v>
      </c>
      <c r="D2348" s="711" t="s">
        <v>189</v>
      </c>
      <c r="E2348" s="711">
        <v>46232</v>
      </c>
      <c r="G2348" s="396"/>
      <c r="H2348" s="775" t="s">
        <v>19</v>
      </c>
      <c r="I2348" s="777"/>
      <c r="J2348" s="190">
        <f t="shared" ref="J2348:P2348" si="2910">SUM(J2343:J2347)</f>
        <v>392</v>
      </c>
      <c r="K2348" s="190">
        <f t="shared" si="2910"/>
        <v>165</v>
      </c>
      <c r="L2348" s="190">
        <f t="shared" si="2910"/>
        <v>50</v>
      </c>
      <c r="M2348" s="190">
        <f t="shared" si="2910"/>
        <v>75</v>
      </c>
      <c r="N2348" s="190">
        <f t="shared" si="2910"/>
        <v>61</v>
      </c>
      <c r="O2348" s="190">
        <f t="shared" si="2910"/>
        <v>37</v>
      </c>
      <c r="P2348" s="190">
        <f t="shared" si="2910"/>
        <v>16</v>
      </c>
      <c r="Q2348" s="191">
        <f>(K2348+L2348)/J2348</f>
        <v>0.54846938775510201</v>
      </c>
      <c r="R2348" s="192">
        <f t="shared" si="2899"/>
        <v>0.15561224489795919</v>
      </c>
      <c r="S2348" s="192">
        <f t="shared" si="2900"/>
        <v>4.0816326530612242E-2</v>
      </c>
      <c r="T2348" s="192">
        <f t="shared" si="2901"/>
        <v>9.438775510204081E-2</v>
      </c>
      <c r="U2348" s="193">
        <f t="shared" si="2902"/>
        <v>0.83928571428571419</v>
      </c>
      <c r="V2348" s="385"/>
    </row>
    <row r="2349" spans="2:22" ht="15.75" hidden="1" x14ac:dyDescent="0.2">
      <c r="B2349" s="711">
        <v>46234</v>
      </c>
      <c r="C2349" s="711" t="s">
        <v>22</v>
      </c>
      <c r="D2349" s="711" t="s">
        <v>13</v>
      </c>
      <c r="E2349" s="711">
        <v>46234</v>
      </c>
      <c r="G2349" s="770">
        <v>46234</v>
      </c>
      <c r="H2349" s="60" t="s">
        <v>75</v>
      </c>
      <c r="I2349" s="60" t="s">
        <v>15</v>
      </c>
      <c r="J2349" s="60">
        <v>243</v>
      </c>
      <c r="K2349" s="60">
        <f>243-81</f>
        <v>162</v>
      </c>
      <c r="L2349" s="60">
        <v>61</v>
      </c>
      <c r="M2349" s="60">
        <v>0</v>
      </c>
      <c r="N2349" s="312">
        <v>0</v>
      </c>
      <c r="O2349" s="60">
        <v>20</v>
      </c>
      <c r="P2349" s="312">
        <v>0</v>
      </c>
      <c r="Q2349" s="182">
        <f t="shared" ref="Q2349:Q2351" si="2911">(K2349+L2349)/J2349</f>
        <v>0.91769547325102885</v>
      </c>
      <c r="R2349" s="183">
        <f t="shared" ref="R2349:R2352" si="2912">N2349/J2349</f>
        <v>0</v>
      </c>
      <c r="S2349" s="183">
        <f t="shared" ref="S2349:S2352" si="2913">P2349/J2349</f>
        <v>0</v>
      </c>
      <c r="T2349" s="183">
        <f t="shared" ref="T2349:T2352" si="2914">O2349/J2349</f>
        <v>8.2304526748971193E-2</v>
      </c>
      <c r="U2349" s="184">
        <f t="shared" ref="U2349:U2352" si="2915">S2349+R2349+Q2349+T2349</f>
        <v>1</v>
      </c>
      <c r="V2349" s="385"/>
    </row>
    <row r="2350" spans="2:22" ht="15.75" hidden="1" x14ac:dyDescent="0.2">
      <c r="B2350" s="711">
        <v>46234</v>
      </c>
      <c r="C2350" s="711" t="s">
        <v>22</v>
      </c>
      <c r="D2350" s="711" t="s">
        <v>13</v>
      </c>
      <c r="E2350" s="711">
        <v>46234</v>
      </c>
      <c r="G2350" s="771"/>
      <c r="H2350" s="60" t="s">
        <v>17</v>
      </c>
      <c r="I2350" s="60" t="s">
        <v>106</v>
      </c>
      <c r="J2350" s="60">
        <v>193</v>
      </c>
      <c r="K2350" s="60">
        <v>117</v>
      </c>
      <c r="L2350" s="60">
        <v>35</v>
      </c>
      <c r="M2350" s="60">
        <v>3</v>
      </c>
      <c r="N2350" s="312">
        <v>0</v>
      </c>
      <c r="O2350" s="60">
        <v>30</v>
      </c>
      <c r="P2350" s="312">
        <v>8</v>
      </c>
      <c r="Q2350" s="182">
        <f t="shared" si="2911"/>
        <v>0.78756476683937826</v>
      </c>
      <c r="R2350" s="183">
        <f t="shared" si="2912"/>
        <v>0</v>
      </c>
      <c r="S2350" s="183">
        <f t="shared" si="2913"/>
        <v>4.145077720207254E-2</v>
      </c>
      <c r="T2350" s="183">
        <f t="shared" si="2914"/>
        <v>0.15544041450777202</v>
      </c>
      <c r="U2350" s="184">
        <f t="shared" si="2915"/>
        <v>0.98445595854922285</v>
      </c>
      <c r="V2350" s="385"/>
    </row>
    <row r="2351" spans="2:22" ht="15.75" hidden="1" x14ac:dyDescent="0.2">
      <c r="B2351" s="711">
        <v>46234</v>
      </c>
      <c r="C2351" s="711" t="s">
        <v>22</v>
      </c>
      <c r="D2351" s="711" t="s">
        <v>13</v>
      </c>
      <c r="E2351" s="711">
        <v>46234</v>
      </c>
      <c r="G2351" s="772"/>
      <c r="H2351" s="60" t="s">
        <v>14</v>
      </c>
      <c r="I2351" s="60" t="s">
        <v>105</v>
      </c>
      <c r="J2351" s="60">
        <v>173</v>
      </c>
      <c r="K2351" s="60">
        <v>72</v>
      </c>
      <c r="L2351" s="60">
        <v>34</v>
      </c>
      <c r="M2351" s="60">
        <v>47</v>
      </c>
      <c r="N2351" s="312">
        <v>7</v>
      </c>
      <c r="O2351" s="60">
        <v>10</v>
      </c>
      <c r="P2351" s="312">
        <v>3</v>
      </c>
      <c r="Q2351" s="182">
        <f t="shared" si="2911"/>
        <v>0.61271676300578037</v>
      </c>
      <c r="R2351" s="183">
        <f t="shared" si="2912"/>
        <v>4.046242774566474E-2</v>
      </c>
      <c r="S2351" s="183">
        <f t="shared" si="2913"/>
        <v>1.7341040462427744E-2</v>
      </c>
      <c r="T2351" s="183">
        <f t="shared" si="2914"/>
        <v>5.7803468208092484E-2</v>
      </c>
      <c r="U2351" s="184">
        <f t="shared" si="2915"/>
        <v>0.72832369942196529</v>
      </c>
      <c r="V2351" s="385"/>
    </row>
    <row r="2352" spans="2:22" ht="15.75" hidden="1" x14ac:dyDescent="0.2">
      <c r="B2352" s="711">
        <v>46234</v>
      </c>
      <c r="C2352" s="711" t="s">
        <v>22</v>
      </c>
      <c r="D2352" s="711" t="s">
        <v>13</v>
      </c>
      <c r="E2352" s="711">
        <v>46234</v>
      </c>
      <c r="G2352" s="396"/>
      <c r="H2352" s="775" t="s">
        <v>19</v>
      </c>
      <c r="I2352" s="777"/>
      <c r="J2352" s="190">
        <f>SUM(J2346:J2351)</f>
        <v>1355</v>
      </c>
      <c r="K2352" s="190">
        <f t="shared" ref="K2352:P2352" si="2916">SUM(K2346:K2351)</f>
        <v>651</v>
      </c>
      <c r="L2352" s="190">
        <f t="shared" si="2916"/>
        <v>223</v>
      </c>
      <c r="M2352" s="190">
        <f t="shared" si="2916"/>
        <v>200</v>
      </c>
      <c r="N2352" s="190">
        <f t="shared" si="2916"/>
        <v>129</v>
      </c>
      <c r="O2352" s="190">
        <f t="shared" si="2916"/>
        <v>134</v>
      </c>
      <c r="P2352" s="190">
        <f t="shared" si="2916"/>
        <v>42</v>
      </c>
      <c r="Q2352" s="191">
        <f>(K2352+L2352)/J2352</f>
        <v>0.64501845018450188</v>
      </c>
      <c r="R2352" s="192">
        <f t="shared" si="2912"/>
        <v>9.5202952029520296E-2</v>
      </c>
      <c r="S2352" s="192">
        <f t="shared" si="2913"/>
        <v>3.0996309963099631E-2</v>
      </c>
      <c r="T2352" s="192">
        <f t="shared" si="2914"/>
        <v>9.8892988929889306E-2</v>
      </c>
      <c r="U2352" s="193">
        <f t="shared" si="2915"/>
        <v>0.87011070110701105</v>
      </c>
      <c r="V2352" s="385"/>
    </row>
    <row r="2353" spans="2:22" ht="15.75" hidden="1" x14ac:dyDescent="0.2">
      <c r="B2353" s="711">
        <v>46234</v>
      </c>
      <c r="C2353" s="711" t="s">
        <v>22</v>
      </c>
      <c r="D2353" s="711" t="s">
        <v>13</v>
      </c>
      <c r="E2353" s="711">
        <v>46235</v>
      </c>
      <c r="G2353" s="770">
        <v>46235</v>
      </c>
      <c r="H2353" s="60" t="s">
        <v>75</v>
      </c>
      <c r="I2353" s="60" t="s">
        <v>15</v>
      </c>
      <c r="J2353" s="60">
        <v>213</v>
      </c>
      <c r="K2353" s="60">
        <v>70</v>
      </c>
      <c r="L2353" s="60">
        <v>26</v>
      </c>
      <c r="M2353" s="60">
        <v>25</v>
      </c>
      <c r="N2353" s="312">
        <v>72</v>
      </c>
      <c r="O2353" s="60">
        <v>20</v>
      </c>
      <c r="P2353" s="312">
        <v>0</v>
      </c>
      <c r="Q2353" s="182">
        <f t="shared" ref="Q2353:Q2355" si="2917">(K2353+L2353)/J2353</f>
        <v>0.45070422535211269</v>
      </c>
      <c r="R2353" s="183">
        <f t="shared" ref="R2353:R2360" si="2918">N2353/J2353</f>
        <v>0.3380281690140845</v>
      </c>
      <c r="S2353" s="183">
        <f t="shared" ref="S2353:S2360" si="2919">P2353/J2353</f>
        <v>0</v>
      </c>
      <c r="T2353" s="183">
        <f t="shared" ref="T2353:T2360" si="2920">O2353/J2353</f>
        <v>9.3896713615023469E-2</v>
      </c>
      <c r="U2353" s="184">
        <f t="shared" ref="U2353:U2360" si="2921">S2353+R2353+Q2353+T2353</f>
        <v>0.88262910798122074</v>
      </c>
      <c r="V2353" s="385"/>
    </row>
    <row r="2354" spans="2:22" ht="15.75" hidden="1" x14ac:dyDescent="0.2">
      <c r="B2354" s="711">
        <v>46234</v>
      </c>
      <c r="C2354" s="711" t="s">
        <v>22</v>
      </c>
      <c r="D2354" s="711" t="s">
        <v>13</v>
      </c>
      <c r="E2354" s="711">
        <v>46235</v>
      </c>
      <c r="G2354" s="771"/>
      <c r="H2354" s="60" t="s">
        <v>17</v>
      </c>
      <c r="I2354" s="60" t="s">
        <v>106</v>
      </c>
      <c r="J2354" s="60">
        <v>197</v>
      </c>
      <c r="K2354" s="60">
        <v>0</v>
      </c>
      <c r="L2354" s="60">
        <v>0</v>
      </c>
      <c r="M2354" s="60">
        <v>170</v>
      </c>
      <c r="N2354" s="312">
        <v>0</v>
      </c>
      <c r="O2354" s="60">
        <v>27</v>
      </c>
      <c r="P2354" s="312">
        <v>0</v>
      </c>
      <c r="Q2354" s="182">
        <f t="shared" si="2917"/>
        <v>0</v>
      </c>
      <c r="R2354" s="183">
        <f t="shared" si="2918"/>
        <v>0</v>
      </c>
      <c r="S2354" s="183">
        <f t="shared" si="2919"/>
        <v>0</v>
      </c>
      <c r="T2354" s="183">
        <f t="shared" si="2920"/>
        <v>0.13705583756345177</v>
      </c>
      <c r="U2354" s="184">
        <f t="shared" si="2921"/>
        <v>0.13705583756345177</v>
      </c>
      <c r="V2354" s="385"/>
    </row>
    <row r="2355" spans="2:22" ht="15.75" hidden="1" x14ac:dyDescent="0.2">
      <c r="B2355" s="711">
        <v>46234</v>
      </c>
      <c r="C2355" s="711" t="s">
        <v>22</v>
      </c>
      <c r="D2355" s="711" t="s">
        <v>13</v>
      </c>
      <c r="E2355" s="711">
        <v>46235</v>
      </c>
      <c r="G2355" s="772"/>
      <c r="H2355" s="60" t="s">
        <v>25</v>
      </c>
      <c r="I2355" s="60" t="s">
        <v>105</v>
      </c>
      <c r="J2355" s="60">
        <v>164</v>
      </c>
      <c r="K2355" s="60">
        <v>0</v>
      </c>
      <c r="L2355" s="60">
        <v>0</v>
      </c>
      <c r="M2355" s="60">
        <v>144</v>
      </c>
      <c r="N2355" s="312">
        <v>0</v>
      </c>
      <c r="O2355" s="60">
        <v>20</v>
      </c>
      <c r="P2355" s="312">
        <v>0</v>
      </c>
      <c r="Q2355" s="182">
        <f t="shared" si="2917"/>
        <v>0</v>
      </c>
      <c r="R2355" s="183">
        <f t="shared" si="2918"/>
        <v>0</v>
      </c>
      <c r="S2355" s="183">
        <f t="shared" si="2919"/>
        <v>0</v>
      </c>
      <c r="T2355" s="183">
        <f t="shared" si="2920"/>
        <v>0.12195121951219512</v>
      </c>
      <c r="U2355" s="184">
        <f t="shared" si="2921"/>
        <v>0.12195121951219512</v>
      </c>
      <c r="V2355" s="385"/>
    </row>
    <row r="2356" spans="2:22" ht="15.75" hidden="1" x14ac:dyDescent="0.2">
      <c r="B2356" s="711">
        <v>46234</v>
      </c>
      <c r="C2356" s="711" t="s">
        <v>22</v>
      </c>
      <c r="D2356" s="711" t="s">
        <v>13</v>
      </c>
      <c r="E2356" s="711">
        <v>46235</v>
      </c>
      <c r="G2356" s="396"/>
      <c r="H2356" s="775" t="s">
        <v>19</v>
      </c>
      <c r="I2356" s="777"/>
      <c r="J2356" s="190">
        <f>SUM(J2350:J2355)</f>
        <v>2295</v>
      </c>
      <c r="K2356" s="190">
        <f t="shared" ref="K2356:P2356" si="2922">SUM(K2350:K2355)</f>
        <v>910</v>
      </c>
      <c r="L2356" s="190">
        <f t="shared" si="2922"/>
        <v>318</v>
      </c>
      <c r="M2356" s="190">
        <f t="shared" si="2922"/>
        <v>589</v>
      </c>
      <c r="N2356" s="190">
        <f t="shared" si="2922"/>
        <v>208</v>
      </c>
      <c r="O2356" s="190">
        <f t="shared" si="2922"/>
        <v>241</v>
      </c>
      <c r="P2356" s="190">
        <f t="shared" si="2922"/>
        <v>53</v>
      </c>
      <c r="Q2356" s="191">
        <f>(K2356+L2356)/J2356</f>
        <v>0.5350762527233115</v>
      </c>
      <c r="R2356" s="192">
        <f t="shared" si="2918"/>
        <v>9.0631808278867104E-2</v>
      </c>
      <c r="S2356" s="192">
        <f t="shared" si="2919"/>
        <v>2.3093681917211329E-2</v>
      </c>
      <c r="T2356" s="192">
        <f t="shared" si="2920"/>
        <v>0.10501089324618737</v>
      </c>
      <c r="U2356" s="193">
        <f t="shared" si="2921"/>
        <v>0.75381263616557737</v>
      </c>
      <c r="V2356" s="385"/>
    </row>
    <row r="2357" spans="2:22" ht="15.75" hidden="1" x14ac:dyDescent="0.2">
      <c r="B2357" s="711">
        <v>46234</v>
      </c>
      <c r="C2357" s="711" t="s">
        <v>106</v>
      </c>
      <c r="D2357" s="711" t="s">
        <v>13</v>
      </c>
      <c r="E2357" s="711">
        <v>46234</v>
      </c>
      <c r="G2357" s="770">
        <v>46234</v>
      </c>
      <c r="H2357" s="60" t="s">
        <v>75</v>
      </c>
      <c r="I2357" s="60" t="s">
        <v>15</v>
      </c>
      <c r="J2357" s="60">
        <v>243</v>
      </c>
      <c r="K2357" s="60">
        <f>243-61-20</f>
        <v>162</v>
      </c>
      <c r="L2357" s="60">
        <v>61</v>
      </c>
      <c r="M2357" s="60">
        <v>0</v>
      </c>
      <c r="N2357" s="312">
        <v>0</v>
      </c>
      <c r="O2357" s="60">
        <v>20</v>
      </c>
      <c r="P2357" s="312">
        <v>0</v>
      </c>
      <c r="Q2357" s="182">
        <f t="shared" ref="Q2357:Q2359" si="2923">(K2357+L2357)/J2357</f>
        <v>0.91769547325102885</v>
      </c>
      <c r="R2357" s="183">
        <f t="shared" si="2918"/>
        <v>0</v>
      </c>
      <c r="S2357" s="183">
        <f t="shared" si="2919"/>
        <v>0</v>
      </c>
      <c r="T2357" s="183">
        <f t="shared" si="2920"/>
        <v>8.2304526748971193E-2</v>
      </c>
      <c r="U2357" s="184">
        <f t="shared" si="2921"/>
        <v>1</v>
      </c>
      <c r="V2357" s="385"/>
    </row>
    <row r="2358" spans="2:22" ht="15.75" hidden="1" x14ac:dyDescent="0.2">
      <c r="B2358" s="711">
        <v>46234</v>
      </c>
      <c r="C2358" s="711" t="s">
        <v>106</v>
      </c>
      <c r="D2358" s="711" t="s">
        <v>13</v>
      </c>
      <c r="E2358" s="711">
        <v>46234</v>
      </c>
      <c r="G2358" s="771"/>
      <c r="H2358" s="60" t="s">
        <v>17</v>
      </c>
      <c r="I2358" s="60" t="s">
        <v>106</v>
      </c>
      <c r="J2358" s="60">
        <v>193</v>
      </c>
      <c r="K2358" s="60">
        <f>193-35-30-8</f>
        <v>120</v>
      </c>
      <c r="L2358" s="60">
        <v>35</v>
      </c>
      <c r="M2358" s="60">
        <v>0</v>
      </c>
      <c r="N2358" s="312">
        <v>0</v>
      </c>
      <c r="O2358" s="60">
        <v>30</v>
      </c>
      <c r="P2358" s="312">
        <v>8</v>
      </c>
      <c r="Q2358" s="182">
        <f t="shared" si="2923"/>
        <v>0.80310880829015541</v>
      </c>
      <c r="R2358" s="183">
        <f t="shared" si="2918"/>
        <v>0</v>
      </c>
      <c r="S2358" s="183">
        <f t="shared" si="2919"/>
        <v>4.145077720207254E-2</v>
      </c>
      <c r="T2358" s="183">
        <f t="shared" si="2920"/>
        <v>0.15544041450777202</v>
      </c>
      <c r="U2358" s="184">
        <f t="shared" si="2921"/>
        <v>1</v>
      </c>
      <c r="V2358" s="385"/>
    </row>
    <row r="2359" spans="2:22" ht="15.75" hidden="1" x14ac:dyDescent="0.2">
      <c r="B2359" s="711">
        <v>46234</v>
      </c>
      <c r="C2359" s="711" t="s">
        <v>106</v>
      </c>
      <c r="D2359" s="711" t="s">
        <v>13</v>
      </c>
      <c r="E2359" s="711">
        <v>46234</v>
      </c>
      <c r="G2359" s="772"/>
      <c r="H2359" s="60" t="s">
        <v>14</v>
      </c>
      <c r="I2359" s="60" t="s">
        <v>105</v>
      </c>
      <c r="J2359" s="60">
        <v>173</v>
      </c>
      <c r="K2359" s="60">
        <f>173-34-10-10-3</f>
        <v>116</v>
      </c>
      <c r="L2359" s="60">
        <v>34</v>
      </c>
      <c r="M2359" s="60">
        <v>10</v>
      </c>
      <c r="N2359" s="312">
        <v>0</v>
      </c>
      <c r="O2359" s="60">
        <v>10</v>
      </c>
      <c r="P2359" s="312">
        <v>3</v>
      </c>
      <c r="Q2359" s="182">
        <f t="shared" si="2923"/>
        <v>0.86705202312138729</v>
      </c>
      <c r="R2359" s="183">
        <f t="shared" si="2918"/>
        <v>0</v>
      </c>
      <c r="S2359" s="183">
        <f t="shared" si="2919"/>
        <v>1.7341040462427744E-2</v>
      </c>
      <c r="T2359" s="183">
        <f t="shared" si="2920"/>
        <v>5.7803468208092484E-2</v>
      </c>
      <c r="U2359" s="184">
        <f t="shared" si="2921"/>
        <v>0.94219653179190754</v>
      </c>
      <c r="V2359" s="385"/>
    </row>
    <row r="2360" spans="2:22" ht="15.75" hidden="1" x14ac:dyDescent="0.2">
      <c r="B2360" s="711">
        <v>46234</v>
      </c>
      <c r="C2360" s="711" t="s">
        <v>106</v>
      </c>
      <c r="D2360" s="711" t="s">
        <v>13</v>
      </c>
      <c r="E2360" s="711">
        <v>46234</v>
      </c>
      <c r="G2360" s="396"/>
      <c r="H2360" s="775" t="s">
        <v>19</v>
      </c>
      <c r="I2360" s="777"/>
      <c r="J2360" s="190">
        <f>SUM(J2354:J2359)</f>
        <v>3265</v>
      </c>
      <c r="K2360" s="190">
        <f t="shared" ref="K2360:P2360" si="2924">SUM(K2354:K2359)</f>
        <v>1308</v>
      </c>
      <c r="L2360" s="190">
        <f t="shared" si="2924"/>
        <v>448</v>
      </c>
      <c r="M2360" s="190">
        <f t="shared" si="2924"/>
        <v>913</v>
      </c>
      <c r="N2360" s="190">
        <f t="shared" si="2924"/>
        <v>208</v>
      </c>
      <c r="O2360" s="190">
        <f t="shared" si="2924"/>
        <v>348</v>
      </c>
      <c r="P2360" s="190">
        <f t="shared" si="2924"/>
        <v>64</v>
      </c>
      <c r="Q2360" s="191">
        <f>(K2360+L2360)/J2360</f>
        <v>0.53782542113323129</v>
      </c>
      <c r="R2360" s="192">
        <f t="shared" si="2918"/>
        <v>6.370597243491577E-2</v>
      </c>
      <c r="S2360" s="192">
        <f t="shared" si="2919"/>
        <v>1.9601837672281776E-2</v>
      </c>
      <c r="T2360" s="192">
        <f t="shared" si="2920"/>
        <v>0.10658499234303216</v>
      </c>
      <c r="U2360" s="193">
        <f t="shared" si="2921"/>
        <v>0.72771822358346105</v>
      </c>
      <c r="V2360" s="385"/>
    </row>
    <row r="2361" spans="2:22" ht="15.75" hidden="1" x14ac:dyDescent="0.2">
      <c r="B2361" s="711">
        <v>46234</v>
      </c>
      <c r="C2361" s="711" t="s">
        <v>106</v>
      </c>
      <c r="D2361" s="711" t="s">
        <v>13</v>
      </c>
      <c r="E2361" s="711">
        <v>46235</v>
      </c>
      <c r="G2361" s="770">
        <v>46235</v>
      </c>
      <c r="H2361" s="60" t="s">
        <v>75</v>
      </c>
      <c r="I2361" s="60" t="s">
        <v>15</v>
      </c>
      <c r="J2361" s="60">
        <v>213</v>
      </c>
      <c r="K2361" s="60">
        <f>213-26-15-31-20</f>
        <v>121</v>
      </c>
      <c r="L2361" s="60">
        <v>26</v>
      </c>
      <c r="M2361" s="60">
        <v>15</v>
      </c>
      <c r="N2361" s="312">
        <v>31</v>
      </c>
      <c r="O2361" s="60">
        <v>20</v>
      </c>
      <c r="P2361" s="312">
        <v>0</v>
      </c>
      <c r="Q2361" s="182">
        <f>(K2361+L2361)/J2361</f>
        <v>0.6901408450704225</v>
      </c>
      <c r="R2361" s="183">
        <f>N2361/J2361</f>
        <v>0.14553990610328638</v>
      </c>
      <c r="S2361" s="183">
        <f t="shared" ref="S2361:S2368" si="2925">P2361/J2361</f>
        <v>0</v>
      </c>
      <c r="T2361" s="183">
        <f t="shared" ref="T2361:T2368" si="2926">O2361/J2361</f>
        <v>9.3896713615023469E-2</v>
      </c>
      <c r="U2361" s="184">
        <f>S2361+R2361+Q2361+T2361</f>
        <v>0.92957746478873238</v>
      </c>
      <c r="V2361" s="385"/>
    </row>
    <row r="2362" spans="2:22" ht="15.75" hidden="1" x14ac:dyDescent="0.2">
      <c r="B2362" s="711">
        <v>46234</v>
      </c>
      <c r="C2362" s="711" t="s">
        <v>106</v>
      </c>
      <c r="D2362" s="711" t="s">
        <v>13</v>
      </c>
      <c r="E2362" s="711">
        <v>46235</v>
      </c>
      <c r="G2362" s="771"/>
      <c r="H2362" s="60" t="s">
        <v>17</v>
      </c>
      <c r="I2362" s="60" t="s">
        <v>106</v>
      </c>
      <c r="J2362" s="60">
        <v>197</v>
      </c>
      <c r="K2362" s="60">
        <v>0</v>
      </c>
      <c r="L2362" s="60">
        <v>0</v>
      </c>
      <c r="M2362" s="60">
        <v>170</v>
      </c>
      <c r="N2362" s="312">
        <v>0</v>
      </c>
      <c r="O2362" s="60">
        <v>27</v>
      </c>
      <c r="P2362" s="312">
        <v>0</v>
      </c>
      <c r="Q2362" s="182">
        <f t="shared" ref="Q2362:Q2363" si="2927">(K2362+L2362)/J2362</f>
        <v>0</v>
      </c>
      <c r="R2362" s="183">
        <f t="shared" ref="R2362:R2368" si="2928">N2362/J2362</f>
        <v>0</v>
      </c>
      <c r="S2362" s="183">
        <f t="shared" si="2925"/>
        <v>0</v>
      </c>
      <c r="T2362" s="183">
        <f t="shared" si="2926"/>
        <v>0.13705583756345177</v>
      </c>
      <c r="U2362" s="184">
        <f t="shared" ref="U2362:U2368" si="2929">S2362+R2362+Q2362+T2362</f>
        <v>0.13705583756345177</v>
      </c>
      <c r="V2362" s="385"/>
    </row>
    <row r="2363" spans="2:22" ht="15.75" hidden="1" x14ac:dyDescent="0.2">
      <c r="B2363" s="711">
        <v>46234</v>
      </c>
      <c r="C2363" s="711" t="s">
        <v>106</v>
      </c>
      <c r="D2363" s="711" t="s">
        <v>13</v>
      </c>
      <c r="E2363" s="711">
        <v>46235</v>
      </c>
      <c r="G2363" s="772"/>
      <c r="H2363" s="60" t="s">
        <v>25</v>
      </c>
      <c r="I2363" s="60" t="s">
        <v>105</v>
      </c>
      <c r="J2363" s="60">
        <v>164</v>
      </c>
      <c r="K2363" s="60">
        <v>0</v>
      </c>
      <c r="L2363" s="60">
        <v>0</v>
      </c>
      <c r="M2363" s="60">
        <v>144</v>
      </c>
      <c r="N2363" s="312">
        <v>0</v>
      </c>
      <c r="O2363" s="60">
        <v>20</v>
      </c>
      <c r="P2363" s="312">
        <v>0</v>
      </c>
      <c r="Q2363" s="182">
        <f t="shared" si="2927"/>
        <v>0</v>
      </c>
      <c r="R2363" s="183">
        <f t="shared" si="2928"/>
        <v>0</v>
      </c>
      <c r="S2363" s="183">
        <f t="shared" si="2925"/>
        <v>0</v>
      </c>
      <c r="T2363" s="183">
        <f t="shared" si="2926"/>
        <v>0.12195121951219512</v>
      </c>
      <c r="U2363" s="184">
        <f t="shared" si="2929"/>
        <v>0.12195121951219512</v>
      </c>
      <c r="V2363" s="385"/>
    </row>
    <row r="2364" spans="2:22" ht="15.75" hidden="1" x14ac:dyDescent="0.2">
      <c r="B2364" s="711">
        <v>46234</v>
      </c>
      <c r="C2364" s="711" t="s">
        <v>106</v>
      </c>
      <c r="D2364" s="711" t="s">
        <v>13</v>
      </c>
      <c r="E2364" s="711">
        <v>46235</v>
      </c>
      <c r="G2364" s="396"/>
      <c r="H2364" s="775" t="s">
        <v>19</v>
      </c>
      <c r="I2364" s="777"/>
      <c r="J2364" s="190">
        <f>SUM(J2358:J2363)</f>
        <v>4205</v>
      </c>
      <c r="K2364" s="190">
        <f t="shared" ref="K2364:P2364" si="2930">SUM(K2358:K2363)</f>
        <v>1665</v>
      </c>
      <c r="L2364" s="190">
        <f t="shared" si="2930"/>
        <v>543</v>
      </c>
      <c r="M2364" s="190">
        <f t="shared" si="2930"/>
        <v>1252</v>
      </c>
      <c r="N2364" s="190">
        <f t="shared" si="2930"/>
        <v>239</v>
      </c>
      <c r="O2364" s="190">
        <f t="shared" si="2930"/>
        <v>455</v>
      </c>
      <c r="P2364" s="190">
        <f t="shared" si="2930"/>
        <v>75</v>
      </c>
      <c r="Q2364" s="191">
        <f>(K2364+L2364)/J2364</f>
        <v>0.52508917954815693</v>
      </c>
      <c r="R2364" s="192">
        <f t="shared" si="2928"/>
        <v>5.6837098692033294E-2</v>
      </c>
      <c r="S2364" s="192">
        <f t="shared" si="2925"/>
        <v>1.78359096313912E-2</v>
      </c>
      <c r="T2364" s="192">
        <f t="shared" si="2926"/>
        <v>0.10820451843043995</v>
      </c>
      <c r="U2364" s="193">
        <f t="shared" si="2929"/>
        <v>0.70796670630202141</v>
      </c>
      <c r="V2364" s="385"/>
    </row>
    <row r="2365" spans="2:22" ht="15.75" hidden="1" x14ac:dyDescent="0.2">
      <c r="B2365" s="711">
        <v>46234</v>
      </c>
      <c r="C2365" s="711" t="s">
        <v>12</v>
      </c>
      <c r="D2365" s="711" t="s">
        <v>163</v>
      </c>
      <c r="E2365" s="711">
        <v>46234</v>
      </c>
      <c r="G2365" s="770">
        <v>46234</v>
      </c>
      <c r="H2365" s="60" t="s">
        <v>75</v>
      </c>
      <c r="I2365" s="60" t="s">
        <v>15</v>
      </c>
      <c r="J2365" s="60">
        <v>243</v>
      </c>
      <c r="K2365" s="60">
        <f>243-61-20</f>
        <v>162</v>
      </c>
      <c r="L2365" s="60">
        <v>61</v>
      </c>
      <c r="M2365" s="60">
        <v>0</v>
      </c>
      <c r="N2365" s="312">
        <v>0</v>
      </c>
      <c r="O2365" s="60">
        <v>20</v>
      </c>
      <c r="P2365" s="312">
        <v>0</v>
      </c>
      <c r="Q2365" s="182">
        <f t="shared" ref="Q2365:Q2367" si="2931">(K2365+L2365)/J2365</f>
        <v>0.91769547325102885</v>
      </c>
      <c r="R2365" s="183">
        <f t="shared" si="2928"/>
        <v>0</v>
      </c>
      <c r="S2365" s="183">
        <f t="shared" si="2925"/>
        <v>0</v>
      </c>
      <c r="T2365" s="183">
        <f t="shared" si="2926"/>
        <v>8.2304526748971193E-2</v>
      </c>
      <c r="U2365" s="184">
        <f t="shared" si="2929"/>
        <v>1</v>
      </c>
    </row>
    <row r="2366" spans="2:22" ht="15.75" hidden="1" x14ac:dyDescent="0.2">
      <c r="B2366" s="711">
        <v>46234</v>
      </c>
      <c r="C2366" s="711" t="s">
        <v>12</v>
      </c>
      <c r="D2366" s="711" t="s">
        <v>163</v>
      </c>
      <c r="E2366" s="711">
        <v>46234</v>
      </c>
      <c r="G2366" s="771"/>
      <c r="H2366" s="60" t="s">
        <v>17</v>
      </c>
      <c r="I2366" s="60" t="s">
        <v>106</v>
      </c>
      <c r="J2366" s="60">
        <v>193</v>
      </c>
      <c r="K2366" s="60">
        <f>193-35-30-8</f>
        <v>120</v>
      </c>
      <c r="L2366" s="60">
        <v>35</v>
      </c>
      <c r="M2366" s="60">
        <v>0</v>
      </c>
      <c r="N2366" s="312">
        <v>0</v>
      </c>
      <c r="O2366" s="60">
        <v>30</v>
      </c>
      <c r="P2366" s="312">
        <v>8</v>
      </c>
      <c r="Q2366" s="182">
        <f t="shared" si="2931"/>
        <v>0.80310880829015541</v>
      </c>
      <c r="R2366" s="183">
        <f t="shared" si="2928"/>
        <v>0</v>
      </c>
      <c r="S2366" s="183">
        <f t="shared" si="2925"/>
        <v>4.145077720207254E-2</v>
      </c>
      <c r="T2366" s="183">
        <f t="shared" si="2926"/>
        <v>0.15544041450777202</v>
      </c>
      <c r="U2366" s="184">
        <f t="shared" si="2929"/>
        <v>1</v>
      </c>
    </row>
    <row r="2367" spans="2:22" ht="15.75" hidden="1" x14ac:dyDescent="0.2">
      <c r="B2367" s="711">
        <v>46234</v>
      </c>
      <c r="C2367" s="711" t="s">
        <v>12</v>
      </c>
      <c r="D2367" s="711" t="s">
        <v>163</v>
      </c>
      <c r="E2367" s="711">
        <v>46234</v>
      </c>
      <c r="G2367" s="772"/>
      <c r="H2367" s="60" t="s">
        <v>14</v>
      </c>
      <c r="I2367" s="60" t="s">
        <v>105</v>
      </c>
      <c r="J2367" s="60">
        <v>173</v>
      </c>
      <c r="K2367" s="60">
        <f>160-34</f>
        <v>126</v>
      </c>
      <c r="L2367" s="60">
        <v>34</v>
      </c>
      <c r="M2367" s="60">
        <v>0</v>
      </c>
      <c r="N2367" s="312">
        <v>0</v>
      </c>
      <c r="O2367" s="60">
        <v>10</v>
      </c>
      <c r="P2367" s="312">
        <v>3</v>
      </c>
      <c r="Q2367" s="182">
        <f t="shared" si="2931"/>
        <v>0.92485549132947975</v>
      </c>
      <c r="R2367" s="183">
        <f t="shared" si="2928"/>
        <v>0</v>
      </c>
      <c r="S2367" s="183">
        <f t="shared" si="2925"/>
        <v>1.7341040462427744E-2</v>
      </c>
      <c r="T2367" s="183">
        <f t="shared" si="2926"/>
        <v>5.7803468208092484E-2</v>
      </c>
      <c r="U2367" s="184">
        <f t="shared" si="2929"/>
        <v>1</v>
      </c>
    </row>
    <row r="2368" spans="2:22" ht="15.75" hidden="1" x14ac:dyDescent="0.2">
      <c r="B2368" s="711">
        <v>46234</v>
      </c>
      <c r="C2368" s="711" t="s">
        <v>12</v>
      </c>
      <c r="D2368" s="711" t="s">
        <v>163</v>
      </c>
      <c r="E2368" s="711">
        <v>46234</v>
      </c>
      <c r="G2368" s="396"/>
      <c r="H2368" s="775" t="s">
        <v>19</v>
      </c>
      <c r="I2368" s="777"/>
      <c r="J2368" s="190">
        <f>SUM(J2362:J2367)</f>
        <v>5175</v>
      </c>
      <c r="K2368" s="190">
        <f t="shared" ref="K2368:P2368" si="2932">SUM(K2362:K2367)</f>
        <v>2073</v>
      </c>
      <c r="L2368" s="190">
        <f t="shared" si="2932"/>
        <v>673</v>
      </c>
      <c r="M2368" s="190">
        <f t="shared" si="2932"/>
        <v>1566</v>
      </c>
      <c r="N2368" s="190">
        <f t="shared" si="2932"/>
        <v>239</v>
      </c>
      <c r="O2368" s="190">
        <f t="shared" si="2932"/>
        <v>562</v>
      </c>
      <c r="P2368" s="190">
        <f t="shared" si="2932"/>
        <v>86</v>
      </c>
      <c r="Q2368" s="191">
        <f>(K2368+L2368)/J2368</f>
        <v>0.53062801932367154</v>
      </c>
      <c r="R2368" s="192">
        <f t="shared" si="2928"/>
        <v>4.618357487922705E-2</v>
      </c>
      <c r="S2368" s="192">
        <f t="shared" si="2925"/>
        <v>1.6618357487922706E-2</v>
      </c>
      <c r="T2368" s="192">
        <f t="shared" si="2926"/>
        <v>0.10859903381642512</v>
      </c>
      <c r="U2368" s="193">
        <f t="shared" si="2929"/>
        <v>0.70202898550724635</v>
      </c>
    </row>
    <row r="2369" spans="2:22" ht="15.75" hidden="1" x14ac:dyDescent="0.2">
      <c r="B2369" s="711">
        <v>46234</v>
      </c>
      <c r="C2369" s="711" t="s">
        <v>12</v>
      </c>
      <c r="D2369" s="711" t="s">
        <v>163</v>
      </c>
      <c r="E2369" s="711">
        <v>46235</v>
      </c>
      <c r="G2369" s="770">
        <v>46235</v>
      </c>
      <c r="H2369" s="60" t="s">
        <v>75</v>
      </c>
      <c r="I2369" s="60" t="s">
        <v>15</v>
      </c>
      <c r="J2369" s="60">
        <v>213</v>
      </c>
      <c r="K2369" s="60">
        <f>213-64-20</f>
        <v>129</v>
      </c>
      <c r="L2369" s="60">
        <v>34</v>
      </c>
      <c r="M2369" s="60">
        <v>0</v>
      </c>
      <c r="N2369" s="312">
        <v>0</v>
      </c>
      <c r="O2369" s="60">
        <v>20</v>
      </c>
      <c r="P2369" s="312">
        <v>0</v>
      </c>
      <c r="Q2369" s="182">
        <f>(K2369+L2369)/J2369</f>
        <v>0.76525821596244137</v>
      </c>
      <c r="R2369" s="183">
        <f>N2369/J2369</f>
        <v>0</v>
      </c>
      <c r="S2369" s="183">
        <f t="shared" ref="S2369:S2378" si="2933">P2369/J2369</f>
        <v>0</v>
      </c>
      <c r="T2369" s="183">
        <f t="shared" ref="T2369:T2378" si="2934">O2369/J2369</f>
        <v>9.3896713615023469E-2</v>
      </c>
      <c r="U2369" s="184">
        <f>S2369+R2369+Q2369+T2369</f>
        <v>0.85915492957746487</v>
      </c>
    </row>
    <row r="2370" spans="2:22" ht="15.75" hidden="1" x14ac:dyDescent="0.2">
      <c r="B2370" s="711">
        <v>46234</v>
      </c>
      <c r="C2370" s="711" t="s">
        <v>12</v>
      </c>
      <c r="D2370" s="711" t="s">
        <v>163</v>
      </c>
      <c r="E2370" s="711">
        <v>46235</v>
      </c>
      <c r="G2370" s="771"/>
      <c r="H2370" s="60" t="s">
        <v>17</v>
      </c>
      <c r="I2370" s="60" t="s">
        <v>106</v>
      </c>
      <c r="J2370" s="60">
        <v>197</v>
      </c>
      <c r="K2370" s="60">
        <f>197-144-16-27</f>
        <v>10</v>
      </c>
      <c r="L2370" s="60">
        <v>0</v>
      </c>
      <c r="M2370" s="60">
        <v>144</v>
      </c>
      <c r="N2370" s="312">
        <v>16</v>
      </c>
      <c r="O2370" s="60">
        <v>27</v>
      </c>
      <c r="P2370" s="312">
        <v>0</v>
      </c>
      <c r="Q2370" s="182">
        <f t="shared" ref="Q2370:Q2371" si="2935">(K2370+L2370)/J2370</f>
        <v>5.0761421319796954E-2</v>
      </c>
      <c r="R2370" s="183">
        <f t="shared" ref="R2370:R2378" si="2936">N2370/J2370</f>
        <v>8.1218274111675121E-2</v>
      </c>
      <c r="S2370" s="183">
        <f t="shared" si="2933"/>
        <v>0</v>
      </c>
      <c r="T2370" s="183">
        <f t="shared" si="2934"/>
        <v>0.13705583756345177</v>
      </c>
      <c r="U2370" s="184">
        <f t="shared" ref="U2370:U2378" si="2937">S2370+R2370+Q2370+T2370</f>
        <v>0.26903553299492389</v>
      </c>
    </row>
    <row r="2371" spans="2:22" ht="15.75" hidden="1" x14ac:dyDescent="0.2">
      <c r="B2371" s="711">
        <v>46234</v>
      </c>
      <c r="C2371" s="711" t="s">
        <v>12</v>
      </c>
      <c r="D2371" s="711" t="s">
        <v>163</v>
      </c>
      <c r="E2371" s="711">
        <v>46235</v>
      </c>
      <c r="G2371" s="772"/>
      <c r="H2371" s="60" t="s">
        <v>25</v>
      </c>
      <c r="I2371" s="60" t="s">
        <v>105</v>
      </c>
      <c r="J2371" s="60">
        <v>164</v>
      </c>
      <c r="K2371" s="60">
        <v>0</v>
      </c>
      <c r="L2371" s="60">
        <v>0</v>
      </c>
      <c r="M2371" s="60">
        <v>144</v>
      </c>
      <c r="N2371" s="312">
        <v>0</v>
      </c>
      <c r="O2371" s="60">
        <v>20</v>
      </c>
      <c r="P2371" s="312">
        <v>0</v>
      </c>
      <c r="Q2371" s="182">
        <f t="shared" si="2935"/>
        <v>0</v>
      </c>
      <c r="R2371" s="183">
        <f t="shared" si="2936"/>
        <v>0</v>
      </c>
      <c r="S2371" s="183">
        <f t="shared" si="2933"/>
        <v>0</v>
      </c>
      <c r="T2371" s="183">
        <f t="shared" si="2934"/>
        <v>0.12195121951219512</v>
      </c>
      <c r="U2371" s="184">
        <f t="shared" si="2937"/>
        <v>0.12195121951219512</v>
      </c>
    </row>
    <row r="2372" spans="2:22" ht="15.75" hidden="1" x14ac:dyDescent="0.2">
      <c r="B2372" s="711">
        <v>46234</v>
      </c>
      <c r="C2372" s="711" t="s">
        <v>12</v>
      </c>
      <c r="D2372" s="711" t="s">
        <v>163</v>
      </c>
      <c r="E2372" s="711">
        <v>46235</v>
      </c>
      <c r="G2372" s="396"/>
      <c r="H2372" s="775" t="s">
        <v>19</v>
      </c>
      <c r="I2372" s="777"/>
      <c r="J2372" s="190">
        <f>SUM(J2366:J2371)</f>
        <v>6115</v>
      </c>
      <c r="K2372" s="190">
        <f t="shared" ref="K2372:P2372" si="2938">SUM(K2366:K2371)</f>
        <v>2458</v>
      </c>
      <c r="L2372" s="190">
        <f t="shared" si="2938"/>
        <v>776</v>
      </c>
      <c r="M2372" s="190">
        <f t="shared" si="2938"/>
        <v>1854</v>
      </c>
      <c r="N2372" s="190">
        <f t="shared" si="2938"/>
        <v>255</v>
      </c>
      <c r="O2372" s="190">
        <f t="shared" si="2938"/>
        <v>669</v>
      </c>
      <c r="P2372" s="190">
        <f t="shared" si="2938"/>
        <v>97</v>
      </c>
      <c r="Q2372" s="191">
        <f>(K2372+L2372)/J2372</f>
        <v>0.52886345053147998</v>
      </c>
      <c r="R2372" s="192">
        <f t="shared" si="2936"/>
        <v>4.1700735895339326E-2</v>
      </c>
      <c r="S2372" s="192">
        <f t="shared" si="2933"/>
        <v>1.5862632869991823E-2</v>
      </c>
      <c r="T2372" s="192">
        <f t="shared" si="2934"/>
        <v>0.10940310711365495</v>
      </c>
      <c r="U2372" s="193">
        <f t="shared" si="2937"/>
        <v>0.69582992641046615</v>
      </c>
    </row>
    <row r="2373" spans="2:22" ht="15.75" hidden="1" x14ac:dyDescent="0.2">
      <c r="B2373" s="711">
        <v>46234</v>
      </c>
      <c r="C2373" s="711" t="s">
        <v>18</v>
      </c>
      <c r="D2373" s="711" t="s">
        <v>189</v>
      </c>
      <c r="E2373" s="711">
        <v>46233</v>
      </c>
      <c r="G2373" s="691">
        <v>46233</v>
      </c>
      <c r="H2373" s="60" t="s">
        <v>14</v>
      </c>
      <c r="I2373" s="60" t="s">
        <v>18</v>
      </c>
      <c r="J2373" s="60">
        <f>SUM(K2373:P2373)</f>
        <v>51</v>
      </c>
      <c r="K2373" s="60">
        <v>47</v>
      </c>
      <c r="L2373" s="60">
        <v>4</v>
      </c>
      <c r="M2373" s="60">
        <v>0</v>
      </c>
      <c r="N2373" s="312">
        <v>0</v>
      </c>
      <c r="O2373" s="60">
        <v>0</v>
      </c>
      <c r="P2373" s="312">
        <v>0</v>
      </c>
      <c r="Q2373" s="182">
        <f t="shared" ref="Q2373:Q2376" si="2939">(K2373+L2373)/J2373</f>
        <v>1</v>
      </c>
      <c r="R2373" s="183">
        <f t="shared" si="2936"/>
        <v>0</v>
      </c>
      <c r="S2373" s="183">
        <f t="shared" si="2933"/>
        <v>0</v>
      </c>
      <c r="T2373" s="183">
        <f t="shared" si="2934"/>
        <v>0</v>
      </c>
      <c r="U2373" s="184">
        <f t="shared" si="2937"/>
        <v>1</v>
      </c>
      <c r="V2373" s="385"/>
    </row>
    <row r="2374" spans="2:22" ht="15.75" hidden="1" x14ac:dyDescent="0.2">
      <c r="B2374" s="711">
        <v>46234</v>
      </c>
      <c r="C2374" s="711" t="s">
        <v>18</v>
      </c>
      <c r="D2374" s="711" t="s">
        <v>189</v>
      </c>
      <c r="E2374" s="711">
        <v>46235</v>
      </c>
      <c r="G2374" s="770">
        <v>46235</v>
      </c>
      <c r="H2374" s="60" t="s">
        <v>180</v>
      </c>
      <c r="I2374" s="60" t="s">
        <v>22</v>
      </c>
      <c r="J2374" s="60">
        <f>SUM(K2374:P2374)</f>
        <v>14</v>
      </c>
      <c r="K2374" s="60">
        <v>0</v>
      </c>
      <c r="L2374" s="60">
        <v>0</v>
      </c>
      <c r="M2374" s="60">
        <v>0</v>
      </c>
      <c r="N2374" s="312">
        <v>14</v>
      </c>
      <c r="O2374" s="60">
        <v>0</v>
      </c>
      <c r="P2374" s="312">
        <v>0</v>
      </c>
      <c r="Q2374" s="182">
        <f t="shared" si="2939"/>
        <v>0</v>
      </c>
      <c r="R2374" s="183">
        <f t="shared" si="2936"/>
        <v>1</v>
      </c>
      <c r="S2374" s="183">
        <f t="shared" si="2933"/>
        <v>0</v>
      </c>
      <c r="T2374" s="183">
        <f t="shared" si="2934"/>
        <v>0</v>
      </c>
      <c r="U2374" s="184">
        <f t="shared" si="2937"/>
        <v>1</v>
      </c>
      <c r="V2374" s="385"/>
    </row>
    <row r="2375" spans="2:22" ht="15.75" hidden="1" x14ac:dyDescent="0.2">
      <c r="B2375" s="711">
        <v>46234</v>
      </c>
      <c r="C2375" s="711" t="s">
        <v>18</v>
      </c>
      <c r="D2375" s="711" t="s">
        <v>189</v>
      </c>
      <c r="E2375" s="711">
        <v>46235</v>
      </c>
      <c r="G2375" s="772"/>
      <c r="H2375" s="60" t="s">
        <v>17</v>
      </c>
      <c r="I2375" s="60" t="s">
        <v>106</v>
      </c>
      <c r="J2375" s="60">
        <f>118+59+20</f>
        <v>197</v>
      </c>
      <c r="K2375" s="60">
        <v>122</v>
      </c>
      <c r="L2375" s="60">
        <v>32</v>
      </c>
      <c r="M2375" s="60">
        <f>33-27</f>
        <v>6</v>
      </c>
      <c r="N2375" s="312">
        <v>0</v>
      </c>
      <c r="O2375" s="60">
        <v>27</v>
      </c>
      <c r="P2375" s="312">
        <v>9</v>
      </c>
      <c r="Q2375" s="182">
        <f t="shared" si="2939"/>
        <v>0.78172588832487311</v>
      </c>
      <c r="R2375" s="183">
        <f t="shared" si="2936"/>
        <v>0</v>
      </c>
      <c r="S2375" s="183">
        <f t="shared" si="2933"/>
        <v>4.5685279187817257E-2</v>
      </c>
      <c r="T2375" s="183">
        <f t="shared" si="2934"/>
        <v>0.13705583756345177</v>
      </c>
      <c r="U2375" s="184">
        <f t="shared" si="2937"/>
        <v>0.96446700507614214</v>
      </c>
      <c r="V2375" s="385"/>
    </row>
    <row r="2376" spans="2:22" ht="15.75" hidden="1" x14ac:dyDescent="0.2">
      <c r="B2376" s="711">
        <v>46234</v>
      </c>
      <c r="C2376" s="711" t="s">
        <v>18</v>
      </c>
      <c r="D2376" s="711" t="s">
        <v>189</v>
      </c>
      <c r="E2376" s="711">
        <v>46237</v>
      </c>
      <c r="G2376" s="770">
        <v>46237</v>
      </c>
      <c r="H2376" s="60" t="s">
        <v>25</v>
      </c>
      <c r="I2376" s="60" t="s">
        <v>105</v>
      </c>
      <c r="J2376" s="60">
        <v>162</v>
      </c>
      <c r="K2376" s="60">
        <v>31</v>
      </c>
      <c r="L2376" s="60">
        <v>6</v>
      </c>
      <c r="M2376" s="60">
        <v>52</v>
      </c>
      <c r="N2376" s="312">
        <v>46</v>
      </c>
      <c r="O2376" s="60">
        <v>20</v>
      </c>
      <c r="P2376" s="312">
        <v>7</v>
      </c>
      <c r="Q2376" s="182">
        <f t="shared" si="2939"/>
        <v>0.22839506172839505</v>
      </c>
      <c r="R2376" s="183">
        <f t="shared" si="2936"/>
        <v>0.2839506172839506</v>
      </c>
      <c r="S2376" s="183">
        <f t="shared" si="2933"/>
        <v>4.3209876543209874E-2</v>
      </c>
      <c r="T2376" s="183">
        <f t="shared" si="2934"/>
        <v>0.12345679012345678</v>
      </c>
      <c r="U2376" s="184">
        <f t="shared" si="2937"/>
        <v>0.67901234567901236</v>
      </c>
      <c r="V2376" s="385"/>
    </row>
    <row r="2377" spans="2:22" ht="15.75" hidden="1" x14ac:dyDescent="0.2">
      <c r="B2377" s="711">
        <v>46234</v>
      </c>
      <c r="C2377" s="711" t="s">
        <v>18</v>
      </c>
      <c r="D2377" s="711" t="s">
        <v>189</v>
      </c>
      <c r="E2377" s="711">
        <v>46237</v>
      </c>
      <c r="G2377" s="772"/>
      <c r="H2377" s="60" t="s">
        <v>84</v>
      </c>
      <c r="I2377" s="60" t="s">
        <v>105</v>
      </c>
      <c r="J2377" s="60">
        <v>141</v>
      </c>
      <c r="K2377" s="60">
        <v>0</v>
      </c>
      <c r="L2377" s="60">
        <v>0</v>
      </c>
      <c r="M2377" s="60">
        <v>87</v>
      </c>
      <c r="N2377" s="312">
        <v>22</v>
      </c>
      <c r="O2377" s="60">
        <v>9</v>
      </c>
      <c r="P2377" s="312">
        <v>12</v>
      </c>
      <c r="Q2377" s="182">
        <f t="shared" ref="Q2377" si="2940">(K2377+L2377)/J2377</f>
        <v>0</v>
      </c>
      <c r="R2377" s="183">
        <f t="shared" ref="R2377" si="2941">N2377/J2377</f>
        <v>0.15602836879432624</v>
      </c>
      <c r="S2377" s="183">
        <f t="shared" ref="S2377" si="2942">P2377/J2377</f>
        <v>8.5106382978723402E-2</v>
      </c>
      <c r="T2377" s="183">
        <f t="shared" ref="T2377" si="2943">O2377/J2377</f>
        <v>6.3829787234042548E-2</v>
      </c>
      <c r="U2377" s="184">
        <f t="shared" ref="U2377" si="2944">S2377+R2377+Q2377+T2377</f>
        <v>0.30496453900709219</v>
      </c>
      <c r="V2377" s="385"/>
    </row>
    <row r="2378" spans="2:22" ht="15.75" hidden="1" x14ac:dyDescent="0.2">
      <c r="B2378" s="711">
        <v>46234</v>
      </c>
      <c r="C2378" s="711" t="s">
        <v>18</v>
      </c>
      <c r="D2378" s="711" t="s">
        <v>189</v>
      </c>
      <c r="E2378" s="711">
        <v>46237</v>
      </c>
      <c r="G2378" s="396"/>
      <c r="H2378" s="775" t="s">
        <v>19</v>
      </c>
      <c r="I2378" s="777"/>
      <c r="J2378" s="418">
        <f t="shared" ref="J2378:P2378" si="2945">SUM(J2373:J2377)</f>
        <v>565</v>
      </c>
      <c r="K2378" s="418">
        <f t="shared" si="2945"/>
        <v>200</v>
      </c>
      <c r="L2378" s="410">
        <f t="shared" si="2945"/>
        <v>42</v>
      </c>
      <c r="M2378" s="410">
        <f t="shared" si="2945"/>
        <v>145</v>
      </c>
      <c r="N2378" s="410">
        <f t="shared" si="2945"/>
        <v>82</v>
      </c>
      <c r="O2378" s="410">
        <f t="shared" si="2945"/>
        <v>56</v>
      </c>
      <c r="P2378" s="418">
        <f t="shared" si="2945"/>
        <v>28</v>
      </c>
      <c r="Q2378" s="419">
        <f>(K2378+L2378)/J2378</f>
        <v>0.42831858407079648</v>
      </c>
      <c r="R2378" s="420">
        <f t="shared" si="2936"/>
        <v>0.14513274336283186</v>
      </c>
      <c r="S2378" s="411">
        <f t="shared" si="2933"/>
        <v>4.9557522123893805E-2</v>
      </c>
      <c r="T2378" s="411">
        <f t="shared" si="2934"/>
        <v>9.9115044247787609E-2</v>
      </c>
      <c r="U2378" s="421">
        <f t="shared" si="2937"/>
        <v>0.72212389380530972</v>
      </c>
      <c r="V2378" s="385"/>
    </row>
    <row r="2379" spans="2:22" ht="15.75" hidden="1" x14ac:dyDescent="0.2">
      <c r="B2379" s="711">
        <v>46235</v>
      </c>
      <c r="C2379" s="711" t="s">
        <v>22</v>
      </c>
      <c r="D2379" s="711" t="s">
        <v>13</v>
      </c>
      <c r="E2379" s="711">
        <v>46235</v>
      </c>
      <c r="G2379" s="778">
        <v>46235</v>
      </c>
      <c r="H2379" s="414" t="s">
        <v>180</v>
      </c>
      <c r="I2379" s="431" t="s">
        <v>22</v>
      </c>
      <c r="J2379" s="431">
        <f>SUM(K2379:P2379)</f>
        <v>14</v>
      </c>
      <c r="K2379" s="431">
        <v>12</v>
      </c>
      <c r="L2379" s="431">
        <v>0</v>
      </c>
      <c r="M2379" s="431">
        <v>2</v>
      </c>
      <c r="N2379" s="432">
        <v>0</v>
      </c>
      <c r="O2379" s="431">
        <v>0</v>
      </c>
      <c r="P2379" s="432">
        <v>0</v>
      </c>
      <c r="Q2379" s="433">
        <f>(K2379+L2379)/J2379</f>
        <v>0.8571428571428571</v>
      </c>
      <c r="R2379" s="434">
        <f t="shared" ref="R2379:R2387" si="2946">N2379/J2379</f>
        <v>0</v>
      </c>
      <c r="S2379" s="434">
        <f t="shared" ref="S2379:S2387" si="2947">P2379/J2379</f>
        <v>0</v>
      </c>
      <c r="T2379" s="434">
        <f t="shared" ref="T2379:T2387" si="2948">O2379/J2379</f>
        <v>0</v>
      </c>
      <c r="U2379" s="435">
        <f t="shared" ref="U2379:U2387" si="2949">S2379+R2379+Q2379+T2379</f>
        <v>0.8571428571428571</v>
      </c>
      <c r="V2379" s="385"/>
    </row>
    <row r="2380" spans="2:22" ht="15.75" hidden="1" x14ac:dyDescent="0.2">
      <c r="B2380" s="711">
        <v>46235</v>
      </c>
      <c r="C2380" s="711" t="s">
        <v>22</v>
      </c>
      <c r="D2380" s="711" t="s">
        <v>13</v>
      </c>
      <c r="E2380" s="711">
        <v>46235</v>
      </c>
      <c r="G2380" s="786"/>
      <c r="H2380" s="415" t="s">
        <v>16</v>
      </c>
      <c r="I2380" s="422" t="s">
        <v>15</v>
      </c>
      <c r="J2380" s="422">
        <v>213</v>
      </c>
      <c r="K2380" s="422">
        <v>161</v>
      </c>
      <c r="L2380" s="422">
        <v>45</v>
      </c>
      <c r="M2380" s="422">
        <v>7</v>
      </c>
      <c r="N2380" s="423">
        <v>0</v>
      </c>
      <c r="O2380" s="422">
        <v>0</v>
      </c>
      <c r="P2380" s="423">
        <v>0</v>
      </c>
      <c r="Q2380" s="424">
        <f>(K2380+L2380)/J2380</f>
        <v>0.96713615023474175</v>
      </c>
      <c r="R2380" s="425">
        <f t="shared" ref="R2380:R2385" si="2950">N2380/J2380</f>
        <v>0</v>
      </c>
      <c r="S2380" s="425">
        <f t="shared" ref="S2380:S2385" si="2951">P2380/J2380</f>
        <v>0</v>
      </c>
      <c r="T2380" s="425">
        <f t="shared" ref="T2380:T2385" si="2952">O2380/J2380</f>
        <v>0</v>
      </c>
      <c r="U2380" s="430">
        <f t="shared" ref="U2380:U2385" si="2953">S2380+R2380+Q2380+T2380</f>
        <v>0.96713615023474175</v>
      </c>
      <c r="V2380" s="409"/>
    </row>
    <row r="2381" spans="2:22" ht="15.75" hidden="1" x14ac:dyDescent="0.2">
      <c r="B2381" s="711">
        <v>46235</v>
      </c>
      <c r="C2381" s="711" t="s">
        <v>22</v>
      </c>
      <c r="D2381" s="711" t="s">
        <v>13</v>
      </c>
      <c r="E2381" s="711">
        <v>46235</v>
      </c>
      <c r="G2381" s="786"/>
      <c r="H2381" s="415" t="s">
        <v>14</v>
      </c>
      <c r="I2381" s="422" t="s">
        <v>106</v>
      </c>
      <c r="J2381" s="422">
        <v>22</v>
      </c>
      <c r="K2381" s="422">
        <v>22</v>
      </c>
      <c r="L2381" s="422">
        <v>0</v>
      </c>
      <c r="M2381" s="422">
        <v>0</v>
      </c>
      <c r="N2381" s="423">
        <v>0</v>
      </c>
      <c r="O2381" s="422">
        <v>0</v>
      </c>
      <c r="P2381" s="423">
        <v>0</v>
      </c>
      <c r="Q2381" s="424">
        <f t="shared" ref="Q2381:Q2385" si="2954">(K2381+L2381)/J2381</f>
        <v>1</v>
      </c>
      <c r="R2381" s="425">
        <f t="shared" si="2950"/>
        <v>0</v>
      </c>
      <c r="S2381" s="425">
        <f t="shared" si="2951"/>
        <v>0</v>
      </c>
      <c r="T2381" s="425">
        <f t="shared" si="2952"/>
        <v>0</v>
      </c>
      <c r="U2381" s="430">
        <f t="shared" si="2953"/>
        <v>1</v>
      </c>
      <c r="V2381" s="385"/>
    </row>
    <row r="2382" spans="2:22" ht="15.75" hidden="1" x14ac:dyDescent="0.2">
      <c r="B2382" s="711">
        <v>46235</v>
      </c>
      <c r="C2382" s="711" t="s">
        <v>22</v>
      </c>
      <c r="D2382" s="711" t="s">
        <v>13</v>
      </c>
      <c r="E2382" s="711">
        <v>46235</v>
      </c>
      <c r="G2382" s="786"/>
      <c r="H2382" s="415" t="s">
        <v>25</v>
      </c>
      <c r="I2382" s="422" t="s">
        <v>105</v>
      </c>
      <c r="J2382" s="422">
        <v>164</v>
      </c>
      <c r="K2382" s="422">
        <v>85</v>
      </c>
      <c r="L2382" s="422">
        <v>14</v>
      </c>
      <c r="M2382" s="422">
        <v>0</v>
      </c>
      <c r="N2382" s="423">
        <v>40</v>
      </c>
      <c r="O2382" s="422">
        <v>20</v>
      </c>
      <c r="P2382" s="423">
        <v>5</v>
      </c>
      <c r="Q2382" s="424">
        <f t="shared" si="2954"/>
        <v>0.60365853658536583</v>
      </c>
      <c r="R2382" s="425">
        <f t="shared" si="2950"/>
        <v>0.24390243902439024</v>
      </c>
      <c r="S2382" s="425">
        <f t="shared" si="2951"/>
        <v>3.048780487804878E-2</v>
      </c>
      <c r="T2382" s="425">
        <f t="shared" si="2952"/>
        <v>0.12195121951219512</v>
      </c>
      <c r="U2382" s="430">
        <f t="shared" si="2953"/>
        <v>1</v>
      </c>
      <c r="V2382" s="385"/>
    </row>
    <row r="2383" spans="2:22" ht="15.75" hidden="1" x14ac:dyDescent="0.2">
      <c r="B2383" s="711">
        <v>46235</v>
      </c>
      <c r="C2383" s="711" t="s">
        <v>22</v>
      </c>
      <c r="D2383" s="711" t="s">
        <v>13</v>
      </c>
      <c r="E2383" s="711">
        <v>46235</v>
      </c>
      <c r="G2383" s="779"/>
      <c r="H2383" s="436" t="s">
        <v>17</v>
      </c>
      <c r="I2383" s="437" t="s">
        <v>106</v>
      </c>
      <c r="J2383" s="437">
        <f>118+59+20</f>
        <v>197</v>
      </c>
      <c r="K2383" s="437">
        <v>133</v>
      </c>
      <c r="L2383" s="437">
        <v>30</v>
      </c>
      <c r="M2383" s="437">
        <v>0</v>
      </c>
      <c r="N2383" s="438">
        <v>0</v>
      </c>
      <c r="O2383" s="437">
        <v>30</v>
      </c>
      <c r="P2383" s="438">
        <v>4</v>
      </c>
      <c r="Q2383" s="439">
        <f t="shared" si="2954"/>
        <v>0.82741116751269039</v>
      </c>
      <c r="R2383" s="440">
        <f t="shared" si="2950"/>
        <v>0</v>
      </c>
      <c r="S2383" s="440">
        <f t="shared" si="2951"/>
        <v>2.030456852791878E-2</v>
      </c>
      <c r="T2383" s="440">
        <f t="shared" si="2952"/>
        <v>0.15228426395939088</v>
      </c>
      <c r="U2383" s="441">
        <f t="shared" si="2953"/>
        <v>1</v>
      </c>
      <c r="V2383" s="409"/>
    </row>
    <row r="2384" spans="2:22" ht="15.75" hidden="1" x14ac:dyDescent="0.2">
      <c r="B2384" s="711">
        <v>46235</v>
      </c>
      <c r="C2384" s="711" t="s">
        <v>22</v>
      </c>
      <c r="D2384" s="711" t="s">
        <v>13</v>
      </c>
      <c r="E2384" s="711">
        <v>46236</v>
      </c>
      <c r="G2384" s="773">
        <v>46236</v>
      </c>
      <c r="H2384" s="416" t="s">
        <v>14</v>
      </c>
      <c r="I2384" s="443" t="s">
        <v>105</v>
      </c>
      <c r="J2384" s="443">
        <v>140</v>
      </c>
      <c r="K2384" s="443">
        <v>0</v>
      </c>
      <c r="L2384" s="431">
        <v>0</v>
      </c>
      <c r="M2384" s="449">
        <v>125</v>
      </c>
      <c r="N2384" s="451">
        <v>0</v>
      </c>
      <c r="O2384" s="431">
        <v>12</v>
      </c>
      <c r="P2384" s="432">
        <v>3</v>
      </c>
      <c r="Q2384" s="452">
        <f t="shared" si="2954"/>
        <v>0</v>
      </c>
      <c r="R2384" s="454">
        <f t="shared" si="2950"/>
        <v>0</v>
      </c>
      <c r="S2384" s="454">
        <f t="shared" si="2951"/>
        <v>2.1428571428571429E-2</v>
      </c>
      <c r="T2384" s="454">
        <f t="shared" si="2952"/>
        <v>8.5714285714285715E-2</v>
      </c>
      <c r="U2384" s="435">
        <f t="shared" si="2953"/>
        <v>0.10714285714285715</v>
      </c>
      <c r="V2384" s="385"/>
    </row>
    <row r="2385" spans="2:22" ht="15.75" hidden="1" x14ac:dyDescent="0.2">
      <c r="B2385" s="711">
        <v>46235</v>
      </c>
      <c r="C2385" s="711" t="s">
        <v>22</v>
      </c>
      <c r="D2385" s="711" t="s">
        <v>13</v>
      </c>
      <c r="E2385" s="711">
        <v>46236</v>
      </c>
      <c r="G2385" s="774"/>
      <c r="H2385" s="442" t="s">
        <v>25</v>
      </c>
      <c r="I2385" s="437" t="s">
        <v>106</v>
      </c>
      <c r="J2385" s="378">
        <v>247</v>
      </c>
      <c r="K2385" s="446">
        <v>0</v>
      </c>
      <c r="L2385" s="437">
        <v>0</v>
      </c>
      <c r="M2385" s="446">
        <v>199</v>
      </c>
      <c r="N2385" s="438">
        <v>0</v>
      </c>
      <c r="O2385" s="450">
        <v>32</v>
      </c>
      <c r="P2385" s="453">
        <v>16</v>
      </c>
      <c r="Q2385" s="439">
        <f t="shared" si="2954"/>
        <v>0</v>
      </c>
      <c r="R2385" s="455">
        <f t="shared" si="2950"/>
        <v>0</v>
      </c>
      <c r="S2385" s="455">
        <f t="shared" si="2951"/>
        <v>6.4777327935222673E-2</v>
      </c>
      <c r="T2385" s="455">
        <f t="shared" si="2952"/>
        <v>0.12955465587044535</v>
      </c>
      <c r="U2385" s="441">
        <f t="shared" si="2953"/>
        <v>0.19433198380566802</v>
      </c>
      <c r="V2385" s="428"/>
    </row>
    <row r="2386" spans="2:22" ht="15.75" hidden="1" x14ac:dyDescent="0.2">
      <c r="B2386" s="711">
        <v>46235</v>
      </c>
      <c r="C2386" s="711" t="s">
        <v>22</v>
      </c>
      <c r="D2386" s="711" t="s">
        <v>13</v>
      </c>
      <c r="E2386" s="711">
        <v>46237</v>
      </c>
      <c r="G2386" s="770">
        <v>46237</v>
      </c>
      <c r="H2386" s="445" t="s">
        <v>16</v>
      </c>
      <c r="I2386" s="443" t="s">
        <v>105</v>
      </c>
      <c r="J2386" s="431">
        <v>236</v>
      </c>
      <c r="K2386" s="447">
        <f>236-219</f>
        <v>17</v>
      </c>
      <c r="L2386" s="443">
        <v>58</v>
      </c>
      <c r="M2386" s="443">
        <v>63</v>
      </c>
      <c r="N2386" s="448">
        <v>74</v>
      </c>
      <c r="O2386" s="235">
        <v>20</v>
      </c>
      <c r="P2386" s="456">
        <v>4</v>
      </c>
      <c r="Q2386" s="433">
        <f t="shared" ref="Q2386:Q2387" si="2955">(K2386+L2386)/J2386</f>
        <v>0.31779661016949151</v>
      </c>
      <c r="R2386" s="454">
        <f t="shared" si="2946"/>
        <v>0.3135593220338983</v>
      </c>
      <c r="S2386" s="434">
        <f t="shared" si="2947"/>
        <v>1.6949152542372881E-2</v>
      </c>
      <c r="T2386" s="457">
        <f t="shared" si="2948"/>
        <v>8.4745762711864403E-2</v>
      </c>
      <c r="U2386" s="435">
        <f t="shared" si="2949"/>
        <v>0.73305084745762716</v>
      </c>
      <c r="V2386" s="429"/>
    </row>
    <row r="2387" spans="2:22" ht="15.75" hidden="1" x14ac:dyDescent="0.2">
      <c r="B2387" s="711">
        <v>46235</v>
      </c>
      <c r="C2387" s="711" t="s">
        <v>22</v>
      </c>
      <c r="D2387" s="711" t="s">
        <v>13</v>
      </c>
      <c r="E2387" s="711">
        <v>46237</v>
      </c>
      <c r="G2387" s="772"/>
      <c r="H2387" s="412" t="s">
        <v>84</v>
      </c>
      <c r="I2387" s="446" t="s">
        <v>105</v>
      </c>
      <c r="J2387" s="437">
        <v>141</v>
      </c>
      <c r="K2387" s="378">
        <v>0</v>
      </c>
      <c r="L2387" s="437">
        <v>0</v>
      </c>
      <c r="M2387" s="444">
        <v>78</v>
      </c>
      <c r="N2387" s="413">
        <v>31</v>
      </c>
      <c r="O2387" s="194">
        <v>9</v>
      </c>
      <c r="P2387" s="417">
        <v>23</v>
      </c>
      <c r="Q2387" s="439">
        <f t="shared" si="2955"/>
        <v>0</v>
      </c>
      <c r="R2387" s="455">
        <f t="shared" si="2946"/>
        <v>0.21985815602836881</v>
      </c>
      <c r="S2387" s="455">
        <f t="shared" si="2947"/>
        <v>0.16312056737588654</v>
      </c>
      <c r="T2387" s="440">
        <f t="shared" si="2948"/>
        <v>6.3829787234042548E-2</v>
      </c>
      <c r="U2387" s="426">
        <f t="shared" si="2949"/>
        <v>0.44680851063829785</v>
      </c>
      <c r="V2387" s="385"/>
    </row>
    <row r="2388" spans="2:22" ht="15.75" hidden="1" x14ac:dyDescent="0.2">
      <c r="B2388" s="711">
        <v>46235</v>
      </c>
      <c r="C2388" s="711" t="s">
        <v>22</v>
      </c>
      <c r="D2388" s="711" t="s">
        <v>13</v>
      </c>
      <c r="E2388" s="711">
        <v>46237</v>
      </c>
      <c r="G2388" s="396"/>
      <c r="H2388" s="775" t="s">
        <v>19</v>
      </c>
      <c r="I2388" s="777"/>
      <c r="J2388" s="190">
        <f>SUM(J2379:J2387)</f>
        <v>1374</v>
      </c>
      <c r="K2388" s="190">
        <f t="shared" ref="K2388:P2388" si="2956">SUM(K2379:K2387)</f>
        <v>430</v>
      </c>
      <c r="L2388" s="190">
        <f t="shared" si="2956"/>
        <v>147</v>
      </c>
      <c r="M2388" s="190">
        <f t="shared" si="2956"/>
        <v>474</v>
      </c>
      <c r="N2388" s="190">
        <f t="shared" si="2956"/>
        <v>145</v>
      </c>
      <c r="O2388" s="190">
        <f t="shared" si="2956"/>
        <v>123</v>
      </c>
      <c r="P2388" s="190">
        <f t="shared" si="2956"/>
        <v>55</v>
      </c>
      <c r="Q2388" s="191">
        <f>(K2388+L2388)/J2388</f>
        <v>0.41994177583697234</v>
      </c>
      <c r="R2388" s="192">
        <f t="shared" ref="R2388:R2397" si="2957">N2388/J2388</f>
        <v>0.10553129548762737</v>
      </c>
      <c r="S2388" s="192">
        <f t="shared" ref="S2388:S2397" si="2958">P2388/J2388</f>
        <v>4.0029112081513829E-2</v>
      </c>
      <c r="T2388" s="192">
        <f t="shared" ref="T2388:T2397" si="2959">O2388/J2388</f>
        <v>8.9519650655021835E-2</v>
      </c>
      <c r="U2388" s="427">
        <f t="shared" ref="U2388:U2397" si="2960">S2388+R2388+Q2388+T2388</f>
        <v>0.65502183406113546</v>
      </c>
      <c r="V2388" s="385"/>
    </row>
    <row r="2389" spans="2:22" ht="15.75" hidden="1" x14ac:dyDescent="0.2">
      <c r="B2389" s="711">
        <v>46235</v>
      </c>
      <c r="C2389" s="711" t="s">
        <v>106</v>
      </c>
      <c r="D2389" s="711" t="s">
        <v>13</v>
      </c>
      <c r="E2389" s="711">
        <v>46235</v>
      </c>
      <c r="G2389" s="778">
        <v>46235</v>
      </c>
      <c r="H2389" s="414" t="s">
        <v>180</v>
      </c>
      <c r="I2389" s="431" t="s">
        <v>22</v>
      </c>
      <c r="J2389" s="431">
        <f>SUM(K2389:P2389)</f>
        <v>14</v>
      </c>
      <c r="K2389" s="431">
        <v>12</v>
      </c>
      <c r="L2389" s="431">
        <v>0</v>
      </c>
      <c r="M2389" s="431">
        <v>2</v>
      </c>
      <c r="N2389" s="432">
        <v>0</v>
      </c>
      <c r="O2389" s="431">
        <v>0</v>
      </c>
      <c r="P2389" s="432">
        <v>0</v>
      </c>
      <c r="Q2389" s="433">
        <f>(K2389+L2389)/J2389</f>
        <v>0.8571428571428571</v>
      </c>
      <c r="R2389" s="434">
        <f t="shared" si="2957"/>
        <v>0</v>
      </c>
      <c r="S2389" s="434">
        <f t="shared" si="2958"/>
        <v>0</v>
      </c>
      <c r="T2389" s="434">
        <f t="shared" si="2959"/>
        <v>0</v>
      </c>
      <c r="U2389" s="460">
        <f t="shared" si="2960"/>
        <v>0.8571428571428571</v>
      </c>
      <c r="V2389" s="385"/>
    </row>
    <row r="2390" spans="2:22" ht="15.75" hidden="1" x14ac:dyDescent="0.2">
      <c r="B2390" s="711">
        <v>46235</v>
      </c>
      <c r="C2390" s="711" t="s">
        <v>106</v>
      </c>
      <c r="D2390" s="711" t="s">
        <v>13</v>
      </c>
      <c r="E2390" s="711">
        <v>46235</v>
      </c>
      <c r="G2390" s="786"/>
      <c r="H2390" s="415" t="s">
        <v>16</v>
      </c>
      <c r="I2390" s="422" t="s">
        <v>15</v>
      </c>
      <c r="J2390" s="422">
        <v>213</v>
      </c>
      <c r="K2390" s="422">
        <v>161</v>
      </c>
      <c r="L2390" s="422">
        <v>45</v>
      </c>
      <c r="M2390" s="422">
        <v>7</v>
      </c>
      <c r="N2390" s="423">
        <v>0</v>
      </c>
      <c r="O2390" s="422">
        <v>0</v>
      </c>
      <c r="P2390" s="423">
        <v>0</v>
      </c>
      <c r="Q2390" s="424">
        <f>(K2390+L2390)/J2390</f>
        <v>0.96713615023474175</v>
      </c>
      <c r="R2390" s="425">
        <f t="shared" si="2957"/>
        <v>0</v>
      </c>
      <c r="S2390" s="425">
        <f t="shared" si="2958"/>
        <v>0</v>
      </c>
      <c r="T2390" s="425">
        <f t="shared" si="2959"/>
        <v>0</v>
      </c>
      <c r="U2390" s="461">
        <f t="shared" si="2960"/>
        <v>0.96713615023474175</v>
      </c>
      <c r="V2390" s="385"/>
    </row>
    <row r="2391" spans="2:22" ht="15.75" hidden="1" x14ac:dyDescent="0.2">
      <c r="B2391" s="711">
        <v>46235</v>
      </c>
      <c r="C2391" s="711" t="s">
        <v>106</v>
      </c>
      <c r="D2391" s="711" t="s">
        <v>13</v>
      </c>
      <c r="E2391" s="711">
        <v>46235</v>
      </c>
      <c r="G2391" s="786"/>
      <c r="H2391" s="415" t="s">
        <v>14</v>
      </c>
      <c r="I2391" s="422" t="s">
        <v>106</v>
      </c>
      <c r="J2391" s="422">
        <v>22</v>
      </c>
      <c r="K2391" s="422">
        <v>22</v>
      </c>
      <c r="L2391" s="422">
        <v>0</v>
      </c>
      <c r="M2391" s="422">
        <v>0</v>
      </c>
      <c r="N2391" s="423">
        <v>0</v>
      </c>
      <c r="O2391" s="422">
        <v>0</v>
      </c>
      <c r="P2391" s="423">
        <v>0</v>
      </c>
      <c r="Q2391" s="424">
        <f t="shared" ref="Q2391:Q2397" si="2961">(K2391+L2391)/J2391</f>
        <v>1</v>
      </c>
      <c r="R2391" s="425">
        <f t="shared" si="2957"/>
        <v>0</v>
      </c>
      <c r="S2391" s="425">
        <f t="shared" si="2958"/>
        <v>0</v>
      </c>
      <c r="T2391" s="425">
        <f t="shared" si="2959"/>
        <v>0</v>
      </c>
      <c r="U2391" s="461">
        <f t="shared" si="2960"/>
        <v>1</v>
      </c>
      <c r="V2391" s="385"/>
    </row>
    <row r="2392" spans="2:22" ht="15.75" hidden="1" x14ac:dyDescent="0.2">
      <c r="B2392" s="711">
        <v>46235</v>
      </c>
      <c r="C2392" s="711" t="s">
        <v>106</v>
      </c>
      <c r="D2392" s="711" t="s">
        <v>13</v>
      </c>
      <c r="E2392" s="711">
        <v>46235</v>
      </c>
      <c r="G2392" s="786"/>
      <c r="H2392" s="415" t="s">
        <v>25</v>
      </c>
      <c r="I2392" s="422" t="s">
        <v>105</v>
      </c>
      <c r="J2392" s="422">
        <v>164</v>
      </c>
      <c r="K2392" s="422">
        <f>164-14-20-20-5</f>
        <v>105</v>
      </c>
      <c r="L2392" s="422">
        <v>14</v>
      </c>
      <c r="M2392" s="422">
        <v>0</v>
      </c>
      <c r="N2392" s="423">
        <v>20</v>
      </c>
      <c r="O2392" s="422">
        <v>20</v>
      </c>
      <c r="P2392" s="423">
        <v>5</v>
      </c>
      <c r="Q2392" s="424">
        <f t="shared" si="2961"/>
        <v>0.72560975609756095</v>
      </c>
      <c r="R2392" s="425">
        <f t="shared" si="2957"/>
        <v>0.12195121951219512</v>
      </c>
      <c r="S2392" s="425">
        <f t="shared" si="2958"/>
        <v>3.048780487804878E-2</v>
      </c>
      <c r="T2392" s="425">
        <f t="shared" si="2959"/>
        <v>0.12195121951219512</v>
      </c>
      <c r="U2392" s="461">
        <f t="shared" si="2960"/>
        <v>1</v>
      </c>
      <c r="V2392" s="385"/>
    </row>
    <row r="2393" spans="2:22" ht="15.75" hidden="1" x14ac:dyDescent="0.2">
      <c r="B2393" s="711">
        <v>46235</v>
      </c>
      <c r="C2393" s="711" t="s">
        <v>106</v>
      </c>
      <c r="D2393" s="711" t="s">
        <v>13</v>
      </c>
      <c r="E2393" s="711">
        <v>46235</v>
      </c>
      <c r="G2393" s="779"/>
      <c r="H2393" s="436" t="s">
        <v>17</v>
      </c>
      <c r="I2393" s="437" t="s">
        <v>106</v>
      </c>
      <c r="J2393" s="437">
        <f>118+59+20</f>
        <v>197</v>
      </c>
      <c r="K2393" s="437">
        <v>133</v>
      </c>
      <c r="L2393" s="437">
        <v>30</v>
      </c>
      <c r="M2393" s="437">
        <v>0</v>
      </c>
      <c r="N2393" s="438">
        <v>0</v>
      </c>
      <c r="O2393" s="437">
        <v>30</v>
      </c>
      <c r="P2393" s="438">
        <v>4</v>
      </c>
      <c r="Q2393" s="439">
        <f t="shared" si="2961"/>
        <v>0.82741116751269039</v>
      </c>
      <c r="R2393" s="440">
        <f t="shared" si="2957"/>
        <v>0</v>
      </c>
      <c r="S2393" s="440">
        <f t="shared" si="2958"/>
        <v>2.030456852791878E-2</v>
      </c>
      <c r="T2393" s="440">
        <f t="shared" si="2959"/>
        <v>0.15228426395939088</v>
      </c>
      <c r="U2393" s="462">
        <f t="shared" si="2960"/>
        <v>1</v>
      </c>
      <c r="V2393" s="385"/>
    </row>
    <row r="2394" spans="2:22" ht="15.75" hidden="1" x14ac:dyDescent="0.2">
      <c r="B2394" s="711">
        <v>46235</v>
      </c>
      <c r="C2394" s="711" t="s">
        <v>106</v>
      </c>
      <c r="D2394" s="711" t="s">
        <v>13</v>
      </c>
      <c r="E2394" s="711">
        <v>46236</v>
      </c>
      <c r="G2394" s="773">
        <v>46236</v>
      </c>
      <c r="H2394" s="416" t="s">
        <v>14</v>
      </c>
      <c r="I2394" s="443" t="s">
        <v>105</v>
      </c>
      <c r="J2394" s="443">
        <v>140</v>
      </c>
      <c r="K2394" s="443">
        <v>0</v>
      </c>
      <c r="L2394" s="431">
        <v>0</v>
      </c>
      <c r="M2394" s="449">
        <v>125</v>
      </c>
      <c r="N2394" s="451">
        <v>0</v>
      </c>
      <c r="O2394" s="431">
        <v>12</v>
      </c>
      <c r="P2394" s="432">
        <v>3</v>
      </c>
      <c r="Q2394" s="452">
        <f t="shared" si="2961"/>
        <v>0</v>
      </c>
      <c r="R2394" s="454">
        <f t="shared" si="2957"/>
        <v>0</v>
      </c>
      <c r="S2394" s="454">
        <f t="shared" si="2958"/>
        <v>2.1428571428571429E-2</v>
      </c>
      <c r="T2394" s="454">
        <f t="shared" si="2959"/>
        <v>8.5714285714285715E-2</v>
      </c>
      <c r="U2394" s="460">
        <f t="shared" si="2960"/>
        <v>0.10714285714285715</v>
      </c>
      <c r="V2394" s="385"/>
    </row>
    <row r="2395" spans="2:22" ht="15.75" hidden="1" x14ac:dyDescent="0.2">
      <c r="B2395" s="711">
        <v>46235</v>
      </c>
      <c r="C2395" s="711" t="s">
        <v>106</v>
      </c>
      <c r="D2395" s="711" t="s">
        <v>13</v>
      </c>
      <c r="E2395" s="711">
        <v>46236</v>
      </c>
      <c r="G2395" s="774"/>
      <c r="H2395" s="442" t="s">
        <v>25</v>
      </c>
      <c r="I2395" s="437" t="s">
        <v>106</v>
      </c>
      <c r="J2395" s="378">
        <v>247</v>
      </c>
      <c r="K2395" s="446">
        <f>247-5-169-32-16</f>
        <v>25</v>
      </c>
      <c r="L2395" s="437">
        <v>5</v>
      </c>
      <c r="M2395" s="446">
        <v>169</v>
      </c>
      <c r="N2395" s="438">
        <v>0</v>
      </c>
      <c r="O2395" s="450">
        <v>32</v>
      </c>
      <c r="P2395" s="453">
        <v>16</v>
      </c>
      <c r="Q2395" s="439">
        <f t="shared" si="2961"/>
        <v>0.1214574898785425</v>
      </c>
      <c r="R2395" s="455">
        <f t="shared" si="2957"/>
        <v>0</v>
      </c>
      <c r="S2395" s="455">
        <f t="shared" si="2958"/>
        <v>6.4777327935222673E-2</v>
      </c>
      <c r="T2395" s="455">
        <f t="shared" si="2959"/>
        <v>0.12955465587044535</v>
      </c>
      <c r="U2395" s="462">
        <f t="shared" si="2960"/>
        <v>0.31578947368421051</v>
      </c>
      <c r="V2395" s="385"/>
    </row>
    <row r="2396" spans="2:22" ht="15.75" hidden="1" x14ac:dyDescent="0.2">
      <c r="B2396" s="711">
        <v>46235</v>
      </c>
      <c r="C2396" s="711" t="s">
        <v>106</v>
      </c>
      <c r="D2396" s="711" t="s">
        <v>13</v>
      </c>
      <c r="E2396" s="711">
        <v>46237</v>
      </c>
      <c r="G2396" s="770">
        <v>46237</v>
      </c>
      <c r="H2396" s="445" t="s">
        <v>16</v>
      </c>
      <c r="I2396" s="443" t="s">
        <v>105</v>
      </c>
      <c r="J2396" s="431">
        <v>236</v>
      </c>
      <c r="K2396" s="447">
        <f>236-219</f>
        <v>17</v>
      </c>
      <c r="L2396" s="443">
        <v>58</v>
      </c>
      <c r="M2396" s="443">
        <v>63</v>
      </c>
      <c r="N2396" s="448">
        <v>74</v>
      </c>
      <c r="O2396" s="235">
        <v>20</v>
      </c>
      <c r="P2396" s="456">
        <v>4</v>
      </c>
      <c r="Q2396" s="433">
        <f t="shared" si="2961"/>
        <v>0.31779661016949151</v>
      </c>
      <c r="R2396" s="454">
        <f t="shared" si="2957"/>
        <v>0.3135593220338983</v>
      </c>
      <c r="S2396" s="434">
        <f t="shared" si="2958"/>
        <v>1.6949152542372881E-2</v>
      </c>
      <c r="T2396" s="457">
        <f t="shared" si="2959"/>
        <v>8.4745762711864403E-2</v>
      </c>
      <c r="U2396" s="460">
        <f t="shared" si="2960"/>
        <v>0.73305084745762716</v>
      </c>
      <c r="V2396" s="385"/>
    </row>
    <row r="2397" spans="2:22" ht="15.75" hidden="1" x14ac:dyDescent="0.2">
      <c r="B2397" s="711">
        <v>46235</v>
      </c>
      <c r="C2397" s="711" t="s">
        <v>106</v>
      </c>
      <c r="D2397" s="711" t="s">
        <v>13</v>
      </c>
      <c r="E2397" s="711">
        <v>46237</v>
      </c>
      <c r="G2397" s="772"/>
      <c r="H2397" s="412" t="s">
        <v>84</v>
      </c>
      <c r="I2397" s="446" t="s">
        <v>105</v>
      </c>
      <c r="J2397" s="437">
        <v>141</v>
      </c>
      <c r="K2397" s="378">
        <v>0</v>
      </c>
      <c r="L2397" s="437">
        <v>0</v>
      </c>
      <c r="M2397" s="444">
        <v>78</v>
      </c>
      <c r="N2397" s="413">
        <v>31</v>
      </c>
      <c r="O2397" s="194">
        <v>9</v>
      </c>
      <c r="P2397" s="417">
        <v>23</v>
      </c>
      <c r="Q2397" s="439">
        <f t="shared" si="2961"/>
        <v>0</v>
      </c>
      <c r="R2397" s="455">
        <f t="shared" si="2957"/>
        <v>0.21985815602836881</v>
      </c>
      <c r="S2397" s="455">
        <f t="shared" si="2958"/>
        <v>0.16312056737588654</v>
      </c>
      <c r="T2397" s="440">
        <f t="shared" si="2959"/>
        <v>6.3829787234042548E-2</v>
      </c>
      <c r="U2397" s="426">
        <f t="shared" si="2960"/>
        <v>0.44680851063829785</v>
      </c>
      <c r="V2397" s="385"/>
    </row>
    <row r="2398" spans="2:22" ht="15.75" hidden="1" x14ac:dyDescent="0.2">
      <c r="B2398" s="711">
        <v>46235</v>
      </c>
      <c r="C2398" s="711" t="s">
        <v>106</v>
      </c>
      <c r="D2398" s="711" t="s">
        <v>13</v>
      </c>
      <c r="E2398" s="711">
        <v>46237</v>
      </c>
      <c r="G2398" s="396"/>
      <c r="H2398" s="775" t="s">
        <v>19</v>
      </c>
      <c r="I2398" s="777"/>
      <c r="J2398" s="190">
        <f>SUM(J2389:J2397)</f>
        <v>1374</v>
      </c>
      <c r="K2398" s="190">
        <f t="shared" ref="K2398:P2398" si="2962">SUM(K2389:K2397)</f>
        <v>475</v>
      </c>
      <c r="L2398" s="190">
        <f t="shared" si="2962"/>
        <v>152</v>
      </c>
      <c r="M2398" s="190">
        <f t="shared" si="2962"/>
        <v>444</v>
      </c>
      <c r="N2398" s="190">
        <f t="shared" si="2962"/>
        <v>125</v>
      </c>
      <c r="O2398" s="190">
        <f t="shared" si="2962"/>
        <v>123</v>
      </c>
      <c r="P2398" s="190">
        <f t="shared" si="2962"/>
        <v>55</v>
      </c>
      <c r="Q2398" s="191">
        <f>(K2398+L2398)/J2398</f>
        <v>0.45633187772925765</v>
      </c>
      <c r="R2398" s="192">
        <f t="shared" ref="R2398:R2410" si="2963">N2398/J2398</f>
        <v>9.0975254730713245E-2</v>
      </c>
      <c r="S2398" s="192">
        <f t="shared" ref="S2398:S2410" si="2964">P2398/J2398</f>
        <v>4.0029112081513829E-2</v>
      </c>
      <c r="T2398" s="192">
        <f t="shared" ref="T2398:T2410" si="2965">O2398/J2398</f>
        <v>8.9519650655021835E-2</v>
      </c>
      <c r="U2398" s="427">
        <f t="shared" ref="U2398:U2410" si="2966">S2398+R2398+Q2398+T2398</f>
        <v>0.67685589519650657</v>
      </c>
      <c r="V2398" s="385"/>
    </row>
    <row r="2399" spans="2:22" ht="15.75" hidden="1" x14ac:dyDescent="0.2">
      <c r="B2399" s="711">
        <v>46235</v>
      </c>
      <c r="C2399" s="711" t="s">
        <v>105</v>
      </c>
      <c r="D2399" s="711" t="s">
        <v>189</v>
      </c>
      <c r="E2399" s="711">
        <v>46233</v>
      </c>
      <c r="G2399" s="691">
        <v>46235</v>
      </c>
      <c r="H2399" s="60" t="s">
        <v>25</v>
      </c>
      <c r="I2399" s="60" t="s">
        <v>105</v>
      </c>
      <c r="J2399" s="60">
        <f>SUM(K2399:P2399)</f>
        <v>56</v>
      </c>
      <c r="K2399" s="60">
        <f>14+25</f>
        <v>39</v>
      </c>
      <c r="L2399" s="60">
        <f>15+2</f>
        <v>17</v>
      </c>
      <c r="M2399" s="60">
        <v>0</v>
      </c>
      <c r="N2399" s="312">
        <v>0</v>
      </c>
      <c r="O2399" s="60">
        <v>0</v>
      </c>
      <c r="P2399" s="312">
        <v>0</v>
      </c>
      <c r="Q2399" s="182">
        <f t="shared" ref="Q2399:Q2402" si="2967">(K2399+L2399)/J2399</f>
        <v>1</v>
      </c>
      <c r="R2399" s="183">
        <f t="shared" si="2963"/>
        <v>0</v>
      </c>
      <c r="S2399" s="183">
        <f t="shared" si="2964"/>
        <v>0</v>
      </c>
      <c r="T2399" s="183">
        <f t="shared" si="2965"/>
        <v>0</v>
      </c>
      <c r="U2399" s="463">
        <f t="shared" si="2966"/>
        <v>1</v>
      </c>
      <c r="V2399" s="385"/>
    </row>
    <row r="2400" spans="2:22" ht="15.75" hidden="1" x14ac:dyDescent="0.2">
      <c r="B2400" s="711">
        <v>46235</v>
      </c>
      <c r="C2400" s="711" t="s">
        <v>105</v>
      </c>
      <c r="D2400" s="711" t="s">
        <v>189</v>
      </c>
      <c r="E2400" s="711">
        <v>46235</v>
      </c>
      <c r="G2400" s="770">
        <v>46236</v>
      </c>
      <c r="H2400" s="60" t="s">
        <v>25</v>
      </c>
      <c r="I2400" s="60" t="s">
        <v>106</v>
      </c>
      <c r="J2400" s="60">
        <v>247</v>
      </c>
      <c r="K2400" s="60">
        <v>72</v>
      </c>
      <c r="L2400" s="60">
        <v>40</v>
      </c>
      <c r="M2400" s="60">
        <v>20</v>
      </c>
      <c r="N2400" s="312">
        <v>0</v>
      </c>
      <c r="O2400" s="60">
        <v>32</v>
      </c>
      <c r="P2400" s="312">
        <v>16</v>
      </c>
      <c r="Q2400" s="182">
        <f t="shared" si="2967"/>
        <v>0.45344129554655871</v>
      </c>
      <c r="R2400" s="183">
        <f t="shared" si="2963"/>
        <v>0</v>
      </c>
      <c r="S2400" s="183">
        <f t="shared" si="2964"/>
        <v>6.4777327935222673E-2</v>
      </c>
      <c r="T2400" s="183">
        <f t="shared" si="2965"/>
        <v>0.12955465587044535</v>
      </c>
      <c r="U2400" s="463">
        <f t="shared" si="2966"/>
        <v>0.64777327935222673</v>
      </c>
      <c r="V2400" s="385"/>
    </row>
    <row r="2401" spans="2:22" ht="15.75" hidden="1" x14ac:dyDescent="0.2">
      <c r="B2401" s="711">
        <v>46235</v>
      </c>
      <c r="C2401" s="711" t="s">
        <v>105</v>
      </c>
      <c r="D2401" s="711" t="s">
        <v>189</v>
      </c>
      <c r="E2401" s="711">
        <v>46235</v>
      </c>
      <c r="G2401" s="772"/>
      <c r="H2401" s="60" t="s">
        <v>14</v>
      </c>
      <c r="I2401" s="60" t="s">
        <v>105</v>
      </c>
      <c r="J2401" s="60">
        <v>140</v>
      </c>
      <c r="K2401" s="60">
        <v>16</v>
      </c>
      <c r="L2401" s="60">
        <v>11</v>
      </c>
      <c r="M2401" s="60">
        <v>21</v>
      </c>
      <c r="N2401" s="312">
        <v>77</v>
      </c>
      <c r="O2401" s="60">
        <v>12</v>
      </c>
      <c r="P2401" s="312">
        <v>3</v>
      </c>
      <c r="Q2401" s="182">
        <f t="shared" si="2967"/>
        <v>0.19285714285714287</v>
      </c>
      <c r="R2401" s="183">
        <f t="shared" si="2963"/>
        <v>0.55000000000000004</v>
      </c>
      <c r="S2401" s="183">
        <f t="shared" si="2964"/>
        <v>2.1428571428571429E-2</v>
      </c>
      <c r="T2401" s="183">
        <f t="shared" si="2965"/>
        <v>8.5714285714285715E-2</v>
      </c>
      <c r="U2401" s="184">
        <f t="shared" si="2966"/>
        <v>0.85000000000000009</v>
      </c>
      <c r="V2401" s="385"/>
    </row>
    <row r="2402" spans="2:22" ht="15.75" hidden="1" x14ac:dyDescent="0.2">
      <c r="B2402" s="711">
        <v>46235</v>
      </c>
      <c r="C2402" s="711" t="s">
        <v>105</v>
      </c>
      <c r="D2402" s="711" t="s">
        <v>189</v>
      </c>
      <c r="E2402" s="711">
        <v>46237</v>
      </c>
      <c r="G2402" s="700">
        <v>46237</v>
      </c>
      <c r="H2402" s="60" t="s">
        <v>16</v>
      </c>
      <c r="I2402" s="60" t="s">
        <v>112</v>
      </c>
      <c r="J2402" s="60">
        <v>236</v>
      </c>
      <c r="K2402" s="60">
        <v>2</v>
      </c>
      <c r="L2402" s="60">
        <v>1</v>
      </c>
      <c r="M2402" s="60">
        <v>26</v>
      </c>
      <c r="N2402" s="312">
        <f>111-74</f>
        <v>37</v>
      </c>
      <c r="O2402" s="60">
        <v>20</v>
      </c>
      <c r="P2402" s="312">
        <v>4</v>
      </c>
      <c r="Q2402" s="182">
        <f t="shared" si="2967"/>
        <v>1.2711864406779662E-2</v>
      </c>
      <c r="R2402" s="183">
        <f t="shared" si="2963"/>
        <v>0.15677966101694915</v>
      </c>
      <c r="S2402" s="183">
        <f t="shared" si="2964"/>
        <v>1.6949152542372881E-2</v>
      </c>
      <c r="T2402" s="183">
        <f t="shared" si="2965"/>
        <v>8.4745762711864403E-2</v>
      </c>
      <c r="U2402" s="184">
        <f t="shared" si="2966"/>
        <v>0.2711864406779661</v>
      </c>
      <c r="V2402" s="385"/>
    </row>
    <row r="2403" spans="2:22" ht="15.75" hidden="1" x14ac:dyDescent="0.2">
      <c r="B2403" s="711">
        <v>46235</v>
      </c>
      <c r="C2403" s="711" t="s">
        <v>105</v>
      </c>
      <c r="D2403" s="711" t="s">
        <v>189</v>
      </c>
      <c r="E2403" s="711">
        <v>46237</v>
      </c>
      <c r="G2403" s="396"/>
      <c r="H2403" s="820" t="s">
        <v>19</v>
      </c>
      <c r="I2403" s="821"/>
      <c r="J2403" s="418">
        <f t="shared" ref="J2403:P2403" si="2968">SUM(J2399:J2402)</f>
        <v>679</v>
      </c>
      <c r="K2403" s="418">
        <f t="shared" si="2968"/>
        <v>129</v>
      </c>
      <c r="L2403" s="410">
        <f t="shared" si="2968"/>
        <v>69</v>
      </c>
      <c r="M2403" s="410">
        <f t="shared" si="2968"/>
        <v>67</v>
      </c>
      <c r="N2403" s="410">
        <f t="shared" si="2968"/>
        <v>114</v>
      </c>
      <c r="O2403" s="410">
        <f t="shared" si="2968"/>
        <v>64</v>
      </c>
      <c r="P2403" s="418">
        <f t="shared" si="2968"/>
        <v>23</v>
      </c>
      <c r="Q2403" s="419">
        <f>(K2403+L2403)/J2403</f>
        <v>0.29160530191458028</v>
      </c>
      <c r="R2403" s="420">
        <f t="shared" si="2963"/>
        <v>0.16789396170839468</v>
      </c>
      <c r="S2403" s="411">
        <f t="shared" si="2964"/>
        <v>3.3873343151693665E-2</v>
      </c>
      <c r="T2403" s="411">
        <f t="shared" si="2965"/>
        <v>9.4256259204712811E-2</v>
      </c>
      <c r="U2403" s="421">
        <f t="shared" si="2966"/>
        <v>0.58762886597938147</v>
      </c>
      <c r="V2403" s="385"/>
    </row>
    <row r="2404" spans="2:22" ht="15.75" hidden="1" x14ac:dyDescent="0.2">
      <c r="B2404" s="711">
        <v>46236</v>
      </c>
      <c r="C2404" s="711" t="s">
        <v>106</v>
      </c>
      <c r="D2404" s="711" t="s">
        <v>191</v>
      </c>
      <c r="E2404" s="711">
        <v>46236</v>
      </c>
      <c r="G2404" s="809">
        <v>46236</v>
      </c>
      <c r="H2404" s="416" t="s">
        <v>14</v>
      </c>
      <c r="I2404" s="443" t="s">
        <v>105</v>
      </c>
      <c r="J2404" s="443">
        <v>140</v>
      </c>
      <c r="K2404" s="443">
        <v>105</v>
      </c>
      <c r="L2404" s="431">
        <v>20</v>
      </c>
      <c r="M2404" s="449">
        <v>0</v>
      </c>
      <c r="N2404" s="451">
        <v>0</v>
      </c>
      <c r="O2404" s="431">
        <v>12</v>
      </c>
      <c r="P2404" s="432">
        <v>3</v>
      </c>
      <c r="Q2404" s="452">
        <f t="shared" ref="Q2404:Q2410" si="2969">(K2404+L2404)/J2404</f>
        <v>0.8928571428571429</v>
      </c>
      <c r="R2404" s="454">
        <f t="shared" si="2963"/>
        <v>0</v>
      </c>
      <c r="S2404" s="454">
        <f t="shared" si="2964"/>
        <v>2.1428571428571429E-2</v>
      </c>
      <c r="T2404" s="454">
        <f t="shared" si="2965"/>
        <v>8.5714285714285715E-2</v>
      </c>
      <c r="U2404" s="460">
        <f t="shared" si="2966"/>
        <v>1</v>
      </c>
      <c r="V2404" s="385"/>
    </row>
    <row r="2405" spans="2:22" ht="15.75" hidden="1" x14ac:dyDescent="0.2">
      <c r="B2405" s="711">
        <v>46236</v>
      </c>
      <c r="C2405" s="711" t="s">
        <v>106</v>
      </c>
      <c r="D2405" s="711" t="s">
        <v>191</v>
      </c>
      <c r="E2405" s="711">
        <v>46236</v>
      </c>
      <c r="G2405" s="811"/>
      <c r="H2405" s="442" t="s">
        <v>25</v>
      </c>
      <c r="I2405" s="437" t="s">
        <v>106</v>
      </c>
      <c r="J2405" s="378">
        <v>247</v>
      </c>
      <c r="K2405" s="446">
        <v>137</v>
      </c>
      <c r="L2405" s="437">
        <v>63</v>
      </c>
      <c r="M2405" s="446">
        <v>0</v>
      </c>
      <c r="N2405" s="438">
        <v>0</v>
      </c>
      <c r="O2405" s="450">
        <v>32</v>
      </c>
      <c r="P2405" s="453">
        <v>15</v>
      </c>
      <c r="Q2405" s="439">
        <f t="shared" si="2969"/>
        <v>0.80971659919028338</v>
      </c>
      <c r="R2405" s="455">
        <f t="shared" si="2963"/>
        <v>0</v>
      </c>
      <c r="S2405" s="455">
        <f t="shared" si="2964"/>
        <v>6.0728744939271252E-2</v>
      </c>
      <c r="T2405" s="455">
        <f t="shared" si="2965"/>
        <v>0.12955465587044535</v>
      </c>
      <c r="U2405" s="462">
        <f t="shared" si="2966"/>
        <v>1</v>
      </c>
      <c r="V2405" s="385"/>
    </row>
    <row r="2406" spans="2:22" ht="15.75" hidden="1" x14ac:dyDescent="0.2">
      <c r="B2406" s="711">
        <v>46236</v>
      </c>
      <c r="C2406" s="711" t="s">
        <v>106</v>
      </c>
      <c r="D2406" s="711" t="s">
        <v>191</v>
      </c>
      <c r="E2406" s="711">
        <v>46237</v>
      </c>
      <c r="G2406" s="770">
        <v>46237</v>
      </c>
      <c r="H2406" s="445" t="s">
        <v>16</v>
      </c>
      <c r="I2406" s="431" t="s">
        <v>106</v>
      </c>
      <c r="J2406" s="431">
        <v>236</v>
      </c>
      <c r="K2406" s="447">
        <v>27</v>
      </c>
      <c r="L2406" s="443">
        <v>65</v>
      </c>
      <c r="M2406" s="443">
        <v>28</v>
      </c>
      <c r="N2406" s="451">
        <v>92</v>
      </c>
      <c r="O2406" s="443">
        <v>20</v>
      </c>
      <c r="P2406" s="432">
        <v>4</v>
      </c>
      <c r="Q2406" s="433">
        <f t="shared" si="2969"/>
        <v>0.38983050847457629</v>
      </c>
      <c r="R2406" s="434">
        <f t="shared" si="2963"/>
        <v>0.38983050847457629</v>
      </c>
      <c r="S2406" s="469">
        <f t="shared" si="2964"/>
        <v>1.6949152542372881E-2</v>
      </c>
      <c r="T2406" s="469">
        <f t="shared" si="2965"/>
        <v>8.4745762711864403E-2</v>
      </c>
      <c r="U2406" s="435">
        <f t="shared" si="2966"/>
        <v>0.88135593220338992</v>
      </c>
      <c r="V2406" s="385"/>
    </row>
    <row r="2407" spans="2:22" ht="15.75" hidden="1" x14ac:dyDescent="0.2">
      <c r="B2407" s="711">
        <v>46236</v>
      </c>
      <c r="C2407" s="711" t="s">
        <v>106</v>
      </c>
      <c r="D2407" s="711" t="s">
        <v>191</v>
      </c>
      <c r="E2407" s="711">
        <v>46237</v>
      </c>
      <c r="G2407" s="771"/>
      <c r="H2407" s="415" t="s">
        <v>14</v>
      </c>
      <c r="I2407" s="471" t="s">
        <v>105</v>
      </c>
      <c r="J2407" s="422">
        <v>181</v>
      </c>
      <c r="K2407" s="422">
        <v>0</v>
      </c>
      <c r="L2407" s="464">
        <v>0</v>
      </c>
      <c r="M2407" s="472">
        <v>169</v>
      </c>
      <c r="N2407" s="423">
        <v>0</v>
      </c>
      <c r="O2407" s="473">
        <v>11</v>
      </c>
      <c r="P2407" s="423">
        <v>1</v>
      </c>
      <c r="Q2407" s="424">
        <f t="shared" ref="Q2407:Q2409" si="2970">(K2407+L2407)/J2407</f>
        <v>0</v>
      </c>
      <c r="R2407" s="466">
        <f t="shared" ref="R2407:R2409" si="2971">N2407/J2407</f>
        <v>0</v>
      </c>
      <c r="S2407" s="475">
        <f t="shared" ref="S2407:S2409" si="2972">P2407/J2407</f>
        <v>5.5248618784530384E-3</v>
      </c>
      <c r="T2407" s="425">
        <f t="shared" ref="T2407:T2409" si="2973">O2407/J2407</f>
        <v>6.0773480662983423E-2</v>
      </c>
      <c r="U2407" s="430">
        <f t="shared" ref="U2407:U2409" si="2974">S2407+R2407+Q2407+T2407</f>
        <v>6.6298342541436461E-2</v>
      </c>
      <c r="V2407" s="385"/>
    </row>
    <row r="2408" spans="2:22" ht="15.75" hidden="1" x14ac:dyDescent="0.2">
      <c r="B2408" s="711">
        <v>46236</v>
      </c>
      <c r="C2408" s="711" t="s">
        <v>106</v>
      </c>
      <c r="D2408" s="711" t="s">
        <v>191</v>
      </c>
      <c r="E2408" s="711">
        <v>46237</v>
      </c>
      <c r="G2408" s="771"/>
      <c r="H2408" s="415" t="s">
        <v>17</v>
      </c>
      <c r="I2408" s="422" t="s">
        <v>106</v>
      </c>
      <c r="J2408" s="422">
        <v>152</v>
      </c>
      <c r="K2408" s="422">
        <v>0</v>
      </c>
      <c r="L2408" s="472">
        <v>0</v>
      </c>
      <c r="M2408" s="472">
        <v>124</v>
      </c>
      <c r="N2408" s="423">
        <v>0</v>
      </c>
      <c r="O2408" s="472">
        <v>19</v>
      </c>
      <c r="P2408" s="423">
        <v>9</v>
      </c>
      <c r="Q2408" s="465">
        <f t="shared" si="2970"/>
        <v>0</v>
      </c>
      <c r="R2408" s="425">
        <f t="shared" si="2971"/>
        <v>0</v>
      </c>
      <c r="S2408" s="475">
        <f t="shared" si="2972"/>
        <v>5.921052631578947E-2</v>
      </c>
      <c r="T2408" s="425">
        <f t="shared" si="2973"/>
        <v>0.125</v>
      </c>
      <c r="U2408" s="467">
        <f t="shared" si="2974"/>
        <v>0.18421052631578946</v>
      </c>
      <c r="V2408" s="385"/>
    </row>
    <row r="2409" spans="2:22" ht="15.75" hidden="1" x14ac:dyDescent="0.2">
      <c r="B2409" s="711">
        <v>46236</v>
      </c>
      <c r="C2409" s="711" t="s">
        <v>106</v>
      </c>
      <c r="D2409" s="711" t="s">
        <v>191</v>
      </c>
      <c r="E2409" s="711">
        <v>46237</v>
      </c>
      <c r="G2409" s="771"/>
      <c r="H2409" s="416" t="s">
        <v>118</v>
      </c>
      <c r="I2409" s="464" t="s">
        <v>106</v>
      </c>
      <c r="J2409" s="468">
        <v>244</v>
      </c>
      <c r="K2409" s="422">
        <v>87</v>
      </c>
      <c r="L2409" s="464">
        <v>19</v>
      </c>
      <c r="M2409" s="472">
        <v>44</v>
      </c>
      <c r="N2409" s="423">
        <v>59</v>
      </c>
      <c r="O2409" s="472">
        <v>14</v>
      </c>
      <c r="P2409" s="423">
        <v>21</v>
      </c>
      <c r="Q2409" s="424">
        <f t="shared" si="2970"/>
        <v>0.4344262295081967</v>
      </c>
      <c r="R2409" s="474">
        <f t="shared" si="2971"/>
        <v>0.24180327868852458</v>
      </c>
      <c r="S2409" s="425">
        <f t="shared" si="2972"/>
        <v>8.6065573770491802E-2</v>
      </c>
      <c r="T2409" s="425">
        <f t="shared" si="2973"/>
        <v>5.737704918032787E-2</v>
      </c>
      <c r="U2409" s="430">
        <f t="shared" si="2974"/>
        <v>0.81967213114754089</v>
      </c>
      <c r="V2409" s="385"/>
    </row>
    <row r="2410" spans="2:22" ht="15.75" hidden="1" x14ac:dyDescent="0.2">
      <c r="B2410" s="711">
        <v>46236</v>
      </c>
      <c r="C2410" s="711" t="s">
        <v>106</v>
      </c>
      <c r="D2410" s="711" t="s">
        <v>191</v>
      </c>
      <c r="E2410" s="711">
        <v>46237</v>
      </c>
      <c r="G2410" s="772"/>
      <c r="H2410" s="436" t="s">
        <v>84</v>
      </c>
      <c r="I2410" s="446" t="s">
        <v>105</v>
      </c>
      <c r="J2410" s="437">
        <v>141</v>
      </c>
      <c r="K2410" s="378">
        <v>0</v>
      </c>
      <c r="L2410" s="437">
        <v>0</v>
      </c>
      <c r="M2410" s="437">
        <v>52</v>
      </c>
      <c r="N2410" s="453">
        <v>56</v>
      </c>
      <c r="O2410" s="470">
        <v>9</v>
      </c>
      <c r="P2410" s="438">
        <v>24</v>
      </c>
      <c r="Q2410" s="439">
        <f t="shared" si="2969"/>
        <v>0</v>
      </c>
      <c r="R2410" s="455">
        <f t="shared" si="2963"/>
        <v>0.3971631205673759</v>
      </c>
      <c r="S2410" s="455">
        <f t="shared" si="2964"/>
        <v>0.1702127659574468</v>
      </c>
      <c r="T2410" s="440">
        <f t="shared" si="2965"/>
        <v>6.3829787234042548E-2</v>
      </c>
      <c r="U2410" s="426">
        <f t="shared" si="2966"/>
        <v>0.63120567375886527</v>
      </c>
      <c r="V2410" s="385"/>
    </row>
    <row r="2411" spans="2:22" ht="15.75" hidden="1" x14ac:dyDescent="0.2">
      <c r="B2411" s="711">
        <v>46236</v>
      </c>
      <c r="C2411" s="711" t="s">
        <v>106</v>
      </c>
      <c r="D2411" s="711" t="s">
        <v>191</v>
      </c>
      <c r="E2411" s="711">
        <v>46237</v>
      </c>
      <c r="G2411" s="396"/>
      <c r="H2411" s="775" t="s">
        <v>19</v>
      </c>
      <c r="I2411" s="777"/>
      <c r="J2411" s="190">
        <f t="shared" ref="J2411:P2411" si="2975">SUM(J2399:J2410)</f>
        <v>2699</v>
      </c>
      <c r="K2411" s="190">
        <f t="shared" si="2975"/>
        <v>614</v>
      </c>
      <c r="L2411" s="190">
        <f t="shared" si="2975"/>
        <v>305</v>
      </c>
      <c r="M2411" s="190">
        <f t="shared" si="2975"/>
        <v>551</v>
      </c>
      <c r="N2411" s="190">
        <f t="shared" si="2975"/>
        <v>435</v>
      </c>
      <c r="O2411" s="190">
        <f t="shared" si="2975"/>
        <v>245</v>
      </c>
      <c r="P2411" s="190">
        <f t="shared" si="2975"/>
        <v>123</v>
      </c>
      <c r="Q2411" s="191">
        <f>(K2411+L2411)/J2411</f>
        <v>0.34049648017784362</v>
      </c>
      <c r="R2411" s="192">
        <f t="shared" ref="R2411:R2418" si="2976">N2411/J2411</f>
        <v>0.16117080400148204</v>
      </c>
      <c r="S2411" s="192">
        <f t="shared" ref="S2411:S2418" si="2977">P2411/J2411</f>
        <v>4.5572434234901815E-2</v>
      </c>
      <c r="T2411" s="192">
        <f t="shared" ref="T2411:T2418" si="2978">O2411/J2411</f>
        <v>9.0774360874397927E-2</v>
      </c>
      <c r="U2411" s="427">
        <f t="shared" ref="U2411:U2418" si="2979">S2411+R2411+Q2411+T2411</f>
        <v>0.63801407928862541</v>
      </c>
      <c r="V2411" s="385"/>
    </row>
    <row r="2412" spans="2:22" ht="15.75" hidden="1" x14ac:dyDescent="0.2">
      <c r="B2412" s="711">
        <v>46236</v>
      </c>
      <c r="C2412" s="711" t="s">
        <v>105</v>
      </c>
      <c r="D2412" s="711" t="s">
        <v>189</v>
      </c>
      <c r="E2412" s="711">
        <v>46236</v>
      </c>
      <c r="G2412" s="696">
        <v>46236</v>
      </c>
      <c r="H2412" s="416" t="s">
        <v>14</v>
      </c>
      <c r="I2412" s="443" t="s">
        <v>105</v>
      </c>
      <c r="J2412" s="443">
        <v>140</v>
      </c>
      <c r="K2412" s="443">
        <v>9</v>
      </c>
      <c r="L2412" s="431">
        <v>9</v>
      </c>
      <c r="M2412" s="449">
        <v>0</v>
      </c>
      <c r="N2412" s="451">
        <v>0</v>
      </c>
      <c r="O2412" s="431">
        <v>0</v>
      </c>
      <c r="P2412" s="432">
        <v>3</v>
      </c>
      <c r="Q2412" s="424">
        <f t="shared" ref="Q2412:Q2418" si="2980">(K2412+L2412)/J2412</f>
        <v>0.12857142857142856</v>
      </c>
      <c r="R2412" s="424">
        <f t="shared" si="2976"/>
        <v>0</v>
      </c>
      <c r="S2412" s="475">
        <f t="shared" si="2977"/>
        <v>2.1428571428571429E-2</v>
      </c>
      <c r="T2412" s="425">
        <f t="shared" si="2978"/>
        <v>0</v>
      </c>
      <c r="U2412" s="430">
        <f t="shared" si="2979"/>
        <v>0.15</v>
      </c>
      <c r="V2412" s="385"/>
    </row>
    <row r="2413" spans="2:22" ht="15.75" hidden="1" x14ac:dyDescent="0.2">
      <c r="B2413" s="711">
        <v>46236</v>
      </c>
      <c r="C2413" s="711" t="s">
        <v>105</v>
      </c>
      <c r="D2413" s="711" t="s">
        <v>189</v>
      </c>
      <c r="E2413" s="711">
        <v>46237</v>
      </c>
      <c r="G2413" s="770">
        <v>46237</v>
      </c>
      <c r="H2413" s="445" t="s">
        <v>16</v>
      </c>
      <c r="I2413" s="431" t="s">
        <v>106</v>
      </c>
      <c r="J2413" s="431">
        <v>236</v>
      </c>
      <c r="K2413" s="447">
        <v>25</v>
      </c>
      <c r="L2413" s="443">
        <v>58</v>
      </c>
      <c r="M2413" s="443">
        <v>14</v>
      </c>
      <c r="N2413" s="451">
        <v>4</v>
      </c>
      <c r="O2413" s="443">
        <v>20</v>
      </c>
      <c r="P2413" s="432">
        <v>5</v>
      </c>
      <c r="Q2413" s="424">
        <f t="shared" si="2980"/>
        <v>0.35169491525423729</v>
      </c>
      <c r="R2413" s="424">
        <f t="shared" si="2976"/>
        <v>1.6949152542372881E-2</v>
      </c>
      <c r="S2413" s="475">
        <f t="shared" si="2977"/>
        <v>2.1186440677966101E-2</v>
      </c>
      <c r="T2413" s="425">
        <f t="shared" si="2978"/>
        <v>8.4745762711864403E-2</v>
      </c>
      <c r="U2413" s="430">
        <f t="shared" si="2979"/>
        <v>0.47457627118644069</v>
      </c>
      <c r="V2413" s="385"/>
    </row>
    <row r="2414" spans="2:22" ht="15.75" hidden="1" x14ac:dyDescent="0.2">
      <c r="B2414" s="711">
        <v>46236</v>
      </c>
      <c r="C2414" s="711" t="s">
        <v>105</v>
      </c>
      <c r="D2414" s="711" t="s">
        <v>189</v>
      </c>
      <c r="E2414" s="711">
        <v>46237</v>
      </c>
      <c r="G2414" s="771"/>
      <c r="H2414" s="415" t="s">
        <v>14</v>
      </c>
      <c r="I2414" s="471" t="s">
        <v>105</v>
      </c>
      <c r="J2414" s="422">
        <v>181</v>
      </c>
      <c r="K2414" s="422">
        <v>0</v>
      </c>
      <c r="L2414" s="464">
        <v>0</v>
      </c>
      <c r="M2414" s="472">
        <v>143</v>
      </c>
      <c r="N2414" s="423">
        <v>23</v>
      </c>
      <c r="O2414" s="473">
        <v>11</v>
      </c>
      <c r="P2414" s="423">
        <v>2</v>
      </c>
      <c r="Q2414" s="424">
        <f t="shared" si="2980"/>
        <v>0</v>
      </c>
      <c r="R2414" s="424">
        <f t="shared" si="2976"/>
        <v>0.1270718232044199</v>
      </c>
      <c r="S2414" s="475">
        <f t="shared" si="2977"/>
        <v>1.1049723756906077E-2</v>
      </c>
      <c r="T2414" s="425">
        <f t="shared" si="2978"/>
        <v>6.0773480662983423E-2</v>
      </c>
      <c r="U2414" s="430">
        <f t="shared" si="2979"/>
        <v>0.19889502762430938</v>
      </c>
      <c r="V2414" s="385"/>
    </row>
    <row r="2415" spans="2:22" ht="15.75" hidden="1" x14ac:dyDescent="0.2">
      <c r="B2415" s="711">
        <v>46236</v>
      </c>
      <c r="C2415" s="711" t="s">
        <v>105</v>
      </c>
      <c r="D2415" s="711" t="s">
        <v>189</v>
      </c>
      <c r="E2415" s="711">
        <v>46237</v>
      </c>
      <c r="G2415" s="771"/>
      <c r="H2415" s="415" t="s">
        <v>17</v>
      </c>
      <c r="I2415" s="422" t="s">
        <v>106</v>
      </c>
      <c r="J2415" s="422">
        <v>152</v>
      </c>
      <c r="K2415" s="422">
        <v>98</v>
      </c>
      <c r="L2415" s="472">
        <v>19</v>
      </c>
      <c r="M2415" s="472">
        <v>3</v>
      </c>
      <c r="N2415" s="423">
        <v>0</v>
      </c>
      <c r="O2415" s="472">
        <v>19</v>
      </c>
      <c r="P2415" s="423">
        <v>13</v>
      </c>
      <c r="Q2415" s="424">
        <f t="shared" si="2980"/>
        <v>0.76973684210526316</v>
      </c>
      <c r="R2415" s="424">
        <f t="shared" si="2976"/>
        <v>0</v>
      </c>
      <c r="S2415" s="475">
        <f t="shared" si="2977"/>
        <v>8.5526315789473686E-2</v>
      </c>
      <c r="T2415" s="425">
        <f t="shared" si="2978"/>
        <v>0.125</v>
      </c>
      <c r="U2415" s="430">
        <f t="shared" si="2979"/>
        <v>0.98026315789473684</v>
      </c>
      <c r="V2415" s="385"/>
    </row>
    <row r="2416" spans="2:22" ht="15.75" hidden="1" x14ac:dyDescent="0.2">
      <c r="B2416" s="711">
        <v>46236</v>
      </c>
      <c r="C2416" s="711" t="s">
        <v>105</v>
      </c>
      <c r="D2416" s="711" t="s">
        <v>189</v>
      </c>
      <c r="E2416" s="711">
        <v>46237</v>
      </c>
      <c r="G2416" s="771"/>
      <c r="H2416" s="415" t="s">
        <v>118</v>
      </c>
      <c r="I2416" s="422" t="s">
        <v>106</v>
      </c>
      <c r="J2416" s="422">
        <v>244</v>
      </c>
      <c r="K2416" s="422">
        <v>83</v>
      </c>
      <c r="L2416" s="472">
        <v>17</v>
      </c>
      <c r="M2416" s="472">
        <v>0</v>
      </c>
      <c r="N2416" s="423">
        <v>0</v>
      </c>
      <c r="O2416" s="472">
        <v>14</v>
      </c>
      <c r="P2416" s="423">
        <v>21</v>
      </c>
      <c r="Q2416" s="424">
        <f t="shared" si="2980"/>
        <v>0.4098360655737705</v>
      </c>
      <c r="R2416" s="424">
        <f t="shared" si="2976"/>
        <v>0</v>
      </c>
      <c r="S2416" s="475">
        <f t="shared" si="2977"/>
        <v>8.6065573770491802E-2</v>
      </c>
      <c r="T2416" s="425">
        <f t="shared" si="2978"/>
        <v>5.737704918032787E-2</v>
      </c>
      <c r="U2416" s="430">
        <f t="shared" si="2979"/>
        <v>0.55327868852459017</v>
      </c>
      <c r="V2416" s="385"/>
    </row>
    <row r="2417" spans="2:22" ht="15.75" hidden="1" x14ac:dyDescent="0.2">
      <c r="B2417" s="711">
        <v>46236</v>
      </c>
      <c r="C2417" s="711" t="s">
        <v>105</v>
      </c>
      <c r="D2417" s="711" t="s">
        <v>189</v>
      </c>
      <c r="E2417" s="711">
        <v>46237</v>
      </c>
      <c r="G2417" s="771"/>
      <c r="H2417" s="415" t="s">
        <v>180</v>
      </c>
      <c r="I2417" s="422" t="s">
        <v>106</v>
      </c>
      <c r="J2417" s="422">
        <v>10</v>
      </c>
      <c r="K2417" s="422">
        <v>0</v>
      </c>
      <c r="L2417" s="472">
        <v>0</v>
      </c>
      <c r="M2417" s="472">
        <v>1</v>
      </c>
      <c r="N2417" s="423">
        <v>8</v>
      </c>
      <c r="O2417" s="472">
        <v>1</v>
      </c>
      <c r="P2417" s="423">
        <v>1</v>
      </c>
      <c r="Q2417" s="424">
        <f t="shared" si="2980"/>
        <v>0</v>
      </c>
      <c r="R2417" s="424">
        <f t="shared" si="2976"/>
        <v>0.8</v>
      </c>
      <c r="S2417" s="475">
        <f t="shared" si="2977"/>
        <v>0.1</v>
      </c>
      <c r="T2417" s="425">
        <f t="shared" si="2978"/>
        <v>0.1</v>
      </c>
      <c r="U2417" s="430">
        <f t="shared" si="2979"/>
        <v>1</v>
      </c>
      <c r="V2417" s="385"/>
    </row>
    <row r="2418" spans="2:22" ht="15.75" hidden="1" x14ac:dyDescent="0.2">
      <c r="B2418" s="711">
        <v>46236</v>
      </c>
      <c r="C2418" s="711" t="s">
        <v>105</v>
      </c>
      <c r="D2418" s="711" t="s">
        <v>189</v>
      </c>
      <c r="E2418" s="711">
        <v>46237</v>
      </c>
      <c r="G2418" s="772"/>
      <c r="H2418" s="436" t="s">
        <v>84</v>
      </c>
      <c r="I2418" s="446" t="s">
        <v>105</v>
      </c>
      <c r="J2418" s="437">
        <v>141</v>
      </c>
      <c r="K2418" s="378">
        <v>0</v>
      </c>
      <c r="L2418" s="437">
        <v>0</v>
      </c>
      <c r="M2418" s="437">
        <v>2</v>
      </c>
      <c r="N2418" s="453">
        <f>26+14+7+2</f>
        <v>49</v>
      </c>
      <c r="O2418" s="470">
        <v>9</v>
      </c>
      <c r="P2418" s="438">
        <v>24</v>
      </c>
      <c r="Q2418" s="424">
        <f t="shared" si="2980"/>
        <v>0</v>
      </c>
      <c r="R2418" s="424">
        <f t="shared" si="2976"/>
        <v>0.3475177304964539</v>
      </c>
      <c r="S2418" s="475">
        <f t="shared" si="2977"/>
        <v>0.1702127659574468</v>
      </c>
      <c r="T2418" s="425">
        <f t="shared" si="2978"/>
        <v>6.3829787234042548E-2</v>
      </c>
      <c r="U2418" s="430">
        <f t="shared" si="2979"/>
        <v>0.58156028368794321</v>
      </c>
      <c r="V2418" s="385"/>
    </row>
    <row r="2419" spans="2:22" ht="15.75" hidden="1" x14ac:dyDescent="0.2">
      <c r="B2419" s="711">
        <v>46236</v>
      </c>
      <c r="C2419" s="711" t="s">
        <v>105</v>
      </c>
      <c r="D2419" s="711" t="s">
        <v>189</v>
      </c>
      <c r="E2419" s="711">
        <v>46237</v>
      </c>
      <c r="G2419" s="396"/>
      <c r="H2419" s="775" t="s">
        <v>19</v>
      </c>
      <c r="I2419" s="777"/>
      <c r="J2419" s="190">
        <f>SUM(J2412:J2418)</f>
        <v>1104</v>
      </c>
      <c r="K2419" s="190">
        <f t="shared" ref="K2419:P2419" si="2981">SUM(K2412:K2418)</f>
        <v>215</v>
      </c>
      <c r="L2419" s="190">
        <f t="shared" si="2981"/>
        <v>103</v>
      </c>
      <c r="M2419" s="190">
        <f t="shared" si="2981"/>
        <v>163</v>
      </c>
      <c r="N2419" s="190">
        <f t="shared" si="2981"/>
        <v>84</v>
      </c>
      <c r="O2419" s="190">
        <f t="shared" si="2981"/>
        <v>74</v>
      </c>
      <c r="P2419" s="190">
        <f t="shared" si="2981"/>
        <v>69</v>
      </c>
      <c r="Q2419" s="191">
        <f>(K2419+L2419)/J2419</f>
        <v>0.28804347826086957</v>
      </c>
      <c r="R2419" s="192">
        <f t="shared" ref="R2419:R2425" si="2982">N2419/J2419</f>
        <v>7.6086956521739135E-2</v>
      </c>
      <c r="S2419" s="192">
        <f t="shared" ref="S2419:S2425" si="2983">P2419/J2419</f>
        <v>6.25E-2</v>
      </c>
      <c r="T2419" s="192">
        <f t="shared" ref="T2419:T2425" si="2984">O2419/J2419</f>
        <v>6.7028985507246383E-2</v>
      </c>
      <c r="U2419" s="427">
        <f t="shared" ref="U2419:U2425" si="2985">S2419+R2419+Q2419+T2419</f>
        <v>0.4936594202898551</v>
      </c>
      <c r="V2419" s="385"/>
    </row>
    <row r="2420" spans="2:22" ht="15.75" hidden="1" x14ac:dyDescent="0.2">
      <c r="B2420" s="711">
        <v>46237</v>
      </c>
      <c r="C2420" s="711" t="s">
        <v>106</v>
      </c>
      <c r="D2420" s="711" t="s">
        <v>13</v>
      </c>
      <c r="E2420" s="711">
        <v>46237</v>
      </c>
      <c r="G2420" s="809">
        <v>46237</v>
      </c>
      <c r="H2420" s="445" t="s">
        <v>16</v>
      </c>
      <c r="I2420" s="431" t="s">
        <v>106</v>
      </c>
      <c r="J2420" s="431">
        <v>236</v>
      </c>
      <c r="K2420" s="447">
        <v>156</v>
      </c>
      <c r="L2420" s="443">
        <v>58</v>
      </c>
      <c r="M2420" s="443">
        <v>0</v>
      </c>
      <c r="N2420" s="451">
        <v>0</v>
      </c>
      <c r="O2420" s="443">
        <v>20</v>
      </c>
      <c r="P2420" s="432">
        <v>2</v>
      </c>
      <c r="Q2420" s="424">
        <f t="shared" ref="Q2420:Q2425" si="2986">(K2420+L2420)/J2420</f>
        <v>0.90677966101694918</v>
      </c>
      <c r="R2420" s="424">
        <f t="shared" si="2982"/>
        <v>0</v>
      </c>
      <c r="S2420" s="475">
        <f t="shared" si="2983"/>
        <v>8.4745762711864406E-3</v>
      </c>
      <c r="T2420" s="425">
        <f t="shared" si="2984"/>
        <v>8.4745762711864403E-2</v>
      </c>
      <c r="U2420" s="430">
        <f t="shared" si="2985"/>
        <v>1</v>
      </c>
      <c r="V2420" s="385"/>
    </row>
    <row r="2421" spans="2:22" ht="15.75" hidden="1" x14ac:dyDescent="0.2">
      <c r="B2421" s="711">
        <v>46237</v>
      </c>
      <c r="C2421" s="711" t="s">
        <v>106</v>
      </c>
      <c r="D2421" s="711" t="s">
        <v>13</v>
      </c>
      <c r="E2421" s="711">
        <v>46237</v>
      </c>
      <c r="G2421" s="810"/>
      <c r="H2421" s="415" t="s">
        <v>14</v>
      </c>
      <c r="I2421" s="471" t="s">
        <v>105</v>
      </c>
      <c r="J2421" s="422">
        <v>181</v>
      </c>
      <c r="K2421" s="422">
        <f>181-96</f>
        <v>85</v>
      </c>
      <c r="L2421" s="464">
        <v>24</v>
      </c>
      <c r="M2421" s="472">
        <v>2</v>
      </c>
      <c r="N2421" s="423">
        <v>58</v>
      </c>
      <c r="O2421" s="473">
        <v>11</v>
      </c>
      <c r="P2421" s="423">
        <v>1</v>
      </c>
      <c r="Q2421" s="424">
        <f t="shared" si="2986"/>
        <v>0.60220994475138123</v>
      </c>
      <c r="R2421" s="424">
        <f t="shared" si="2982"/>
        <v>0.32044198895027626</v>
      </c>
      <c r="S2421" s="475">
        <f t="shared" si="2983"/>
        <v>5.5248618784530384E-3</v>
      </c>
      <c r="T2421" s="425">
        <f t="shared" si="2984"/>
        <v>6.0773480662983423E-2</v>
      </c>
      <c r="U2421" s="430">
        <f t="shared" si="2985"/>
        <v>0.98895027624309395</v>
      </c>
      <c r="V2421" s="385"/>
    </row>
    <row r="2422" spans="2:22" ht="15.75" hidden="1" x14ac:dyDescent="0.2">
      <c r="B2422" s="711">
        <v>46237</v>
      </c>
      <c r="C2422" s="711" t="s">
        <v>106</v>
      </c>
      <c r="D2422" s="711" t="s">
        <v>13</v>
      </c>
      <c r="E2422" s="711">
        <v>46237</v>
      </c>
      <c r="G2422" s="810"/>
      <c r="H2422" s="415" t="s">
        <v>17</v>
      </c>
      <c r="I2422" s="422" t="s">
        <v>106</v>
      </c>
      <c r="J2422" s="422">
        <v>152</v>
      </c>
      <c r="K2422" s="422">
        <v>100</v>
      </c>
      <c r="L2422" s="472">
        <v>20</v>
      </c>
      <c r="M2422" s="472">
        <v>0</v>
      </c>
      <c r="N2422" s="423">
        <v>0</v>
      </c>
      <c r="O2422" s="472">
        <v>19</v>
      </c>
      <c r="P2422" s="423">
        <v>13</v>
      </c>
      <c r="Q2422" s="424">
        <f t="shared" si="2986"/>
        <v>0.78947368421052633</v>
      </c>
      <c r="R2422" s="424">
        <f t="shared" si="2982"/>
        <v>0</v>
      </c>
      <c r="S2422" s="475">
        <f t="shared" si="2983"/>
        <v>8.5526315789473686E-2</v>
      </c>
      <c r="T2422" s="425">
        <f t="shared" si="2984"/>
        <v>0.125</v>
      </c>
      <c r="U2422" s="430">
        <f t="shared" si="2985"/>
        <v>1</v>
      </c>
      <c r="V2422" s="385"/>
    </row>
    <row r="2423" spans="2:22" ht="15.75" hidden="1" x14ac:dyDescent="0.2">
      <c r="B2423" s="711">
        <v>46237</v>
      </c>
      <c r="C2423" s="711" t="s">
        <v>106</v>
      </c>
      <c r="D2423" s="711" t="s">
        <v>13</v>
      </c>
      <c r="E2423" s="711">
        <v>46237</v>
      </c>
      <c r="G2423" s="810"/>
      <c r="H2423" s="415" t="s">
        <v>118</v>
      </c>
      <c r="I2423" s="422" t="s">
        <v>106</v>
      </c>
      <c r="J2423" s="422">
        <v>244</v>
      </c>
      <c r="K2423" s="422">
        <v>181</v>
      </c>
      <c r="L2423" s="472">
        <v>33</v>
      </c>
      <c r="M2423" s="472">
        <v>0</v>
      </c>
      <c r="N2423" s="423">
        <v>0</v>
      </c>
      <c r="O2423" s="472">
        <v>14</v>
      </c>
      <c r="P2423" s="423">
        <v>16</v>
      </c>
      <c r="Q2423" s="424">
        <f t="shared" si="2986"/>
        <v>0.87704918032786883</v>
      </c>
      <c r="R2423" s="424">
        <f t="shared" si="2982"/>
        <v>0</v>
      </c>
      <c r="S2423" s="475">
        <f t="shared" si="2983"/>
        <v>6.5573770491803282E-2</v>
      </c>
      <c r="T2423" s="425">
        <f t="shared" si="2984"/>
        <v>5.737704918032787E-2</v>
      </c>
      <c r="U2423" s="430">
        <f t="shared" si="2985"/>
        <v>0.99999999999999989</v>
      </c>
      <c r="V2423" s="385"/>
    </row>
    <row r="2424" spans="2:22" ht="15.75" hidden="1" x14ac:dyDescent="0.2">
      <c r="B2424" s="711">
        <v>46237</v>
      </c>
      <c r="C2424" s="711" t="s">
        <v>106</v>
      </c>
      <c r="D2424" s="711" t="s">
        <v>13</v>
      </c>
      <c r="E2424" s="711">
        <v>46237</v>
      </c>
      <c r="G2424" s="810"/>
      <c r="H2424" s="415" t="s">
        <v>180</v>
      </c>
      <c r="I2424" s="422" t="s">
        <v>106</v>
      </c>
      <c r="J2424" s="422">
        <v>10</v>
      </c>
      <c r="K2424" s="422">
        <v>9</v>
      </c>
      <c r="L2424" s="472">
        <v>0</v>
      </c>
      <c r="M2424" s="472">
        <v>0</v>
      </c>
      <c r="N2424" s="423">
        <v>0</v>
      </c>
      <c r="O2424" s="472">
        <v>0</v>
      </c>
      <c r="P2424" s="423">
        <v>1</v>
      </c>
      <c r="Q2424" s="424">
        <f t="shared" si="2986"/>
        <v>0.9</v>
      </c>
      <c r="R2424" s="424">
        <f t="shared" si="2982"/>
        <v>0</v>
      </c>
      <c r="S2424" s="475">
        <f t="shared" si="2983"/>
        <v>0.1</v>
      </c>
      <c r="T2424" s="425">
        <f t="shared" si="2984"/>
        <v>0</v>
      </c>
      <c r="U2424" s="430">
        <f t="shared" si="2985"/>
        <v>1</v>
      </c>
      <c r="V2424" s="385"/>
    </row>
    <row r="2425" spans="2:22" ht="15.75" hidden="1" x14ac:dyDescent="0.2">
      <c r="B2425" s="711">
        <v>46237</v>
      </c>
      <c r="C2425" s="711" t="s">
        <v>106</v>
      </c>
      <c r="D2425" s="711" t="s">
        <v>13</v>
      </c>
      <c r="E2425" s="711">
        <v>46237</v>
      </c>
      <c r="G2425" s="811"/>
      <c r="H2425" s="436" t="s">
        <v>84</v>
      </c>
      <c r="I2425" s="446" t="s">
        <v>105</v>
      </c>
      <c r="J2425" s="437">
        <v>141</v>
      </c>
      <c r="K2425" s="378">
        <f>141-44</f>
        <v>97</v>
      </c>
      <c r="L2425" s="437">
        <v>9</v>
      </c>
      <c r="M2425" s="437">
        <v>0</v>
      </c>
      <c r="N2425" s="453">
        <v>0</v>
      </c>
      <c r="O2425" s="470">
        <v>11</v>
      </c>
      <c r="P2425" s="438">
        <v>24</v>
      </c>
      <c r="Q2425" s="424">
        <f t="shared" si="2986"/>
        <v>0.75177304964539005</v>
      </c>
      <c r="R2425" s="424">
        <f t="shared" si="2982"/>
        <v>0</v>
      </c>
      <c r="S2425" s="475">
        <f t="shared" si="2983"/>
        <v>0.1702127659574468</v>
      </c>
      <c r="T2425" s="425">
        <f t="shared" si="2984"/>
        <v>7.8014184397163122E-2</v>
      </c>
      <c r="U2425" s="430">
        <f t="shared" si="2985"/>
        <v>1</v>
      </c>
      <c r="V2425" s="385"/>
    </row>
    <row r="2426" spans="2:22" ht="15.75" hidden="1" x14ac:dyDescent="0.2">
      <c r="B2426" s="711">
        <v>46237</v>
      </c>
      <c r="C2426" s="711" t="s">
        <v>106</v>
      </c>
      <c r="D2426" s="711" t="s">
        <v>13</v>
      </c>
      <c r="E2426" s="711">
        <v>46238</v>
      </c>
      <c r="G2426" s="770">
        <v>46238</v>
      </c>
      <c r="H2426" s="445" t="s">
        <v>16</v>
      </c>
      <c r="I2426" s="431" t="s">
        <v>106</v>
      </c>
      <c r="J2426" s="431">
        <v>246</v>
      </c>
      <c r="K2426" s="447">
        <v>21</v>
      </c>
      <c r="L2426" s="443">
        <v>4</v>
      </c>
      <c r="M2426" s="443">
        <v>96</v>
      </c>
      <c r="N2426" s="451">
        <v>105</v>
      </c>
      <c r="O2426" s="443">
        <v>0</v>
      </c>
      <c r="P2426" s="432">
        <v>20</v>
      </c>
      <c r="Q2426" s="424">
        <f t="shared" ref="Q2426:Q2428" si="2987">(K2426+L2426)/J2426</f>
        <v>0.1016260162601626</v>
      </c>
      <c r="R2426" s="424">
        <f t="shared" ref="R2426:R2428" si="2988">N2426/J2426</f>
        <v>0.42682926829268292</v>
      </c>
      <c r="S2426" s="475">
        <f t="shared" ref="S2426:S2428" si="2989">P2426/J2426</f>
        <v>8.1300813008130079E-2</v>
      </c>
      <c r="T2426" s="425">
        <f t="shared" ref="T2426:T2428" si="2990">O2426/J2426</f>
        <v>0</v>
      </c>
      <c r="U2426" s="430">
        <f t="shared" ref="U2426:U2428" si="2991">S2426+R2426+Q2426+T2426</f>
        <v>0.60975609756097549</v>
      </c>
      <c r="V2426" s="385"/>
    </row>
    <row r="2427" spans="2:22" ht="15.75" hidden="1" x14ac:dyDescent="0.2">
      <c r="B2427" s="711">
        <v>46237</v>
      </c>
      <c r="C2427" s="711" t="s">
        <v>106</v>
      </c>
      <c r="D2427" s="711" t="s">
        <v>13</v>
      </c>
      <c r="E2427" s="711">
        <v>46238</v>
      </c>
      <c r="G2427" s="771"/>
      <c r="H2427" s="415" t="s">
        <v>14</v>
      </c>
      <c r="I2427" s="471" t="s">
        <v>105</v>
      </c>
      <c r="J2427" s="422">
        <v>149</v>
      </c>
      <c r="K2427" s="422">
        <v>0</v>
      </c>
      <c r="L2427" s="464">
        <v>0</v>
      </c>
      <c r="M2427" s="472">
        <v>0</v>
      </c>
      <c r="N2427" s="423">
        <v>0</v>
      </c>
      <c r="O2427" s="473">
        <v>0</v>
      </c>
      <c r="P2427" s="423">
        <v>0</v>
      </c>
      <c r="Q2427" s="424">
        <f t="shared" si="2987"/>
        <v>0</v>
      </c>
      <c r="R2427" s="424">
        <f t="shared" si="2988"/>
        <v>0</v>
      </c>
      <c r="S2427" s="475">
        <f t="shared" si="2989"/>
        <v>0</v>
      </c>
      <c r="T2427" s="425">
        <f t="shared" si="2990"/>
        <v>0</v>
      </c>
      <c r="U2427" s="430">
        <f t="shared" si="2991"/>
        <v>0</v>
      </c>
      <c r="V2427" s="385"/>
    </row>
    <row r="2428" spans="2:22" ht="15.75" hidden="1" x14ac:dyDescent="0.2">
      <c r="B2428" s="711">
        <v>46237</v>
      </c>
      <c r="C2428" s="711" t="s">
        <v>106</v>
      </c>
      <c r="D2428" s="711" t="s">
        <v>13</v>
      </c>
      <c r="E2428" s="711">
        <v>46238</v>
      </c>
      <c r="G2428" s="772"/>
      <c r="H2428" s="415" t="s">
        <v>17</v>
      </c>
      <c r="I2428" s="422" t="s">
        <v>106</v>
      </c>
      <c r="J2428" s="422">
        <v>193</v>
      </c>
      <c r="K2428" s="422">
        <v>0</v>
      </c>
      <c r="L2428" s="472">
        <v>0</v>
      </c>
      <c r="M2428" s="472">
        <v>3</v>
      </c>
      <c r="N2428" s="423">
        <v>0</v>
      </c>
      <c r="O2428" s="472">
        <v>0</v>
      </c>
      <c r="P2428" s="423">
        <v>0</v>
      </c>
      <c r="Q2428" s="424">
        <f t="shared" si="2987"/>
        <v>0</v>
      </c>
      <c r="R2428" s="424">
        <f t="shared" si="2988"/>
        <v>0</v>
      </c>
      <c r="S2428" s="475">
        <f t="shared" si="2989"/>
        <v>0</v>
      </c>
      <c r="T2428" s="425">
        <f t="shared" si="2990"/>
        <v>0</v>
      </c>
      <c r="U2428" s="430">
        <f t="shared" si="2991"/>
        <v>0</v>
      </c>
      <c r="V2428" s="385"/>
    </row>
    <row r="2429" spans="2:22" ht="15.75" hidden="1" x14ac:dyDescent="0.2">
      <c r="B2429" s="711">
        <v>46237</v>
      </c>
      <c r="C2429" s="711" t="s">
        <v>106</v>
      </c>
      <c r="D2429" s="711" t="s">
        <v>13</v>
      </c>
      <c r="E2429" s="711">
        <v>46238</v>
      </c>
      <c r="G2429" s="396"/>
      <c r="H2429" s="822" t="s">
        <v>19</v>
      </c>
      <c r="I2429" s="823"/>
      <c r="J2429" s="190">
        <f>SUM(J2420:J2428)</f>
        <v>1552</v>
      </c>
      <c r="K2429" s="190">
        <f t="shared" ref="K2429:P2429" si="2992">SUM(K2420:K2428)</f>
        <v>649</v>
      </c>
      <c r="L2429" s="190">
        <f t="shared" si="2992"/>
        <v>148</v>
      </c>
      <c r="M2429" s="190">
        <f t="shared" si="2992"/>
        <v>101</v>
      </c>
      <c r="N2429" s="190">
        <f t="shared" si="2992"/>
        <v>163</v>
      </c>
      <c r="O2429" s="190">
        <f t="shared" si="2992"/>
        <v>75</v>
      </c>
      <c r="P2429" s="190">
        <f t="shared" si="2992"/>
        <v>77</v>
      </c>
      <c r="Q2429" s="191">
        <f>(K2429+L2429)/J2429</f>
        <v>0.5135309278350515</v>
      </c>
      <c r="R2429" s="192">
        <f t="shared" ref="R2429:R2438" si="2993">N2429/J2429</f>
        <v>0.10502577319587629</v>
      </c>
      <c r="S2429" s="192">
        <f t="shared" ref="S2429:S2438" si="2994">P2429/J2429</f>
        <v>4.9613402061855667E-2</v>
      </c>
      <c r="T2429" s="192">
        <f t="shared" ref="T2429:T2438" si="2995">O2429/J2429</f>
        <v>4.8324742268041239E-2</v>
      </c>
      <c r="U2429" s="427">
        <f t="shared" ref="U2429:U2438" si="2996">S2429+R2429+Q2429+T2429</f>
        <v>0.71649484536082475</v>
      </c>
      <c r="V2429" s="385"/>
    </row>
    <row r="2430" spans="2:22" ht="15.75" hidden="1" x14ac:dyDescent="0.2">
      <c r="B2430" s="711">
        <v>46237</v>
      </c>
      <c r="C2430" s="711" t="s">
        <v>105</v>
      </c>
      <c r="D2430" s="711" t="s">
        <v>189</v>
      </c>
      <c r="E2430" s="711">
        <v>46237</v>
      </c>
      <c r="G2430" s="809">
        <v>46237</v>
      </c>
      <c r="H2430" s="445" t="s">
        <v>16</v>
      </c>
      <c r="I2430" s="431" t="s">
        <v>112</v>
      </c>
      <c r="J2430" s="422">
        <f t="shared" ref="J2430:J2431" si="2997">SUM(K2430:P2430)</f>
        <v>39</v>
      </c>
      <c r="K2430" s="447">
        <f>161-135</f>
        <v>26</v>
      </c>
      <c r="L2430" s="443">
        <v>12</v>
      </c>
      <c r="M2430" s="443">
        <v>0</v>
      </c>
      <c r="N2430" s="451">
        <v>0</v>
      </c>
      <c r="O2430" s="443">
        <v>0</v>
      </c>
      <c r="P2430" s="432">
        <v>1</v>
      </c>
      <c r="Q2430" s="424">
        <f t="shared" ref="Q2430:Q2438" si="2998">(K2430+L2430)/J2430</f>
        <v>0.97435897435897434</v>
      </c>
      <c r="R2430" s="424">
        <f t="shared" si="2993"/>
        <v>0</v>
      </c>
      <c r="S2430" s="475">
        <f t="shared" si="2994"/>
        <v>2.564102564102564E-2</v>
      </c>
      <c r="T2430" s="425">
        <f t="shared" si="2995"/>
        <v>0</v>
      </c>
      <c r="U2430" s="430">
        <f t="shared" si="2996"/>
        <v>1</v>
      </c>
      <c r="V2430" s="385"/>
    </row>
    <row r="2431" spans="2:22" ht="15.75" hidden="1" x14ac:dyDescent="0.2">
      <c r="B2431" s="711">
        <v>46237</v>
      </c>
      <c r="C2431" s="711" t="s">
        <v>105</v>
      </c>
      <c r="D2431" s="711" t="s">
        <v>189</v>
      </c>
      <c r="E2431" s="711">
        <v>46237</v>
      </c>
      <c r="G2431" s="810"/>
      <c r="H2431" s="415" t="s">
        <v>14</v>
      </c>
      <c r="I2431" s="471" t="s">
        <v>105</v>
      </c>
      <c r="J2431" s="422">
        <f t="shared" si="2997"/>
        <v>85</v>
      </c>
      <c r="K2431" s="422">
        <v>67</v>
      </c>
      <c r="L2431" s="464">
        <v>18</v>
      </c>
      <c r="M2431" s="472">
        <v>0</v>
      </c>
      <c r="N2431" s="423">
        <v>0</v>
      </c>
      <c r="O2431" s="443">
        <v>0</v>
      </c>
      <c r="P2431" s="423">
        <v>0</v>
      </c>
      <c r="Q2431" s="424">
        <f t="shared" si="2998"/>
        <v>1</v>
      </c>
      <c r="R2431" s="424">
        <f t="shared" si="2993"/>
        <v>0</v>
      </c>
      <c r="S2431" s="475">
        <f t="shared" si="2994"/>
        <v>0</v>
      </c>
      <c r="T2431" s="425">
        <f t="shared" si="2995"/>
        <v>0</v>
      </c>
      <c r="U2431" s="430">
        <f t="shared" si="2996"/>
        <v>1</v>
      </c>
      <c r="V2431" s="385"/>
    </row>
    <row r="2432" spans="2:22" ht="15.75" hidden="1" x14ac:dyDescent="0.2">
      <c r="B2432" s="711">
        <v>46237</v>
      </c>
      <c r="C2432" s="711" t="s">
        <v>105</v>
      </c>
      <c r="D2432" s="711" t="s">
        <v>189</v>
      </c>
      <c r="E2432" s="711">
        <v>46237</v>
      </c>
      <c r="G2432" s="810"/>
      <c r="H2432" s="415" t="s">
        <v>84</v>
      </c>
      <c r="I2432" s="422" t="s">
        <v>105</v>
      </c>
      <c r="J2432" s="422">
        <f>SUM(K2432:P2432)</f>
        <v>40</v>
      </c>
      <c r="K2432" s="422">
        <v>6</v>
      </c>
      <c r="L2432" s="472">
        <v>8</v>
      </c>
      <c r="M2432" s="472">
        <v>0</v>
      </c>
      <c r="N2432" s="423">
        <v>0</v>
      </c>
      <c r="O2432" s="443">
        <v>4</v>
      </c>
      <c r="P2432" s="423">
        <v>22</v>
      </c>
      <c r="Q2432" s="424">
        <f t="shared" si="2998"/>
        <v>0.35</v>
      </c>
      <c r="R2432" s="424">
        <f t="shared" si="2993"/>
        <v>0</v>
      </c>
      <c r="S2432" s="475">
        <f t="shared" si="2994"/>
        <v>0.55000000000000004</v>
      </c>
      <c r="T2432" s="425">
        <f t="shared" si="2995"/>
        <v>0.1</v>
      </c>
      <c r="U2432" s="430">
        <f t="shared" si="2996"/>
        <v>1</v>
      </c>
      <c r="V2432" s="385"/>
    </row>
    <row r="2433" spans="2:22" ht="15.75" hidden="1" x14ac:dyDescent="0.2">
      <c r="B2433" s="711">
        <v>46237</v>
      </c>
      <c r="C2433" s="711" t="s">
        <v>105</v>
      </c>
      <c r="D2433" s="711" t="s">
        <v>189</v>
      </c>
      <c r="E2433" s="711">
        <v>46237</v>
      </c>
      <c r="G2433" s="810"/>
      <c r="H2433" s="415" t="s">
        <v>17</v>
      </c>
      <c r="I2433" s="422" t="s">
        <v>105</v>
      </c>
      <c r="J2433" s="422">
        <f>SUM(K2433:P2433)</f>
        <v>4</v>
      </c>
      <c r="K2433" s="422">
        <v>4</v>
      </c>
      <c r="L2433" s="472">
        <v>0</v>
      </c>
      <c r="M2433" s="472">
        <v>0</v>
      </c>
      <c r="N2433" s="423">
        <v>0</v>
      </c>
      <c r="O2433" s="443">
        <v>0</v>
      </c>
      <c r="P2433" s="423">
        <v>0</v>
      </c>
      <c r="Q2433" s="424">
        <f t="shared" si="2998"/>
        <v>1</v>
      </c>
      <c r="R2433" s="424">
        <f t="shared" si="2993"/>
        <v>0</v>
      </c>
      <c r="S2433" s="475">
        <f t="shared" si="2994"/>
        <v>0</v>
      </c>
      <c r="T2433" s="425">
        <f t="shared" si="2995"/>
        <v>0</v>
      </c>
      <c r="U2433" s="430">
        <f t="shared" si="2996"/>
        <v>1</v>
      </c>
      <c r="V2433" s="385"/>
    </row>
    <row r="2434" spans="2:22" ht="15.75" hidden="1" x14ac:dyDescent="0.2">
      <c r="B2434" s="711">
        <v>46237</v>
      </c>
      <c r="C2434" s="711" t="s">
        <v>105</v>
      </c>
      <c r="D2434" s="711" t="s">
        <v>189</v>
      </c>
      <c r="E2434" s="711">
        <v>46237</v>
      </c>
      <c r="G2434" s="811"/>
      <c r="H2434" s="415" t="s">
        <v>118</v>
      </c>
      <c r="I2434" s="422" t="s">
        <v>105</v>
      </c>
      <c r="J2434" s="422">
        <f>SUM(K2434:P2434)</f>
        <v>2</v>
      </c>
      <c r="K2434" s="422">
        <v>2</v>
      </c>
      <c r="L2434" s="472">
        <v>0</v>
      </c>
      <c r="M2434" s="472">
        <v>0</v>
      </c>
      <c r="N2434" s="423">
        <v>0</v>
      </c>
      <c r="O2434" s="443">
        <v>0</v>
      </c>
      <c r="P2434" s="423">
        <v>0</v>
      </c>
      <c r="Q2434" s="424">
        <f t="shared" si="2998"/>
        <v>1</v>
      </c>
      <c r="R2434" s="424">
        <f t="shared" si="2993"/>
        <v>0</v>
      </c>
      <c r="S2434" s="475">
        <f t="shared" si="2994"/>
        <v>0</v>
      </c>
      <c r="T2434" s="425">
        <f t="shared" si="2995"/>
        <v>0</v>
      </c>
      <c r="U2434" s="430">
        <f t="shared" si="2996"/>
        <v>1</v>
      </c>
      <c r="V2434" s="385"/>
    </row>
    <row r="2435" spans="2:22" ht="15.75" hidden="1" x14ac:dyDescent="0.2">
      <c r="B2435" s="711">
        <v>46237</v>
      </c>
      <c r="C2435" s="711" t="s">
        <v>105</v>
      </c>
      <c r="D2435" s="711" t="s">
        <v>189</v>
      </c>
      <c r="E2435" s="711">
        <v>46237</v>
      </c>
      <c r="G2435" s="770">
        <v>46238</v>
      </c>
      <c r="H2435" s="436" t="s">
        <v>16</v>
      </c>
      <c r="I2435" s="446" t="s">
        <v>112</v>
      </c>
      <c r="J2435" s="437">
        <v>246</v>
      </c>
      <c r="K2435" s="378">
        <v>135</v>
      </c>
      <c r="L2435" s="437">
        <v>56</v>
      </c>
      <c r="M2435" s="437">
        <v>10</v>
      </c>
      <c r="N2435" s="453">
        <v>0</v>
      </c>
      <c r="O2435" s="470">
        <v>20</v>
      </c>
      <c r="P2435" s="438">
        <v>6</v>
      </c>
      <c r="Q2435" s="424">
        <f t="shared" si="2998"/>
        <v>0.77642276422764223</v>
      </c>
      <c r="R2435" s="424">
        <f t="shared" si="2993"/>
        <v>0</v>
      </c>
      <c r="S2435" s="475">
        <f t="shared" si="2994"/>
        <v>2.4390243902439025E-2</v>
      </c>
      <c r="T2435" s="425">
        <f t="shared" si="2995"/>
        <v>8.1300813008130079E-2</v>
      </c>
      <c r="U2435" s="430">
        <f t="shared" si="2996"/>
        <v>0.88211382113821135</v>
      </c>
      <c r="V2435" s="385"/>
    </row>
    <row r="2436" spans="2:22" ht="15.75" hidden="1" x14ac:dyDescent="0.2">
      <c r="B2436" s="711">
        <v>46237</v>
      </c>
      <c r="C2436" s="711" t="s">
        <v>105</v>
      </c>
      <c r="D2436" s="711" t="s">
        <v>189</v>
      </c>
      <c r="E2436" s="711">
        <v>46238</v>
      </c>
      <c r="G2436" s="771"/>
      <c r="H2436" s="445" t="s">
        <v>25</v>
      </c>
      <c r="I2436" s="431" t="s">
        <v>106</v>
      </c>
      <c r="J2436" s="431">
        <v>283</v>
      </c>
      <c r="K2436" s="447">
        <v>92</v>
      </c>
      <c r="L2436" s="443">
        <v>19</v>
      </c>
      <c r="M2436" s="443">
        <f>88-36</f>
        <v>52</v>
      </c>
      <c r="N2436" s="451">
        <v>37</v>
      </c>
      <c r="O2436" s="443">
        <v>36</v>
      </c>
      <c r="P2436" s="432">
        <v>31</v>
      </c>
      <c r="Q2436" s="424">
        <f t="shared" si="2998"/>
        <v>0.392226148409894</v>
      </c>
      <c r="R2436" s="424">
        <f t="shared" si="2993"/>
        <v>0.13074204946996468</v>
      </c>
      <c r="S2436" s="475">
        <f t="shared" si="2994"/>
        <v>0.10954063604240283</v>
      </c>
      <c r="T2436" s="425">
        <f t="shared" si="2995"/>
        <v>0.12720848056537101</v>
      </c>
      <c r="U2436" s="430">
        <f t="shared" si="2996"/>
        <v>0.75971731448763258</v>
      </c>
      <c r="V2436" s="385"/>
    </row>
    <row r="2437" spans="2:22" ht="15.75" hidden="1" x14ac:dyDescent="0.2">
      <c r="B2437" s="711">
        <v>46237</v>
      </c>
      <c r="C2437" s="711" t="s">
        <v>105</v>
      </c>
      <c r="D2437" s="711" t="s">
        <v>189</v>
      </c>
      <c r="E2437" s="711">
        <v>46238</v>
      </c>
      <c r="G2437" s="772"/>
      <c r="H2437" s="415" t="s">
        <v>14</v>
      </c>
      <c r="I2437" s="471" t="s">
        <v>105</v>
      </c>
      <c r="J2437" s="422">
        <v>149</v>
      </c>
      <c r="K2437" s="422">
        <v>3</v>
      </c>
      <c r="L2437" s="443">
        <v>1</v>
      </c>
      <c r="M2437" s="472">
        <v>136</v>
      </c>
      <c r="N2437" s="423">
        <v>0</v>
      </c>
      <c r="O2437" s="473">
        <v>14</v>
      </c>
      <c r="P2437" s="423">
        <v>6</v>
      </c>
      <c r="Q2437" s="424">
        <f t="shared" ref="Q2437" si="2999">(K2437+L2437)/J2437</f>
        <v>2.6845637583892617E-2</v>
      </c>
      <c r="R2437" s="424">
        <f t="shared" ref="R2437" si="3000">N2437/J2437</f>
        <v>0</v>
      </c>
      <c r="S2437" s="475">
        <f t="shared" ref="S2437" si="3001">P2437/J2437</f>
        <v>4.0268456375838924E-2</v>
      </c>
      <c r="T2437" s="425">
        <f t="shared" ref="T2437" si="3002">O2437/J2437</f>
        <v>9.3959731543624164E-2</v>
      </c>
      <c r="U2437" s="430">
        <f t="shared" ref="U2437" si="3003">S2437+R2437+Q2437+T2437</f>
        <v>0.16107382550335569</v>
      </c>
      <c r="V2437" s="385"/>
    </row>
    <row r="2438" spans="2:22" ht="15.75" hidden="1" x14ac:dyDescent="0.2">
      <c r="B2438" s="711">
        <v>46237</v>
      </c>
      <c r="C2438" s="711" t="s">
        <v>105</v>
      </c>
      <c r="D2438" s="711" t="s">
        <v>189</v>
      </c>
      <c r="E2438" s="711">
        <v>46238</v>
      </c>
      <c r="G2438" s="700">
        <v>46239</v>
      </c>
      <c r="H2438" s="415" t="s">
        <v>180</v>
      </c>
      <c r="I2438" s="471" t="s">
        <v>106</v>
      </c>
      <c r="J2438" s="422">
        <v>145</v>
      </c>
      <c r="K2438" s="422">
        <v>0</v>
      </c>
      <c r="L2438" s="443">
        <v>0</v>
      </c>
      <c r="M2438" s="472">
        <v>115</v>
      </c>
      <c r="N2438" s="423">
        <v>19</v>
      </c>
      <c r="O2438" s="473">
        <v>0</v>
      </c>
      <c r="P2438" s="423">
        <v>11</v>
      </c>
      <c r="Q2438" s="424">
        <f t="shared" si="2998"/>
        <v>0</v>
      </c>
      <c r="R2438" s="424">
        <f t="shared" si="2993"/>
        <v>0.1310344827586207</v>
      </c>
      <c r="S2438" s="475">
        <f t="shared" si="2994"/>
        <v>7.586206896551724E-2</v>
      </c>
      <c r="T2438" s="425">
        <f t="shared" si="2995"/>
        <v>0</v>
      </c>
      <c r="U2438" s="430">
        <f t="shared" si="2996"/>
        <v>0.20689655172413796</v>
      </c>
      <c r="V2438" s="385"/>
    </row>
    <row r="2439" spans="2:22" ht="15.75" hidden="1" x14ac:dyDescent="0.2">
      <c r="B2439" s="711">
        <v>46237</v>
      </c>
      <c r="C2439" s="711" t="s">
        <v>105</v>
      </c>
      <c r="D2439" s="711" t="s">
        <v>189</v>
      </c>
      <c r="E2439" s="711">
        <v>46238</v>
      </c>
      <c r="G2439" s="396"/>
      <c r="H2439" s="822" t="s">
        <v>19</v>
      </c>
      <c r="I2439" s="823"/>
      <c r="J2439" s="190">
        <f t="shared" ref="J2439:P2439" si="3004">SUM(J2430:J2438)</f>
        <v>993</v>
      </c>
      <c r="K2439" s="190">
        <f t="shared" si="3004"/>
        <v>335</v>
      </c>
      <c r="L2439" s="190">
        <f t="shared" si="3004"/>
        <v>114</v>
      </c>
      <c r="M2439" s="190">
        <f t="shared" si="3004"/>
        <v>313</v>
      </c>
      <c r="N2439" s="190">
        <f t="shared" si="3004"/>
        <v>56</v>
      </c>
      <c r="O2439" s="190">
        <f t="shared" si="3004"/>
        <v>74</v>
      </c>
      <c r="P2439" s="190">
        <f t="shared" si="3004"/>
        <v>77</v>
      </c>
      <c r="Q2439" s="191">
        <f>(K2439+L2439)/J2439</f>
        <v>0.45216515609264851</v>
      </c>
      <c r="R2439" s="192">
        <f t="shared" ref="R2439:R2442" si="3005">N2439/J2439</f>
        <v>5.6394763343403827E-2</v>
      </c>
      <c r="S2439" s="192">
        <f t="shared" ref="S2439:S2442" si="3006">P2439/J2439</f>
        <v>7.7542799597180259E-2</v>
      </c>
      <c r="T2439" s="192">
        <f t="shared" ref="T2439:T2442" si="3007">O2439/J2439</f>
        <v>7.452165156092648E-2</v>
      </c>
      <c r="U2439" s="427">
        <f t="shared" ref="U2439:U2442" si="3008">S2439+R2439+Q2439+T2439</f>
        <v>0.66062437059415913</v>
      </c>
      <c r="V2439" s="385"/>
    </row>
    <row r="2440" spans="2:22" ht="15.75" hidden="1" x14ac:dyDescent="0.2">
      <c r="B2440" s="711">
        <v>46238</v>
      </c>
      <c r="C2440" s="711" t="s">
        <v>106</v>
      </c>
      <c r="D2440" s="711" t="s">
        <v>13</v>
      </c>
      <c r="E2440" s="711">
        <v>46238</v>
      </c>
      <c r="G2440" s="770">
        <v>46238</v>
      </c>
      <c r="H2440" s="60" t="s">
        <v>16</v>
      </c>
      <c r="I2440" s="60" t="s">
        <v>112</v>
      </c>
      <c r="J2440" s="60">
        <v>246</v>
      </c>
      <c r="K2440" s="60">
        <f>246-87</f>
        <v>159</v>
      </c>
      <c r="L2440" s="60">
        <v>63</v>
      </c>
      <c r="M2440" s="60">
        <v>0</v>
      </c>
      <c r="N2440" s="312">
        <v>0</v>
      </c>
      <c r="O2440" s="60">
        <v>20</v>
      </c>
      <c r="P2440" s="312">
        <v>4</v>
      </c>
      <c r="Q2440" s="182">
        <f t="shared" ref="Q2440:Q2442" si="3009">(K2440+L2440)/J2440</f>
        <v>0.90243902439024393</v>
      </c>
      <c r="R2440" s="182">
        <f t="shared" si="3005"/>
        <v>0</v>
      </c>
      <c r="S2440" s="183">
        <f t="shared" si="3006"/>
        <v>1.6260162601626018E-2</v>
      </c>
      <c r="T2440" s="183">
        <f t="shared" si="3007"/>
        <v>8.1300813008130079E-2</v>
      </c>
      <c r="U2440" s="184">
        <f t="shared" si="3008"/>
        <v>1</v>
      </c>
      <c r="V2440" s="385"/>
    </row>
    <row r="2441" spans="2:22" ht="15.75" hidden="1" x14ac:dyDescent="0.2">
      <c r="B2441" s="711">
        <v>46238</v>
      </c>
      <c r="C2441" s="711" t="s">
        <v>106</v>
      </c>
      <c r="D2441" s="711" t="s">
        <v>13</v>
      </c>
      <c r="E2441" s="711">
        <v>46238</v>
      </c>
      <c r="G2441" s="771"/>
      <c r="H2441" s="60" t="s">
        <v>25</v>
      </c>
      <c r="I2441" s="60" t="s">
        <v>106</v>
      </c>
      <c r="J2441" s="60">
        <v>171</v>
      </c>
      <c r="K2441" s="60">
        <v>98</v>
      </c>
      <c r="L2441" s="60">
        <v>26</v>
      </c>
      <c r="M2441" s="60">
        <v>0</v>
      </c>
      <c r="N2441" s="312">
        <v>0</v>
      </c>
      <c r="O2441" s="60">
        <v>27</v>
      </c>
      <c r="P2441" s="312">
        <v>20</v>
      </c>
      <c r="Q2441" s="182">
        <f t="shared" si="3009"/>
        <v>0.72514619883040932</v>
      </c>
      <c r="R2441" s="182">
        <f t="shared" si="3005"/>
        <v>0</v>
      </c>
      <c r="S2441" s="183">
        <f t="shared" si="3006"/>
        <v>0.11695906432748537</v>
      </c>
      <c r="T2441" s="183">
        <f t="shared" si="3007"/>
        <v>0.15789473684210525</v>
      </c>
      <c r="U2441" s="184">
        <f t="shared" si="3008"/>
        <v>1</v>
      </c>
      <c r="V2441" s="385"/>
    </row>
    <row r="2442" spans="2:22" ht="15.75" hidden="1" x14ac:dyDescent="0.2">
      <c r="B2442" s="711">
        <v>46238</v>
      </c>
      <c r="C2442" s="711" t="s">
        <v>106</v>
      </c>
      <c r="D2442" s="711" t="s">
        <v>13</v>
      </c>
      <c r="E2442" s="711">
        <v>46238</v>
      </c>
      <c r="G2442" s="772"/>
      <c r="H2442" s="60" t="s">
        <v>14</v>
      </c>
      <c r="I2442" s="60" t="s">
        <v>105</v>
      </c>
      <c r="J2442" s="60">
        <v>160</v>
      </c>
      <c r="K2442" s="60">
        <v>114</v>
      </c>
      <c r="L2442" s="60">
        <v>28</v>
      </c>
      <c r="M2442" s="60">
        <v>0</v>
      </c>
      <c r="N2442" s="312">
        <v>0</v>
      </c>
      <c r="O2442" s="60">
        <v>12</v>
      </c>
      <c r="P2442" s="312">
        <v>6</v>
      </c>
      <c r="Q2442" s="182">
        <f t="shared" si="3009"/>
        <v>0.88749999999999996</v>
      </c>
      <c r="R2442" s="182">
        <f t="shared" si="3005"/>
        <v>0</v>
      </c>
      <c r="S2442" s="183">
        <f t="shared" si="3006"/>
        <v>3.7499999999999999E-2</v>
      </c>
      <c r="T2442" s="183">
        <f t="shared" si="3007"/>
        <v>7.4999999999999997E-2</v>
      </c>
      <c r="U2442" s="184">
        <f t="shared" si="3008"/>
        <v>0.99999999999999989</v>
      </c>
      <c r="V2442" s="385"/>
    </row>
    <row r="2443" spans="2:22" ht="15.75" hidden="1" x14ac:dyDescent="0.2">
      <c r="B2443" s="711">
        <v>46238</v>
      </c>
      <c r="C2443" s="711" t="s">
        <v>106</v>
      </c>
      <c r="D2443" s="711" t="s">
        <v>13</v>
      </c>
      <c r="E2443" s="711">
        <v>46239</v>
      </c>
      <c r="G2443" s="770">
        <v>46239</v>
      </c>
      <c r="H2443" s="60" t="s">
        <v>16</v>
      </c>
      <c r="I2443" s="60" t="s">
        <v>112</v>
      </c>
      <c r="J2443" s="60">
        <v>248</v>
      </c>
      <c r="K2443" s="60">
        <v>49</v>
      </c>
      <c r="L2443" s="60">
        <v>13</v>
      </c>
      <c r="M2443" s="60">
        <v>116</v>
      </c>
      <c r="N2443" s="312">
        <v>38</v>
      </c>
      <c r="O2443" s="60">
        <v>20</v>
      </c>
      <c r="P2443" s="312">
        <v>12</v>
      </c>
      <c r="Q2443" s="182">
        <f t="shared" ref="Q2443:Q2446" si="3010">(K2443+L2443)/J2443</f>
        <v>0.25</v>
      </c>
      <c r="R2443" s="182">
        <f t="shared" ref="R2443:R2446" si="3011">N2443/J2443</f>
        <v>0.15322580645161291</v>
      </c>
      <c r="S2443" s="183">
        <f t="shared" ref="S2443:S2446" si="3012">P2443/J2443</f>
        <v>4.8387096774193547E-2</v>
      </c>
      <c r="T2443" s="183">
        <f t="shared" ref="T2443:T2446" si="3013">O2443/J2443</f>
        <v>8.0645161290322578E-2</v>
      </c>
      <c r="U2443" s="184">
        <f t="shared" ref="U2443:U2446" si="3014">S2443+R2443+Q2443+T2443</f>
        <v>0.532258064516129</v>
      </c>
      <c r="V2443" s="385"/>
    </row>
    <row r="2444" spans="2:22" ht="15.75" hidden="1" x14ac:dyDescent="0.2">
      <c r="B2444" s="711">
        <v>46238</v>
      </c>
      <c r="C2444" s="711" t="s">
        <v>106</v>
      </c>
      <c r="D2444" s="711" t="s">
        <v>13</v>
      </c>
      <c r="E2444" s="711">
        <v>46239</v>
      </c>
      <c r="G2444" s="771"/>
      <c r="H2444" s="60" t="s">
        <v>17</v>
      </c>
      <c r="I2444" s="60" t="s">
        <v>106</v>
      </c>
      <c r="J2444" s="60">
        <v>199</v>
      </c>
      <c r="K2444" s="60">
        <v>0</v>
      </c>
      <c r="L2444" s="60">
        <v>0</v>
      </c>
      <c r="M2444" s="60">
        <v>199</v>
      </c>
      <c r="N2444" s="312">
        <v>0</v>
      </c>
      <c r="O2444" s="60">
        <v>0</v>
      </c>
      <c r="P2444" s="312">
        <v>0</v>
      </c>
      <c r="Q2444" s="182">
        <f t="shared" si="3010"/>
        <v>0</v>
      </c>
      <c r="R2444" s="182">
        <f t="shared" si="3011"/>
        <v>0</v>
      </c>
      <c r="S2444" s="183">
        <f t="shared" si="3012"/>
        <v>0</v>
      </c>
      <c r="T2444" s="183">
        <f t="shared" si="3013"/>
        <v>0</v>
      </c>
      <c r="U2444" s="184">
        <f t="shared" si="3014"/>
        <v>0</v>
      </c>
      <c r="V2444" s="385"/>
    </row>
    <row r="2445" spans="2:22" ht="15.75" hidden="1" x14ac:dyDescent="0.2">
      <c r="B2445" s="711">
        <v>46238</v>
      </c>
      <c r="C2445" s="711" t="s">
        <v>106</v>
      </c>
      <c r="D2445" s="711" t="s">
        <v>13</v>
      </c>
      <c r="E2445" s="711">
        <v>46239</v>
      </c>
      <c r="G2445" s="771"/>
      <c r="H2445" s="60" t="s">
        <v>14</v>
      </c>
      <c r="I2445" s="60" t="s">
        <v>105</v>
      </c>
      <c r="J2445" s="60">
        <v>167</v>
      </c>
      <c r="K2445" s="60">
        <v>0</v>
      </c>
      <c r="L2445" s="60">
        <v>0</v>
      </c>
      <c r="M2445" s="60">
        <v>167</v>
      </c>
      <c r="N2445" s="312">
        <v>0</v>
      </c>
      <c r="O2445" s="60">
        <v>0</v>
      </c>
      <c r="P2445" s="312">
        <v>0</v>
      </c>
      <c r="Q2445" s="182">
        <f t="shared" si="3010"/>
        <v>0</v>
      </c>
      <c r="R2445" s="182">
        <f t="shared" si="3011"/>
        <v>0</v>
      </c>
      <c r="S2445" s="183">
        <f t="shared" si="3012"/>
        <v>0</v>
      </c>
      <c r="T2445" s="183">
        <f t="shared" si="3013"/>
        <v>0</v>
      </c>
      <c r="U2445" s="184">
        <f t="shared" si="3014"/>
        <v>0</v>
      </c>
      <c r="V2445" s="385"/>
    </row>
    <row r="2446" spans="2:22" ht="15.75" hidden="1" x14ac:dyDescent="0.2">
      <c r="B2446" s="711">
        <v>46238</v>
      </c>
      <c r="C2446" s="711" t="s">
        <v>106</v>
      </c>
      <c r="D2446" s="711" t="s">
        <v>13</v>
      </c>
      <c r="E2446" s="711">
        <v>46239</v>
      </c>
      <c r="G2446" s="772"/>
      <c r="H2446" s="60" t="s">
        <v>180</v>
      </c>
      <c r="I2446" s="60" t="s">
        <v>106</v>
      </c>
      <c r="J2446" s="60">
        <v>158</v>
      </c>
      <c r="K2446" s="60">
        <v>72</v>
      </c>
      <c r="L2446" s="60">
        <v>1</v>
      </c>
      <c r="M2446" s="60">
        <v>43</v>
      </c>
      <c r="N2446" s="312">
        <v>33</v>
      </c>
      <c r="O2446" s="60">
        <v>0</v>
      </c>
      <c r="P2446" s="312">
        <v>9</v>
      </c>
      <c r="Q2446" s="182">
        <f t="shared" si="3010"/>
        <v>0.46202531645569622</v>
      </c>
      <c r="R2446" s="182">
        <f t="shared" si="3011"/>
        <v>0.20886075949367089</v>
      </c>
      <c r="S2446" s="183">
        <f t="shared" si="3012"/>
        <v>5.6962025316455694E-2</v>
      </c>
      <c r="T2446" s="183">
        <f t="shared" si="3013"/>
        <v>0</v>
      </c>
      <c r="U2446" s="184">
        <f t="shared" si="3014"/>
        <v>0.72784810126582278</v>
      </c>
      <c r="V2446" s="385"/>
    </row>
    <row r="2447" spans="2:22" ht="15.75" hidden="1" x14ac:dyDescent="0.2">
      <c r="B2447" s="711">
        <v>46238</v>
      </c>
      <c r="C2447" s="711" t="s">
        <v>106</v>
      </c>
      <c r="D2447" s="711" t="s">
        <v>13</v>
      </c>
      <c r="E2447" s="711">
        <v>46239</v>
      </c>
      <c r="G2447" s="396"/>
      <c r="H2447" s="775" t="s">
        <v>19</v>
      </c>
      <c r="I2447" s="777"/>
      <c r="J2447" s="190">
        <f>SUM(J2440:J2446)</f>
        <v>1349</v>
      </c>
      <c r="K2447" s="190">
        <f t="shared" ref="K2447:P2447" si="3015">SUM(K2440:K2446)</f>
        <v>492</v>
      </c>
      <c r="L2447" s="190">
        <f t="shared" si="3015"/>
        <v>131</v>
      </c>
      <c r="M2447" s="190">
        <f t="shared" si="3015"/>
        <v>525</v>
      </c>
      <c r="N2447" s="190">
        <f t="shared" si="3015"/>
        <v>71</v>
      </c>
      <c r="O2447" s="190">
        <f t="shared" si="3015"/>
        <v>79</v>
      </c>
      <c r="P2447" s="190">
        <f t="shared" si="3015"/>
        <v>51</v>
      </c>
      <c r="Q2447" s="191">
        <f>(K2447+L2447)/J2447</f>
        <v>0.46182357301704968</v>
      </c>
      <c r="R2447" s="192">
        <f t="shared" ref="R2447:R2456" si="3016">N2447/J2447</f>
        <v>5.2631578947368418E-2</v>
      </c>
      <c r="S2447" s="192">
        <f t="shared" ref="S2447:S2456" si="3017">P2447/J2447</f>
        <v>3.7805782060785768E-2</v>
      </c>
      <c r="T2447" s="192">
        <f t="shared" ref="T2447:T2456" si="3018">O2447/J2447</f>
        <v>5.8561897702001479E-2</v>
      </c>
      <c r="U2447" s="427">
        <f t="shared" ref="U2447:U2456" si="3019">S2447+R2447+Q2447+T2447</f>
        <v>0.61082283172720531</v>
      </c>
      <c r="V2447" s="385"/>
    </row>
    <row r="2448" spans="2:22" ht="15.75" hidden="1" x14ac:dyDescent="0.2">
      <c r="B2448" s="711">
        <v>46238</v>
      </c>
      <c r="C2448" s="711" t="s">
        <v>105</v>
      </c>
      <c r="D2448" s="711" t="s">
        <v>192</v>
      </c>
      <c r="E2448" s="711">
        <v>46238</v>
      </c>
      <c r="G2448" s="770">
        <v>46238</v>
      </c>
      <c r="H2448" s="60" t="s">
        <v>16</v>
      </c>
      <c r="I2448" s="60" t="s">
        <v>112</v>
      </c>
      <c r="J2448" s="60">
        <f>SUM(K2448:P2448)</f>
        <v>38</v>
      </c>
      <c r="K2448" s="60">
        <f>131-107</f>
        <v>24</v>
      </c>
      <c r="L2448" s="60">
        <v>11</v>
      </c>
      <c r="M2448" s="60">
        <v>0</v>
      </c>
      <c r="N2448" s="312">
        <v>0</v>
      </c>
      <c r="O2448" s="60">
        <v>0</v>
      </c>
      <c r="P2448" s="312">
        <v>3</v>
      </c>
      <c r="Q2448" s="182">
        <f t="shared" ref="Q2448:Q2456" si="3020">(K2448+L2448)/J2448</f>
        <v>0.92105263157894735</v>
      </c>
      <c r="R2448" s="182">
        <f t="shared" si="3016"/>
        <v>0</v>
      </c>
      <c r="S2448" s="183">
        <f t="shared" si="3017"/>
        <v>7.8947368421052627E-2</v>
      </c>
      <c r="T2448" s="183">
        <f t="shared" si="3018"/>
        <v>0</v>
      </c>
      <c r="U2448" s="184">
        <f t="shared" si="3019"/>
        <v>1</v>
      </c>
      <c r="V2448" s="385"/>
    </row>
    <row r="2449" spans="2:22" ht="15.75" hidden="1" x14ac:dyDescent="0.2">
      <c r="B2449" s="711">
        <v>46238</v>
      </c>
      <c r="C2449" s="711" t="s">
        <v>105</v>
      </c>
      <c r="D2449" s="711" t="s">
        <v>192</v>
      </c>
      <c r="E2449" s="711">
        <v>46238</v>
      </c>
      <c r="G2449" s="771"/>
      <c r="H2449" s="60" t="s">
        <v>14</v>
      </c>
      <c r="I2449" s="60" t="s">
        <v>105</v>
      </c>
      <c r="J2449" s="60">
        <f t="shared" ref="J2449:J2452" si="3021">SUM(K2449:P2449)</f>
        <v>32</v>
      </c>
      <c r="K2449" s="60">
        <v>19</v>
      </c>
      <c r="L2449" s="60">
        <v>8</v>
      </c>
      <c r="M2449" s="60">
        <v>0</v>
      </c>
      <c r="N2449" s="312">
        <v>0</v>
      </c>
      <c r="O2449" s="60">
        <v>0</v>
      </c>
      <c r="P2449" s="312">
        <v>5</v>
      </c>
      <c r="Q2449" s="182">
        <f t="shared" si="3020"/>
        <v>0.84375</v>
      </c>
      <c r="R2449" s="182">
        <f t="shared" si="3016"/>
        <v>0</v>
      </c>
      <c r="S2449" s="183">
        <f t="shared" si="3017"/>
        <v>0.15625</v>
      </c>
      <c r="T2449" s="183">
        <f t="shared" si="3018"/>
        <v>0</v>
      </c>
      <c r="U2449" s="184">
        <f t="shared" si="3019"/>
        <v>1</v>
      </c>
      <c r="V2449" s="385"/>
    </row>
    <row r="2450" spans="2:22" ht="15.75" hidden="1" x14ac:dyDescent="0.2">
      <c r="B2450" s="711">
        <v>46238</v>
      </c>
      <c r="C2450" s="711" t="s">
        <v>105</v>
      </c>
      <c r="D2450" s="711" t="s">
        <v>192</v>
      </c>
      <c r="E2450" s="711">
        <v>46238</v>
      </c>
      <c r="G2450" s="771"/>
      <c r="H2450" s="60" t="s">
        <v>84</v>
      </c>
      <c r="I2450" s="60" t="s">
        <v>105</v>
      </c>
      <c r="J2450" s="60">
        <f t="shared" si="3021"/>
        <v>19</v>
      </c>
      <c r="K2450" s="60">
        <v>12</v>
      </c>
      <c r="L2450" s="60">
        <v>7</v>
      </c>
      <c r="M2450" s="60">
        <v>0</v>
      </c>
      <c r="N2450" s="312">
        <v>0</v>
      </c>
      <c r="O2450" s="60">
        <v>0</v>
      </c>
      <c r="P2450" s="312">
        <v>0</v>
      </c>
      <c r="Q2450" s="182">
        <f t="shared" ref="Q2450:Q2451" si="3022">(K2450+L2450)/J2450</f>
        <v>1</v>
      </c>
      <c r="R2450" s="182">
        <f t="shared" ref="R2450:R2451" si="3023">N2450/J2450</f>
        <v>0</v>
      </c>
      <c r="S2450" s="183">
        <f t="shared" ref="S2450:S2451" si="3024">P2450/J2450</f>
        <v>0</v>
      </c>
      <c r="T2450" s="183">
        <f t="shared" ref="T2450:T2451" si="3025">O2450/J2450</f>
        <v>0</v>
      </c>
      <c r="U2450" s="184">
        <f t="shared" ref="U2450:U2451" si="3026">S2450+R2450+Q2450+T2450</f>
        <v>1</v>
      </c>
      <c r="V2450" s="385"/>
    </row>
    <row r="2451" spans="2:22" ht="15.75" hidden="1" x14ac:dyDescent="0.2">
      <c r="B2451" s="711">
        <v>46238</v>
      </c>
      <c r="C2451" s="711" t="s">
        <v>105</v>
      </c>
      <c r="D2451" s="711" t="s">
        <v>192</v>
      </c>
      <c r="E2451" s="711">
        <v>46238</v>
      </c>
      <c r="G2451" s="771"/>
      <c r="H2451" s="60" t="s">
        <v>118</v>
      </c>
      <c r="I2451" s="60" t="s">
        <v>105</v>
      </c>
      <c r="J2451" s="60">
        <f t="shared" si="3021"/>
        <v>1</v>
      </c>
      <c r="K2451" s="60">
        <v>1</v>
      </c>
      <c r="L2451" s="60">
        <v>0</v>
      </c>
      <c r="M2451" s="60">
        <v>0</v>
      </c>
      <c r="N2451" s="312">
        <v>0</v>
      </c>
      <c r="O2451" s="60">
        <v>0</v>
      </c>
      <c r="P2451" s="312">
        <v>0</v>
      </c>
      <c r="Q2451" s="182">
        <f t="shared" si="3022"/>
        <v>1</v>
      </c>
      <c r="R2451" s="182">
        <f t="shared" si="3023"/>
        <v>0</v>
      </c>
      <c r="S2451" s="183">
        <f t="shared" si="3024"/>
        <v>0</v>
      </c>
      <c r="T2451" s="183">
        <f t="shared" si="3025"/>
        <v>0</v>
      </c>
      <c r="U2451" s="184">
        <f t="shared" si="3026"/>
        <v>1</v>
      </c>
      <c r="V2451" s="385"/>
    </row>
    <row r="2452" spans="2:22" ht="15.75" hidden="1" x14ac:dyDescent="0.2">
      <c r="B2452" s="711">
        <v>46238</v>
      </c>
      <c r="C2452" s="711" t="s">
        <v>105</v>
      </c>
      <c r="D2452" s="711" t="s">
        <v>192</v>
      </c>
      <c r="E2452" s="711">
        <v>46238</v>
      </c>
      <c r="G2452" s="772"/>
      <c r="H2452" s="60" t="s">
        <v>120</v>
      </c>
      <c r="I2452" s="60" t="s">
        <v>105</v>
      </c>
      <c r="J2452" s="60">
        <f t="shared" si="3021"/>
        <v>2</v>
      </c>
      <c r="K2452" s="60">
        <v>2</v>
      </c>
      <c r="L2452" s="60">
        <v>0</v>
      </c>
      <c r="M2452" s="60">
        <v>0</v>
      </c>
      <c r="N2452" s="312">
        <v>0</v>
      </c>
      <c r="O2452" s="60">
        <v>0</v>
      </c>
      <c r="P2452" s="312">
        <v>0</v>
      </c>
      <c r="Q2452" s="182">
        <f t="shared" si="3020"/>
        <v>1</v>
      </c>
      <c r="R2452" s="182">
        <f t="shared" si="3016"/>
        <v>0</v>
      </c>
      <c r="S2452" s="183">
        <f t="shared" si="3017"/>
        <v>0</v>
      </c>
      <c r="T2452" s="183">
        <f t="shared" si="3018"/>
        <v>0</v>
      </c>
      <c r="U2452" s="184">
        <f t="shared" si="3019"/>
        <v>1</v>
      </c>
      <c r="V2452" s="385"/>
    </row>
    <row r="2453" spans="2:22" ht="15.75" hidden="1" x14ac:dyDescent="0.2">
      <c r="B2453" s="711">
        <v>46238</v>
      </c>
      <c r="C2453" s="711" t="s">
        <v>105</v>
      </c>
      <c r="D2453" s="711" t="s">
        <v>192</v>
      </c>
      <c r="E2453" s="711">
        <v>46239</v>
      </c>
      <c r="G2453" s="770">
        <v>46239</v>
      </c>
      <c r="H2453" s="60" t="s">
        <v>16</v>
      </c>
      <c r="I2453" s="60" t="s">
        <v>112</v>
      </c>
      <c r="J2453" s="60">
        <v>248</v>
      </c>
      <c r="K2453" s="60">
        <v>107</v>
      </c>
      <c r="L2453" s="60">
        <v>42</v>
      </c>
      <c r="M2453" s="60">
        <v>7</v>
      </c>
      <c r="N2453" s="312">
        <v>0</v>
      </c>
      <c r="O2453" s="60">
        <v>20</v>
      </c>
      <c r="P2453" s="312">
        <v>12</v>
      </c>
      <c r="Q2453" s="182">
        <f t="shared" si="3020"/>
        <v>0.60080645161290325</v>
      </c>
      <c r="R2453" s="182">
        <f t="shared" si="3016"/>
        <v>0</v>
      </c>
      <c r="S2453" s="183">
        <f t="shared" si="3017"/>
        <v>4.8387096774193547E-2</v>
      </c>
      <c r="T2453" s="183">
        <f t="shared" si="3018"/>
        <v>8.0645161290322578E-2</v>
      </c>
      <c r="U2453" s="184">
        <f t="shared" si="3019"/>
        <v>0.72983870967741937</v>
      </c>
      <c r="V2453" s="385"/>
    </row>
    <row r="2454" spans="2:22" ht="15.75" hidden="1" x14ac:dyDescent="0.2">
      <c r="B2454" s="711">
        <v>46238</v>
      </c>
      <c r="C2454" s="711" t="s">
        <v>105</v>
      </c>
      <c r="D2454" s="711" t="s">
        <v>192</v>
      </c>
      <c r="E2454" s="711">
        <v>46239</v>
      </c>
      <c r="G2454" s="771"/>
      <c r="H2454" s="60" t="s">
        <v>17</v>
      </c>
      <c r="I2454" s="60" t="s">
        <v>106</v>
      </c>
      <c r="J2454" s="60">
        <v>199</v>
      </c>
      <c r="K2454" s="60">
        <v>98</v>
      </c>
      <c r="L2454" s="60">
        <v>19</v>
      </c>
      <c r="M2454" s="60">
        <f>63-24</f>
        <v>39</v>
      </c>
      <c r="N2454" s="312">
        <v>16</v>
      </c>
      <c r="O2454" s="60">
        <v>24</v>
      </c>
      <c r="P2454" s="312">
        <v>8</v>
      </c>
      <c r="Q2454" s="182">
        <f t="shared" si="3020"/>
        <v>0.5879396984924623</v>
      </c>
      <c r="R2454" s="182">
        <f t="shared" si="3016"/>
        <v>8.0402010050251257E-2</v>
      </c>
      <c r="S2454" s="183">
        <f t="shared" si="3017"/>
        <v>4.0201005025125629E-2</v>
      </c>
      <c r="T2454" s="183">
        <f t="shared" si="3018"/>
        <v>0.12060301507537688</v>
      </c>
      <c r="U2454" s="184">
        <f t="shared" si="3019"/>
        <v>0.82914572864321601</v>
      </c>
      <c r="V2454" s="385"/>
    </row>
    <row r="2455" spans="2:22" ht="15.75" hidden="1" x14ac:dyDescent="0.2">
      <c r="B2455" s="711">
        <v>46238</v>
      </c>
      <c r="C2455" s="711" t="s">
        <v>105</v>
      </c>
      <c r="D2455" s="711" t="s">
        <v>192</v>
      </c>
      <c r="E2455" s="711">
        <v>46239</v>
      </c>
      <c r="G2455" s="771"/>
      <c r="H2455" s="60" t="s">
        <v>14</v>
      </c>
      <c r="I2455" s="60" t="s">
        <v>105</v>
      </c>
      <c r="J2455" s="60">
        <v>167</v>
      </c>
      <c r="K2455" s="60">
        <v>0</v>
      </c>
      <c r="L2455" s="60">
        <v>0</v>
      </c>
      <c r="M2455" s="60">
        <v>124</v>
      </c>
      <c r="N2455" s="312">
        <v>23</v>
      </c>
      <c r="O2455" s="60">
        <v>10</v>
      </c>
      <c r="P2455" s="312">
        <v>8</v>
      </c>
      <c r="Q2455" s="182">
        <f t="shared" si="3020"/>
        <v>0</v>
      </c>
      <c r="R2455" s="182">
        <f t="shared" si="3016"/>
        <v>0.1377245508982036</v>
      </c>
      <c r="S2455" s="183">
        <f t="shared" si="3017"/>
        <v>4.790419161676647E-2</v>
      </c>
      <c r="T2455" s="183">
        <f t="shared" si="3018"/>
        <v>5.9880239520958084E-2</v>
      </c>
      <c r="U2455" s="184">
        <f t="shared" si="3019"/>
        <v>0.24550898203592816</v>
      </c>
      <c r="V2455" s="385"/>
    </row>
    <row r="2456" spans="2:22" ht="15.75" hidden="1" x14ac:dyDescent="0.2">
      <c r="B2456" s="711">
        <v>46238</v>
      </c>
      <c r="C2456" s="711" t="s">
        <v>105</v>
      </c>
      <c r="D2456" s="711" t="s">
        <v>192</v>
      </c>
      <c r="E2456" s="711">
        <v>46239</v>
      </c>
      <c r="G2456" s="772"/>
      <c r="H2456" s="60" t="s">
        <v>180</v>
      </c>
      <c r="I2456" s="60" t="s">
        <v>106</v>
      </c>
      <c r="J2456" s="60">
        <v>158</v>
      </c>
      <c r="K2456" s="60">
        <v>69</v>
      </c>
      <c r="L2456" s="60">
        <v>7</v>
      </c>
      <c r="M2456" s="60">
        <v>3</v>
      </c>
      <c r="N2456" s="312">
        <v>0</v>
      </c>
      <c r="O2456" s="60">
        <v>0</v>
      </c>
      <c r="P2456" s="312">
        <v>9</v>
      </c>
      <c r="Q2456" s="182">
        <f t="shared" si="3020"/>
        <v>0.48101265822784811</v>
      </c>
      <c r="R2456" s="182">
        <f t="shared" si="3016"/>
        <v>0</v>
      </c>
      <c r="S2456" s="183">
        <f t="shared" si="3017"/>
        <v>5.6962025316455694E-2</v>
      </c>
      <c r="T2456" s="183">
        <f t="shared" si="3018"/>
        <v>0</v>
      </c>
      <c r="U2456" s="184">
        <f t="shared" si="3019"/>
        <v>0.53797468354430378</v>
      </c>
      <c r="V2456" s="385"/>
    </row>
    <row r="2457" spans="2:22" ht="15.75" hidden="1" x14ac:dyDescent="0.2">
      <c r="B2457" s="711">
        <v>46238</v>
      </c>
      <c r="C2457" s="711" t="s">
        <v>105</v>
      </c>
      <c r="D2457" s="711" t="s">
        <v>192</v>
      </c>
      <c r="E2457" s="711">
        <v>46239</v>
      </c>
      <c r="G2457" s="396"/>
      <c r="H2457" s="775" t="s">
        <v>19</v>
      </c>
      <c r="I2457" s="777"/>
      <c r="J2457" s="190">
        <f>SUM(J2448:J2456)</f>
        <v>864</v>
      </c>
      <c r="K2457" s="190">
        <f t="shared" ref="K2457:P2457" si="3027">SUM(K2448:K2456)</f>
        <v>332</v>
      </c>
      <c r="L2457" s="190">
        <f t="shared" si="3027"/>
        <v>94</v>
      </c>
      <c r="M2457" s="190">
        <f t="shared" si="3027"/>
        <v>173</v>
      </c>
      <c r="N2457" s="190">
        <f t="shared" si="3027"/>
        <v>39</v>
      </c>
      <c r="O2457" s="190">
        <f t="shared" si="3027"/>
        <v>54</v>
      </c>
      <c r="P2457" s="190">
        <f t="shared" si="3027"/>
        <v>45</v>
      </c>
      <c r="Q2457" s="191">
        <f>(K2457+L2457)/J2457</f>
        <v>0.49305555555555558</v>
      </c>
      <c r="R2457" s="192">
        <f t="shared" ref="R2457:R2462" si="3028">N2457/J2457</f>
        <v>4.5138888888888888E-2</v>
      </c>
      <c r="S2457" s="192">
        <f t="shared" ref="S2457:S2462" si="3029">P2457/J2457</f>
        <v>5.2083333333333336E-2</v>
      </c>
      <c r="T2457" s="192">
        <f t="shared" ref="T2457:T2462" si="3030">O2457/J2457</f>
        <v>6.25E-2</v>
      </c>
      <c r="U2457" s="427">
        <f t="shared" ref="U2457:U2462" si="3031">S2457+R2457+Q2457+T2457</f>
        <v>0.65277777777777779</v>
      </c>
      <c r="V2457" s="385"/>
    </row>
    <row r="2458" spans="2:22" ht="15.75" hidden="1" x14ac:dyDescent="0.2">
      <c r="B2458" s="711">
        <v>46239</v>
      </c>
      <c r="C2458" s="711" t="s">
        <v>106</v>
      </c>
      <c r="D2458" s="711" t="s">
        <v>13</v>
      </c>
      <c r="E2458" s="711">
        <v>46239</v>
      </c>
      <c r="G2458" s="778">
        <v>46239</v>
      </c>
      <c r="H2458" s="60" t="s">
        <v>16</v>
      </c>
      <c r="I2458" s="60" t="s">
        <v>112</v>
      </c>
      <c r="J2458" s="60">
        <v>248</v>
      </c>
      <c r="K2458" s="60">
        <v>171</v>
      </c>
      <c r="L2458" s="60">
        <v>45</v>
      </c>
      <c r="M2458" s="60">
        <v>0</v>
      </c>
      <c r="N2458" s="312">
        <v>0</v>
      </c>
      <c r="O2458" s="60">
        <v>20</v>
      </c>
      <c r="P2458" s="312">
        <v>12</v>
      </c>
      <c r="Q2458" s="182">
        <f t="shared" ref="Q2458:Q2462" si="3032">(K2458+L2458)/J2458</f>
        <v>0.87096774193548387</v>
      </c>
      <c r="R2458" s="182">
        <f t="shared" si="3028"/>
        <v>0</v>
      </c>
      <c r="S2458" s="183">
        <f t="shared" si="3029"/>
        <v>4.8387096774193547E-2</v>
      </c>
      <c r="T2458" s="183">
        <f t="shared" si="3030"/>
        <v>8.0645161290322578E-2</v>
      </c>
      <c r="U2458" s="184">
        <f t="shared" si="3031"/>
        <v>1</v>
      </c>
      <c r="V2458" s="385"/>
    </row>
    <row r="2459" spans="2:22" ht="15.75" hidden="1" x14ac:dyDescent="0.2">
      <c r="B2459" s="711">
        <v>46239</v>
      </c>
      <c r="C2459" s="711" t="s">
        <v>106</v>
      </c>
      <c r="D2459" s="711" t="s">
        <v>13</v>
      </c>
      <c r="E2459" s="711">
        <v>46239</v>
      </c>
      <c r="G2459" s="786"/>
      <c r="H2459" s="60" t="s">
        <v>17</v>
      </c>
      <c r="I2459" s="60" t="s">
        <v>106</v>
      </c>
      <c r="J2459" s="60">
        <v>199</v>
      </c>
      <c r="K2459" s="60">
        <v>135</v>
      </c>
      <c r="L2459" s="60">
        <v>31</v>
      </c>
      <c r="M2459" s="60">
        <v>0</v>
      </c>
      <c r="N2459" s="312">
        <v>0</v>
      </c>
      <c r="O2459" s="60">
        <v>24</v>
      </c>
      <c r="P2459" s="312">
        <v>9</v>
      </c>
      <c r="Q2459" s="182">
        <f t="shared" si="3032"/>
        <v>0.83417085427135673</v>
      </c>
      <c r="R2459" s="182">
        <f t="shared" si="3028"/>
        <v>0</v>
      </c>
      <c r="S2459" s="183">
        <f t="shared" si="3029"/>
        <v>4.5226130653266333E-2</v>
      </c>
      <c r="T2459" s="183">
        <f t="shared" si="3030"/>
        <v>0.12060301507537688</v>
      </c>
      <c r="U2459" s="184">
        <f t="shared" si="3031"/>
        <v>0.99999999999999989</v>
      </c>
      <c r="V2459" s="385"/>
    </row>
    <row r="2460" spans="2:22" ht="15.75" hidden="1" x14ac:dyDescent="0.2">
      <c r="B2460" s="711">
        <v>46239</v>
      </c>
      <c r="C2460" s="711" t="s">
        <v>106</v>
      </c>
      <c r="D2460" s="711" t="s">
        <v>13</v>
      </c>
      <c r="E2460" s="711">
        <v>46239</v>
      </c>
      <c r="G2460" s="786"/>
      <c r="H2460" s="60" t="s">
        <v>14</v>
      </c>
      <c r="I2460" s="60" t="s">
        <v>105</v>
      </c>
      <c r="J2460" s="60">
        <v>167</v>
      </c>
      <c r="K2460" s="60">
        <v>71</v>
      </c>
      <c r="L2460" s="60">
        <v>14</v>
      </c>
      <c r="M2460" s="60">
        <v>0</v>
      </c>
      <c r="N2460" s="312">
        <v>66</v>
      </c>
      <c r="O2460" s="60">
        <v>10</v>
      </c>
      <c r="P2460" s="312">
        <v>6</v>
      </c>
      <c r="Q2460" s="182">
        <f t="shared" si="3032"/>
        <v>0.50898203592814373</v>
      </c>
      <c r="R2460" s="182">
        <f t="shared" si="3028"/>
        <v>0.39520958083832336</v>
      </c>
      <c r="S2460" s="183">
        <f t="shared" si="3029"/>
        <v>3.5928143712574849E-2</v>
      </c>
      <c r="T2460" s="183">
        <f t="shared" si="3030"/>
        <v>5.9880239520958084E-2</v>
      </c>
      <c r="U2460" s="184">
        <f t="shared" si="3031"/>
        <v>1</v>
      </c>
      <c r="V2460" s="385"/>
    </row>
    <row r="2461" spans="2:22" ht="15.75" hidden="1" x14ac:dyDescent="0.2">
      <c r="B2461" s="711">
        <v>46239</v>
      </c>
      <c r="C2461" s="711" t="s">
        <v>106</v>
      </c>
      <c r="D2461" s="711" t="s">
        <v>13</v>
      </c>
      <c r="E2461" s="711">
        <v>46239</v>
      </c>
      <c r="G2461" s="786"/>
      <c r="H2461" s="60" t="s">
        <v>118</v>
      </c>
      <c r="I2461" s="60" t="s">
        <v>106</v>
      </c>
      <c r="J2461" s="60">
        <v>25</v>
      </c>
      <c r="K2461" s="60">
        <v>0</v>
      </c>
      <c r="L2461" s="60">
        <v>0</v>
      </c>
      <c r="M2461" s="60">
        <v>12</v>
      </c>
      <c r="N2461" s="312">
        <v>13</v>
      </c>
      <c r="O2461" s="60">
        <v>0</v>
      </c>
      <c r="P2461" s="312">
        <v>0</v>
      </c>
      <c r="Q2461" s="182">
        <f t="shared" ref="Q2461" si="3033">(K2461+L2461)/J2461</f>
        <v>0</v>
      </c>
      <c r="R2461" s="182">
        <f t="shared" ref="R2461" si="3034">N2461/J2461</f>
        <v>0.52</v>
      </c>
      <c r="S2461" s="183">
        <f t="shared" ref="S2461" si="3035">P2461/J2461</f>
        <v>0</v>
      </c>
      <c r="T2461" s="183">
        <f t="shared" ref="T2461" si="3036">O2461/J2461</f>
        <v>0</v>
      </c>
      <c r="U2461" s="184">
        <f t="shared" ref="U2461" si="3037">S2461+R2461+Q2461+T2461</f>
        <v>0.52</v>
      </c>
      <c r="V2461" s="385"/>
    </row>
    <row r="2462" spans="2:22" ht="15.75" hidden="1" x14ac:dyDescent="0.2">
      <c r="B2462" s="711">
        <v>46239</v>
      </c>
      <c r="C2462" s="711" t="s">
        <v>106</v>
      </c>
      <c r="D2462" s="711" t="s">
        <v>13</v>
      </c>
      <c r="E2462" s="711">
        <v>46239</v>
      </c>
      <c r="G2462" s="779"/>
      <c r="H2462" s="60" t="s">
        <v>180</v>
      </c>
      <c r="I2462" s="60" t="s">
        <v>106</v>
      </c>
      <c r="J2462" s="60">
        <v>166</v>
      </c>
      <c r="K2462" s="60">
        <v>146</v>
      </c>
      <c r="L2462" s="60">
        <v>11</v>
      </c>
      <c r="M2462" s="60">
        <v>0</v>
      </c>
      <c r="N2462" s="312">
        <v>0</v>
      </c>
      <c r="O2462" s="60">
        <v>0</v>
      </c>
      <c r="P2462" s="312">
        <v>9</v>
      </c>
      <c r="Q2462" s="182">
        <f t="shared" si="3032"/>
        <v>0.94578313253012047</v>
      </c>
      <c r="R2462" s="182">
        <f t="shared" si="3028"/>
        <v>0</v>
      </c>
      <c r="S2462" s="183">
        <f t="shared" si="3029"/>
        <v>5.4216867469879519E-2</v>
      </c>
      <c r="T2462" s="183">
        <f t="shared" si="3030"/>
        <v>0</v>
      </c>
      <c r="U2462" s="184">
        <f t="shared" si="3031"/>
        <v>1</v>
      </c>
      <c r="V2462" s="385"/>
    </row>
    <row r="2463" spans="2:22" ht="15.75" hidden="1" x14ac:dyDescent="0.2">
      <c r="B2463" s="711">
        <v>46239</v>
      </c>
      <c r="C2463" s="711" t="s">
        <v>106</v>
      </c>
      <c r="D2463" s="711" t="s">
        <v>13</v>
      </c>
      <c r="E2463" s="711">
        <v>46240</v>
      </c>
      <c r="G2463" s="770">
        <v>46240</v>
      </c>
      <c r="H2463" s="60" t="s">
        <v>16</v>
      </c>
      <c r="I2463" s="60" t="s">
        <v>112</v>
      </c>
      <c r="J2463" s="60">
        <v>250</v>
      </c>
      <c r="K2463" s="60">
        <f>250-226</f>
        <v>24</v>
      </c>
      <c r="L2463" s="60">
        <v>15</v>
      </c>
      <c r="M2463" s="60">
        <v>108</v>
      </c>
      <c r="N2463" s="312">
        <v>71</v>
      </c>
      <c r="O2463" s="60">
        <v>20</v>
      </c>
      <c r="P2463" s="312">
        <v>12</v>
      </c>
      <c r="Q2463" s="182">
        <f t="shared" ref="Q2463:Q2465" si="3038">(K2463+L2463)/J2463</f>
        <v>0.156</v>
      </c>
      <c r="R2463" s="182">
        <f t="shared" ref="R2463:R2465" si="3039">N2463/J2463</f>
        <v>0.28399999999999997</v>
      </c>
      <c r="S2463" s="183">
        <f t="shared" ref="S2463:S2465" si="3040">P2463/J2463</f>
        <v>4.8000000000000001E-2</v>
      </c>
      <c r="T2463" s="183">
        <f t="shared" ref="T2463:T2465" si="3041">O2463/J2463</f>
        <v>0.08</v>
      </c>
      <c r="U2463" s="184">
        <f t="shared" ref="U2463:U2465" si="3042">S2463+R2463+Q2463+T2463</f>
        <v>0.56799999999999995</v>
      </c>
      <c r="V2463" s="385"/>
    </row>
    <row r="2464" spans="2:22" ht="15.75" hidden="1" x14ac:dyDescent="0.2">
      <c r="B2464" s="711">
        <v>46239</v>
      </c>
      <c r="C2464" s="711" t="s">
        <v>106</v>
      </c>
      <c r="D2464" s="711" t="s">
        <v>13</v>
      </c>
      <c r="E2464" s="711">
        <v>46240</v>
      </c>
      <c r="G2464" s="771"/>
      <c r="H2464" s="60" t="s">
        <v>25</v>
      </c>
      <c r="I2464" s="60" t="s">
        <v>106</v>
      </c>
      <c r="J2464" s="60">
        <v>227</v>
      </c>
      <c r="K2464" s="60">
        <v>0</v>
      </c>
      <c r="L2464" s="60">
        <v>0</v>
      </c>
      <c r="M2464" s="60">
        <v>227</v>
      </c>
      <c r="N2464" s="312">
        <v>0</v>
      </c>
      <c r="O2464" s="60">
        <v>24</v>
      </c>
      <c r="P2464" s="312">
        <v>0</v>
      </c>
      <c r="Q2464" s="182">
        <f t="shared" si="3038"/>
        <v>0</v>
      </c>
      <c r="R2464" s="182">
        <f t="shared" si="3039"/>
        <v>0</v>
      </c>
      <c r="S2464" s="183">
        <f t="shared" si="3040"/>
        <v>0</v>
      </c>
      <c r="T2464" s="183">
        <f t="shared" si="3041"/>
        <v>0.10572687224669604</v>
      </c>
      <c r="U2464" s="184">
        <f t="shared" si="3042"/>
        <v>0.10572687224669604</v>
      </c>
      <c r="V2464" s="385"/>
    </row>
    <row r="2465" spans="2:22" ht="15.75" hidden="1" x14ac:dyDescent="0.2">
      <c r="B2465" s="711">
        <v>46239</v>
      </c>
      <c r="C2465" s="711" t="s">
        <v>106</v>
      </c>
      <c r="D2465" s="711" t="s">
        <v>13</v>
      </c>
      <c r="E2465" s="711">
        <v>46240</v>
      </c>
      <c r="G2465" s="772"/>
      <c r="H2465" s="60" t="s">
        <v>14</v>
      </c>
      <c r="I2465" s="60" t="s">
        <v>105</v>
      </c>
      <c r="J2465" s="60">
        <v>165</v>
      </c>
      <c r="K2465" s="60">
        <v>0</v>
      </c>
      <c r="L2465" s="60">
        <v>0</v>
      </c>
      <c r="M2465" s="60">
        <v>153</v>
      </c>
      <c r="N2465" s="312">
        <v>0</v>
      </c>
      <c r="O2465" s="60">
        <v>12</v>
      </c>
      <c r="P2465" s="312">
        <v>0</v>
      </c>
      <c r="Q2465" s="182">
        <f t="shared" si="3038"/>
        <v>0</v>
      </c>
      <c r="R2465" s="182">
        <f t="shared" si="3039"/>
        <v>0</v>
      </c>
      <c r="S2465" s="183">
        <f t="shared" si="3040"/>
        <v>0</v>
      </c>
      <c r="T2465" s="183">
        <f t="shared" si="3041"/>
        <v>7.2727272727272724E-2</v>
      </c>
      <c r="U2465" s="184">
        <f t="shared" si="3042"/>
        <v>7.2727272727272724E-2</v>
      </c>
      <c r="V2465" s="385"/>
    </row>
    <row r="2466" spans="2:22" ht="15.75" hidden="1" x14ac:dyDescent="0.2">
      <c r="B2466" s="711">
        <v>46239</v>
      </c>
      <c r="C2466" s="711" t="s">
        <v>106</v>
      </c>
      <c r="D2466" s="711" t="s">
        <v>13</v>
      </c>
      <c r="E2466" s="711">
        <v>46240</v>
      </c>
      <c r="G2466" s="396"/>
      <c r="H2466" s="775" t="s">
        <v>19</v>
      </c>
      <c r="I2466" s="777"/>
      <c r="J2466" s="190">
        <f t="shared" ref="J2466:P2466" si="3043">SUM(J2458:J2465)</f>
        <v>1447</v>
      </c>
      <c r="K2466" s="190">
        <f t="shared" si="3043"/>
        <v>547</v>
      </c>
      <c r="L2466" s="190">
        <f t="shared" si="3043"/>
        <v>116</v>
      </c>
      <c r="M2466" s="190">
        <f t="shared" si="3043"/>
        <v>500</v>
      </c>
      <c r="N2466" s="190">
        <f t="shared" si="3043"/>
        <v>150</v>
      </c>
      <c r="O2466" s="190">
        <f t="shared" si="3043"/>
        <v>110</v>
      </c>
      <c r="P2466" s="190">
        <f t="shared" si="3043"/>
        <v>48</v>
      </c>
      <c r="Q2466" s="191">
        <f>(K2466+L2466)/J2466</f>
        <v>0.45818935729094679</v>
      </c>
      <c r="R2466" s="192">
        <f t="shared" ref="R2466:R2474" si="3044">N2466/J2466</f>
        <v>0.10366275051831375</v>
      </c>
      <c r="S2466" s="192">
        <f t="shared" ref="S2466:S2474" si="3045">P2466/J2466</f>
        <v>3.3172080165860401E-2</v>
      </c>
      <c r="T2466" s="192">
        <f t="shared" ref="T2466:T2474" si="3046">O2466/J2466</f>
        <v>7.6019350380096745E-2</v>
      </c>
      <c r="U2466" s="427">
        <f t="shared" ref="U2466:U2474" si="3047">S2466+R2466+Q2466+T2466</f>
        <v>0.67104353835521768</v>
      </c>
      <c r="V2466" s="479"/>
    </row>
    <row r="2467" spans="2:22" ht="15.75" hidden="1" x14ac:dyDescent="0.2">
      <c r="B2467" s="711">
        <v>46239</v>
      </c>
      <c r="C2467" s="711" t="s">
        <v>105</v>
      </c>
      <c r="D2467" s="711" t="s">
        <v>192</v>
      </c>
      <c r="E2467" s="711">
        <v>46239</v>
      </c>
      <c r="G2467" s="778">
        <v>46239</v>
      </c>
      <c r="H2467" s="60" t="s">
        <v>16</v>
      </c>
      <c r="I2467" s="60" t="s">
        <v>112</v>
      </c>
      <c r="J2467" s="60">
        <f>SUM(K2467:P2467)</f>
        <v>60</v>
      </c>
      <c r="K2467" s="60">
        <f>150-117</f>
        <v>33</v>
      </c>
      <c r="L2467" s="60">
        <f>62-47</f>
        <v>15</v>
      </c>
      <c r="M2467" s="60">
        <v>0</v>
      </c>
      <c r="N2467" s="312">
        <v>0</v>
      </c>
      <c r="O2467" s="60">
        <v>0</v>
      </c>
      <c r="P2467" s="312">
        <v>12</v>
      </c>
      <c r="Q2467" s="182">
        <f t="shared" ref="Q2467:Q2474" si="3048">(K2467+L2467)/J2467</f>
        <v>0.8</v>
      </c>
      <c r="R2467" s="182">
        <f t="shared" si="3044"/>
        <v>0</v>
      </c>
      <c r="S2467" s="183">
        <f t="shared" si="3045"/>
        <v>0.2</v>
      </c>
      <c r="T2467" s="183">
        <f t="shared" si="3046"/>
        <v>0</v>
      </c>
      <c r="U2467" s="184">
        <f t="shared" si="3047"/>
        <v>1</v>
      </c>
      <c r="V2467" s="385"/>
    </row>
    <row r="2468" spans="2:22" ht="15.75" hidden="1" x14ac:dyDescent="0.2">
      <c r="B2468" s="711">
        <v>46239</v>
      </c>
      <c r="C2468" s="711" t="s">
        <v>105</v>
      </c>
      <c r="D2468" s="711" t="s">
        <v>192</v>
      </c>
      <c r="E2468" s="711">
        <v>46239</v>
      </c>
      <c r="G2468" s="786"/>
      <c r="H2468" s="60" t="s">
        <v>17</v>
      </c>
      <c r="I2468" s="60" t="s">
        <v>105</v>
      </c>
      <c r="J2468" s="60">
        <f t="shared" ref="J2468:J2471" si="3049">SUM(K2468:P2468)</f>
        <v>5</v>
      </c>
      <c r="K2468" s="60">
        <v>5</v>
      </c>
      <c r="L2468" s="60">
        <v>0</v>
      </c>
      <c r="M2468" s="60">
        <v>0</v>
      </c>
      <c r="N2468" s="312">
        <v>0</v>
      </c>
      <c r="O2468" s="60">
        <v>0</v>
      </c>
      <c r="P2468" s="312">
        <v>0</v>
      </c>
      <c r="Q2468" s="182">
        <f t="shared" si="3048"/>
        <v>1</v>
      </c>
      <c r="R2468" s="182">
        <f t="shared" si="3044"/>
        <v>0</v>
      </c>
      <c r="S2468" s="183">
        <f t="shared" si="3045"/>
        <v>0</v>
      </c>
      <c r="T2468" s="183">
        <f t="shared" si="3046"/>
        <v>0</v>
      </c>
      <c r="U2468" s="184">
        <f t="shared" si="3047"/>
        <v>1</v>
      </c>
      <c r="V2468" s="385"/>
    </row>
    <row r="2469" spans="2:22" ht="15.75" hidden="1" x14ac:dyDescent="0.2">
      <c r="B2469" s="711">
        <v>46239</v>
      </c>
      <c r="C2469" s="711" t="s">
        <v>105</v>
      </c>
      <c r="D2469" s="711" t="s">
        <v>192</v>
      </c>
      <c r="E2469" s="711">
        <v>46239</v>
      </c>
      <c r="G2469" s="786"/>
      <c r="H2469" s="60" t="s">
        <v>84</v>
      </c>
      <c r="I2469" s="60" t="s">
        <v>105</v>
      </c>
      <c r="J2469" s="60">
        <f t="shared" si="3049"/>
        <v>3</v>
      </c>
      <c r="K2469" s="60">
        <v>2</v>
      </c>
      <c r="L2469" s="60">
        <v>1</v>
      </c>
      <c r="M2469" s="60">
        <v>0</v>
      </c>
      <c r="N2469" s="312">
        <v>0</v>
      </c>
      <c r="O2469" s="60">
        <v>0</v>
      </c>
      <c r="P2469" s="312">
        <v>0</v>
      </c>
      <c r="Q2469" s="182">
        <f t="shared" si="3048"/>
        <v>1</v>
      </c>
      <c r="R2469" s="182">
        <f t="shared" si="3044"/>
        <v>0</v>
      </c>
      <c r="S2469" s="183">
        <f t="shared" si="3045"/>
        <v>0</v>
      </c>
      <c r="T2469" s="183">
        <f t="shared" si="3046"/>
        <v>0</v>
      </c>
      <c r="U2469" s="184">
        <f t="shared" si="3047"/>
        <v>1</v>
      </c>
      <c r="V2469" s="385"/>
    </row>
    <row r="2470" spans="2:22" ht="15.75" hidden="1" x14ac:dyDescent="0.2">
      <c r="B2470" s="711">
        <v>46239</v>
      </c>
      <c r="C2470" s="711" t="s">
        <v>105</v>
      </c>
      <c r="D2470" s="711" t="s">
        <v>192</v>
      </c>
      <c r="E2470" s="711">
        <v>46239</v>
      </c>
      <c r="G2470" s="786"/>
      <c r="H2470" s="60" t="s">
        <v>14</v>
      </c>
      <c r="I2470" s="60" t="s">
        <v>105</v>
      </c>
      <c r="J2470" s="60">
        <f t="shared" ref="J2470" si="3050">SUM(K2470:P2470)</f>
        <v>101</v>
      </c>
      <c r="K2470" s="60">
        <v>71</v>
      </c>
      <c r="L2470" s="60">
        <v>28</v>
      </c>
      <c r="M2470" s="60">
        <v>0</v>
      </c>
      <c r="N2470" s="312">
        <v>0</v>
      </c>
      <c r="O2470" s="60">
        <v>0</v>
      </c>
      <c r="P2470" s="312">
        <v>2</v>
      </c>
      <c r="Q2470" s="182">
        <f t="shared" ref="Q2470" si="3051">(K2470+L2470)/J2470</f>
        <v>0.98019801980198018</v>
      </c>
      <c r="R2470" s="182">
        <f t="shared" ref="R2470" si="3052">N2470/J2470</f>
        <v>0</v>
      </c>
      <c r="S2470" s="183">
        <f t="shared" ref="S2470" si="3053">P2470/J2470</f>
        <v>1.9801980198019802E-2</v>
      </c>
      <c r="T2470" s="183">
        <f t="shared" ref="T2470" si="3054">O2470/J2470</f>
        <v>0</v>
      </c>
      <c r="U2470" s="184">
        <f t="shared" ref="U2470" si="3055">S2470+R2470+Q2470+T2470</f>
        <v>1</v>
      </c>
      <c r="V2470" s="385"/>
    </row>
    <row r="2471" spans="2:22" ht="15.75" hidden="1" x14ac:dyDescent="0.2">
      <c r="B2471" s="711">
        <v>46239</v>
      </c>
      <c r="C2471" s="711" t="s">
        <v>105</v>
      </c>
      <c r="D2471" s="711" t="s">
        <v>192</v>
      </c>
      <c r="E2471" s="711">
        <v>46239</v>
      </c>
      <c r="G2471" s="779"/>
      <c r="H2471" s="60" t="s">
        <v>120</v>
      </c>
      <c r="I2471" s="60" t="s">
        <v>105</v>
      </c>
      <c r="J2471" s="60">
        <f t="shared" si="3049"/>
        <v>3</v>
      </c>
      <c r="K2471" s="60">
        <v>3</v>
      </c>
      <c r="L2471" s="60">
        <v>0</v>
      </c>
      <c r="M2471" s="60">
        <v>0</v>
      </c>
      <c r="N2471" s="312">
        <v>0</v>
      </c>
      <c r="O2471" s="60">
        <v>0</v>
      </c>
      <c r="P2471" s="312">
        <v>0</v>
      </c>
      <c r="Q2471" s="182">
        <f t="shared" si="3048"/>
        <v>1</v>
      </c>
      <c r="R2471" s="182">
        <f t="shared" si="3044"/>
        <v>0</v>
      </c>
      <c r="S2471" s="183">
        <f t="shared" si="3045"/>
        <v>0</v>
      </c>
      <c r="T2471" s="183">
        <f t="shared" si="3046"/>
        <v>0</v>
      </c>
      <c r="U2471" s="184">
        <f t="shared" si="3047"/>
        <v>1</v>
      </c>
      <c r="V2471" s="385"/>
    </row>
    <row r="2472" spans="2:22" ht="15.75" hidden="1" x14ac:dyDescent="0.2">
      <c r="B2472" s="711">
        <v>46239</v>
      </c>
      <c r="C2472" s="711" t="s">
        <v>105</v>
      </c>
      <c r="D2472" s="711" t="s">
        <v>192</v>
      </c>
      <c r="E2472" s="711">
        <v>46240</v>
      </c>
      <c r="G2472" s="770">
        <v>46240</v>
      </c>
      <c r="H2472" s="60" t="s">
        <v>16</v>
      </c>
      <c r="I2472" s="60" t="s">
        <v>112</v>
      </c>
      <c r="J2472" s="60">
        <v>250</v>
      </c>
      <c r="K2472" s="60">
        <v>117</v>
      </c>
      <c r="L2472" s="60">
        <v>50</v>
      </c>
      <c r="M2472" s="60">
        <v>5</v>
      </c>
      <c r="N2472" s="312">
        <v>0</v>
      </c>
      <c r="O2472" s="60">
        <v>20</v>
      </c>
      <c r="P2472" s="312">
        <v>12</v>
      </c>
      <c r="Q2472" s="182">
        <f t="shared" si="3048"/>
        <v>0.66800000000000004</v>
      </c>
      <c r="R2472" s="182">
        <f t="shared" si="3044"/>
        <v>0</v>
      </c>
      <c r="S2472" s="183">
        <f t="shared" si="3045"/>
        <v>4.8000000000000001E-2</v>
      </c>
      <c r="T2472" s="183">
        <f t="shared" si="3046"/>
        <v>0.08</v>
      </c>
      <c r="U2472" s="184">
        <f t="shared" si="3047"/>
        <v>0.79600000000000004</v>
      </c>
      <c r="V2472" s="385"/>
    </row>
    <row r="2473" spans="2:22" ht="15.75" hidden="1" x14ac:dyDescent="0.2">
      <c r="B2473" s="711">
        <v>46239</v>
      </c>
      <c r="C2473" s="711" t="s">
        <v>105</v>
      </c>
      <c r="D2473" s="711" t="s">
        <v>192</v>
      </c>
      <c r="E2473" s="711">
        <v>46240</v>
      </c>
      <c r="G2473" s="771"/>
      <c r="H2473" s="60" t="s">
        <v>25</v>
      </c>
      <c r="I2473" s="60" t="s">
        <v>106</v>
      </c>
      <c r="J2473" s="60">
        <v>227</v>
      </c>
      <c r="K2473" s="60">
        <v>84</v>
      </c>
      <c r="L2473" s="60">
        <v>37</v>
      </c>
      <c r="M2473" s="60">
        <v>42</v>
      </c>
      <c r="N2473" s="312">
        <v>17</v>
      </c>
      <c r="O2473" s="60">
        <v>24</v>
      </c>
      <c r="P2473" s="312">
        <v>11</v>
      </c>
      <c r="Q2473" s="182">
        <f t="shared" si="3048"/>
        <v>0.53303964757709255</v>
      </c>
      <c r="R2473" s="182">
        <f t="shared" si="3044"/>
        <v>7.4889867841409691E-2</v>
      </c>
      <c r="S2473" s="183">
        <f t="shared" si="3045"/>
        <v>4.8458149779735685E-2</v>
      </c>
      <c r="T2473" s="183">
        <f t="shared" si="3046"/>
        <v>0.10572687224669604</v>
      </c>
      <c r="U2473" s="184">
        <f t="shared" si="3047"/>
        <v>0.76211453744493396</v>
      </c>
      <c r="V2473" s="385"/>
    </row>
    <row r="2474" spans="2:22" ht="15.75" hidden="1" x14ac:dyDescent="0.2">
      <c r="B2474" s="711">
        <v>46239</v>
      </c>
      <c r="C2474" s="711" t="s">
        <v>105</v>
      </c>
      <c r="D2474" s="711" t="s">
        <v>192</v>
      </c>
      <c r="E2474" s="711">
        <v>46240</v>
      </c>
      <c r="G2474" s="772"/>
      <c r="H2474" s="60" t="s">
        <v>14</v>
      </c>
      <c r="I2474" s="60" t="s">
        <v>105</v>
      </c>
      <c r="J2474" s="60">
        <v>165</v>
      </c>
      <c r="K2474" s="60">
        <v>0</v>
      </c>
      <c r="L2474" s="60">
        <v>0</v>
      </c>
      <c r="M2474" s="60">
        <v>115</v>
      </c>
      <c r="N2474" s="312">
        <v>49</v>
      </c>
      <c r="O2474" s="60">
        <v>12</v>
      </c>
      <c r="P2474" s="312">
        <v>10</v>
      </c>
      <c r="Q2474" s="182">
        <f t="shared" si="3048"/>
        <v>0</v>
      </c>
      <c r="R2474" s="182">
        <f t="shared" si="3044"/>
        <v>0.29696969696969699</v>
      </c>
      <c r="S2474" s="183">
        <f t="shared" si="3045"/>
        <v>6.0606060606060608E-2</v>
      </c>
      <c r="T2474" s="183">
        <f t="shared" si="3046"/>
        <v>7.2727272727272724E-2</v>
      </c>
      <c r="U2474" s="184">
        <f t="shared" si="3047"/>
        <v>0.4303030303030303</v>
      </c>
      <c r="V2474" s="385"/>
    </row>
    <row r="2475" spans="2:22" ht="15.75" hidden="1" x14ac:dyDescent="0.2">
      <c r="B2475" s="711">
        <v>46239</v>
      </c>
      <c r="C2475" s="711" t="s">
        <v>105</v>
      </c>
      <c r="D2475" s="711" t="s">
        <v>192</v>
      </c>
      <c r="E2475" s="711">
        <v>46240</v>
      </c>
      <c r="G2475" s="396"/>
      <c r="H2475" s="775" t="s">
        <v>19</v>
      </c>
      <c r="I2475" s="777"/>
      <c r="J2475" s="190">
        <f t="shared" ref="J2475:P2475" si="3056">SUM(J2467:J2474)</f>
        <v>814</v>
      </c>
      <c r="K2475" s="190">
        <f t="shared" si="3056"/>
        <v>315</v>
      </c>
      <c r="L2475" s="190">
        <f t="shared" si="3056"/>
        <v>131</v>
      </c>
      <c r="M2475" s="190">
        <f t="shared" si="3056"/>
        <v>162</v>
      </c>
      <c r="N2475" s="190">
        <f t="shared" si="3056"/>
        <v>66</v>
      </c>
      <c r="O2475" s="190">
        <f t="shared" si="3056"/>
        <v>56</v>
      </c>
      <c r="P2475" s="190">
        <f t="shared" si="3056"/>
        <v>47</v>
      </c>
      <c r="Q2475" s="191">
        <f>(K2475+L2475)/J2475</f>
        <v>0.54791154791154795</v>
      </c>
      <c r="R2475" s="192">
        <f t="shared" ref="R2475:R2478" si="3057">N2475/J2475</f>
        <v>8.1081081081081086E-2</v>
      </c>
      <c r="S2475" s="192">
        <f t="shared" ref="S2475:S2478" si="3058">P2475/J2475</f>
        <v>5.7739557739557738E-2</v>
      </c>
      <c r="T2475" s="192">
        <f t="shared" ref="T2475:T2478" si="3059">O2475/J2475</f>
        <v>6.8796068796068796E-2</v>
      </c>
      <c r="U2475" s="427">
        <f t="shared" ref="U2475:U2478" si="3060">S2475+R2475+Q2475+T2475</f>
        <v>0.75552825552825553</v>
      </c>
      <c r="V2475" s="479"/>
    </row>
    <row r="2476" spans="2:22" ht="15.75" hidden="1" x14ac:dyDescent="0.2">
      <c r="B2476" s="711">
        <v>46240</v>
      </c>
      <c r="C2476" s="711" t="s">
        <v>106</v>
      </c>
      <c r="D2476" s="711" t="s">
        <v>13</v>
      </c>
      <c r="E2476" s="711">
        <v>46240</v>
      </c>
      <c r="G2476" s="778">
        <v>46240</v>
      </c>
      <c r="H2476" s="60" t="s">
        <v>16</v>
      </c>
      <c r="I2476" s="60" t="s">
        <v>112</v>
      </c>
      <c r="J2476" s="60">
        <v>250</v>
      </c>
      <c r="K2476" s="60">
        <f>250-82</f>
        <v>168</v>
      </c>
      <c r="L2476" s="60">
        <v>56</v>
      </c>
      <c r="M2476" s="60">
        <v>0</v>
      </c>
      <c r="N2476" s="312">
        <v>0</v>
      </c>
      <c r="O2476" s="60">
        <v>20</v>
      </c>
      <c r="P2476" s="312">
        <v>6</v>
      </c>
      <c r="Q2476" s="182">
        <f t="shared" ref="Q2476:Q2478" si="3061">(K2476+L2476)/J2476</f>
        <v>0.89600000000000002</v>
      </c>
      <c r="R2476" s="182">
        <f t="shared" si="3057"/>
        <v>0</v>
      </c>
      <c r="S2476" s="183">
        <f t="shared" si="3058"/>
        <v>2.4E-2</v>
      </c>
      <c r="T2476" s="183">
        <f t="shared" si="3059"/>
        <v>0.08</v>
      </c>
      <c r="U2476" s="184">
        <f t="shared" si="3060"/>
        <v>1</v>
      </c>
      <c r="V2476" s="385"/>
    </row>
    <row r="2477" spans="2:22" ht="15.75" hidden="1" x14ac:dyDescent="0.2">
      <c r="B2477" s="711">
        <v>46240</v>
      </c>
      <c r="C2477" s="711" t="s">
        <v>106</v>
      </c>
      <c r="D2477" s="711" t="s">
        <v>13</v>
      </c>
      <c r="E2477" s="711">
        <v>46240</v>
      </c>
      <c r="G2477" s="786"/>
      <c r="H2477" s="60" t="s">
        <v>25</v>
      </c>
      <c r="I2477" s="60" t="s">
        <v>106</v>
      </c>
      <c r="J2477" s="60">
        <v>249</v>
      </c>
      <c r="K2477" s="60">
        <v>192</v>
      </c>
      <c r="L2477" s="60">
        <v>20</v>
      </c>
      <c r="M2477" s="60">
        <v>0</v>
      </c>
      <c r="N2477" s="312">
        <v>0</v>
      </c>
      <c r="O2477" s="60">
        <v>24</v>
      </c>
      <c r="P2477" s="312">
        <v>13</v>
      </c>
      <c r="Q2477" s="182">
        <f t="shared" si="3061"/>
        <v>0.85140562248995988</v>
      </c>
      <c r="R2477" s="182">
        <f t="shared" si="3057"/>
        <v>0</v>
      </c>
      <c r="S2477" s="183">
        <f t="shared" si="3058"/>
        <v>5.2208835341365459E-2</v>
      </c>
      <c r="T2477" s="183">
        <f t="shared" si="3059"/>
        <v>9.6385542168674704E-2</v>
      </c>
      <c r="U2477" s="184">
        <f t="shared" si="3060"/>
        <v>1</v>
      </c>
      <c r="V2477" s="385"/>
    </row>
    <row r="2478" spans="2:22" ht="15.75" hidden="1" x14ac:dyDescent="0.2">
      <c r="B2478" s="711">
        <v>46240</v>
      </c>
      <c r="C2478" s="711" t="s">
        <v>106</v>
      </c>
      <c r="D2478" s="711" t="s">
        <v>13</v>
      </c>
      <c r="E2478" s="711">
        <v>46240</v>
      </c>
      <c r="G2478" s="779"/>
      <c r="H2478" s="60" t="s">
        <v>14</v>
      </c>
      <c r="I2478" s="60" t="s">
        <v>105</v>
      </c>
      <c r="J2478" s="60">
        <v>186</v>
      </c>
      <c r="K2478" s="60">
        <v>64</v>
      </c>
      <c r="L2478" s="60">
        <v>39</v>
      </c>
      <c r="M2478" s="60">
        <v>0</v>
      </c>
      <c r="N2478" s="312">
        <v>59</v>
      </c>
      <c r="O2478" s="60">
        <v>12</v>
      </c>
      <c r="P2478" s="312">
        <v>12</v>
      </c>
      <c r="Q2478" s="182">
        <f t="shared" si="3061"/>
        <v>0.55376344086021501</v>
      </c>
      <c r="R2478" s="182">
        <f t="shared" si="3057"/>
        <v>0.31720430107526881</v>
      </c>
      <c r="S2478" s="183">
        <f t="shared" si="3058"/>
        <v>6.4516129032258063E-2</v>
      </c>
      <c r="T2478" s="183">
        <f t="shared" si="3059"/>
        <v>6.4516129032258063E-2</v>
      </c>
      <c r="U2478" s="184">
        <f t="shared" si="3060"/>
        <v>1</v>
      </c>
      <c r="V2478" s="385"/>
    </row>
    <row r="2479" spans="2:22" ht="15.75" hidden="1" x14ac:dyDescent="0.2">
      <c r="B2479" s="711">
        <v>46240</v>
      </c>
      <c r="C2479" s="711" t="s">
        <v>106</v>
      </c>
      <c r="D2479" s="711" t="s">
        <v>13</v>
      </c>
      <c r="E2479" s="711">
        <v>46241</v>
      </c>
      <c r="G2479" s="773">
        <v>46241</v>
      </c>
      <c r="H2479" s="60" t="s">
        <v>16</v>
      </c>
      <c r="I2479" s="60" t="s">
        <v>112</v>
      </c>
      <c r="J2479" s="480">
        <v>248</v>
      </c>
      <c r="K2479" s="60">
        <v>0</v>
      </c>
      <c r="L2479" s="60">
        <v>0</v>
      </c>
      <c r="M2479" s="60">
        <v>214</v>
      </c>
      <c r="N2479" s="312">
        <v>0</v>
      </c>
      <c r="O2479" s="60">
        <v>20</v>
      </c>
      <c r="P2479" s="312">
        <v>14</v>
      </c>
      <c r="Q2479" s="182">
        <f t="shared" ref="Q2479:Q2481" si="3062">(K2479+L2479)/J2479</f>
        <v>0</v>
      </c>
      <c r="R2479" s="182">
        <f t="shared" ref="R2479:R2481" si="3063">N2479/J2479</f>
        <v>0</v>
      </c>
      <c r="S2479" s="183">
        <f t="shared" ref="S2479:S2481" si="3064">P2479/J2479</f>
        <v>5.6451612903225805E-2</v>
      </c>
      <c r="T2479" s="183">
        <f t="shared" ref="T2479:T2481" si="3065">O2479/J2479</f>
        <v>8.0645161290322578E-2</v>
      </c>
      <c r="U2479" s="184">
        <f t="shared" ref="U2479:U2481" si="3066">S2479+R2479+Q2479+T2479</f>
        <v>0.13709677419354838</v>
      </c>
      <c r="V2479" s="385"/>
    </row>
    <row r="2480" spans="2:22" ht="15.75" hidden="1" x14ac:dyDescent="0.2">
      <c r="B2480" s="711">
        <v>46240</v>
      </c>
      <c r="C2480" s="711" t="s">
        <v>106</v>
      </c>
      <c r="D2480" s="711" t="s">
        <v>13</v>
      </c>
      <c r="E2480" s="711">
        <v>46241</v>
      </c>
      <c r="G2480" s="780"/>
      <c r="H2480" s="60" t="s">
        <v>17</v>
      </c>
      <c r="I2480" s="60" t="s">
        <v>106</v>
      </c>
      <c r="J2480" s="480">
        <v>217</v>
      </c>
      <c r="K2480" s="60">
        <v>0</v>
      </c>
      <c r="L2480" s="60">
        <v>0</v>
      </c>
      <c r="M2480" s="60">
        <v>173</v>
      </c>
      <c r="N2480" s="312">
        <v>0</v>
      </c>
      <c r="O2480" s="60">
        <v>30</v>
      </c>
      <c r="P2480" s="312">
        <v>14</v>
      </c>
      <c r="Q2480" s="182">
        <f t="shared" si="3062"/>
        <v>0</v>
      </c>
      <c r="R2480" s="182">
        <f t="shared" si="3063"/>
        <v>0</v>
      </c>
      <c r="S2480" s="183">
        <f t="shared" si="3064"/>
        <v>6.4516129032258063E-2</v>
      </c>
      <c r="T2480" s="183">
        <f t="shared" si="3065"/>
        <v>0.13824884792626729</v>
      </c>
      <c r="U2480" s="184">
        <f t="shared" si="3066"/>
        <v>0.20276497695852536</v>
      </c>
      <c r="V2480" s="385"/>
    </row>
    <row r="2481" spans="2:22" ht="15.75" hidden="1" x14ac:dyDescent="0.2">
      <c r="B2481" s="711">
        <v>46240</v>
      </c>
      <c r="C2481" s="711" t="s">
        <v>106</v>
      </c>
      <c r="D2481" s="711" t="s">
        <v>13</v>
      </c>
      <c r="E2481" s="711">
        <v>46241</v>
      </c>
      <c r="G2481" s="774"/>
      <c r="H2481" s="60" t="s">
        <v>118</v>
      </c>
      <c r="I2481" s="60" t="s">
        <v>106</v>
      </c>
      <c r="J2481" s="480">
        <v>221</v>
      </c>
      <c r="K2481" s="60">
        <v>2</v>
      </c>
      <c r="L2481" s="60">
        <v>0</v>
      </c>
      <c r="M2481" s="60">
        <v>18</v>
      </c>
      <c r="N2481" s="312">
        <v>169</v>
      </c>
      <c r="O2481" s="60">
        <v>13</v>
      </c>
      <c r="P2481" s="312">
        <v>19</v>
      </c>
      <c r="Q2481" s="182">
        <f t="shared" si="3062"/>
        <v>9.0497737556561094E-3</v>
      </c>
      <c r="R2481" s="182">
        <f t="shared" si="3063"/>
        <v>0.76470588235294112</v>
      </c>
      <c r="S2481" s="183">
        <f t="shared" si="3064"/>
        <v>8.5972850678733032E-2</v>
      </c>
      <c r="T2481" s="183">
        <f t="shared" si="3065"/>
        <v>5.8823529411764705E-2</v>
      </c>
      <c r="U2481" s="184">
        <f t="shared" si="3066"/>
        <v>0.91855203619909498</v>
      </c>
      <c r="V2481" s="385"/>
    </row>
    <row r="2482" spans="2:22" ht="15.75" hidden="1" x14ac:dyDescent="0.2">
      <c r="B2482" s="711">
        <v>46240</v>
      </c>
      <c r="C2482" s="711" t="s">
        <v>106</v>
      </c>
      <c r="D2482" s="711" t="s">
        <v>13</v>
      </c>
      <c r="E2482" s="711">
        <v>46241</v>
      </c>
      <c r="G2482" s="396"/>
      <c r="H2482" s="775" t="s">
        <v>19</v>
      </c>
      <c r="I2482" s="777"/>
      <c r="J2482" s="190">
        <f>SUM(J2476:J2481)</f>
        <v>1371</v>
      </c>
      <c r="K2482" s="190">
        <f t="shared" ref="K2482:P2482" si="3067">SUM(K2476:K2481)</f>
        <v>426</v>
      </c>
      <c r="L2482" s="190">
        <f t="shared" si="3067"/>
        <v>115</v>
      </c>
      <c r="M2482" s="190">
        <f t="shared" si="3067"/>
        <v>405</v>
      </c>
      <c r="N2482" s="190">
        <f t="shared" si="3067"/>
        <v>228</v>
      </c>
      <c r="O2482" s="190">
        <f t="shared" si="3067"/>
        <v>119</v>
      </c>
      <c r="P2482" s="190">
        <f t="shared" si="3067"/>
        <v>78</v>
      </c>
      <c r="Q2482" s="191">
        <f>(K2482+L2482)/J2482</f>
        <v>0.39460247994164843</v>
      </c>
      <c r="R2482" s="192">
        <f t="shared" ref="R2482:R2490" si="3068">N2482/J2482</f>
        <v>0.16630196936542668</v>
      </c>
      <c r="S2482" s="192">
        <f t="shared" ref="S2482:S2490" si="3069">P2482/J2482</f>
        <v>5.689277899343545E-2</v>
      </c>
      <c r="T2482" s="192">
        <f t="shared" ref="T2482:T2490" si="3070">O2482/J2482</f>
        <v>8.6797957695113059E-2</v>
      </c>
      <c r="U2482" s="427">
        <f t="shared" ref="U2482:U2490" si="3071">S2482+R2482+Q2482+T2482</f>
        <v>0.70459518599562365</v>
      </c>
      <c r="V2482" s="479"/>
    </row>
    <row r="2483" spans="2:22" ht="15.75" hidden="1" x14ac:dyDescent="0.2">
      <c r="B2483" s="711">
        <v>46240</v>
      </c>
      <c r="C2483" s="711" t="s">
        <v>105</v>
      </c>
      <c r="D2483" s="711" t="s">
        <v>192</v>
      </c>
      <c r="E2483" s="711">
        <v>46240</v>
      </c>
      <c r="G2483" s="778">
        <v>46240</v>
      </c>
      <c r="H2483" s="60" t="s">
        <v>16</v>
      </c>
      <c r="I2483" s="60" t="s">
        <v>112</v>
      </c>
      <c r="J2483" s="60">
        <f>SUM(K2483:P2483)</f>
        <v>38</v>
      </c>
      <c r="K2483" s="60">
        <v>20</v>
      </c>
      <c r="L2483" s="60">
        <v>12</v>
      </c>
      <c r="M2483" s="60">
        <v>0</v>
      </c>
      <c r="N2483" s="312">
        <v>0</v>
      </c>
      <c r="O2483" s="60">
        <v>0</v>
      </c>
      <c r="P2483" s="312">
        <v>6</v>
      </c>
      <c r="Q2483" s="182">
        <f t="shared" ref="Q2483:Q2490" si="3072">(K2483+L2483)/J2483</f>
        <v>0.84210526315789469</v>
      </c>
      <c r="R2483" s="182">
        <f t="shared" si="3068"/>
        <v>0</v>
      </c>
      <c r="S2483" s="183">
        <f t="shared" si="3069"/>
        <v>0.15789473684210525</v>
      </c>
      <c r="T2483" s="183">
        <f t="shared" si="3070"/>
        <v>0</v>
      </c>
      <c r="U2483" s="184">
        <f t="shared" si="3071"/>
        <v>1</v>
      </c>
      <c r="V2483" s="385"/>
    </row>
    <row r="2484" spans="2:22" ht="15.75" hidden="1" x14ac:dyDescent="0.2">
      <c r="B2484" s="711">
        <v>46240</v>
      </c>
      <c r="C2484" s="711" t="s">
        <v>105</v>
      </c>
      <c r="D2484" s="711" t="s">
        <v>192</v>
      </c>
      <c r="E2484" s="711">
        <v>46240</v>
      </c>
      <c r="G2484" s="786"/>
      <c r="H2484" s="60" t="s">
        <v>84</v>
      </c>
      <c r="I2484" s="60" t="s">
        <v>105</v>
      </c>
      <c r="J2484" s="60">
        <f t="shared" ref="J2484:J2485" si="3073">SUM(K2484:P2484)</f>
        <v>18</v>
      </c>
      <c r="K2484" s="60">
        <v>16</v>
      </c>
      <c r="L2484" s="60">
        <v>2</v>
      </c>
      <c r="M2484" s="60">
        <v>0</v>
      </c>
      <c r="N2484" s="312">
        <v>0</v>
      </c>
      <c r="O2484" s="60">
        <v>0</v>
      </c>
      <c r="P2484" s="312">
        <v>0</v>
      </c>
      <c r="Q2484" s="182">
        <f t="shared" si="3072"/>
        <v>1</v>
      </c>
      <c r="R2484" s="182">
        <f t="shared" si="3068"/>
        <v>0</v>
      </c>
      <c r="S2484" s="183">
        <f t="shared" si="3069"/>
        <v>0</v>
      </c>
      <c r="T2484" s="183">
        <f t="shared" si="3070"/>
        <v>0</v>
      </c>
      <c r="U2484" s="184">
        <f t="shared" si="3071"/>
        <v>1</v>
      </c>
      <c r="V2484" s="385"/>
    </row>
    <row r="2485" spans="2:22" ht="15.75" hidden="1" x14ac:dyDescent="0.2">
      <c r="B2485" s="711">
        <v>46240</v>
      </c>
      <c r="C2485" s="711" t="s">
        <v>105</v>
      </c>
      <c r="D2485" s="711" t="s">
        <v>192</v>
      </c>
      <c r="E2485" s="711">
        <v>46240</v>
      </c>
      <c r="G2485" s="786"/>
      <c r="H2485" s="60" t="s">
        <v>32</v>
      </c>
      <c r="I2485" s="60" t="s">
        <v>105</v>
      </c>
      <c r="J2485" s="60">
        <f t="shared" si="3073"/>
        <v>5</v>
      </c>
      <c r="K2485" s="60">
        <v>5</v>
      </c>
      <c r="L2485" s="60">
        <v>0</v>
      </c>
      <c r="M2485" s="60">
        <v>0</v>
      </c>
      <c r="N2485" s="312">
        <v>0</v>
      </c>
      <c r="O2485" s="60">
        <v>0</v>
      </c>
      <c r="P2485" s="312">
        <v>0</v>
      </c>
      <c r="Q2485" s="182">
        <f t="shared" si="3072"/>
        <v>1</v>
      </c>
      <c r="R2485" s="182">
        <f t="shared" si="3068"/>
        <v>0</v>
      </c>
      <c r="S2485" s="183">
        <f t="shared" si="3069"/>
        <v>0</v>
      </c>
      <c r="T2485" s="183">
        <f t="shared" si="3070"/>
        <v>0</v>
      </c>
      <c r="U2485" s="184">
        <f t="shared" si="3071"/>
        <v>1</v>
      </c>
      <c r="V2485" s="385"/>
    </row>
    <row r="2486" spans="2:22" ht="15.75" hidden="1" x14ac:dyDescent="0.2">
      <c r="B2486" s="711">
        <v>46240</v>
      </c>
      <c r="C2486" s="711" t="s">
        <v>105</v>
      </c>
      <c r="D2486" s="711" t="s">
        <v>192</v>
      </c>
      <c r="E2486" s="711">
        <v>46240</v>
      </c>
      <c r="G2486" s="786"/>
      <c r="H2486" s="60" t="s">
        <v>14</v>
      </c>
      <c r="I2486" s="60" t="s">
        <v>105</v>
      </c>
      <c r="J2486" s="60">
        <f t="shared" ref="J2486:J2487" si="3074">SUM(K2486:P2486)</f>
        <v>93</v>
      </c>
      <c r="K2486" s="60">
        <v>48</v>
      </c>
      <c r="L2486" s="60">
        <v>36</v>
      </c>
      <c r="M2486" s="60">
        <v>0</v>
      </c>
      <c r="N2486" s="312">
        <v>0</v>
      </c>
      <c r="O2486" s="60">
        <v>0</v>
      </c>
      <c r="P2486" s="312">
        <v>9</v>
      </c>
      <c r="Q2486" s="182">
        <f t="shared" si="3072"/>
        <v>0.90322580645161288</v>
      </c>
      <c r="R2486" s="182">
        <f t="shared" si="3068"/>
        <v>0</v>
      </c>
      <c r="S2486" s="183">
        <f t="shared" si="3069"/>
        <v>9.6774193548387094E-2</v>
      </c>
      <c r="T2486" s="183">
        <f t="shared" si="3070"/>
        <v>0</v>
      </c>
      <c r="U2486" s="184">
        <f t="shared" si="3071"/>
        <v>1</v>
      </c>
      <c r="V2486" s="385"/>
    </row>
    <row r="2487" spans="2:22" ht="15.75" hidden="1" x14ac:dyDescent="0.2">
      <c r="B2487" s="711">
        <v>46240</v>
      </c>
      <c r="C2487" s="711" t="s">
        <v>105</v>
      </c>
      <c r="D2487" s="711" t="s">
        <v>192</v>
      </c>
      <c r="E2487" s="711">
        <v>46240</v>
      </c>
      <c r="G2487" s="779"/>
      <c r="H2487" s="60" t="s">
        <v>25</v>
      </c>
      <c r="I2487" s="60" t="s">
        <v>105</v>
      </c>
      <c r="J2487" s="60">
        <f t="shared" si="3074"/>
        <v>15</v>
      </c>
      <c r="K2487" s="60">
        <v>4</v>
      </c>
      <c r="L2487" s="60">
        <v>0</v>
      </c>
      <c r="M2487" s="60">
        <v>0</v>
      </c>
      <c r="N2487" s="312">
        <v>0</v>
      </c>
      <c r="O2487" s="60">
        <v>0</v>
      </c>
      <c r="P2487" s="312">
        <v>11</v>
      </c>
      <c r="Q2487" s="182">
        <f t="shared" si="3072"/>
        <v>0.26666666666666666</v>
      </c>
      <c r="R2487" s="182">
        <f t="shared" si="3068"/>
        <v>0</v>
      </c>
      <c r="S2487" s="183">
        <f t="shared" si="3069"/>
        <v>0.73333333333333328</v>
      </c>
      <c r="T2487" s="183">
        <f t="shared" si="3070"/>
        <v>0</v>
      </c>
      <c r="U2487" s="184">
        <f t="shared" si="3071"/>
        <v>1</v>
      </c>
      <c r="V2487" s="385"/>
    </row>
    <row r="2488" spans="2:22" ht="15.75" hidden="1" x14ac:dyDescent="0.2">
      <c r="B2488" s="711">
        <v>46240</v>
      </c>
      <c r="C2488" s="711" t="s">
        <v>105</v>
      </c>
      <c r="D2488" s="711" t="s">
        <v>192</v>
      </c>
      <c r="E2488" s="711">
        <v>46241</v>
      </c>
      <c r="G2488" s="770">
        <v>46241</v>
      </c>
      <c r="H2488" s="60" t="s">
        <v>118</v>
      </c>
      <c r="I2488" s="60" t="s">
        <v>106</v>
      </c>
      <c r="J2488" s="60">
        <v>236</v>
      </c>
      <c r="K2488" s="60">
        <v>136</v>
      </c>
      <c r="L2488" s="60">
        <v>21</v>
      </c>
      <c r="M2488" s="60">
        <v>26</v>
      </c>
      <c r="N2488" s="312">
        <v>36</v>
      </c>
      <c r="O2488" s="60">
        <v>13</v>
      </c>
      <c r="P2488" s="312">
        <v>19</v>
      </c>
      <c r="Q2488" s="182">
        <f t="shared" si="3072"/>
        <v>0.6652542372881356</v>
      </c>
      <c r="R2488" s="182">
        <f t="shared" si="3068"/>
        <v>0.15254237288135594</v>
      </c>
      <c r="S2488" s="183">
        <f t="shared" si="3069"/>
        <v>8.050847457627118E-2</v>
      </c>
      <c r="T2488" s="183">
        <f t="shared" si="3070"/>
        <v>5.5084745762711863E-2</v>
      </c>
      <c r="U2488" s="184">
        <f>S2488+R2488+Q2488+T2488</f>
        <v>0.95338983050847459</v>
      </c>
      <c r="V2488" s="385"/>
    </row>
    <row r="2489" spans="2:22" ht="15.75" hidden="1" x14ac:dyDescent="0.2">
      <c r="B2489" s="711">
        <v>46240</v>
      </c>
      <c r="C2489" s="711" t="s">
        <v>105</v>
      </c>
      <c r="D2489" s="711" t="s">
        <v>192</v>
      </c>
      <c r="E2489" s="711">
        <v>46241</v>
      </c>
      <c r="G2489" s="771"/>
      <c r="H2489" s="60" t="s">
        <v>16</v>
      </c>
      <c r="I2489" s="60" t="s">
        <v>106</v>
      </c>
      <c r="J2489" s="60">
        <v>248</v>
      </c>
      <c r="K2489" s="60">
        <v>23</v>
      </c>
      <c r="L2489" s="60">
        <v>8</v>
      </c>
      <c r="M2489" s="60">
        <v>85</v>
      </c>
      <c r="N2489" s="312">
        <v>97</v>
      </c>
      <c r="O2489" s="60">
        <v>20</v>
      </c>
      <c r="P2489" s="312">
        <v>14</v>
      </c>
      <c r="Q2489" s="182">
        <f t="shared" si="3072"/>
        <v>0.125</v>
      </c>
      <c r="R2489" s="182">
        <f t="shared" si="3068"/>
        <v>0.3911290322580645</v>
      </c>
      <c r="S2489" s="183">
        <f t="shared" si="3069"/>
        <v>5.6451612903225805E-2</v>
      </c>
      <c r="T2489" s="183">
        <f t="shared" si="3070"/>
        <v>8.0645161290322578E-2</v>
      </c>
      <c r="U2489" s="184">
        <f t="shared" si="3071"/>
        <v>0.65322580645161288</v>
      </c>
      <c r="V2489" s="385"/>
    </row>
    <row r="2490" spans="2:22" ht="15.75" hidden="1" x14ac:dyDescent="0.2">
      <c r="B2490" s="711">
        <v>46240</v>
      </c>
      <c r="C2490" s="711" t="s">
        <v>105</v>
      </c>
      <c r="D2490" s="711" t="s">
        <v>192</v>
      </c>
      <c r="E2490" s="711">
        <v>46241</v>
      </c>
      <c r="G2490" s="772"/>
      <c r="H2490" s="60" t="s">
        <v>17</v>
      </c>
      <c r="I2490" s="60" t="s">
        <v>112</v>
      </c>
      <c r="J2490" s="60">
        <v>218</v>
      </c>
      <c r="K2490" s="60">
        <v>48</v>
      </c>
      <c r="L2490" s="60">
        <v>24</v>
      </c>
      <c r="M2490" s="60">
        <v>9</v>
      </c>
      <c r="N2490" s="312">
        <v>97</v>
      </c>
      <c r="O2490" s="60">
        <v>28</v>
      </c>
      <c r="P2490" s="312">
        <v>17</v>
      </c>
      <c r="Q2490" s="182">
        <f t="shared" si="3072"/>
        <v>0.33027522935779818</v>
      </c>
      <c r="R2490" s="182">
        <f t="shared" si="3068"/>
        <v>0.44495412844036697</v>
      </c>
      <c r="S2490" s="183">
        <f t="shared" si="3069"/>
        <v>7.7981651376146793E-2</v>
      </c>
      <c r="T2490" s="183">
        <f t="shared" si="3070"/>
        <v>0.12844036697247707</v>
      </c>
      <c r="U2490" s="184">
        <f t="shared" si="3071"/>
        <v>0.98165137614678899</v>
      </c>
      <c r="V2490" s="385"/>
    </row>
    <row r="2491" spans="2:22" ht="15.75" hidden="1" x14ac:dyDescent="0.2">
      <c r="B2491" s="711">
        <v>46240</v>
      </c>
      <c r="C2491" s="711" t="s">
        <v>105</v>
      </c>
      <c r="D2491" s="711" t="s">
        <v>192</v>
      </c>
      <c r="E2491" s="711">
        <v>46241</v>
      </c>
      <c r="G2491" s="396"/>
      <c r="H2491" s="775" t="s">
        <v>19</v>
      </c>
      <c r="I2491" s="777"/>
      <c r="J2491" s="190">
        <f t="shared" ref="J2491:P2491" si="3075">SUM(J2483:J2490)</f>
        <v>871</v>
      </c>
      <c r="K2491" s="190">
        <f t="shared" si="3075"/>
        <v>300</v>
      </c>
      <c r="L2491" s="190">
        <f t="shared" si="3075"/>
        <v>103</v>
      </c>
      <c r="M2491" s="190">
        <f t="shared" si="3075"/>
        <v>120</v>
      </c>
      <c r="N2491" s="190">
        <f t="shared" si="3075"/>
        <v>230</v>
      </c>
      <c r="O2491" s="190">
        <f t="shared" si="3075"/>
        <v>61</v>
      </c>
      <c r="P2491" s="190">
        <f t="shared" si="3075"/>
        <v>76</v>
      </c>
      <c r="Q2491" s="481">
        <f t="shared" ref="Q2491:Q2506" si="3076">(K2491+L2491)/J2491</f>
        <v>0.46268656716417911</v>
      </c>
      <c r="R2491" s="481">
        <f t="shared" ref="R2491:R2506" si="3077">N2491/J2491</f>
        <v>0.26406429391504016</v>
      </c>
      <c r="S2491" s="482">
        <f t="shared" ref="S2491:S2506" si="3078">P2491/J2491</f>
        <v>8.7256027554535015E-2</v>
      </c>
      <c r="T2491" s="482">
        <f t="shared" ref="T2491:T2506" si="3079">O2491/J2491</f>
        <v>7.0034443168771526E-2</v>
      </c>
      <c r="U2491" s="483">
        <f t="shared" ref="U2491:U2502" si="3080">S2491+R2491+Q2491+T2491</f>
        <v>0.88404133180252575</v>
      </c>
      <c r="V2491" s="479"/>
    </row>
    <row r="2492" spans="2:22" ht="15.75" hidden="1" x14ac:dyDescent="0.2">
      <c r="B2492" s="711">
        <v>46241</v>
      </c>
      <c r="C2492" s="711" t="s">
        <v>106</v>
      </c>
      <c r="D2492" s="711" t="s">
        <v>13</v>
      </c>
      <c r="E2492" s="711">
        <v>46241</v>
      </c>
      <c r="G2492" s="778">
        <v>46241</v>
      </c>
      <c r="H2492" s="60" t="s">
        <v>16</v>
      </c>
      <c r="I2492" s="60" t="s">
        <v>112</v>
      </c>
      <c r="J2492" s="60">
        <v>248</v>
      </c>
      <c r="K2492" s="60">
        <f>248-111</f>
        <v>137</v>
      </c>
      <c r="L2492" s="60">
        <v>80</v>
      </c>
      <c r="M2492" s="60">
        <v>0</v>
      </c>
      <c r="N2492" s="312">
        <v>0</v>
      </c>
      <c r="O2492" s="60">
        <v>20</v>
      </c>
      <c r="P2492" s="312">
        <v>11</v>
      </c>
      <c r="Q2492" s="182">
        <f t="shared" si="3076"/>
        <v>0.875</v>
      </c>
      <c r="R2492" s="182">
        <f t="shared" si="3077"/>
        <v>0</v>
      </c>
      <c r="S2492" s="183">
        <f t="shared" si="3078"/>
        <v>4.4354838709677422E-2</v>
      </c>
      <c r="T2492" s="183">
        <f t="shared" si="3079"/>
        <v>8.0645161290322578E-2</v>
      </c>
      <c r="U2492" s="184">
        <f t="shared" si="3080"/>
        <v>1</v>
      </c>
      <c r="V2492" s="385"/>
    </row>
    <row r="2493" spans="2:22" ht="15.75" hidden="1" x14ac:dyDescent="0.2">
      <c r="B2493" s="711">
        <v>46241</v>
      </c>
      <c r="C2493" s="711" t="s">
        <v>106</v>
      </c>
      <c r="D2493" s="711" t="s">
        <v>13</v>
      </c>
      <c r="E2493" s="711">
        <v>46241</v>
      </c>
      <c r="G2493" s="786"/>
      <c r="H2493" s="60" t="s">
        <v>17</v>
      </c>
      <c r="I2493" s="60" t="s">
        <v>106</v>
      </c>
      <c r="J2493" s="60">
        <v>218</v>
      </c>
      <c r="K2493" s="60">
        <v>115</v>
      </c>
      <c r="L2493" s="60">
        <v>61</v>
      </c>
      <c r="M2493" s="60">
        <v>0</v>
      </c>
      <c r="N2493" s="312">
        <v>0</v>
      </c>
      <c r="O2493" s="60">
        <v>30</v>
      </c>
      <c r="P2493" s="312">
        <v>12</v>
      </c>
      <c r="Q2493" s="182">
        <f t="shared" si="3076"/>
        <v>0.80733944954128445</v>
      </c>
      <c r="R2493" s="182">
        <f t="shared" si="3077"/>
        <v>0</v>
      </c>
      <c r="S2493" s="183">
        <f t="shared" si="3078"/>
        <v>5.5045871559633031E-2</v>
      </c>
      <c r="T2493" s="183">
        <f t="shared" si="3079"/>
        <v>0.13761467889908258</v>
      </c>
      <c r="U2493" s="184">
        <f t="shared" si="3080"/>
        <v>1</v>
      </c>
      <c r="V2493" s="385"/>
    </row>
    <row r="2494" spans="2:22" ht="15.75" hidden="1" x14ac:dyDescent="0.2">
      <c r="B2494" s="711">
        <v>46241</v>
      </c>
      <c r="C2494" s="711" t="s">
        <v>106</v>
      </c>
      <c r="D2494" s="711" t="s">
        <v>13</v>
      </c>
      <c r="E2494" s="711">
        <v>46241</v>
      </c>
      <c r="G2494" s="779"/>
      <c r="H2494" s="60" t="s">
        <v>118</v>
      </c>
      <c r="I2494" s="60" t="s">
        <v>106</v>
      </c>
      <c r="J2494" s="60">
        <v>236</v>
      </c>
      <c r="K2494" s="60">
        <v>166</v>
      </c>
      <c r="L2494" s="60">
        <v>45</v>
      </c>
      <c r="M2494" s="60">
        <v>0</v>
      </c>
      <c r="N2494" s="312">
        <v>0</v>
      </c>
      <c r="O2494" s="60">
        <v>13</v>
      </c>
      <c r="P2494" s="312">
        <v>12</v>
      </c>
      <c r="Q2494" s="182">
        <f t="shared" si="3076"/>
        <v>0.89406779661016944</v>
      </c>
      <c r="R2494" s="182">
        <f t="shared" si="3077"/>
        <v>0</v>
      </c>
      <c r="S2494" s="183">
        <f t="shared" si="3078"/>
        <v>5.0847457627118647E-2</v>
      </c>
      <c r="T2494" s="183">
        <f t="shared" si="3079"/>
        <v>5.5084745762711863E-2</v>
      </c>
      <c r="U2494" s="184">
        <f t="shared" si="3080"/>
        <v>0.99999999999999989</v>
      </c>
      <c r="V2494" s="385"/>
    </row>
    <row r="2495" spans="2:22" ht="15.75" hidden="1" x14ac:dyDescent="0.2">
      <c r="B2495" s="711">
        <v>46241</v>
      </c>
      <c r="C2495" s="711" t="s">
        <v>106</v>
      </c>
      <c r="D2495" s="711" t="s">
        <v>13</v>
      </c>
      <c r="E2495" s="711">
        <v>46242</v>
      </c>
      <c r="G2495" s="809">
        <v>46242</v>
      </c>
      <c r="H2495" s="60" t="s">
        <v>16</v>
      </c>
      <c r="I2495" s="60" t="s">
        <v>112</v>
      </c>
      <c r="J2495" s="60">
        <v>249</v>
      </c>
      <c r="K2495" s="60">
        <v>0</v>
      </c>
      <c r="L2495" s="60">
        <v>0</v>
      </c>
      <c r="M2495" s="60">
        <v>229</v>
      </c>
      <c r="N2495" s="312">
        <v>0</v>
      </c>
      <c r="O2495" s="60">
        <v>20</v>
      </c>
      <c r="P2495" s="312">
        <v>0</v>
      </c>
      <c r="Q2495" s="182">
        <f t="shared" si="3076"/>
        <v>0</v>
      </c>
      <c r="R2495" s="182">
        <f t="shared" si="3077"/>
        <v>0</v>
      </c>
      <c r="S2495" s="183">
        <f t="shared" si="3078"/>
        <v>0</v>
      </c>
      <c r="T2495" s="183">
        <f t="shared" si="3079"/>
        <v>8.0321285140562249E-2</v>
      </c>
      <c r="U2495" s="184">
        <f t="shared" si="3080"/>
        <v>8.0321285140562249E-2</v>
      </c>
      <c r="V2495" s="385"/>
    </row>
    <row r="2496" spans="2:22" ht="15.75" hidden="1" x14ac:dyDescent="0.2">
      <c r="B2496" s="711">
        <v>46241</v>
      </c>
      <c r="C2496" s="711" t="s">
        <v>106</v>
      </c>
      <c r="D2496" s="711" t="s">
        <v>13</v>
      </c>
      <c r="E2496" s="711">
        <v>46242</v>
      </c>
      <c r="G2496" s="810"/>
      <c r="H2496" s="60" t="s">
        <v>14</v>
      </c>
      <c r="I2496" s="60" t="s">
        <v>105</v>
      </c>
      <c r="J2496" s="60">
        <v>148</v>
      </c>
      <c r="K2496" s="60">
        <v>0</v>
      </c>
      <c r="L2496" s="60">
        <v>0</v>
      </c>
      <c r="M2496" s="60">
        <v>122</v>
      </c>
      <c r="N2496" s="312">
        <v>26</v>
      </c>
      <c r="O2496" s="60">
        <v>0</v>
      </c>
      <c r="P2496" s="312">
        <v>0</v>
      </c>
      <c r="Q2496" s="182">
        <f t="shared" si="3076"/>
        <v>0</v>
      </c>
      <c r="R2496" s="182">
        <f t="shared" si="3077"/>
        <v>0.17567567567567569</v>
      </c>
      <c r="S2496" s="183">
        <f t="shared" si="3078"/>
        <v>0</v>
      </c>
      <c r="T2496" s="183">
        <f t="shared" si="3079"/>
        <v>0</v>
      </c>
      <c r="U2496" s="184">
        <f t="shared" si="3080"/>
        <v>0.17567567567567569</v>
      </c>
      <c r="V2496" s="385"/>
    </row>
    <row r="2497" spans="2:22" ht="15.75" hidden="1" x14ac:dyDescent="0.2">
      <c r="B2497" s="711">
        <v>46241</v>
      </c>
      <c r="C2497" s="711" t="s">
        <v>106</v>
      </c>
      <c r="D2497" s="711" t="s">
        <v>13</v>
      </c>
      <c r="E2497" s="711">
        <v>46242</v>
      </c>
      <c r="G2497" s="810"/>
      <c r="H2497" s="60" t="s">
        <v>25</v>
      </c>
      <c r="I2497" s="60" t="s">
        <v>106</v>
      </c>
      <c r="J2497" s="60">
        <v>187</v>
      </c>
      <c r="K2497" s="60">
        <v>0</v>
      </c>
      <c r="L2497" s="60">
        <v>0</v>
      </c>
      <c r="M2497" s="60">
        <v>126</v>
      </c>
      <c r="N2497" s="312">
        <v>22</v>
      </c>
      <c r="O2497" s="60">
        <v>21</v>
      </c>
      <c r="P2497" s="312">
        <v>18</v>
      </c>
      <c r="Q2497" s="182">
        <f t="shared" si="3076"/>
        <v>0</v>
      </c>
      <c r="R2497" s="182">
        <f t="shared" si="3077"/>
        <v>0.11764705882352941</v>
      </c>
      <c r="S2497" s="183">
        <f t="shared" si="3078"/>
        <v>9.6256684491978606E-2</v>
      </c>
      <c r="T2497" s="183">
        <f t="shared" si="3079"/>
        <v>0.11229946524064172</v>
      </c>
      <c r="U2497" s="184">
        <f t="shared" si="3080"/>
        <v>0.3262032085561497</v>
      </c>
      <c r="V2497" s="385"/>
    </row>
    <row r="2498" spans="2:22" ht="15.75" hidden="1" x14ac:dyDescent="0.2">
      <c r="B2498" s="711">
        <v>46241</v>
      </c>
      <c r="C2498" s="711" t="s">
        <v>106</v>
      </c>
      <c r="D2498" s="711" t="s">
        <v>13</v>
      </c>
      <c r="E2498" s="711">
        <v>46242</v>
      </c>
      <c r="G2498" s="811"/>
      <c r="H2498" s="60" t="s">
        <v>186</v>
      </c>
      <c r="I2498" s="60" t="s">
        <v>106</v>
      </c>
      <c r="J2498" s="60">
        <v>101</v>
      </c>
      <c r="K2498" s="60">
        <v>0</v>
      </c>
      <c r="L2498" s="60">
        <v>0</v>
      </c>
      <c r="M2498" s="60">
        <v>0</v>
      </c>
      <c r="N2498" s="312">
        <v>98</v>
      </c>
      <c r="O2498" s="60">
        <v>0</v>
      </c>
      <c r="P2498" s="312">
        <v>3</v>
      </c>
      <c r="Q2498" s="182">
        <f t="shared" si="3076"/>
        <v>0</v>
      </c>
      <c r="R2498" s="182">
        <f t="shared" si="3077"/>
        <v>0.97029702970297027</v>
      </c>
      <c r="S2498" s="183">
        <f t="shared" si="3078"/>
        <v>2.9702970297029702E-2</v>
      </c>
      <c r="T2498" s="183">
        <f t="shared" si="3079"/>
        <v>0</v>
      </c>
      <c r="U2498" s="184">
        <f t="shared" si="3080"/>
        <v>1</v>
      </c>
      <c r="V2498" s="385"/>
    </row>
    <row r="2499" spans="2:22" ht="15.75" hidden="1" x14ac:dyDescent="0.2">
      <c r="B2499" s="711">
        <v>46241</v>
      </c>
      <c r="C2499" s="711" t="s">
        <v>106</v>
      </c>
      <c r="D2499" s="711" t="s">
        <v>13</v>
      </c>
      <c r="E2499" s="711">
        <v>46242</v>
      </c>
      <c r="G2499" s="396"/>
      <c r="H2499" s="775" t="s">
        <v>19</v>
      </c>
      <c r="I2499" s="777"/>
      <c r="J2499" s="190">
        <f>SUM(J2492:J2498)</f>
        <v>1387</v>
      </c>
      <c r="K2499" s="190">
        <f t="shared" ref="K2499:P2499" si="3081">SUM(K2492:K2498)</f>
        <v>418</v>
      </c>
      <c r="L2499" s="190">
        <f t="shared" si="3081"/>
        <v>186</v>
      </c>
      <c r="M2499" s="190">
        <f t="shared" si="3081"/>
        <v>477</v>
      </c>
      <c r="N2499" s="190">
        <f t="shared" si="3081"/>
        <v>146</v>
      </c>
      <c r="O2499" s="190">
        <f t="shared" si="3081"/>
        <v>104</v>
      </c>
      <c r="P2499" s="190">
        <f t="shared" si="3081"/>
        <v>56</v>
      </c>
      <c r="Q2499" s="481">
        <f t="shared" si="3076"/>
        <v>0.43547224224945924</v>
      </c>
      <c r="R2499" s="481">
        <f t="shared" si="3077"/>
        <v>0.10526315789473684</v>
      </c>
      <c r="S2499" s="482">
        <f t="shared" si="3078"/>
        <v>4.0374909877433307E-2</v>
      </c>
      <c r="T2499" s="482">
        <f t="shared" si="3079"/>
        <v>7.4981975486661856E-2</v>
      </c>
      <c r="U2499" s="483">
        <f t="shared" si="3080"/>
        <v>0.65609228550829124</v>
      </c>
      <c r="V2499" s="479"/>
    </row>
    <row r="2500" spans="2:22" ht="15.75" hidden="1" x14ac:dyDescent="0.2">
      <c r="B2500" s="711">
        <v>46241</v>
      </c>
      <c r="C2500" s="711" t="s">
        <v>105</v>
      </c>
      <c r="D2500" s="711" t="s">
        <v>192</v>
      </c>
      <c r="E2500" s="711">
        <v>46240</v>
      </c>
      <c r="G2500" s="778">
        <v>46241</v>
      </c>
      <c r="H2500" s="60" t="s">
        <v>16</v>
      </c>
      <c r="I2500" s="60" t="s">
        <v>112</v>
      </c>
      <c r="J2500" s="60">
        <f>SUM(K2500:P2500)</f>
        <v>66</v>
      </c>
      <c r="K2500" s="60">
        <f>114-74</f>
        <v>40</v>
      </c>
      <c r="L2500" s="60">
        <f>54-37</f>
        <v>17</v>
      </c>
      <c r="M2500" s="60">
        <v>0</v>
      </c>
      <c r="N2500" s="312">
        <v>0</v>
      </c>
      <c r="O2500" s="60">
        <v>0</v>
      </c>
      <c r="P2500" s="312">
        <v>9</v>
      </c>
      <c r="Q2500" s="182">
        <f t="shared" si="3076"/>
        <v>0.86363636363636365</v>
      </c>
      <c r="R2500" s="182">
        <f t="shared" si="3077"/>
        <v>0</v>
      </c>
      <c r="S2500" s="183">
        <f t="shared" si="3078"/>
        <v>0.13636363636363635</v>
      </c>
      <c r="T2500" s="183">
        <f t="shared" si="3079"/>
        <v>0</v>
      </c>
      <c r="U2500" s="184">
        <f t="shared" si="3080"/>
        <v>1</v>
      </c>
      <c r="V2500" s="385"/>
    </row>
    <row r="2501" spans="2:22" ht="15.75" hidden="1" x14ac:dyDescent="0.2">
      <c r="B2501" s="711">
        <v>46241</v>
      </c>
      <c r="C2501" s="711" t="s">
        <v>105</v>
      </c>
      <c r="D2501" s="711" t="s">
        <v>192</v>
      </c>
      <c r="E2501" s="711">
        <v>46240</v>
      </c>
      <c r="G2501" s="786"/>
      <c r="H2501" s="60" t="s">
        <v>17</v>
      </c>
      <c r="I2501" s="60" t="s">
        <v>105</v>
      </c>
      <c r="J2501" s="60">
        <f t="shared" ref="J2501:J2502" si="3082">SUM(K2501:P2501)</f>
        <v>31</v>
      </c>
      <c r="K2501" s="60">
        <v>10</v>
      </c>
      <c r="L2501" s="60">
        <v>15</v>
      </c>
      <c r="M2501" s="60">
        <v>0</v>
      </c>
      <c r="N2501" s="312">
        <v>0</v>
      </c>
      <c r="O2501" s="60">
        <v>0</v>
      </c>
      <c r="P2501" s="312">
        <v>6</v>
      </c>
      <c r="Q2501" s="182">
        <f t="shared" si="3076"/>
        <v>0.80645161290322576</v>
      </c>
      <c r="R2501" s="182">
        <f t="shared" si="3077"/>
        <v>0</v>
      </c>
      <c r="S2501" s="183">
        <f t="shared" si="3078"/>
        <v>0.19354838709677419</v>
      </c>
      <c r="T2501" s="183">
        <f t="shared" si="3079"/>
        <v>0</v>
      </c>
      <c r="U2501" s="184">
        <f t="shared" si="3080"/>
        <v>1</v>
      </c>
      <c r="V2501" s="385"/>
    </row>
    <row r="2502" spans="2:22" ht="15.75" hidden="1" x14ac:dyDescent="0.2">
      <c r="B2502" s="711">
        <v>46241</v>
      </c>
      <c r="C2502" s="711" t="s">
        <v>105</v>
      </c>
      <c r="D2502" s="711" t="s">
        <v>192</v>
      </c>
      <c r="E2502" s="711">
        <v>46240</v>
      </c>
      <c r="G2502" s="779"/>
      <c r="H2502" s="60" t="s">
        <v>84</v>
      </c>
      <c r="I2502" s="60" t="s">
        <v>105</v>
      </c>
      <c r="J2502" s="60">
        <f t="shared" si="3082"/>
        <v>11</v>
      </c>
      <c r="K2502" s="60">
        <v>9</v>
      </c>
      <c r="L2502" s="60">
        <v>2</v>
      </c>
      <c r="M2502" s="60">
        <v>0</v>
      </c>
      <c r="N2502" s="312">
        <v>0</v>
      </c>
      <c r="O2502" s="60">
        <v>0</v>
      </c>
      <c r="P2502" s="312">
        <v>0</v>
      </c>
      <c r="Q2502" s="182">
        <f t="shared" si="3076"/>
        <v>1</v>
      </c>
      <c r="R2502" s="182">
        <f t="shared" si="3077"/>
        <v>0</v>
      </c>
      <c r="S2502" s="183">
        <f t="shared" si="3078"/>
        <v>0</v>
      </c>
      <c r="T2502" s="183">
        <f t="shared" si="3079"/>
        <v>0</v>
      </c>
      <c r="U2502" s="184">
        <f t="shared" si="3080"/>
        <v>1</v>
      </c>
      <c r="V2502" s="385"/>
    </row>
    <row r="2503" spans="2:22" ht="15.75" hidden="1" x14ac:dyDescent="0.2">
      <c r="B2503" s="711">
        <v>46241</v>
      </c>
      <c r="C2503" s="711" t="s">
        <v>105</v>
      </c>
      <c r="D2503" s="711" t="s">
        <v>192</v>
      </c>
      <c r="E2503" s="711">
        <v>46241</v>
      </c>
      <c r="G2503" s="770">
        <v>46242</v>
      </c>
      <c r="H2503" s="60" t="s">
        <v>75</v>
      </c>
      <c r="I2503" s="60" t="s">
        <v>112</v>
      </c>
      <c r="J2503" s="60">
        <v>249</v>
      </c>
      <c r="K2503" s="60">
        <v>84</v>
      </c>
      <c r="L2503" s="60">
        <v>49</v>
      </c>
      <c r="M2503" s="60">
        <v>108</v>
      </c>
      <c r="N2503" s="312">
        <v>0</v>
      </c>
      <c r="O2503" s="60">
        <v>20</v>
      </c>
      <c r="P2503" s="312">
        <v>10</v>
      </c>
      <c r="Q2503" s="182">
        <f t="shared" si="3076"/>
        <v>0.53413654618473894</v>
      </c>
      <c r="R2503" s="182">
        <f t="shared" si="3077"/>
        <v>0</v>
      </c>
      <c r="S2503" s="183">
        <f t="shared" si="3078"/>
        <v>4.0160642570281124E-2</v>
      </c>
      <c r="T2503" s="183">
        <f t="shared" si="3079"/>
        <v>8.0321285140562249E-2</v>
      </c>
      <c r="U2503" s="184">
        <f>S2503+R2503+Q2503+T2503</f>
        <v>0.65461847389558236</v>
      </c>
      <c r="V2503" s="385"/>
    </row>
    <row r="2504" spans="2:22" ht="15.75" hidden="1" x14ac:dyDescent="0.2">
      <c r="B2504" s="711">
        <v>46241</v>
      </c>
      <c r="C2504" s="711" t="s">
        <v>105</v>
      </c>
      <c r="D2504" s="711" t="s">
        <v>192</v>
      </c>
      <c r="E2504" s="711">
        <v>46241</v>
      </c>
      <c r="G2504" s="771"/>
      <c r="H2504" s="60" t="s">
        <v>180</v>
      </c>
      <c r="I2504" s="60" t="s">
        <v>106</v>
      </c>
      <c r="J2504" s="60">
        <v>101</v>
      </c>
      <c r="K2504" s="60">
        <v>97</v>
      </c>
      <c r="L2504" s="60">
        <v>9</v>
      </c>
      <c r="M2504" s="60">
        <v>0</v>
      </c>
      <c r="N2504" s="312">
        <v>0</v>
      </c>
      <c r="O2504" s="60">
        <v>0</v>
      </c>
      <c r="P2504" s="312">
        <v>3</v>
      </c>
      <c r="Q2504" s="182">
        <f t="shared" si="3076"/>
        <v>1.0495049504950495</v>
      </c>
      <c r="R2504" s="182">
        <f t="shared" si="3077"/>
        <v>0</v>
      </c>
      <c r="S2504" s="183">
        <f t="shared" si="3078"/>
        <v>2.9702970297029702E-2</v>
      </c>
      <c r="T2504" s="183">
        <f t="shared" si="3079"/>
        <v>0</v>
      </c>
      <c r="U2504" s="184">
        <f t="shared" ref="U2504:U2507" si="3083">S2504+R2504+Q2504+T2504</f>
        <v>1.0792079207920793</v>
      </c>
      <c r="V2504" s="385"/>
    </row>
    <row r="2505" spans="2:22" ht="15.75" hidden="1" x14ac:dyDescent="0.2">
      <c r="B2505" s="711">
        <v>46241</v>
      </c>
      <c r="C2505" s="711" t="s">
        <v>105</v>
      </c>
      <c r="D2505" s="711" t="s">
        <v>192</v>
      </c>
      <c r="E2505" s="711">
        <v>46241</v>
      </c>
      <c r="G2505" s="771"/>
      <c r="H2505" s="60" t="s">
        <v>25</v>
      </c>
      <c r="I2505" s="60" t="s">
        <v>106</v>
      </c>
      <c r="J2505" s="60">
        <v>187</v>
      </c>
      <c r="K2505" s="60">
        <v>120</v>
      </c>
      <c r="L2505" s="60">
        <v>41</v>
      </c>
      <c r="M2505" s="60">
        <f>39-15</f>
        <v>24</v>
      </c>
      <c r="N2505" s="312">
        <v>16</v>
      </c>
      <c r="O2505" s="60">
        <v>15</v>
      </c>
      <c r="P2505" s="312">
        <v>7</v>
      </c>
      <c r="Q2505" s="182">
        <f t="shared" ref="Q2505" si="3084">(K2505+L2505)/J2505</f>
        <v>0.86096256684491979</v>
      </c>
      <c r="R2505" s="182">
        <f t="shared" ref="R2505" si="3085">N2505/J2505</f>
        <v>8.5561497326203204E-2</v>
      </c>
      <c r="S2505" s="183">
        <f t="shared" ref="S2505" si="3086">P2505/J2505</f>
        <v>3.7433155080213901E-2</v>
      </c>
      <c r="T2505" s="183">
        <f t="shared" ref="T2505" si="3087">O2505/J2505</f>
        <v>8.0213903743315509E-2</v>
      </c>
      <c r="U2505" s="184">
        <f t="shared" ref="U2505" si="3088">S2505+R2505+Q2505+T2505</f>
        <v>1.0641711229946524</v>
      </c>
      <c r="V2505" s="385"/>
    </row>
    <row r="2506" spans="2:22" ht="15.75" hidden="1" x14ac:dyDescent="0.2">
      <c r="B2506" s="711">
        <v>46241</v>
      </c>
      <c r="C2506" s="711" t="s">
        <v>105</v>
      </c>
      <c r="D2506" s="711" t="s">
        <v>192</v>
      </c>
      <c r="E2506" s="711">
        <v>46241</v>
      </c>
      <c r="G2506" s="772"/>
      <c r="H2506" s="60" t="s">
        <v>14</v>
      </c>
      <c r="I2506" s="60" t="s">
        <v>105</v>
      </c>
      <c r="J2506" s="60">
        <v>148</v>
      </c>
      <c r="K2506" s="60">
        <v>1</v>
      </c>
      <c r="L2506" s="60">
        <v>0</v>
      </c>
      <c r="M2506" s="60">
        <v>75</v>
      </c>
      <c r="N2506" s="312">
        <f>51-26</f>
        <v>25</v>
      </c>
      <c r="O2506" s="60">
        <v>15</v>
      </c>
      <c r="P2506" s="312">
        <v>7</v>
      </c>
      <c r="Q2506" s="182">
        <f t="shared" si="3076"/>
        <v>6.7567567567567571E-3</v>
      </c>
      <c r="R2506" s="182">
        <f t="shared" si="3077"/>
        <v>0.16891891891891891</v>
      </c>
      <c r="S2506" s="183">
        <f t="shared" si="3078"/>
        <v>4.72972972972973E-2</v>
      </c>
      <c r="T2506" s="183">
        <f t="shared" si="3079"/>
        <v>0.10135135135135136</v>
      </c>
      <c r="U2506" s="184">
        <f t="shared" si="3083"/>
        <v>0.32432432432432434</v>
      </c>
      <c r="V2506" s="385"/>
    </row>
    <row r="2507" spans="2:22" ht="15.75" hidden="1" x14ac:dyDescent="0.2">
      <c r="B2507" s="711">
        <v>46241</v>
      </c>
      <c r="C2507" s="711" t="s">
        <v>105</v>
      </c>
      <c r="D2507" s="711" t="s">
        <v>192</v>
      </c>
      <c r="E2507" s="711">
        <v>46241</v>
      </c>
      <c r="G2507" s="396"/>
      <c r="H2507" s="775" t="s">
        <v>19</v>
      </c>
      <c r="I2507" s="777"/>
      <c r="J2507" s="190">
        <f t="shared" ref="J2507:P2507" si="3089">SUM(J2500:J2506)</f>
        <v>793</v>
      </c>
      <c r="K2507" s="190">
        <f t="shared" si="3089"/>
        <v>361</v>
      </c>
      <c r="L2507" s="190">
        <f t="shared" si="3089"/>
        <v>133</v>
      </c>
      <c r="M2507" s="190">
        <f t="shared" si="3089"/>
        <v>207</v>
      </c>
      <c r="N2507" s="190">
        <f t="shared" si="3089"/>
        <v>41</v>
      </c>
      <c r="O2507" s="190">
        <f t="shared" si="3089"/>
        <v>50</v>
      </c>
      <c r="P2507" s="190">
        <f t="shared" si="3089"/>
        <v>42</v>
      </c>
      <c r="Q2507" s="481">
        <f t="shared" ref="Q2507:Q2511" si="3090">(K2507+L2507)/J2507</f>
        <v>0.62295081967213117</v>
      </c>
      <c r="R2507" s="481">
        <f t="shared" ref="R2507:R2511" si="3091">N2507/J2507</f>
        <v>5.1702395964691047E-2</v>
      </c>
      <c r="S2507" s="482">
        <f t="shared" ref="S2507:S2511" si="3092">P2507/J2507</f>
        <v>5.2963430012610342E-2</v>
      </c>
      <c r="T2507" s="482">
        <f t="shared" ref="T2507:T2511" si="3093">O2507/J2507</f>
        <v>6.3051702395964693E-2</v>
      </c>
      <c r="U2507" s="483">
        <f t="shared" si="3083"/>
        <v>0.79066834804539732</v>
      </c>
      <c r="V2507" s="479"/>
    </row>
    <row r="2508" spans="2:22" ht="15.75" hidden="1" x14ac:dyDescent="0.2">
      <c r="B2508" s="711">
        <v>46242</v>
      </c>
      <c r="C2508" s="711" t="s">
        <v>106</v>
      </c>
      <c r="D2508" s="711" t="s">
        <v>13</v>
      </c>
      <c r="E2508" s="711">
        <v>46242</v>
      </c>
      <c r="G2508" s="778">
        <v>46242</v>
      </c>
      <c r="H2508" s="60" t="s">
        <v>75</v>
      </c>
      <c r="I2508" s="60" t="s">
        <v>112</v>
      </c>
      <c r="J2508" s="60">
        <v>249</v>
      </c>
      <c r="K2508" s="60">
        <v>149</v>
      </c>
      <c r="L2508" s="60">
        <v>76</v>
      </c>
      <c r="M2508" s="60">
        <v>6</v>
      </c>
      <c r="N2508" s="312">
        <v>0</v>
      </c>
      <c r="O2508" s="60">
        <v>20</v>
      </c>
      <c r="P2508" s="312">
        <v>4</v>
      </c>
      <c r="Q2508" s="182">
        <f t="shared" si="3090"/>
        <v>0.90361445783132532</v>
      </c>
      <c r="R2508" s="182">
        <f t="shared" si="3091"/>
        <v>0</v>
      </c>
      <c r="S2508" s="183">
        <f t="shared" si="3092"/>
        <v>1.6064257028112448E-2</v>
      </c>
      <c r="T2508" s="183">
        <f t="shared" si="3093"/>
        <v>8.0321285140562249E-2</v>
      </c>
      <c r="U2508" s="184">
        <f>S2508+R2508+Q2508+T2508</f>
        <v>1</v>
      </c>
      <c r="V2508" s="385"/>
    </row>
    <row r="2509" spans="2:22" ht="15.75" hidden="1" x14ac:dyDescent="0.2">
      <c r="B2509" s="711">
        <v>46242</v>
      </c>
      <c r="C2509" s="711" t="s">
        <v>106</v>
      </c>
      <c r="D2509" s="711" t="s">
        <v>13</v>
      </c>
      <c r="E2509" s="711">
        <v>46242</v>
      </c>
      <c r="G2509" s="786"/>
      <c r="H2509" s="60" t="s">
        <v>180</v>
      </c>
      <c r="I2509" s="60" t="s">
        <v>106</v>
      </c>
      <c r="J2509" s="60">
        <v>109</v>
      </c>
      <c r="K2509" s="60">
        <v>97</v>
      </c>
      <c r="L2509" s="60">
        <v>9</v>
      </c>
      <c r="M2509" s="60">
        <v>0</v>
      </c>
      <c r="N2509" s="312">
        <v>0</v>
      </c>
      <c r="O2509" s="60">
        <v>0</v>
      </c>
      <c r="P2509" s="312">
        <v>3</v>
      </c>
      <c r="Q2509" s="182">
        <f t="shared" si="3090"/>
        <v>0.97247706422018354</v>
      </c>
      <c r="R2509" s="182">
        <f t="shared" si="3091"/>
        <v>0</v>
      </c>
      <c r="S2509" s="183">
        <f t="shared" si="3092"/>
        <v>2.7522935779816515E-2</v>
      </c>
      <c r="T2509" s="183">
        <f t="shared" si="3093"/>
        <v>0</v>
      </c>
      <c r="U2509" s="184">
        <f t="shared" ref="U2509:U2511" si="3094">S2509+R2509+Q2509+T2509</f>
        <v>1</v>
      </c>
      <c r="V2509" s="385"/>
    </row>
    <row r="2510" spans="2:22" ht="15.75" hidden="1" x14ac:dyDescent="0.2">
      <c r="B2510" s="711">
        <v>46242</v>
      </c>
      <c r="C2510" s="711" t="s">
        <v>106</v>
      </c>
      <c r="D2510" s="711" t="s">
        <v>13</v>
      </c>
      <c r="E2510" s="711">
        <v>46242</v>
      </c>
      <c r="G2510" s="786"/>
      <c r="H2510" s="60" t="s">
        <v>25</v>
      </c>
      <c r="I2510" s="60" t="s">
        <v>106</v>
      </c>
      <c r="J2510" s="60">
        <v>187</v>
      </c>
      <c r="K2510" s="60">
        <v>93</v>
      </c>
      <c r="L2510" s="60">
        <v>50</v>
      </c>
      <c r="M2510" s="60">
        <v>0</v>
      </c>
      <c r="N2510" s="312">
        <v>0</v>
      </c>
      <c r="O2510" s="60">
        <v>26</v>
      </c>
      <c r="P2510" s="312">
        <v>18</v>
      </c>
      <c r="Q2510" s="182">
        <f t="shared" si="3090"/>
        <v>0.76470588235294112</v>
      </c>
      <c r="R2510" s="182">
        <f t="shared" si="3091"/>
        <v>0</v>
      </c>
      <c r="S2510" s="183">
        <f t="shared" si="3092"/>
        <v>9.6256684491978606E-2</v>
      </c>
      <c r="T2510" s="183">
        <f t="shared" si="3093"/>
        <v>0.13903743315508021</v>
      </c>
      <c r="U2510" s="184">
        <f t="shared" si="3094"/>
        <v>0.99999999999999989</v>
      </c>
      <c r="V2510" s="385"/>
    </row>
    <row r="2511" spans="2:22" ht="15.75" hidden="1" x14ac:dyDescent="0.2">
      <c r="B2511" s="711">
        <v>46242</v>
      </c>
      <c r="C2511" s="711" t="s">
        <v>106</v>
      </c>
      <c r="D2511" s="711" t="s">
        <v>13</v>
      </c>
      <c r="E2511" s="711">
        <v>46242</v>
      </c>
      <c r="G2511" s="779"/>
      <c r="H2511" s="60" t="s">
        <v>14</v>
      </c>
      <c r="I2511" s="60" t="s">
        <v>105</v>
      </c>
      <c r="J2511" s="60">
        <v>148</v>
      </c>
      <c r="K2511" s="60">
        <f>148-85</f>
        <v>63</v>
      </c>
      <c r="L2511" s="60">
        <v>17</v>
      </c>
      <c r="M2511" s="60">
        <v>9</v>
      </c>
      <c r="N2511" s="312">
        <v>12</v>
      </c>
      <c r="O2511" s="60">
        <v>15</v>
      </c>
      <c r="P2511" s="312">
        <v>5</v>
      </c>
      <c r="Q2511" s="182">
        <f t="shared" si="3090"/>
        <v>0.54054054054054057</v>
      </c>
      <c r="R2511" s="182">
        <f t="shared" si="3091"/>
        <v>8.1081081081081086E-2</v>
      </c>
      <c r="S2511" s="183">
        <f t="shared" si="3092"/>
        <v>3.3783783783783786E-2</v>
      </c>
      <c r="T2511" s="183">
        <f t="shared" si="3093"/>
        <v>0.10135135135135136</v>
      </c>
      <c r="U2511" s="184">
        <f t="shared" si="3094"/>
        <v>0.7567567567567568</v>
      </c>
      <c r="V2511" s="385"/>
    </row>
    <row r="2512" spans="2:22" ht="15.75" hidden="1" x14ac:dyDescent="0.2">
      <c r="B2512" s="711">
        <v>46242</v>
      </c>
      <c r="C2512" s="711" t="s">
        <v>106</v>
      </c>
      <c r="D2512" s="711" t="s">
        <v>13</v>
      </c>
      <c r="E2512" s="711">
        <v>46242</v>
      </c>
      <c r="G2512" s="770">
        <v>46243</v>
      </c>
      <c r="H2512" s="60" t="s">
        <v>75</v>
      </c>
      <c r="I2512" s="60" t="s">
        <v>106</v>
      </c>
      <c r="J2512" s="60">
        <v>236</v>
      </c>
      <c r="K2512" s="60">
        <v>0</v>
      </c>
      <c r="L2512" s="60">
        <v>0</v>
      </c>
      <c r="M2512" s="60">
        <v>216</v>
      </c>
      <c r="N2512" s="312">
        <v>0</v>
      </c>
      <c r="O2512" s="60">
        <v>20</v>
      </c>
      <c r="P2512" s="312">
        <v>0</v>
      </c>
      <c r="Q2512" s="182">
        <f t="shared" ref="Q2512:Q2514" si="3095">(K2512+L2512)/J2512</f>
        <v>0</v>
      </c>
      <c r="R2512" s="182">
        <f t="shared" ref="R2512:R2514" si="3096">N2512/J2512</f>
        <v>0</v>
      </c>
      <c r="S2512" s="183">
        <f t="shared" ref="S2512:S2514" si="3097">P2512/J2512</f>
        <v>0</v>
      </c>
      <c r="T2512" s="183">
        <f t="shared" ref="T2512:T2514" si="3098">O2512/J2512</f>
        <v>8.4745762711864403E-2</v>
      </c>
      <c r="U2512" s="184">
        <f>S2512+R2512+Q2512+T2512</f>
        <v>8.4745762711864403E-2</v>
      </c>
      <c r="V2512" s="385"/>
    </row>
    <row r="2513" spans="2:22" ht="15.75" hidden="1" x14ac:dyDescent="0.2">
      <c r="B2513" s="711">
        <v>46242</v>
      </c>
      <c r="C2513" s="711" t="s">
        <v>106</v>
      </c>
      <c r="D2513" s="711" t="s">
        <v>13</v>
      </c>
      <c r="E2513" s="711">
        <v>46242</v>
      </c>
      <c r="G2513" s="771"/>
      <c r="H2513" s="60" t="s">
        <v>180</v>
      </c>
      <c r="I2513" s="60" t="s">
        <v>106</v>
      </c>
      <c r="J2513" s="60">
        <v>17</v>
      </c>
      <c r="K2513" s="60">
        <v>0</v>
      </c>
      <c r="L2513" s="60">
        <v>0</v>
      </c>
      <c r="M2513" s="60">
        <v>17</v>
      </c>
      <c r="N2513" s="312">
        <v>0</v>
      </c>
      <c r="O2513" s="60">
        <v>0</v>
      </c>
      <c r="P2513" s="312">
        <v>0</v>
      </c>
      <c r="Q2513" s="182">
        <f t="shared" ref="Q2513" si="3099">(K2513+L2513)/J2513</f>
        <v>0</v>
      </c>
      <c r="R2513" s="182">
        <f t="shared" ref="R2513" si="3100">N2513/J2513</f>
        <v>0</v>
      </c>
      <c r="S2513" s="183">
        <f t="shared" ref="S2513" si="3101">P2513/J2513</f>
        <v>0</v>
      </c>
      <c r="T2513" s="183">
        <f t="shared" ref="T2513" si="3102">O2513/J2513</f>
        <v>0</v>
      </c>
      <c r="U2513" s="184">
        <f>S2513+R2513+Q2513+T2513</f>
        <v>0</v>
      </c>
      <c r="V2513" s="385"/>
    </row>
    <row r="2514" spans="2:22" ht="15.75" hidden="1" x14ac:dyDescent="0.2">
      <c r="B2514" s="711">
        <v>46242</v>
      </c>
      <c r="C2514" s="711" t="s">
        <v>106</v>
      </c>
      <c r="D2514" s="711" t="s">
        <v>13</v>
      </c>
      <c r="E2514" s="711">
        <v>46242</v>
      </c>
      <c r="G2514" s="772"/>
      <c r="H2514" s="60" t="s">
        <v>25</v>
      </c>
      <c r="I2514" s="60" t="s">
        <v>43</v>
      </c>
      <c r="J2514" s="60">
        <v>203</v>
      </c>
      <c r="K2514" s="60"/>
      <c r="L2514" s="60">
        <v>2</v>
      </c>
      <c r="M2514" s="60">
        <v>54</v>
      </c>
      <c r="N2514" s="312">
        <v>98</v>
      </c>
      <c r="O2514" s="60">
        <v>24</v>
      </c>
      <c r="P2514" s="312">
        <v>25</v>
      </c>
      <c r="Q2514" s="182">
        <f t="shared" si="3095"/>
        <v>9.852216748768473E-3</v>
      </c>
      <c r="R2514" s="182">
        <f t="shared" si="3096"/>
        <v>0.48275862068965519</v>
      </c>
      <c r="S2514" s="183">
        <f t="shared" si="3097"/>
        <v>0.12315270935960591</v>
      </c>
      <c r="T2514" s="183">
        <f t="shared" si="3098"/>
        <v>0.11822660098522167</v>
      </c>
      <c r="U2514" s="184">
        <f t="shared" ref="U2514:U2518" si="3103">S2514+R2514+Q2514+T2514</f>
        <v>0.73399014778325122</v>
      </c>
      <c r="V2514" s="385"/>
    </row>
    <row r="2515" spans="2:22" ht="15.75" hidden="1" x14ac:dyDescent="0.2">
      <c r="B2515" s="711">
        <v>46242</v>
      </c>
      <c r="C2515" s="711" t="s">
        <v>106</v>
      </c>
      <c r="D2515" s="711" t="s">
        <v>13</v>
      </c>
      <c r="E2515" s="711">
        <v>46243</v>
      </c>
      <c r="G2515" s="396"/>
      <c r="H2515" s="775" t="s">
        <v>19</v>
      </c>
      <c r="I2515" s="777"/>
      <c r="J2515" s="190">
        <f t="shared" ref="J2515:P2515" si="3104">SUM(J2508:J2514)</f>
        <v>1149</v>
      </c>
      <c r="K2515" s="190">
        <f t="shared" si="3104"/>
        <v>402</v>
      </c>
      <c r="L2515" s="190">
        <f t="shared" si="3104"/>
        <v>154</v>
      </c>
      <c r="M2515" s="190">
        <f t="shared" si="3104"/>
        <v>302</v>
      </c>
      <c r="N2515" s="190">
        <f t="shared" si="3104"/>
        <v>110</v>
      </c>
      <c r="O2515" s="190">
        <f t="shared" si="3104"/>
        <v>105</v>
      </c>
      <c r="P2515" s="190">
        <f t="shared" si="3104"/>
        <v>55</v>
      </c>
      <c r="Q2515" s="481">
        <f t="shared" ref="Q2515:Q2524" si="3105">(K2515+L2515)/J2515</f>
        <v>0.48389904264577893</v>
      </c>
      <c r="R2515" s="481">
        <f t="shared" ref="R2515:R2524" si="3106">N2515/J2515</f>
        <v>9.5735422106179288E-2</v>
      </c>
      <c r="S2515" s="482">
        <f t="shared" ref="S2515:S2524" si="3107">P2515/J2515</f>
        <v>4.7867711053089644E-2</v>
      </c>
      <c r="T2515" s="482">
        <f t="shared" ref="T2515:T2524" si="3108">O2515/J2515</f>
        <v>9.1383812010443863E-2</v>
      </c>
      <c r="U2515" s="483">
        <f t="shared" si="3103"/>
        <v>0.71888598781549173</v>
      </c>
      <c r="V2515" s="479"/>
    </row>
    <row r="2516" spans="2:22" ht="15.75" hidden="1" x14ac:dyDescent="0.2">
      <c r="B2516" s="711">
        <v>46242</v>
      </c>
      <c r="C2516" s="711" t="s">
        <v>105</v>
      </c>
      <c r="D2516" s="711" t="s">
        <v>192</v>
      </c>
      <c r="E2516" s="711">
        <v>46240</v>
      </c>
      <c r="G2516" s="778">
        <v>46242</v>
      </c>
      <c r="H2516" s="60" t="s">
        <v>16</v>
      </c>
      <c r="I2516" s="60" t="s">
        <v>112</v>
      </c>
      <c r="J2516" s="60">
        <f>SUM(K2516:P2516)</f>
        <v>43</v>
      </c>
      <c r="K2516" s="60">
        <v>20</v>
      </c>
      <c r="L2516" s="60">
        <f>45-26</f>
        <v>19</v>
      </c>
      <c r="M2516" s="60">
        <v>0</v>
      </c>
      <c r="N2516" s="312">
        <v>0</v>
      </c>
      <c r="O2516" s="60">
        <v>0</v>
      </c>
      <c r="P2516" s="312">
        <v>4</v>
      </c>
      <c r="Q2516" s="182">
        <f t="shared" si="3105"/>
        <v>0.90697674418604646</v>
      </c>
      <c r="R2516" s="182">
        <f t="shared" si="3106"/>
        <v>0</v>
      </c>
      <c r="S2516" s="183">
        <f t="shared" si="3107"/>
        <v>9.3023255813953487E-2</v>
      </c>
      <c r="T2516" s="183">
        <f t="shared" si="3108"/>
        <v>0</v>
      </c>
      <c r="U2516" s="184">
        <f t="shared" si="3103"/>
        <v>1</v>
      </c>
      <c r="V2516" s="385"/>
    </row>
    <row r="2517" spans="2:22" ht="15.75" hidden="1" x14ac:dyDescent="0.2">
      <c r="B2517" s="711">
        <v>46242</v>
      </c>
      <c r="C2517" s="711" t="s">
        <v>105</v>
      </c>
      <c r="D2517" s="711" t="s">
        <v>192</v>
      </c>
      <c r="E2517" s="711">
        <v>46240</v>
      </c>
      <c r="G2517" s="786"/>
      <c r="H2517" s="60" t="s">
        <v>14</v>
      </c>
      <c r="I2517" s="60" t="s">
        <v>105</v>
      </c>
      <c r="J2517" s="60">
        <f t="shared" ref="J2517:J2520" si="3109">SUM(K2517:P2517)</f>
        <v>44</v>
      </c>
      <c r="K2517" s="60">
        <v>21</v>
      </c>
      <c r="L2517" s="60">
        <v>14</v>
      </c>
      <c r="M2517" s="60">
        <v>0</v>
      </c>
      <c r="N2517" s="312">
        <v>4</v>
      </c>
      <c r="O2517" s="60">
        <v>0</v>
      </c>
      <c r="P2517" s="312">
        <v>5</v>
      </c>
      <c r="Q2517" s="182">
        <f t="shared" si="3105"/>
        <v>0.79545454545454541</v>
      </c>
      <c r="R2517" s="182">
        <f t="shared" si="3106"/>
        <v>9.0909090909090912E-2</v>
      </c>
      <c r="S2517" s="183">
        <f t="shared" si="3107"/>
        <v>0.11363636363636363</v>
      </c>
      <c r="T2517" s="183">
        <f t="shared" si="3108"/>
        <v>0</v>
      </c>
      <c r="U2517" s="184">
        <f t="shared" si="3103"/>
        <v>1</v>
      </c>
      <c r="V2517" s="385"/>
    </row>
    <row r="2518" spans="2:22" ht="15.75" hidden="1" x14ac:dyDescent="0.2">
      <c r="B2518" s="711">
        <v>46242</v>
      </c>
      <c r="C2518" s="711" t="s">
        <v>105</v>
      </c>
      <c r="D2518" s="711" t="s">
        <v>192</v>
      </c>
      <c r="E2518" s="711">
        <v>46240</v>
      </c>
      <c r="G2518" s="786"/>
      <c r="H2518" s="60" t="s">
        <v>120</v>
      </c>
      <c r="I2518" s="60" t="s">
        <v>105</v>
      </c>
      <c r="J2518" s="60">
        <f t="shared" si="3109"/>
        <v>13</v>
      </c>
      <c r="K2518" s="60">
        <v>13</v>
      </c>
      <c r="L2518" s="60">
        <v>0</v>
      </c>
      <c r="M2518" s="60">
        <v>0</v>
      </c>
      <c r="N2518" s="312">
        <v>0</v>
      </c>
      <c r="O2518" s="60">
        <v>0</v>
      </c>
      <c r="P2518" s="312">
        <v>0</v>
      </c>
      <c r="Q2518" s="182">
        <f t="shared" si="3105"/>
        <v>1</v>
      </c>
      <c r="R2518" s="182">
        <f t="shared" si="3106"/>
        <v>0</v>
      </c>
      <c r="S2518" s="183">
        <f t="shared" si="3107"/>
        <v>0</v>
      </c>
      <c r="T2518" s="183">
        <f t="shared" si="3108"/>
        <v>0</v>
      </c>
      <c r="U2518" s="184">
        <f t="shared" si="3103"/>
        <v>1</v>
      </c>
      <c r="V2518" s="385"/>
    </row>
    <row r="2519" spans="2:22" ht="15.75" hidden="1" x14ac:dyDescent="0.2">
      <c r="B2519" s="711">
        <v>46242</v>
      </c>
      <c r="C2519" s="711" t="s">
        <v>105</v>
      </c>
      <c r="D2519" s="711" t="s">
        <v>192</v>
      </c>
      <c r="E2519" s="711">
        <v>46241</v>
      </c>
      <c r="G2519" s="786"/>
      <c r="H2519" s="60" t="s">
        <v>84</v>
      </c>
      <c r="I2519" s="60" t="s">
        <v>112</v>
      </c>
      <c r="J2519" s="60">
        <f t="shared" si="3109"/>
        <v>2</v>
      </c>
      <c r="K2519" s="60">
        <v>2</v>
      </c>
      <c r="L2519" s="60">
        <v>0</v>
      </c>
      <c r="M2519" s="60">
        <v>0</v>
      </c>
      <c r="N2519" s="312">
        <v>0</v>
      </c>
      <c r="O2519" s="60">
        <v>0</v>
      </c>
      <c r="P2519" s="312">
        <v>0</v>
      </c>
      <c r="Q2519" s="182">
        <f t="shared" si="3105"/>
        <v>1</v>
      </c>
      <c r="R2519" s="182">
        <f t="shared" si="3106"/>
        <v>0</v>
      </c>
      <c r="S2519" s="183">
        <f t="shared" si="3107"/>
        <v>0</v>
      </c>
      <c r="T2519" s="183">
        <f t="shared" si="3108"/>
        <v>0</v>
      </c>
      <c r="U2519" s="184">
        <f>S2519+R2519+Q2519+T2519</f>
        <v>1</v>
      </c>
      <c r="V2519" s="385"/>
    </row>
    <row r="2520" spans="2:22" ht="15.75" hidden="1" x14ac:dyDescent="0.2">
      <c r="B2520" s="711">
        <v>46242</v>
      </c>
      <c r="C2520" s="711" t="s">
        <v>105</v>
      </c>
      <c r="D2520" s="711" t="s">
        <v>192</v>
      </c>
      <c r="E2520" s="711">
        <v>46241</v>
      </c>
      <c r="G2520" s="779"/>
      <c r="H2520" s="60" t="s">
        <v>17</v>
      </c>
      <c r="I2520" s="60" t="s">
        <v>106</v>
      </c>
      <c r="J2520" s="60">
        <f t="shared" si="3109"/>
        <v>2</v>
      </c>
      <c r="K2520" s="60">
        <v>2</v>
      </c>
      <c r="L2520" s="60">
        <v>0</v>
      </c>
      <c r="M2520" s="60">
        <v>0</v>
      </c>
      <c r="N2520" s="312">
        <v>0</v>
      </c>
      <c r="O2520" s="60">
        <v>0</v>
      </c>
      <c r="P2520" s="312">
        <v>0</v>
      </c>
      <c r="Q2520" s="182">
        <f t="shared" si="3105"/>
        <v>1</v>
      </c>
      <c r="R2520" s="182">
        <f t="shared" si="3106"/>
        <v>0</v>
      </c>
      <c r="S2520" s="183">
        <f t="shared" si="3107"/>
        <v>0</v>
      </c>
      <c r="T2520" s="183">
        <f t="shared" si="3108"/>
        <v>0</v>
      </c>
      <c r="U2520" s="184">
        <f t="shared" ref="U2520:U2524" si="3110">S2520+R2520+Q2520+T2520</f>
        <v>1</v>
      </c>
      <c r="V2520" s="385"/>
    </row>
    <row r="2521" spans="2:22" ht="15.75" hidden="1" x14ac:dyDescent="0.2">
      <c r="B2521" s="711">
        <v>46242</v>
      </c>
      <c r="C2521" s="711" t="s">
        <v>105</v>
      </c>
      <c r="D2521" s="711" t="s">
        <v>192</v>
      </c>
      <c r="E2521" s="711">
        <v>46241</v>
      </c>
      <c r="G2521" s="770">
        <v>46243</v>
      </c>
      <c r="H2521" s="60" t="s">
        <v>75</v>
      </c>
      <c r="I2521" s="60" t="s">
        <v>106</v>
      </c>
      <c r="J2521" s="60">
        <v>236</v>
      </c>
      <c r="K2521" s="60">
        <v>116</v>
      </c>
      <c r="L2521" s="60">
        <v>26</v>
      </c>
      <c r="M2521" s="60">
        <v>69</v>
      </c>
      <c r="N2521" s="312">
        <v>0</v>
      </c>
      <c r="O2521" s="60">
        <v>20</v>
      </c>
      <c r="P2521" s="312">
        <v>6</v>
      </c>
      <c r="Q2521" s="182">
        <f t="shared" si="3105"/>
        <v>0.60169491525423724</v>
      </c>
      <c r="R2521" s="182">
        <f t="shared" si="3106"/>
        <v>0</v>
      </c>
      <c r="S2521" s="183">
        <f t="shared" si="3107"/>
        <v>2.5423728813559324E-2</v>
      </c>
      <c r="T2521" s="183">
        <f t="shared" si="3108"/>
        <v>8.4745762711864403E-2</v>
      </c>
      <c r="U2521" s="184">
        <f t="shared" si="3110"/>
        <v>0.71186440677966101</v>
      </c>
      <c r="V2521" s="385"/>
    </row>
    <row r="2522" spans="2:22" ht="15.75" hidden="1" x14ac:dyDescent="0.2">
      <c r="B2522" s="711">
        <v>46242</v>
      </c>
      <c r="C2522" s="711" t="s">
        <v>105</v>
      </c>
      <c r="D2522" s="711" t="s">
        <v>192</v>
      </c>
      <c r="E2522" s="711">
        <v>46241</v>
      </c>
      <c r="G2522" s="772"/>
      <c r="H2522" s="60" t="s">
        <v>25</v>
      </c>
      <c r="I2522" s="60" t="s">
        <v>105</v>
      </c>
      <c r="J2522" s="60">
        <v>203</v>
      </c>
      <c r="K2522" s="60">
        <v>120</v>
      </c>
      <c r="L2522" s="60">
        <v>23</v>
      </c>
      <c r="M2522" s="60">
        <v>2</v>
      </c>
      <c r="N2522" s="312">
        <v>0</v>
      </c>
      <c r="O2522" s="60">
        <v>21</v>
      </c>
      <c r="P2522" s="312">
        <v>29</v>
      </c>
      <c r="Q2522" s="182">
        <f t="shared" ref="Q2522" si="3111">(K2522+L2522)/J2522</f>
        <v>0.70443349753694584</v>
      </c>
      <c r="R2522" s="182">
        <f t="shared" ref="R2522" si="3112">N2522/J2522</f>
        <v>0</v>
      </c>
      <c r="S2522" s="183">
        <f t="shared" ref="S2522" si="3113">P2522/J2522</f>
        <v>0.14285714285714285</v>
      </c>
      <c r="T2522" s="183">
        <f t="shared" ref="T2522" si="3114">O2522/J2522</f>
        <v>0.10344827586206896</v>
      </c>
      <c r="U2522" s="184">
        <f t="shared" ref="U2522" si="3115">S2522+R2522+Q2522+T2522</f>
        <v>0.9507389162561577</v>
      </c>
      <c r="V2522" s="385"/>
    </row>
    <row r="2523" spans="2:22" ht="15.75" hidden="1" x14ac:dyDescent="0.2">
      <c r="B2523" s="711">
        <v>46242</v>
      </c>
      <c r="C2523" s="711" t="s">
        <v>105</v>
      </c>
      <c r="D2523" s="711" t="s">
        <v>192</v>
      </c>
      <c r="E2523" s="711">
        <v>46241</v>
      </c>
      <c r="G2523" s="700">
        <v>46244</v>
      </c>
      <c r="H2523" s="60" t="s">
        <v>32</v>
      </c>
      <c r="I2523" s="60" t="s">
        <v>105</v>
      </c>
      <c r="J2523" s="60">
        <v>316</v>
      </c>
      <c r="K2523" s="60">
        <v>0</v>
      </c>
      <c r="L2523" s="60">
        <v>4</v>
      </c>
      <c r="M2523" s="60">
        <v>296</v>
      </c>
      <c r="N2523" s="312">
        <v>0</v>
      </c>
      <c r="O2523" s="60">
        <v>21</v>
      </c>
      <c r="P2523" s="312">
        <v>6</v>
      </c>
      <c r="Q2523" s="182">
        <f t="shared" si="3105"/>
        <v>1.2658227848101266E-2</v>
      </c>
      <c r="R2523" s="182">
        <f t="shared" si="3106"/>
        <v>0</v>
      </c>
      <c r="S2523" s="183">
        <f t="shared" si="3107"/>
        <v>1.8987341772151899E-2</v>
      </c>
      <c r="T2523" s="183">
        <f t="shared" si="3108"/>
        <v>6.6455696202531639E-2</v>
      </c>
      <c r="U2523" s="184">
        <f t="shared" si="3110"/>
        <v>9.8101265822784806E-2</v>
      </c>
      <c r="V2523" s="385"/>
    </row>
    <row r="2524" spans="2:22" ht="15.75" hidden="1" x14ac:dyDescent="0.2">
      <c r="B2524" s="711">
        <v>46242</v>
      </c>
      <c r="C2524" s="711" t="s">
        <v>105</v>
      </c>
      <c r="D2524" s="711" t="s">
        <v>192</v>
      </c>
      <c r="E2524" s="711">
        <v>46241</v>
      </c>
      <c r="G2524" s="396"/>
      <c r="H2524" s="775" t="s">
        <v>19</v>
      </c>
      <c r="I2524" s="777"/>
      <c r="J2524" s="190">
        <f t="shared" ref="J2524:P2524" si="3116">SUM(J2516:J2523)</f>
        <v>859</v>
      </c>
      <c r="K2524" s="190">
        <f t="shared" si="3116"/>
        <v>294</v>
      </c>
      <c r="L2524" s="190">
        <f t="shared" si="3116"/>
        <v>86</v>
      </c>
      <c r="M2524" s="190">
        <f t="shared" si="3116"/>
        <v>367</v>
      </c>
      <c r="N2524" s="190">
        <f t="shared" si="3116"/>
        <v>4</v>
      </c>
      <c r="O2524" s="190">
        <f t="shared" si="3116"/>
        <v>62</v>
      </c>
      <c r="P2524" s="190">
        <f t="shared" si="3116"/>
        <v>50</v>
      </c>
      <c r="Q2524" s="481">
        <f t="shared" si="3105"/>
        <v>0.44237485448195574</v>
      </c>
      <c r="R2524" s="481">
        <f t="shared" si="3106"/>
        <v>4.6565774155995342E-3</v>
      </c>
      <c r="S2524" s="482">
        <f t="shared" si="3107"/>
        <v>5.8207217694994179E-2</v>
      </c>
      <c r="T2524" s="482">
        <f t="shared" si="3108"/>
        <v>7.2176949941792787E-2</v>
      </c>
      <c r="U2524" s="483">
        <f t="shared" si="3110"/>
        <v>0.57741559953434229</v>
      </c>
      <c r="V2524" s="479"/>
    </row>
    <row r="2525" spans="2:22" ht="15.75" hidden="1" x14ac:dyDescent="0.2">
      <c r="B2525" s="711">
        <v>46243</v>
      </c>
      <c r="C2525" s="711" t="s">
        <v>106</v>
      </c>
      <c r="D2525" s="711" t="s">
        <v>13</v>
      </c>
      <c r="E2525" s="711">
        <v>46243</v>
      </c>
      <c r="G2525" s="778">
        <v>46243</v>
      </c>
      <c r="H2525" s="60" t="s">
        <v>75</v>
      </c>
      <c r="I2525" s="60" t="s">
        <v>112</v>
      </c>
      <c r="J2525" s="60">
        <v>236</v>
      </c>
      <c r="K2525" s="60">
        <v>169</v>
      </c>
      <c r="L2525" s="60">
        <v>41</v>
      </c>
      <c r="M2525" s="60">
        <v>0</v>
      </c>
      <c r="N2525" s="312">
        <v>0</v>
      </c>
      <c r="O2525" s="60">
        <v>20</v>
      </c>
      <c r="P2525" s="312">
        <v>6</v>
      </c>
      <c r="Q2525" s="182">
        <f t="shared" ref="Q2525:Q2541" si="3117">(K2525+L2525)/J2525</f>
        <v>0.88983050847457623</v>
      </c>
      <c r="R2525" s="182">
        <f t="shared" ref="R2525:R2541" si="3118">N2525/J2525</f>
        <v>0</v>
      </c>
      <c r="S2525" s="183">
        <f t="shared" ref="S2525:S2541" si="3119">P2525/J2525</f>
        <v>2.5423728813559324E-2</v>
      </c>
      <c r="T2525" s="183">
        <f t="shared" ref="T2525:T2541" si="3120">O2525/J2525</f>
        <v>8.4745762711864403E-2</v>
      </c>
      <c r="U2525" s="184">
        <f t="shared" ref="U2525:U2536" si="3121">S2525+R2525+Q2525+T2525</f>
        <v>1</v>
      </c>
      <c r="V2525" s="385"/>
    </row>
    <row r="2526" spans="2:22" ht="15.75" hidden="1" x14ac:dyDescent="0.2">
      <c r="B2526" s="711">
        <v>46243</v>
      </c>
      <c r="C2526" s="711" t="s">
        <v>106</v>
      </c>
      <c r="D2526" s="711" t="s">
        <v>13</v>
      </c>
      <c r="E2526" s="711">
        <v>46243</v>
      </c>
      <c r="G2526" s="779"/>
      <c r="H2526" s="60" t="s">
        <v>25</v>
      </c>
      <c r="I2526" s="60" t="s">
        <v>43</v>
      </c>
      <c r="J2526" s="60">
        <v>203</v>
      </c>
      <c r="K2526" s="60">
        <f>203-63</f>
        <v>140</v>
      </c>
      <c r="L2526" s="60">
        <v>24</v>
      </c>
      <c r="M2526" s="60">
        <v>0</v>
      </c>
      <c r="N2526" s="312">
        <v>0</v>
      </c>
      <c r="O2526" s="60">
        <v>21</v>
      </c>
      <c r="P2526" s="312">
        <v>18</v>
      </c>
      <c r="Q2526" s="182">
        <f t="shared" ref="Q2526:Q2530" si="3122">(K2526+L2526)/J2526</f>
        <v>0.80788177339901479</v>
      </c>
      <c r="R2526" s="182">
        <f t="shared" ref="R2526:R2530" si="3123">N2526/J2526</f>
        <v>0</v>
      </c>
      <c r="S2526" s="183">
        <f t="shared" ref="S2526:S2530" si="3124">P2526/J2526</f>
        <v>8.8669950738916259E-2</v>
      </c>
      <c r="T2526" s="183">
        <f t="shared" ref="T2526:T2530" si="3125">O2526/J2526</f>
        <v>0.10344827586206896</v>
      </c>
      <c r="U2526" s="184">
        <f t="shared" ref="U2526:U2530" si="3126">S2526+R2526+Q2526+T2526</f>
        <v>1</v>
      </c>
      <c r="V2526" s="385"/>
    </row>
    <row r="2527" spans="2:22" ht="15.75" hidden="1" x14ac:dyDescent="0.2">
      <c r="B2527" s="711">
        <v>46243</v>
      </c>
      <c r="C2527" s="711" t="s">
        <v>106</v>
      </c>
      <c r="D2527" s="711" t="s">
        <v>13</v>
      </c>
      <c r="E2527" s="711">
        <v>46244</v>
      </c>
      <c r="G2527" s="809">
        <v>46244</v>
      </c>
      <c r="H2527" s="60" t="s">
        <v>16</v>
      </c>
      <c r="I2527" s="60" t="s">
        <v>112</v>
      </c>
      <c r="J2527" s="60">
        <v>247</v>
      </c>
      <c r="K2527" s="60">
        <v>30</v>
      </c>
      <c r="L2527" s="60">
        <v>11</v>
      </c>
      <c r="M2527" s="60">
        <v>87</v>
      </c>
      <c r="N2527" s="312">
        <v>90</v>
      </c>
      <c r="O2527" s="60">
        <v>20</v>
      </c>
      <c r="P2527" s="312">
        <v>9</v>
      </c>
      <c r="Q2527" s="182">
        <f t="shared" si="3122"/>
        <v>0.16599190283400811</v>
      </c>
      <c r="R2527" s="182">
        <f t="shared" si="3123"/>
        <v>0.36437246963562753</v>
      </c>
      <c r="S2527" s="183">
        <f t="shared" si="3124"/>
        <v>3.643724696356275E-2</v>
      </c>
      <c r="T2527" s="183">
        <f t="shared" si="3125"/>
        <v>8.0971659919028341E-2</v>
      </c>
      <c r="U2527" s="184">
        <f t="shared" si="3126"/>
        <v>0.64777327935222673</v>
      </c>
      <c r="V2527" s="385"/>
    </row>
    <row r="2528" spans="2:22" ht="15.75" hidden="1" x14ac:dyDescent="0.2">
      <c r="B2528" s="711">
        <v>46243</v>
      </c>
      <c r="C2528" s="711" t="s">
        <v>106</v>
      </c>
      <c r="D2528" s="711" t="s">
        <v>13</v>
      </c>
      <c r="E2528" s="711">
        <v>46244</v>
      </c>
      <c r="G2528" s="810"/>
      <c r="H2528" s="60" t="s">
        <v>120</v>
      </c>
      <c r="I2528" s="60" t="s">
        <v>43</v>
      </c>
      <c r="J2528" s="60">
        <v>22</v>
      </c>
      <c r="K2528" s="60">
        <v>0</v>
      </c>
      <c r="L2528" s="60">
        <v>0</v>
      </c>
      <c r="M2528" s="60">
        <v>22</v>
      </c>
      <c r="N2528" s="312">
        <v>0</v>
      </c>
      <c r="O2528" s="60">
        <v>0</v>
      </c>
      <c r="P2528" s="312">
        <v>0</v>
      </c>
      <c r="Q2528" s="182">
        <f t="shared" si="3122"/>
        <v>0</v>
      </c>
      <c r="R2528" s="182">
        <f t="shared" si="3123"/>
        <v>0</v>
      </c>
      <c r="S2528" s="183">
        <f t="shared" si="3124"/>
        <v>0</v>
      </c>
      <c r="T2528" s="183">
        <f t="shared" si="3125"/>
        <v>0</v>
      </c>
      <c r="U2528" s="184">
        <f t="shared" si="3126"/>
        <v>0</v>
      </c>
      <c r="V2528" s="385"/>
    </row>
    <row r="2529" spans="2:22" ht="15.75" hidden="1" x14ac:dyDescent="0.2">
      <c r="B2529" s="711">
        <v>46243</v>
      </c>
      <c r="C2529" s="711" t="s">
        <v>106</v>
      </c>
      <c r="D2529" s="711" t="s">
        <v>13</v>
      </c>
      <c r="E2529" s="711">
        <v>46244</v>
      </c>
      <c r="G2529" s="810"/>
      <c r="H2529" s="60" t="s">
        <v>14</v>
      </c>
      <c r="I2529" s="60" t="s">
        <v>106</v>
      </c>
      <c r="J2529" s="60">
        <v>190</v>
      </c>
      <c r="K2529" s="60">
        <v>48</v>
      </c>
      <c r="L2529" s="60">
        <v>36</v>
      </c>
      <c r="M2529" s="60">
        <v>0</v>
      </c>
      <c r="N2529" s="312">
        <v>90</v>
      </c>
      <c r="O2529" s="60">
        <v>11</v>
      </c>
      <c r="P2529" s="312">
        <v>5</v>
      </c>
      <c r="Q2529" s="182">
        <f t="shared" si="3122"/>
        <v>0.44210526315789472</v>
      </c>
      <c r="R2529" s="182">
        <f t="shared" si="3123"/>
        <v>0.47368421052631576</v>
      </c>
      <c r="S2529" s="183">
        <f t="shared" si="3124"/>
        <v>2.6315789473684209E-2</v>
      </c>
      <c r="T2529" s="183">
        <f t="shared" si="3125"/>
        <v>5.7894736842105263E-2</v>
      </c>
      <c r="U2529" s="184">
        <f t="shared" si="3126"/>
        <v>1</v>
      </c>
      <c r="V2529" s="385"/>
    </row>
    <row r="2530" spans="2:22" ht="15.75" hidden="1" x14ac:dyDescent="0.2">
      <c r="B2530" s="711">
        <v>46243</v>
      </c>
      <c r="C2530" s="711" t="s">
        <v>106</v>
      </c>
      <c r="D2530" s="711" t="s">
        <v>13</v>
      </c>
      <c r="E2530" s="711">
        <v>46244</v>
      </c>
      <c r="G2530" s="810"/>
      <c r="H2530" s="60" t="s">
        <v>25</v>
      </c>
      <c r="I2530" s="60" t="s">
        <v>105</v>
      </c>
      <c r="J2530" s="60">
        <v>196</v>
      </c>
      <c r="K2530" s="60">
        <v>0</v>
      </c>
      <c r="L2530" s="60">
        <v>0</v>
      </c>
      <c r="M2530" s="60">
        <v>196</v>
      </c>
      <c r="N2530" s="312">
        <v>0</v>
      </c>
      <c r="O2530" s="60">
        <v>0</v>
      </c>
      <c r="P2530" s="312">
        <v>0</v>
      </c>
      <c r="Q2530" s="182">
        <f t="shared" si="3122"/>
        <v>0</v>
      </c>
      <c r="R2530" s="182">
        <f t="shared" si="3123"/>
        <v>0</v>
      </c>
      <c r="S2530" s="183">
        <f t="shared" si="3124"/>
        <v>0</v>
      </c>
      <c r="T2530" s="183">
        <f t="shared" si="3125"/>
        <v>0</v>
      </c>
      <c r="U2530" s="184">
        <f t="shared" si="3126"/>
        <v>0</v>
      </c>
      <c r="V2530" s="385"/>
    </row>
    <row r="2531" spans="2:22" ht="15.75" hidden="1" x14ac:dyDescent="0.2">
      <c r="B2531" s="711">
        <v>46243</v>
      </c>
      <c r="C2531" s="711" t="s">
        <v>106</v>
      </c>
      <c r="D2531" s="711" t="s">
        <v>13</v>
      </c>
      <c r="E2531" s="711">
        <v>46244</v>
      </c>
      <c r="G2531" s="810"/>
      <c r="H2531" s="60" t="s">
        <v>180</v>
      </c>
      <c r="I2531" s="60" t="s">
        <v>43</v>
      </c>
      <c r="J2531" s="60">
        <v>17</v>
      </c>
      <c r="K2531" s="60">
        <v>0</v>
      </c>
      <c r="L2531" s="60">
        <v>0</v>
      </c>
      <c r="M2531" s="60">
        <v>17</v>
      </c>
      <c r="N2531" s="312">
        <v>0</v>
      </c>
      <c r="O2531" s="60">
        <v>0</v>
      </c>
      <c r="P2531" s="312">
        <v>0</v>
      </c>
      <c r="Q2531" s="182">
        <f t="shared" ref="Q2531" si="3127">(K2531+L2531)/J2531</f>
        <v>0</v>
      </c>
      <c r="R2531" s="182">
        <f t="shared" ref="R2531" si="3128">N2531/J2531</f>
        <v>0</v>
      </c>
      <c r="S2531" s="183">
        <f t="shared" ref="S2531" si="3129">P2531/J2531</f>
        <v>0</v>
      </c>
      <c r="T2531" s="183">
        <f t="shared" ref="T2531" si="3130">O2531/J2531</f>
        <v>0</v>
      </c>
      <c r="U2531" s="184">
        <f t="shared" ref="U2531" si="3131">S2531+R2531+Q2531+T2531</f>
        <v>0</v>
      </c>
      <c r="V2531" s="385"/>
    </row>
    <row r="2532" spans="2:22" ht="15.75" hidden="1" x14ac:dyDescent="0.2">
      <c r="B2532" s="711">
        <v>46243</v>
      </c>
      <c r="C2532" s="711" t="s">
        <v>106</v>
      </c>
      <c r="D2532" s="711" t="s">
        <v>13</v>
      </c>
      <c r="E2532" s="711">
        <v>46244</v>
      </c>
      <c r="G2532" s="811"/>
      <c r="H2532" s="60" t="s">
        <v>32</v>
      </c>
      <c r="I2532" s="60" t="s">
        <v>105</v>
      </c>
      <c r="J2532" s="60">
        <v>316</v>
      </c>
      <c r="K2532" s="60">
        <v>0</v>
      </c>
      <c r="L2532" s="60">
        <v>4</v>
      </c>
      <c r="M2532" s="60">
        <v>296</v>
      </c>
      <c r="N2532" s="312">
        <v>0</v>
      </c>
      <c r="O2532" s="60">
        <v>10</v>
      </c>
      <c r="P2532" s="312">
        <v>6</v>
      </c>
      <c r="Q2532" s="182">
        <f t="shared" si="3117"/>
        <v>1.2658227848101266E-2</v>
      </c>
      <c r="R2532" s="182">
        <f t="shared" si="3118"/>
        <v>0</v>
      </c>
      <c r="S2532" s="183">
        <f t="shared" si="3119"/>
        <v>1.8987341772151899E-2</v>
      </c>
      <c r="T2532" s="183">
        <f t="shared" si="3120"/>
        <v>3.1645569620253167E-2</v>
      </c>
      <c r="U2532" s="184">
        <f t="shared" si="3121"/>
        <v>6.3291139240506333E-2</v>
      </c>
      <c r="V2532" s="385"/>
    </row>
    <row r="2533" spans="2:22" ht="15.75" hidden="1" x14ac:dyDescent="0.2">
      <c r="B2533" s="711">
        <v>46243</v>
      </c>
      <c r="C2533" s="711" t="s">
        <v>106</v>
      </c>
      <c r="D2533" s="711" t="s">
        <v>13</v>
      </c>
      <c r="E2533" s="711">
        <v>46244</v>
      </c>
      <c r="G2533" s="396"/>
      <c r="H2533" s="775" t="s">
        <v>19</v>
      </c>
      <c r="I2533" s="777"/>
      <c r="J2533" s="190">
        <f t="shared" ref="J2533:P2533" si="3132">SUM(J2520:J2532)</f>
        <v>3043</v>
      </c>
      <c r="K2533" s="190">
        <f t="shared" si="3132"/>
        <v>919</v>
      </c>
      <c r="L2533" s="190">
        <f t="shared" si="3132"/>
        <v>255</v>
      </c>
      <c r="M2533" s="190">
        <f t="shared" si="3132"/>
        <v>1352</v>
      </c>
      <c r="N2533" s="190">
        <f t="shared" si="3132"/>
        <v>184</v>
      </c>
      <c r="O2533" s="190">
        <f t="shared" si="3132"/>
        <v>206</v>
      </c>
      <c r="P2533" s="190">
        <f t="shared" si="3132"/>
        <v>135</v>
      </c>
      <c r="Q2533" s="481">
        <f t="shared" si="3117"/>
        <v>0.38580348340453502</v>
      </c>
      <c r="R2533" s="481">
        <f t="shared" si="3118"/>
        <v>6.0466644758462043E-2</v>
      </c>
      <c r="S2533" s="482">
        <f t="shared" si="3119"/>
        <v>4.4364114360828127E-2</v>
      </c>
      <c r="T2533" s="482">
        <f t="shared" si="3120"/>
        <v>6.7696352283930325E-2</v>
      </c>
      <c r="U2533" s="483">
        <f t="shared" si="3121"/>
        <v>0.55833059480775549</v>
      </c>
      <c r="V2533" s="479"/>
    </row>
    <row r="2534" spans="2:22" ht="15.75" hidden="1" x14ac:dyDescent="0.2">
      <c r="B2534" s="711">
        <v>46244</v>
      </c>
      <c r="C2534" s="711" t="s">
        <v>106</v>
      </c>
      <c r="D2534" s="711" t="s">
        <v>192</v>
      </c>
      <c r="E2534" s="711">
        <v>46244</v>
      </c>
      <c r="G2534" s="778">
        <v>46244</v>
      </c>
      <c r="H2534" s="60" t="s">
        <v>16</v>
      </c>
      <c r="I2534" s="60" t="s">
        <v>112</v>
      </c>
      <c r="J2534" s="60">
        <f>SUM(K2534:P2534)</f>
        <v>218</v>
      </c>
      <c r="K2534" s="60">
        <v>122</v>
      </c>
      <c r="L2534" s="60">
        <v>70</v>
      </c>
      <c r="M2534" s="60">
        <v>0</v>
      </c>
      <c r="N2534" s="312">
        <v>0</v>
      </c>
      <c r="O2534" s="60">
        <v>20</v>
      </c>
      <c r="P2534" s="312">
        <v>6</v>
      </c>
      <c r="Q2534" s="182">
        <f t="shared" si="3117"/>
        <v>0.88073394495412849</v>
      </c>
      <c r="R2534" s="182">
        <f t="shared" si="3118"/>
        <v>0</v>
      </c>
      <c r="S2534" s="183">
        <f t="shared" si="3119"/>
        <v>2.7522935779816515E-2</v>
      </c>
      <c r="T2534" s="183">
        <f t="shared" si="3120"/>
        <v>9.1743119266055051E-2</v>
      </c>
      <c r="U2534" s="184">
        <f t="shared" si="3121"/>
        <v>1</v>
      </c>
      <c r="V2534" s="385"/>
    </row>
    <row r="2535" spans="2:22" ht="15.75" hidden="1" x14ac:dyDescent="0.2">
      <c r="B2535" s="711">
        <v>46244</v>
      </c>
      <c r="C2535" s="711" t="s">
        <v>106</v>
      </c>
      <c r="D2535" s="711" t="s">
        <v>192</v>
      </c>
      <c r="E2535" s="711">
        <v>46244</v>
      </c>
      <c r="G2535" s="786"/>
      <c r="H2535" s="60" t="s">
        <v>14</v>
      </c>
      <c r="I2535" s="60" t="s">
        <v>106</v>
      </c>
      <c r="J2535" s="60">
        <f t="shared" ref="J2535:J2538" si="3133">SUM(K2535:P2535)</f>
        <v>118</v>
      </c>
      <c r="K2535" s="60">
        <v>89</v>
      </c>
      <c r="L2535" s="60">
        <v>26</v>
      </c>
      <c r="M2535" s="60">
        <v>0</v>
      </c>
      <c r="N2535" s="312">
        <v>0</v>
      </c>
      <c r="O2535" s="60">
        <v>0</v>
      </c>
      <c r="P2535" s="312">
        <v>3</v>
      </c>
      <c r="Q2535" s="182">
        <f t="shared" si="3117"/>
        <v>0.97457627118644063</v>
      </c>
      <c r="R2535" s="182">
        <f t="shared" si="3118"/>
        <v>0</v>
      </c>
      <c r="S2535" s="183">
        <f t="shared" si="3119"/>
        <v>2.5423728813559324E-2</v>
      </c>
      <c r="T2535" s="183">
        <f t="shared" si="3120"/>
        <v>0</v>
      </c>
      <c r="U2535" s="184">
        <f t="shared" si="3121"/>
        <v>1</v>
      </c>
      <c r="V2535" s="385"/>
    </row>
    <row r="2536" spans="2:22" ht="15.75" hidden="1" x14ac:dyDescent="0.2">
      <c r="B2536" s="711">
        <v>46244</v>
      </c>
      <c r="C2536" s="711" t="s">
        <v>106</v>
      </c>
      <c r="D2536" s="711" t="s">
        <v>192</v>
      </c>
      <c r="E2536" s="711">
        <v>46244</v>
      </c>
      <c r="G2536" s="786"/>
      <c r="H2536" s="60" t="s">
        <v>120</v>
      </c>
      <c r="I2536" s="60" t="s">
        <v>106</v>
      </c>
      <c r="J2536" s="60">
        <f t="shared" si="3133"/>
        <v>41</v>
      </c>
      <c r="K2536" s="60">
        <v>40</v>
      </c>
      <c r="L2536" s="60">
        <v>1</v>
      </c>
      <c r="M2536" s="60">
        <v>0</v>
      </c>
      <c r="N2536" s="312">
        <v>0</v>
      </c>
      <c r="O2536" s="60">
        <v>0</v>
      </c>
      <c r="P2536" s="312">
        <v>0</v>
      </c>
      <c r="Q2536" s="182">
        <f t="shared" si="3117"/>
        <v>1</v>
      </c>
      <c r="R2536" s="182">
        <f t="shared" si="3118"/>
        <v>0</v>
      </c>
      <c r="S2536" s="183">
        <f t="shared" si="3119"/>
        <v>0</v>
      </c>
      <c r="T2536" s="183">
        <f t="shared" si="3120"/>
        <v>0</v>
      </c>
      <c r="U2536" s="184">
        <f t="shared" si="3121"/>
        <v>1</v>
      </c>
      <c r="V2536" s="385"/>
    </row>
    <row r="2537" spans="2:22" ht="15.75" hidden="1" x14ac:dyDescent="0.2">
      <c r="B2537" s="711">
        <v>46244</v>
      </c>
      <c r="C2537" s="711" t="s">
        <v>106</v>
      </c>
      <c r="D2537" s="711" t="s">
        <v>192</v>
      </c>
      <c r="E2537" s="711">
        <v>46244</v>
      </c>
      <c r="G2537" s="786"/>
      <c r="H2537" s="60" t="s">
        <v>180</v>
      </c>
      <c r="I2537" s="60" t="s">
        <v>106</v>
      </c>
      <c r="J2537" s="60">
        <f t="shared" si="3133"/>
        <v>41</v>
      </c>
      <c r="K2537" s="60">
        <v>37</v>
      </c>
      <c r="L2537" s="60">
        <v>4</v>
      </c>
      <c r="M2537" s="60">
        <v>0</v>
      </c>
      <c r="N2537" s="312">
        <v>0</v>
      </c>
      <c r="O2537" s="60">
        <v>0</v>
      </c>
      <c r="P2537" s="312">
        <v>0</v>
      </c>
      <c r="Q2537" s="182">
        <f t="shared" si="3117"/>
        <v>1</v>
      </c>
      <c r="R2537" s="182">
        <f t="shared" si="3118"/>
        <v>0</v>
      </c>
      <c r="S2537" s="183">
        <f t="shared" si="3119"/>
        <v>0</v>
      </c>
      <c r="T2537" s="183">
        <f t="shared" si="3120"/>
        <v>0</v>
      </c>
      <c r="U2537" s="184">
        <f>S2537+R2537+Q2537+T2537</f>
        <v>1</v>
      </c>
      <c r="V2537" s="385"/>
    </row>
    <row r="2538" spans="2:22" ht="15.75" hidden="1" x14ac:dyDescent="0.2">
      <c r="B2538" s="711">
        <v>46244</v>
      </c>
      <c r="C2538" s="711" t="s">
        <v>106</v>
      </c>
      <c r="D2538" s="711" t="s">
        <v>192</v>
      </c>
      <c r="E2538" s="711">
        <v>46244</v>
      </c>
      <c r="G2538" s="786"/>
      <c r="H2538" s="60" t="s">
        <v>118</v>
      </c>
      <c r="I2538" s="60" t="s">
        <v>106</v>
      </c>
      <c r="J2538" s="60">
        <f t="shared" si="3133"/>
        <v>4</v>
      </c>
      <c r="K2538" s="60">
        <v>4</v>
      </c>
      <c r="L2538" s="60">
        <v>0</v>
      </c>
      <c r="M2538" s="60">
        <v>0</v>
      </c>
      <c r="N2538" s="312">
        <v>0</v>
      </c>
      <c r="O2538" s="60">
        <v>0</v>
      </c>
      <c r="P2538" s="312">
        <v>0</v>
      </c>
      <c r="Q2538" s="182">
        <f t="shared" si="3117"/>
        <v>1</v>
      </c>
      <c r="R2538" s="182">
        <f t="shared" si="3118"/>
        <v>0</v>
      </c>
      <c r="S2538" s="183">
        <f t="shared" si="3119"/>
        <v>0</v>
      </c>
      <c r="T2538" s="183">
        <f t="shared" si="3120"/>
        <v>0</v>
      </c>
      <c r="U2538" s="184">
        <f t="shared" ref="U2538:U2543" si="3134">S2538+R2538+Q2538+T2538</f>
        <v>1</v>
      </c>
      <c r="V2538" s="385"/>
    </row>
    <row r="2539" spans="2:22" ht="15.75" hidden="1" x14ac:dyDescent="0.2">
      <c r="B2539" s="711">
        <v>46244</v>
      </c>
      <c r="C2539" s="711" t="s">
        <v>106</v>
      </c>
      <c r="D2539" s="711" t="s">
        <v>192</v>
      </c>
      <c r="E2539" s="711">
        <v>46244</v>
      </c>
      <c r="G2539" s="786"/>
      <c r="H2539" s="60" t="s">
        <v>25</v>
      </c>
      <c r="I2539" s="60" t="s">
        <v>105</v>
      </c>
      <c r="J2539" s="60">
        <v>236</v>
      </c>
      <c r="K2539" s="60">
        <v>84</v>
      </c>
      <c r="L2539" s="60">
        <v>42</v>
      </c>
      <c r="M2539" s="60">
        <v>17</v>
      </c>
      <c r="N2539" s="312">
        <v>12</v>
      </c>
      <c r="O2539" s="60">
        <v>27</v>
      </c>
      <c r="P2539" s="312">
        <v>20</v>
      </c>
      <c r="Q2539" s="182">
        <f t="shared" si="3117"/>
        <v>0.53389830508474578</v>
      </c>
      <c r="R2539" s="182">
        <f t="shared" si="3118"/>
        <v>5.0847457627118647E-2</v>
      </c>
      <c r="S2539" s="183">
        <f t="shared" si="3119"/>
        <v>8.4745762711864403E-2</v>
      </c>
      <c r="T2539" s="183">
        <f t="shared" si="3120"/>
        <v>0.11440677966101695</v>
      </c>
      <c r="U2539" s="184">
        <f t="shared" si="3134"/>
        <v>0.78389830508474578</v>
      </c>
      <c r="V2539" s="385"/>
    </row>
    <row r="2540" spans="2:22" ht="15.75" hidden="1" x14ac:dyDescent="0.2">
      <c r="B2540" s="711">
        <v>46244</v>
      </c>
      <c r="C2540" s="711" t="s">
        <v>106</v>
      </c>
      <c r="D2540" s="711" t="s">
        <v>192</v>
      </c>
      <c r="E2540" s="711">
        <v>46244</v>
      </c>
      <c r="G2540" s="779"/>
      <c r="H2540" s="60" t="s">
        <v>32</v>
      </c>
      <c r="I2540" s="60" t="s">
        <v>105</v>
      </c>
      <c r="J2540" s="60">
        <v>203</v>
      </c>
      <c r="K2540" s="60">
        <v>75</v>
      </c>
      <c r="L2540" s="60">
        <v>13</v>
      </c>
      <c r="M2540" s="60">
        <v>183</v>
      </c>
      <c r="N2540" s="312">
        <v>25</v>
      </c>
      <c r="O2540" s="60">
        <v>10</v>
      </c>
      <c r="P2540" s="312">
        <v>6</v>
      </c>
      <c r="Q2540" s="182">
        <f t="shared" si="3117"/>
        <v>0.43349753694581283</v>
      </c>
      <c r="R2540" s="182">
        <f t="shared" si="3118"/>
        <v>0.12315270935960591</v>
      </c>
      <c r="S2540" s="183">
        <f t="shared" si="3119"/>
        <v>2.9556650246305417E-2</v>
      </c>
      <c r="T2540" s="183">
        <f t="shared" si="3120"/>
        <v>4.9261083743842367E-2</v>
      </c>
      <c r="U2540" s="184">
        <f t="shared" si="3134"/>
        <v>0.63546798029556661</v>
      </c>
      <c r="V2540" s="385"/>
    </row>
    <row r="2541" spans="2:22" ht="15.75" hidden="1" x14ac:dyDescent="0.2">
      <c r="B2541" s="711">
        <v>46244</v>
      </c>
      <c r="C2541" s="711" t="s">
        <v>106</v>
      </c>
      <c r="D2541" s="711" t="s">
        <v>192</v>
      </c>
      <c r="E2541" s="711">
        <v>46244</v>
      </c>
      <c r="G2541" s="396"/>
      <c r="H2541" s="775" t="s">
        <v>19</v>
      </c>
      <c r="I2541" s="777"/>
      <c r="J2541" s="190">
        <f t="shared" ref="J2541:P2541" si="3135">SUM(J2534:J2540)</f>
        <v>861</v>
      </c>
      <c r="K2541" s="190">
        <f t="shared" si="3135"/>
        <v>451</v>
      </c>
      <c r="L2541" s="190">
        <f t="shared" si="3135"/>
        <v>156</v>
      </c>
      <c r="M2541" s="190">
        <f t="shared" si="3135"/>
        <v>200</v>
      </c>
      <c r="N2541" s="190">
        <f t="shared" si="3135"/>
        <v>37</v>
      </c>
      <c r="O2541" s="190">
        <f t="shared" si="3135"/>
        <v>57</v>
      </c>
      <c r="P2541" s="190">
        <f t="shared" si="3135"/>
        <v>35</v>
      </c>
      <c r="Q2541" s="481">
        <f t="shared" si="3117"/>
        <v>0.70499419279907083</v>
      </c>
      <c r="R2541" s="481">
        <f t="shared" si="3118"/>
        <v>4.2973286875725901E-2</v>
      </c>
      <c r="S2541" s="482">
        <f t="shared" si="3119"/>
        <v>4.065040650406504E-2</v>
      </c>
      <c r="T2541" s="482">
        <f t="shared" si="3120"/>
        <v>6.6202090592334492E-2</v>
      </c>
      <c r="U2541" s="483">
        <f t="shared" si="3134"/>
        <v>0.85481997677119625</v>
      </c>
      <c r="V2541" s="479"/>
    </row>
    <row r="2542" spans="2:22" ht="15.75" hidden="1" x14ac:dyDescent="0.2">
      <c r="B2542" s="711">
        <v>46244</v>
      </c>
      <c r="C2542" s="711" t="s">
        <v>105</v>
      </c>
      <c r="D2542" s="711" t="s">
        <v>13</v>
      </c>
      <c r="E2542" s="711">
        <v>46244</v>
      </c>
      <c r="G2542" s="778">
        <v>46244</v>
      </c>
      <c r="H2542" s="60" t="s">
        <v>16</v>
      </c>
      <c r="I2542" s="60" t="s">
        <v>112</v>
      </c>
      <c r="J2542" s="60">
        <v>247</v>
      </c>
      <c r="K2542" s="60">
        <f>247-96</f>
        <v>151</v>
      </c>
      <c r="L2542" s="60">
        <v>70</v>
      </c>
      <c r="M2542" s="60">
        <v>0</v>
      </c>
      <c r="N2542" s="312">
        <v>0</v>
      </c>
      <c r="O2542" s="60">
        <v>20</v>
      </c>
      <c r="P2542" s="312">
        <v>6</v>
      </c>
      <c r="Q2542" s="182">
        <f t="shared" ref="Q2542:Q2545" si="3136">(K2542+L2542)/J2542</f>
        <v>0.89473684210526316</v>
      </c>
      <c r="R2542" s="182">
        <f t="shared" ref="R2542:R2545" si="3137">N2542/J2542</f>
        <v>0</v>
      </c>
      <c r="S2542" s="183">
        <f t="shared" ref="S2542:S2545" si="3138">P2542/J2542</f>
        <v>2.4291497975708502E-2</v>
      </c>
      <c r="T2542" s="183">
        <f t="shared" ref="T2542:T2545" si="3139">O2542/J2542</f>
        <v>8.0971659919028341E-2</v>
      </c>
      <c r="U2542" s="184">
        <f t="shared" si="3134"/>
        <v>1</v>
      </c>
      <c r="V2542" s="385"/>
    </row>
    <row r="2543" spans="2:22" ht="15.75" hidden="1" x14ac:dyDescent="0.2">
      <c r="B2543" s="711">
        <v>46244</v>
      </c>
      <c r="C2543" s="711" t="s">
        <v>105</v>
      </c>
      <c r="D2543" s="711" t="s">
        <v>13</v>
      </c>
      <c r="E2543" s="711">
        <v>46244</v>
      </c>
      <c r="G2543" s="786"/>
      <c r="H2543" s="60" t="s">
        <v>14</v>
      </c>
      <c r="I2543" s="60" t="s">
        <v>106</v>
      </c>
      <c r="J2543" s="60">
        <v>190</v>
      </c>
      <c r="K2543" s="60">
        <v>120</v>
      </c>
      <c r="L2543" s="60">
        <v>57</v>
      </c>
      <c r="M2543" s="60">
        <v>0</v>
      </c>
      <c r="N2543" s="312">
        <v>0</v>
      </c>
      <c r="O2543" s="60">
        <v>11</v>
      </c>
      <c r="P2543" s="312">
        <v>2</v>
      </c>
      <c r="Q2543" s="182">
        <f t="shared" si="3136"/>
        <v>0.93157894736842106</v>
      </c>
      <c r="R2543" s="182">
        <f t="shared" si="3137"/>
        <v>0</v>
      </c>
      <c r="S2543" s="183">
        <f t="shared" si="3138"/>
        <v>1.0526315789473684E-2</v>
      </c>
      <c r="T2543" s="183">
        <f t="shared" si="3139"/>
        <v>5.7894736842105263E-2</v>
      </c>
      <c r="U2543" s="184">
        <f t="shared" si="3134"/>
        <v>1</v>
      </c>
      <c r="V2543" s="385"/>
    </row>
    <row r="2544" spans="2:22" ht="15.75" hidden="1" x14ac:dyDescent="0.2">
      <c r="B2544" s="711">
        <v>46244</v>
      </c>
      <c r="C2544" s="711" t="s">
        <v>105</v>
      </c>
      <c r="D2544" s="711" t="s">
        <v>13</v>
      </c>
      <c r="E2544" s="711">
        <v>46244</v>
      </c>
      <c r="G2544" s="786"/>
      <c r="H2544" s="60" t="s">
        <v>25</v>
      </c>
      <c r="I2544" s="60" t="s">
        <v>105</v>
      </c>
      <c r="J2544" s="60">
        <v>236</v>
      </c>
      <c r="K2544" s="60">
        <v>141</v>
      </c>
      <c r="L2544" s="60">
        <v>56</v>
      </c>
      <c r="M2544" s="60">
        <v>0</v>
      </c>
      <c r="N2544" s="312">
        <v>0</v>
      </c>
      <c r="O2544" s="60">
        <v>27</v>
      </c>
      <c r="P2544" s="312">
        <v>12</v>
      </c>
      <c r="Q2544" s="182">
        <f t="shared" si="3136"/>
        <v>0.8347457627118644</v>
      </c>
      <c r="R2544" s="182">
        <f t="shared" si="3137"/>
        <v>0</v>
      </c>
      <c r="S2544" s="183">
        <f t="shared" si="3138"/>
        <v>5.0847457627118647E-2</v>
      </c>
      <c r="T2544" s="183">
        <f t="shared" si="3139"/>
        <v>0.11440677966101695</v>
      </c>
      <c r="U2544" s="184">
        <f t="shared" ref="U2544:U2548" si="3140">S2544+R2544+Q2544+T2544</f>
        <v>1</v>
      </c>
      <c r="V2544" s="385"/>
    </row>
    <row r="2545" spans="2:22" ht="15.75" hidden="1" x14ac:dyDescent="0.2">
      <c r="B2545" s="711">
        <v>46244</v>
      </c>
      <c r="C2545" s="711" t="s">
        <v>105</v>
      </c>
      <c r="D2545" s="711" t="s">
        <v>13</v>
      </c>
      <c r="E2545" s="711">
        <v>46244</v>
      </c>
      <c r="G2545" s="779"/>
      <c r="H2545" s="60" t="s">
        <v>32</v>
      </c>
      <c r="I2545" s="60" t="s">
        <v>105</v>
      </c>
      <c r="J2545" s="60">
        <v>316</v>
      </c>
      <c r="K2545" s="60">
        <f>316-123</f>
        <v>193</v>
      </c>
      <c r="L2545" s="60">
        <v>54</v>
      </c>
      <c r="M2545" s="60">
        <v>54</v>
      </c>
      <c r="N2545" s="312">
        <v>0</v>
      </c>
      <c r="O2545" s="60">
        <v>10</v>
      </c>
      <c r="P2545" s="312">
        <v>5</v>
      </c>
      <c r="Q2545" s="182">
        <f t="shared" si="3136"/>
        <v>0.78164556962025311</v>
      </c>
      <c r="R2545" s="182">
        <f t="shared" si="3137"/>
        <v>0</v>
      </c>
      <c r="S2545" s="183">
        <f t="shared" si="3138"/>
        <v>1.5822784810126583E-2</v>
      </c>
      <c r="T2545" s="183">
        <f t="shared" si="3139"/>
        <v>3.1645569620253167E-2</v>
      </c>
      <c r="U2545" s="184">
        <f t="shared" si="3140"/>
        <v>0.82911392405063289</v>
      </c>
      <c r="V2545" s="385"/>
    </row>
    <row r="2546" spans="2:22" ht="15.75" hidden="1" x14ac:dyDescent="0.2">
      <c r="B2546" s="711">
        <v>46244</v>
      </c>
      <c r="C2546" s="711" t="s">
        <v>105</v>
      </c>
      <c r="D2546" s="711" t="s">
        <v>13</v>
      </c>
      <c r="E2546" s="711">
        <v>46244</v>
      </c>
      <c r="G2546" s="809">
        <v>46245</v>
      </c>
      <c r="H2546" s="60" t="s">
        <v>16</v>
      </c>
      <c r="I2546" s="60" t="s">
        <v>112</v>
      </c>
      <c r="J2546" s="60">
        <v>241</v>
      </c>
      <c r="K2546" s="60">
        <v>8</v>
      </c>
      <c r="L2546" s="60">
        <v>4</v>
      </c>
      <c r="M2546" s="60">
        <v>129</v>
      </c>
      <c r="N2546" s="312">
        <v>70</v>
      </c>
      <c r="O2546" s="60">
        <v>20</v>
      </c>
      <c r="P2546" s="312">
        <v>10</v>
      </c>
      <c r="Q2546" s="182">
        <f t="shared" ref="Q2546:Q2558" si="3141">(K2546+L2546)/J2546</f>
        <v>4.9792531120331947E-2</v>
      </c>
      <c r="R2546" s="182">
        <f t="shared" ref="R2546:R2558" si="3142">N2546/J2546</f>
        <v>0.29045643153526973</v>
      </c>
      <c r="S2546" s="183">
        <f t="shared" ref="S2546:S2558" si="3143">P2546/J2546</f>
        <v>4.1493775933609957E-2</v>
      </c>
      <c r="T2546" s="183">
        <f t="shared" ref="T2546:T2558" si="3144">O2546/J2546</f>
        <v>8.2987551867219914E-2</v>
      </c>
      <c r="U2546" s="184">
        <f t="shared" si="3140"/>
        <v>0.46473029045643155</v>
      </c>
      <c r="V2546" s="385"/>
    </row>
    <row r="2547" spans="2:22" ht="15.75" hidden="1" x14ac:dyDescent="0.2">
      <c r="B2547" s="711">
        <v>46244</v>
      </c>
      <c r="C2547" s="711" t="s">
        <v>105</v>
      </c>
      <c r="D2547" s="711" t="s">
        <v>13</v>
      </c>
      <c r="E2547" s="711">
        <v>46244</v>
      </c>
      <c r="G2547" s="810"/>
      <c r="H2547" s="60" t="s">
        <v>14</v>
      </c>
      <c r="I2547" s="60" t="s">
        <v>106</v>
      </c>
      <c r="J2547" s="60">
        <v>208</v>
      </c>
      <c r="K2547" s="60">
        <v>28</v>
      </c>
      <c r="L2547" s="60">
        <v>27</v>
      </c>
      <c r="M2547" s="60">
        <v>65</v>
      </c>
      <c r="N2547" s="312">
        <v>65</v>
      </c>
      <c r="O2547" s="60">
        <v>14</v>
      </c>
      <c r="P2547" s="312">
        <v>9</v>
      </c>
      <c r="Q2547" s="182">
        <f t="shared" si="3141"/>
        <v>0.26442307692307693</v>
      </c>
      <c r="R2547" s="182">
        <f t="shared" si="3142"/>
        <v>0.3125</v>
      </c>
      <c r="S2547" s="183">
        <f t="shared" si="3143"/>
        <v>4.3269230769230768E-2</v>
      </c>
      <c r="T2547" s="183">
        <f t="shared" si="3144"/>
        <v>6.7307692307692304E-2</v>
      </c>
      <c r="U2547" s="184">
        <f t="shared" si="3140"/>
        <v>0.6875</v>
      </c>
      <c r="V2547" s="385"/>
    </row>
    <row r="2548" spans="2:22" ht="15.75" hidden="1" x14ac:dyDescent="0.2">
      <c r="B2548" s="711">
        <v>46244</v>
      </c>
      <c r="C2548" s="711" t="s">
        <v>105</v>
      </c>
      <c r="D2548" s="711" t="s">
        <v>13</v>
      </c>
      <c r="E2548" s="711">
        <v>46244</v>
      </c>
      <c r="G2548" s="810"/>
      <c r="H2548" s="60" t="s">
        <v>17</v>
      </c>
      <c r="I2548" s="60" t="s">
        <v>105</v>
      </c>
      <c r="J2548" s="60">
        <v>120</v>
      </c>
      <c r="K2548" s="60">
        <v>0</v>
      </c>
      <c r="L2548" s="60">
        <v>0</v>
      </c>
      <c r="M2548" s="60">
        <v>96</v>
      </c>
      <c r="N2548" s="312">
        <v>0</v>
      </c>
      <c r="O2548" s="60">
        <v>21</v>
      </c>
      <c r="P2548" s="312">
        <v>3</v>
      </c>
      <c r="Q2548" s="182">
        <f t="shared" si="3141"/>
        <v>0</v>
      </c>
      <c r="R2548" s="182">
        <f t="shared" si="3142"/>
        <v>0</v>
      </c>
      <c r="S2548" s="183">
        <f t="shared" si="3143"/>
        <v>2.5000000000000001E-2</v>
      </c>
      <c r="T2548" s="183">
        <f t="shared" si="3144"/>
        <v>0.17499999999999999</v>
      </c>
      <c r="U2548" s="184">
        <f t="shared" si="3140"/>
        <v>0.19999999999999998</v>
      </c>
      <c r="V2548" s="385"/>
    </row>
    <row r="2549" spans="2:22" ht="15.75" hidden="1" x14ac:dyDescent="0.2">
      <c r="B2549" s="711">
        <v>46244</v>
      </c>
      <c r="C2549" s="711" t="s">
        <v>105</v>
      </c>
      <c r="D2549" s="711" t="s">
        <v>13</v>
      </c>
      <c r="E2549" s="711">
        <v>46244</v>
      </c>
      <c r="G2549" s="810"/>
      <c r="H2549" s="60" t="s">
        <v>118</v>
      </c>
      <c r="I2549" s="60" t="s">
        <v>105</v>
      </c>
      <c r="J2549" s="60">
        <v>194</v>
      </c>
      <c r="K2549" s="60">
        <v>0</v>
      </c>
      <c r="L2549" s="60">
        <v>0</v>
      </c>
      <c r="M2549" s="60">
        <v>194</v>
      </c>
      <c r="N2549" s="312">
        <v>0</v>
      </c>
      <c r="O2549" s="60">
        <v>16</v>
      </c>
      <c r="P2549" s="312">
        <v>20</v>
      </c>
      <c r="Q2549" s="182">
        <f t="shared" si="3141"/>
        <v>0</v>
      </c>
      <c r="R2549" s="182">
        <f t="shared" si="3142"/>
        <v>0</v>
      </c>
      <c r="S2549" s="183">
        <f t="shared" si="3143"/>
        <v>0.10309278350515463</v>
      </c>
      <c r="T2549" s="183">
        <f t="shared" si="3144"/>
        <v>8.247422680412371E-2</v>
      </c>
      <c r="U2549" s="184">
        <f t="shared" ref="U2549:U2554" si="3145">S2549+R2549+Q2549+T2549</f>
        <v>0.18556701030927836</v>
      </c>
      <c r="V2549" s="385"/>
    </row>
    <row r="2550" spans="2:22" ht="15.75" hidden="1" x14ac:dyDescent="0.2">
      <c r="B2550" s="711">
        <v>46244</v>
      </c>
      <c r="C2550" s="711" t="s">
        <v>105</v>
      </c>
      <c r="D2550" s="711" t="s">
        <v>13</v>
      </c>
      <c r="E2550" s="711">
        <v>46244</v>
      </c>
      <c r="G2550" s="811"/>
      <c r="H2550" s="60" t="s">
        <v>32</v>
      </c>
      <c r="I2550" s="60" t="s">
        <v>105</v>
      </c>
      <c r="J2550" s="60">
        <v>76</v>
      </c>
      <c r="K2550" s="60">
        <v>0</v>
      </c>
      <c r="L2550" s="60">
        <v>0</v>
      </c>
      <c r="M2550" s="60">
        <v>64</v>
      </c>
      <c r="N2550" s="312">
        <v>0</v>
      </c>
      <c r="O2550" s="60">
        <v>3</v>
      </c>
      <c r="P2550" s="312">
        <v>9</v>
      </c>
      <c r="Q2550" s="182">
        <f t="shared" si="3141"/>
        <v>0</v>
      </c>
      <c r="R2550" s="182">
        <f t="shared" si="3142"/>
        <v>0</v>
      </c>
      <c r="S2550" s="183">
        <f t="shared" si="3143"/>
        <v>0.11842105263157894</v>
      </c>
      <c r="T2550" s="183">
        <f t="shared" si="3144"/>
        <v>3.9473684210526314E-2</v>
      </c>
      <c r="U2550" s="184">
        <f t="shared" si="3145"/>
        <v>0.15789473684210525</v>
      </c>
      <c r="V2550" s="385"/>
    </row>
    <row r="2551" spans="2:22" ht="15.75" hidden="1" x14ac:dyDescent="0.2">
      <c r="B2551" s="711">
        <v>46244</v>
      </c>
      <c r="C2551" s="711" t="s">
        <v>105</v>
      </c>
      <c r="D2551" s="711" t="s">
        <v>13</v>
      </c>
      <c r="E2551" s="711">
        <v>46244</v>
      </c>
      <c r="G2551" s="396"/>
      <c r="H2551" s="775" t="s">
        <v>19</v>
      </c>
      <c r="I2551" s="777"/>
      <c r="J2551" s="190">
        <f>SUM(J2542:J2550)</f>
        <v>1828</v>
      </c>
      <c r="K2551" s="190">
        <f t="shared" ref="K2551:L2551" si="3146">SUM(K2542:K2550)</f>
        <v>641</v>
      </c>
      <c r="L2551" s="190">
        <f t="shared" si="3146"/>
        <v>268</v>
      </c>
      <c r="M2551" s="190">
        <f t="shared" ref="M2551" si="3147">SUM(M2542:M2550)</f>
        <v>602</v>
      </c>
      <c r="N2551" s="190">
        <f t="shared" ref="N2551" si="3148">SUM(N2542:N2550)</f>
        <v>135</v>
      </c>
      <c r="O2551" s="190">
        <f t="shared" ref="O2551" si="3149">SUM(O2542:O2550)</f>
        <v>142</v>
      </c>
      <c r="P2551" s="190">
        <f t="shared" ref="P2551" si="3150">SUM(P2542:P2550)</f>
        <v>76</v>
      </c>
      <c r="Q2551" s="481">
        <f t="shared" si="3141"/>
        <v>0.4972647702407002</v>
      </c>
      <c r="R2551" s="481">
        <f t="shared" si="3142"/>
        <v>7.3851203501094087E-2</v>
      </c>
      <c r="S2551" s="482">
        <f t="shared" si="3143"/>
        <v>4.1575492341356671E-2</v>
      </c>
      <c r="T2551" s="482">
        <f t="shared" si="3144"/>
        <v>7.7680525164113792E-2</v>
      </c>
      <c r="U2551" s="483">
        <f t="shared" si="3145"/>
        <v>0.69037199124726478</v>
      </c>
      <c r="V2551" s="479"/>
    </row>
    <row r="2552" spans="2:22" ht="15.75" hidden="1" x14ac:dyDescent="0.2">
      <c r="B2552" s="711">
        <v>46245</v>
      </c>
      <c r="C2552" s="711" t="s">
        <v>106</v>
      </c>
      <c r="D2552" s="711" t="s">
        <v>192</v>
      </c>
      <c r="E2552" s="711">
        <v>46244</v>
      </c>
      <c r="G2552" s="778">
        <v>46245</v>
      </c>
      <c r="H2552" s="60" t="s">
        <v>16</v>
      </c>
      <c r="I2552" s="60" t="s">
        <v>112</v>
      </c>
      <c r="J2552" s="60">
        <f>SUM(K2552:P2552)</f>
        <v>244</v>
      </c>
      <c r="K2552" s="60">
        <v>137</v>
      </c>
      <c r="L2552" s="60">
        <v>60</v>
      </c>
      <c r="M2552" s="60">
        <v>0</v>
      </c>
      <c r="N2552" s="312">
        <v>21</v>
      </c>
      <c r="O2552" s="60">
        <v>20</v>
      </c>
      <c r="P2552" s="312">
        <v>6</v>
      </c>
      <c r="Q2552" s="182">
        <f t="shared" si="3141"/>
        <v>0.80737704918032782</v>
      </c>
      <c r="R2552" s="182">
        <f t="shared" si="3142"/>
        <v>8.6065573770491802E-2</v>
      </c>
      <c r="S2552" s="183">
        <f t="shared" si="3143"/>
        <v>2.4590163934426229E-2</v>
      </c>
      <c r="T2552" s="183">
        <f t="shared" si="3144"/>
        <v>8.1967213114754092E-2</v>
      </c>
      <c r="U2552" s="184">
        <f t="shared" si="3145"/>
        <v>0.99999999999999989</v>
      </c>
      <c r="V2552" s="385"/>
    </row>
    <row r="2553" spans="2:22" ht="15.75" hidden="1" x14ac:dyDescent="0.2">
      <c r="B2553" s="711">
        <v>46245</v>
      </c>
      <c r="C2553" s="711" t="s">
        <v>106</v>
      </c>
      <c r="D2553" s="711" t="s">
        <v>192</v>
      </c>
      <c r="E2553" s="711">
        <v>46244</v>
      </c>
      <c r="G2553" s="786"/>
      <c r="H2553" s="60" t="s">
        <v>14</v>
      </c>
      <c r="I2553" s="60" t="s">
        <v>106</v>
      </c>
      <c r="J2553" s="60">
        <f t="shared" ref="J2553:J2556" si="3151">SUM(K2553:P2553)</f>
        <v>119</v>
      </c>
      <c r="K2553" s="60">
        <v>96</v>
      </c>
      <c r="L2553" s="60">
        <v>15</v>
      </c>
      <c r="M2553" s="60">
        <v>0</v>
      </c>
      <c r="N2553" s="312">
        <v>0</v>
      </c>
      <c r="O2553" s="60">
        <v>0</v>
      </c>
      <c r="P2553" s="312">
        <v>8</v>
      </c>
      <c r="Q2553" s="182">
        <f t="shared" si="3141"/>
        <v>0.9327731092436975</v>
      </c>
      <c r="R2553" s="182">
        <f t="shared" si="3142"/>
        <v>0</v>
      </c>
      <c r="S2553" s="183">
        <f t="shared" si="3143"/>
        <v>6.7226890756302518E-2</v>
      </c>
      <c r="T2553" s="183">
        <f t="shared" si="3144"/>
        <v>0</v>
      </c>
      <c r="U2553" s="184">
        <f t="shared" si="3145"/>
        <v>1</v>
      </c>
      <c r="V2553" s="385"/>
    </row>
    <row r="2554" spans="2:22" ht="15.75" hidden="1" x14ac:dyDescent="0.2">
      <c r="B2554" s="711">
        <v>46245</v>
      </c>
      <c r="C2554" s="711" t="s">
        <v>106</v>
      </c>
      <c r="D2554" s="711" t="s">
        <v>192</v>
      </c>
      <c r="E2554" s="711">
        <v>46244</v>
      </c>
      <c r="G2554" s="786"/>
      <c r="H2554" s="60" t="s">
        <v>180</v>
      </c>
      <c r="I2554" s="60" t="s">
        <v>106</v>
      </c>
      <c r="J2554" s="60">
        <f t="shared" si="3151"/>
        <v>9</v>
      </c>
      <c r="K2554" s="60">
        <v>9</v>
      </c>
      <c r="L2554" s="60">
        <v>0</v>
      </c>
      <c r="M2554" s="60">
        <v>0</v>
      </c>
      <c r="N2554" s="312">
        <v>0</v>
      </c>
      <c r="O2554" s="60">
        <v>0</v>
      </c>
      <c r="P2554" s="312">
        <v>0</v>
      </c>
      <c r="Q2554" s="182">
        <f t="shared" si="3141"/>
        <v>1</v>
      </c>
      <c r="R2554" s="182">
        <f t="shared" si="3142"/>
        <v>0</v>
      </c>
      <c r="S2554" s="183">
        <f t="shared" si="3143"/>
        <v>0</v>
      </c>
      <c r="T2554" s="183">
        <f t="shared" si="3144"/>
        <v>0</v>
      </c>
      <c r="U2554" s="184">
        <f t="shared" si="3145"/>
        <v>1</v>
      </c>
      <c r="V2554" s="385"/>
    </row>
    <row r="2555" spans="2:22" ht="15.75" hidden="1" x14ac:dyDescent="0.2">
      <c r="B2555" s="711">
        <v>46245</v>
      </c>
      <c r="C2555" s="711" t="s">
        <v>106</v>
      </c>
      <c r="D2555" s="711" t="s">
        <v>192</v>
      </c>
      <c r="E2555" s="711">
        <v>46244</v>
      </c>
      <c r="G2555" s="786"/>
      <c r="H2555" s="60" t="s">
        <v>118</v>
      </c>
      <c r="I2555" s="60" t="s">
        <v>105</v>
      </c>
      <c r="J2555" s="60">
        <f t="shared" si="3151"/>
        <v>194</v>
      </c>
      <c r="K2555" s="60">
        <v>77</v>
      </c>
      <c r="L2555" s="60">
        <v>7</v>
      </c>
      <c r="M2555" s="60">
        <f>43-16</f>
        <v>27</v>
      </c>
      <c r="N2555" s="312">
        <v>47</v>
      </c>
      <c r="O2555" s="60">
        <v>16</v>
      </c>
      <c r="P2555" s="312">
        <v>20</v>
      </c>
      <c r="Q2555" s="182">
        <f t="shared" si="3141"/>
        <v>0.4329896907216495</v>
      </c>
      <c r="R2555" s="182">
        <f t="shared" si="3142"/>
        <v>0.2422680412371134</v>
      </c>
      <c r="S2555" s="183">
        <f t="shared" si="3143"/>
        <v>0.10309278350515463</v>
      </c>
      <c r="T2555" s="183">
        <f t="shared" si="3144"/>
        <v>8.247422680412371E-2</v>
      </c>
      <c r="U2555" s="184">
        <f>S2555+R2555+Q2555+T2555</f>
        <v>0.86082474226804129</v>
      </c>
      <c r="V2555" s="385"/>
    </row>
    <row r="2556" spans="2:22" ht="15.75" hidden="1" x14ac:dyDescent="0.2">
      <c r="B2556" s="711">
        <v>46245</v>
      </c>
      <c r="C2556" s="711" t="s">
        <v>106</v>
      </c>
      <c r="D2556" s="711" t="s">
        <v>192</v>
      </c>
      <c r="E2556" s="711">
        <v>46244</v>
      </c>
      <c r="G2556" s="786"/>
      <c r="H2556" s="60" t="s">
        <v>17</v>
      </c>
      <c r="I2556" s="60" t="s">
        <v>105</v>
      </c>
      <c r="J2556" s="60">
        <f t="shared" si="3151"/>
        <v>121</v>
      </c>
      <c r="K2556" s="60">
        <v>12</v>
      </c>
      <c r="L2556" s="60">
        <v>0</v>
      </c>
      <c r="M2556" s="60">
        <f>54-21</f>
        <v>33</v>
      </c>
      <c r="N2556" s="312">
        <v>52</v>
      </c>
      <c r="O2556" s="60">
        <v>21</v>
      </c>
      <c r="P2556" s="312">
        <v>3</v>
      </c>
      <c r="Q2556" s="182">
        <f t="shared" si="3141"/>
        <v>9.9173553719008267E-2</v>
      </c>
      <c r="R2556" s="182">
        <f t="shared" si="3142"/>
        <v>0.42975206611570249</v>
      </c>
      <c r="S2556" s="183">
        <f t="shared" si="3143"/>
        <v>2.4793388429752067E-2</v>
      </c>
      <c r="T2556" s="183">
        <f t="shared" si="3144"/>
        <v>0.17355371900826447</v>
      </c>
      <c r="U2556" s="184">
        <f t="shared" ref="U2556:U2559" si="3152">S2556+R2556+Q2556+T2556</f>
        <v>0.72727272727272729</v>
      </c>
      <c r="V2556" s="385"/>
    </row>
    <row r="2557" spans="2:22" ht="15.75" hidden="1" x14ac:dyDescent="0.2">
      <c r="B2557" s="711">
        <v>46245</v>
      </c>
      <c r="C2557" s="711" t="s">
        <v>106</v>
      </c>
      <c r="D2557" s="711" t="s">
        <v>192</v>
      </c>
      <c r="E2557" s="711">
        <v>46244</v>
      </c>
      <c r="G2557" s="779"/>
      <c r="H2557" s="60" t="s">
        <v>32</v>
      </c>
      <c r="I2557" s="60" t="s">
        <v>105</v>
      </c>
      <c r="J2557" s="60">
        <v>236</v>
      </c>
      <c r="K2557" s="60">
        <v>0</v>
      </c>
      <c r="L2557" s="60">
        <v>0</v>
      </c>
      <c r="M2557" s="60">
        <v>61</v>
      </c>
      <c r="N2557" s="312">
        <v>0</v>
      </c>
      <c r="O2557" s="60">
        <v>3</v>
      </c>
      <c r="P2557" s="312">
        <v>12</v>
      </c>
      <c r="Q2557" s="182">
        <f t="shared" si="3141"/>
        <v>0</v>
      </c>
      <c r="R2557" s="182">
        <f t="shared" si="3142"/>
        <v>0</v>
      </c>
      <c r="S2557" s="183">
        <f t="shared" si="3143"/>
        <v>5.0847457627118647E-2</v>
      </c>
      <c r="T2557" s="183">
        <f t="shared" si="3144"/>
        <v>1.2711864406779662E-2</v>
      </c>
      <c r="U2557" s="184">
        <f t="shared" si="3152"/>
        <v>6.3559322033898302E-2</v>
      </c>
      <c r="V2557" s="385"/>
    </row>
    <row r="2558" spans="2:22" ht="15.75" hidden="1" x14ac:dyDescent="0.2">
      <c r="B2558" s="711">
        <v>46245</v>
      </c>
      <c r="C2558" s="711" t="s">
        <v>106</v>
      </c>
      <c r="D2558" s="711" t="s">
        <v>192</v>
      </c>
      <c r="E2558" s="711">
        <v>46244</v>
      </c>
      <c r="G2558" s="396"/>
      <c r="H2558" s="775" t="s">
        <v>19</v>
      </c>
      <c r="I2558" s="777"/>
      <c r="J2558" s="190">
        <f t="shared" ref="J2558:P2558" si="3153">SUM(J2552:J2557)</f>
        <v>923</v>
      </c>
      <c r="K2558" s="190">
        <f t="shared" si="3153"/>
        <v>331</v>
      </c>
      <c r="L2558" s="190">
        <f t="shared" si="3153"/>
        <v>82</v>
      </c>
      <c r="M2558" s="190">
        <f t="shared" si="3153"/>
        <v>121</v>
      </c>
      <c r="N2558" s="190">
        <f t="shared" si="3153"/>
        <v>120</v>
      </c>
      <c r="O2558" s="190">
        <f t="shared" si="3153"/>
        <v>60</v>
      </c>
      <c r="P2558" s="190">
        <f t="shared" si="3153"/>
        <v>49</v>
      </c>
      <c r="Q2558" s="481">
        <f t="shared" si="3141"/>
        <v>0.44745395449620801</v>
      </c>
      <c r="R2558" s="481">
        <f t="shared" si="3142"/>
        <v>0.13001083423618634</v>
      </c>
      <c r="S2558" s="482">
        <f t="shared" si="3143"/>
        <v>5.3087757313109427E-2</v>
      </c>
      <c r="T2558" s="482">
        <f t="shared" si="3144"/>
        <v>6.500541711809317E-2</v>
      </c>
      <c r="U2558" s="483">
        <f t="shared" si="3152"/>
        <v>0.69555796316359686</v>
      </c>
      <c r="V2558" s="479"/>
    </row>
    <row r="2559" spans="2:22" ht="15.75" hidden="1" x14ac:dyDescent="0.2">
      <c r="B2559" s="711">
        <v>46245</v>
      </c>
      <c r="C2559" s="711" t="s">
        <v>105</v>
      </c>
      <c r="D2559" s="711" t="s">
        <v>13</v>
      </c>
      <c r="E2559" s="711">
        <v>46245</v>
      </c>
      <c r="G2559" s="778">
        <v>46245</v>
      </c>
      <c r="H2559" s="60" t="s">
        <v>16</v>
      </c>
      <c r="I2559" s="60" t="s">
        <v>112</v>
      </c>
      <c r="J2559" s="60">
        <f>SUM(K2559:P2559)</f>
        <v>237</v>
      </c>
      <c r="K2559" s="60">
        <v>137</v>
      </c>
      <c r="L2559" s="60">
        <v>75</v>
      </c>
      <c r="M2559" s="60">
        <v>0</v>
      </c>
      <c r="N2559" s="312">
        <v>0</v>
      </c>
      <c r="O2559" s="60">
        <v>20</v>
      </c>
      <c r="P2559" s="312">
        <v>5</v>
      </c>
      <c r="Q2559" s="182">
        <f t="shared" ref="Q2559:Q2562" si="3154">(K2559+L2559)/J2559</f>
        <v>0.89451476793248941</v>
      </c>
      <c r="R2559" s="182">
        <f t="shared" ref="R2559:R2562" si="3155">N2559/J2559</f>
        <v>0</v>
      </c>
      <c r="S2559" s="183">
        <f t="shared" ref="S2559:S2562" si="3156">P2559/J2559</f>
        <v>2.1097046413502109E-2</v>
      </c>
      <c r="T2559" s="183">
        <f t="shared" ref="T2559:T2562" si="3157">O2559/J2559</f>
        <v>8.4388185654008435E-2</v>
      </c>
      <c r="U2559" s="184">
        <f t="shared" si="3152"/>
        <v>0.99999999999999989</v>
      </c>
      <c r="V2559" s="385"/>
    </row>
    <row r="2560" spans="2:22" ht="15.75" hidden="1" x14ac:dyDescent="0.2">
      <c r="B2560" s="711">
        <v>46245</v>
      </c>
      <c r="C2560" s="711" t="s">
        <v>105</v>
      </c>
      <c r="D2560" s="711" t="s">
        <v>13</v>
      </c>
      <c r="E2560" s="711">
        <v>46245</v>
      </c>
      <c r="G2560" s="786"/>
      <c r="H2560" s="60" t="s">
        <v>118</v>
      </c>
      <c r="I2560" s="60" t="s">
        <v>105</v>
      </c>
      <c r="J2560" s="60">
        <v>194</v>
      </c>
      <c r="K2560" s="60">
        <v>154</v>
      </c>
      <c r="L2560" s="60">
        <v>23</v>
      </c>
      <c r="M2560" s="60">
        <v>0</v>
      </c>
      <c r="N2560" s="312">
        <v>0</v>
      </c>
      <c r="O2560" s="60">
        <v>16</v>
      </c>
      <c r="P2560" s="312">
        <v>11</v>
      </c>
      <c r="Q2560" s="182">
        <f t="shared" si="3154"/>
        <v>0.91237113402061853</v>
      </c>
      <c r="R2560" s="182">
        <f t="shared" si="3155"/>
        <v>0</v>
      </c>
      <c r="S2560" s="183">
        <f t="shared" si="3156"/>
        <v>5.6701030927835051E-2</v>
      </c>
      <c r="T2560" s="183">
        <f t="shared" si="3157"/>
        <v>8.247422680412371E-2</v>
      </c>
      <c r="U2560" s="184">
        <f>S2560+R2560+Q2560+T2560</f>
        <v>1.0515463917525774</v>
      </c>
      <c r="V2560" s="385"/>
    </row>
    <row r="2561" spans="2:22" ht="15.75" hidden="1" x14ac:dyDescent="0.2">
      <c r="B2561" s="711">
        <v>46245</v>
      </c>
      <c r="C2561" s="711" t="s">
        <v>105</v>
      </c>
      <c r="D2561" s="711" t="s">
        <v>13</v>
      </c>
      <c r="E2561" s="711">
        <v>46245</v>
      </c>
      <c r="G2561" s="786"/>
      <c r="H2561" s="60" t="s">
        <v>17</v>
      </c>
      <c r="I2561" s="60" t="s">
        <v>105</v>
      </c>
      <c r="J2561" s="60">
        <v>120</v>
      </c>
      <c r="K2561" s="60">
        <v>86</v>
      </c>
      <c r="L2561" s="60">
        <v>10</v>
      </c>
      <c r="M2561" s="60">
        <v>0</v>
      </c>
      <c r="N2561" s="312">
        <v>0</v>
      </c>
      <c r="O2561" s="60">
        <v>21</v>
      </c>
      <c r="P2561" s="312">
        <v>3</v>
      </c>
      <c r="Q2561" s="182">
        <f t="shared" si="3154"/>
        <v>0.8</v>
      </c>
      <c r="R2561" s="182">
        <f t="shared" si="3155"/>
        <v>0</v>
      </c>
      <c r="S2561" s="183">
        <f t="shared" si="3156"/>
        <v>2.5000000000000001E-2</v>
      </c>
      <c r="T2561" s="183">
        <f t="shared" si="3157"/>
        <v>0.17499999999999999</v>
      </c>
      <c r="U2561" s="184">
        <f t="shared" ref="U2561:U2565" si="3158">S2561+R2561+Q2561+T2561</f>
        <v>1</v>
      </c>
      <c r="V2561" s="385"/>
    </row>
    <row r="2562" spans="2:22" ht="15.75" hidden="1" x14ac:dyDescent="0.2">
      <c r="B2562" s="711">
        <v>46245</v>
      </c>
      <c r="C2562" s="711" t="s">
        <v>105</v>
      </c>
      <c r="D2562" s="711" t="s">
        <v>13</v>
      </c>
      <c r="E2562" s="711">
        <v>46245</v>
      </c>
      <c r="G2562" s="779"/>
      <c r="H2562" s="60" t="s">
        <v>32</v>
      </c>
      <c r="I2562" s="60" t="s">
        <v>105</v>
      </c>
      <c r="J2562" s="60">
        <v>392</v>
      </c>
      <c r="K2562" s="60">
        <v>265</v>
      </c>
      <c r="L2562" s="60">
        <v>55</v>
      </c>
      <c r="M2562" s="60">
        <v>47</v>
      </c>
      <c r="N2562" s="312">
        <v>0</v>
      </c>
      <c r="O2562" s="60">
        <v>13</v>
      </c>
      <c r="P2562" s="312">
        <v>12</v>
      </c>
      <c r="Q2562" s="182">
        <f t="shared" si="3154"/>
        <v>0.81632653061224492</v>
      </c>
      <c r="R2562" s="182">
        <f t="shared" si="3155"/>
        <v>0</v>
      </c>
      <c r="S2562" s="183">
        <f t="shared" si="3156"/>
        <v>3.0612244897959183E-2</v>
      </c>
      <c r="T2562" s="183">
        <f t="shared" si="3157"/>
        <v>3.3163265306122451E-2</v>
      </c>
      <c r="U2562" s="184">
        <f t="shared" si="3158"/>
        <v>0.88010204081632659</v>
      </c>
      <c r="V2562" s="385"/>
    </row>
    <row r="2563" spans="2:22" ht="15.75" hidden="1" x14ac:dyDescent="0.2">
      <c r="B2563" s="711">
        <v>46245</v>
      </c>
      <c r="C2563" s="711" t="s">
        <v>105</v>
      </c>
      <c r="D2563" s="711" t="s">
        <v>13</v>
      </c>
      <c r="E2563" s="711">
        <v>46246</v>
      </c>
      <c r="G2563" s="809">
        <v>46246</v>
      </c>
      <c r="H2563" s="486" t="s">
        <v>16</v>
      </c>
      <c r="I2563" s="486" t="s">
        <v>112</v>
      </c>
      <c r="J2563" s="486">
        <v>256</v>
      </c>
      <c r="K2563" s="486">
        <v>16</v>
      </c>
      <c r="L2563" s="486">
        <v>10</v>
      </c>
      <c r="M2563" s="486">
        <f>256-161</f>
        <v>95</v>
      </c>
      <c r="N2563" s="487">
        <v>100</v>
      </c>
      <c r="O2563" s="486">
        <v>20</v>
      </c>
      <c r="P2563" s="487">
        <v>15</v>
      </c>
      <c r="Q2563" s="488">
        <f t="shared" ref="Q2563:Q2577" si="3159">(K2563+L2563)/J2563</f>
        <v>0.1015625</v>
      </c>
      <c r="R2563" s="488">
        <f t="shared" ref="R2563:R2577" si="3160">N2563/J2563</f>
        <v>0.390625</v>
      </c>
      <c r="S2563" s="489">
        <f t="shared" ref="S2563:S2577" si="3161">P2563/J2563</f>
        <v>5.859375E-2</v>
      </c>
      <c r="T2563" s="489">
        <f t="shared" ref="T2563:T2577" si="3162">O2563/J2563</f>
        <v>7.8125E-2</v>
      </c>
      <c r="U2563" s="490">
        <f t="shared" si="3158"/>
        <v>0.62890625</v>
      </c>
      <c r="V2563" s="491"/>
    </row>
    <row r="2564" spans="2:22" ht="15.75" hidden="1" x14ac:dyDescent="0.2">
      <c r="B2564" s="711">
        <v>46245</v>
      </c>
      <c r="C2564" s="711" t="s">
        <v>105</v>
      </c>
      <c r="D2564" s="711" t="s">
        <v>13</v>
      </c>
      <c r="E2564" s="711">
        <v>46246</v>
      </c>
      <c r="G2564" s="810"/>
      <c r="H2564" s="486" t="s">
        <v>14</v>
      </c>
      <c r="I2564" s="486" t="s">
        <v>106</v>
      </c>
      <c r="J2564" s="486">
        <v>197</v>
      </c>
      <c r="K2564" s="486">
        <v>41</v>
      </c>
      <c r="L2564" s="486">
        <v>16</v>
      </c>
      <c r="M2564" s="486">
        <f>197-142</f>
        <v>55</v>
      </c>
      <c r="N2564" s="487">
        <v>67</v>
      </c>
      <c r="O2564" s="486">
        <v>14</v>
      </c>
      <c r="P2564" s="487">
        <v>4</v>
      </c>
      <c r="Q2564" s="488">
        <f t="shared" si="3159"/>
        <v>0.28934010152284262</v>
      </c>
      <c r="R2564" s="488">
        <f t="shared" si="3160"/>
        <v>0.34010152284263961</v>
      </c>
      <c r="S2564" s="489">
        <f t="shared" si="3161"/>
        <v>2.030456852791878E-2</v>
      </c>
      <c r="T2564" s="489">
        <f t="shared" si="3162"/>
        <v>7.1065989847715741E-2</v>
      </c>
      <c r="U2564" s="490">
        <f t="shared" si="3158"/>
        <v>0.72081218274111669</v>
      </c>
      <c r="V2564" s="491"/>
    </row>
    <row r="2565" spans="2:22" ht="15.75" hidden="1" x14ac:dyDescent="0.2">
      <c r="B2565" s="711">
        <v>46245</v>
      </c>
      <c r="C2565" s="711" t="s">
        <v>105</v>
      </c>
      <c r="D2565" s="711" t="s">
        <v>13</v>
      </c>
      <c r="E2565" s="711">
        <v>46246</v>
      </c>
      <c r="G2565" s="810"/>
      <c r="H2565" s="486" t="s">
        <v>180</v>
      </c>
      <c r="I2565" s="486" t="s">
        <v>106</v>
      </c>
      <c r="J2565" s="486">
        <v>122</v>
      </c>
      <c r="K2565" s="486">
        <v>0</v>
      </c>
      <c r="L2565" s="486">
        <v>0</v>
      </c>
      <c r="M2565" s="486">
        <v>117</v>
      </c>
      <c r="N2565" s="487">
        <v>0</v>
      </c>
      <c r="O2565" s="486">
        <v>0</v>
      </c>
      <c r="P2565" s="487">
        <v>5</v>
      </c>
      <c r="Q2565" s="488">
        <f t="shared" si="3159"/>
        <v>0</v>
      </c>
      <c r="R2565" s="488">
        <f t="shared" si="3160"/>
        <v>0</v>
      </c>
      <c r="S2565" s="489">
        <f t="shared" si="3161"/>
        <v>4.0983606557377046E-2</v>
      </c>
      <c r="T2565" s="489">
        <f t="shared" si="3162"/>
        <v>0</v>
      </c>
      <c r="U2565" s="490">
        <f t="shared" si="3158"/>
        <v>4.0983606557377046E-2</v>
      </c>
      <c r="V2565" s="491"/>
    </row>
    <row r="2566" spans="2:22" ht="15.75" hidden="1" x14ac:dyDescent="0.2">
      <c r="B2566" s="711">
        <v>46245</v>
      </c>
      <c r="C2566" s="711" t="s">
        <v>105</v>
      </c>
      <c r="D2566" s="711" t="s">
        <v>13</v>
      </c>
      <c r="E2566" s="711">
        <v>46246</v>
      </c>
      <c r="G2566" s="810"/>
      <c r="H2566" s="486" t="s">
        <v>17</v>
      </c>
      <c r="I2566" s="486" t="s">
        <v>105</v>
      </c>
      <c r="J2566" s="486">
        <v>155</v>
      </c>
      <c r="K2566" s="486">
        <v>0</v>
      </c>
      <c r="L2566" s="486">
        <v>0</v>
      </c>
      <c r="M2566" s="486">
        <v>152</v>
      </c>
      <c r="N2566" s="487">
        <v>0</v>
      </c>
      <c r="O2566" s="486">
        <v>0</v>
      </c>
      <c r="P2566" s="487">
        <v>3</v>
      </c>
      <c r="Q2566" s="488">
        <f t="shared" si="3159"/>
        <v>0</v>
      </c>
      <c r="R2566" s="488">
        <f t="shared" si="3160"/>
        <v>0</v>
      </c>
      <c r="S2566" s="489">
        <f t="shared" si="3161"/>
        <v>1.935483870967742E-2</v>
      </c>
      <c r="T2566" s="489">
        <f t="shared" si="3162"/>
        <v>0</v>
      </c>
      <c r="U2566" s="490">
        <f t="shared" ref="U2566:U2571" si="3163">S2566+R2566+Q2566+T2566</f>
        <v>1.935483870967742E-2</v>
      </c>
      <c r="V2566" s="491"/>
    </row>
    <row r="2567" spans="2:22" ht="15.75" hidden="1" x14ac:dyDescent="0.2">
      <c r="B2567" s="711">
        <v>46245</v>
      </c>
      <c r="C2567" s="711" t="s">
        <v>105</v>
      </c>
      <c r="D2567" s="711" t="s">
        <v>13</v>
      </c>
      <c r="E2567" s="711">
        <v>46246</v>
      </c>
      <c r="G2567" s="811"/>
      <c r="H2567" s="486" t="s">
        <v>32</v>
      </c>
      <c r="I2567" s="486" t="s">
        <v>105</v>
      </c>
      <c r="J2567" s="486">
        <v>29</v>
      </c>
      <c r="K2567" s="486">
        <v>0</v>
      </c>
      <c r="L2567" s="486">
        <v>0</v>
      </c>
      <c r="M2567" s="486">
        <v>29</v>
      </c>
      <c r="N2567" s="487">
        <v>0</v>
      </c>
      <c r="O2567" s="486">
        <v>0</v>
      </c>
      <c r="P2567" s="487">
        <v>0</v>
      </c>
      <c r="Q2567" s="488">
        <f t="shared" si="3159"/>
        <v>0</v>
      </c>
      <c r="R2567" s="488">
        <f t="shared" si="3160"/>
        <v>0</v>
      </c>
      <c r="S2567" s="489">
        <f t="shared" si="3161"/>
        <v>0</v>
      </c>
      <c r="T2567" s="489">
        <f t="shared" si="3162"/>
        <v>0</v>
      </c>
      <c r="U2567" s="490">
        <f t="shared" si="3163"/>
        <v>0</v>
      </c>
      <c r="V2567" s="491"/>
    </row>
    <row r="2568" spans="2:22" ht="15.75" hidden="1" x14ac:dyDescent="0.2">
      <c r="B2568" s="711">
        <v>46245</v>
      </c>
      <c r="C2568" s="711" t="s">
        <v>105</v>
      </c>
      <c r="D2568" s="711" t="s">
        <v>13</v>
      </c>
      <c r="E2568" s="711">
        <v>46246</v>
      </c>
      <c r="G2568" s="396"/>
      <c r="H2568" s="775" t="s">
        <v>19</v>
      </c>
      <c r="I2568" s="777"/>
      <c r="J2568" s="190">
        <f>SUM(J2559:J2567)</f>
        <v>1702</v>
      </c>
      <c r="K2568" s="190">
        <f t="shared" ref="K2568:P2568" si="3164">SUM(K2559:K2567)</f>
        <v>699</v>
      </c>
      <c r="L2568" s="190">
        <f t="shared" si="3164"/>
        <v>189</v>
      </c>
      <c r="M2568" s="190">
        <f t="shared" si="3164"/>
        <v>495</v>
      </c>
      <c r="N2568" s="190">
        <f t="shared" si="3164"/>
        <v>167</v>
      </c>
      <c r="O2568" s="190">
        <f t="shared" si="3164"/>
        <v>104</v>
      </c>
      <c r="P2568" s="190">
        <f t="shared" si="3164"/>
        <v>58</v>
      </c>
      <c r="Q2568" s="481">
        <f t="shared" si="3159"/>
        <v>0.52173913043478259</v>
      </c>
      <c r="R2568" s="481">
        <f t="shared" si="3160"/>
        <v>9.8119858989424213E-2</v>
      </c>
      <c r="S2568" s="482">
        <f t="shared" si="3161"/>
        <v>3.4077555816686249E-2</v>
      </c>
      <c r="T2568" s="482">
        <f t="shared" si="3162"/>
        <v>6.1104582843713277E-2</v>
      </c>
      <c r="U2568" s="483">
        <f t="shared" si="3163"/>
        <v>0.71504112808460629</v>
      </c>
      <c r="V2568" s="479"/>
    </row>
    <row r="2569" spans="2:22" ht="15.75" hidden="1" x14ac:dyDescent="0.2">
      <c r="B2569" s="711">
        <v>46246</v>
      </c>
      <c r="C2569" s="711" t="s">
        <v>106</v>
      </c>
      <c r="D2569" s="711" t="s">
        <v>192</v>
      </c>
      <c r="E2569" s="711">
        <v>46246</v>
      </c>
      <c r="G2569" s="778">
        <v>46246</v>
      </c>
      <c r="H2569" s="60" t="s">
        <v>16</v>
      </c>
      <c r="I2569" s="60" t="s">
        <v>112</v>
      </c>
      <c r="J2569" s="60">
        <f>SUM(K2569:P2569)</f>
        <v>252</v>
      </c>
      <c r="K2569" s="60">
        <v>122</v>
      </c>
      <c r="L2569" s="60">
        <v>80</v>
      </c>
      <c r="M2569" s="60">
        <v>0</v>
      </c>
      <c r="N2569" s="312">
        <v>16</v>
      </c>
      <c r="O2569" s="60">
        <v>20</v>
      </c>
      <c r="P2569" s="312">
        <v>14</v>
      </c>
      <c r="Q2569" s="182">
        <f t="shared" si="3159"/>
        <v>0.80158730158730163</v>
      </c>
      <c r="R2569" s="182">
        <f t="shared" si="3160"/>
        <v>6.3492063492063489E-2</v>
      </c>
      <c r="S2569" s="183">
        <f t="shared" si="3161"/>
        <v>5.5555555555555552E-2</v>
      </c>
      <c r="T2569" s="183">
        <f t="shared" si="3162"/>
        <v>7.9365079365079361E-2</v>
      </c>
      <c r="U2569" s="184">
        <f t="shared" si="3163"/>
        <v>1</v>
      </c>
      <c r="V2569" s="385"/>
    </row>
    <row r="2570" spans="2:22" ht="15.75" hidden="1" x14ac:dyDescent="0.2">
      <c r="B2570" s="711">
        <v>46246</v>
      </c>
      <c r="C2570" s="711" t="s">
        <v>106</v>
      </c>
      <c r="D2570" s="711" t="s">
        <v>192</v>
      </c>
      <c r="E2570" s="711">
        <v>46246</v>
      </c>
      <c r="G2570" s="786"/>
      <c r="H2570" s="60" t="s">
        <v>14</v>
      </c>
      <c r="I2570" s="60" t="s">
        <v>106</v>
      </c>
      <c r="J2570" s="60">
        <f t="shared" ref="J2570:J2574" si="3165">SUM(K2570:P2570)</f>
        <v>158</v>
      </c>
      <c r="K2570" s="60">
        <v>125</v>
      </c>
      <c r="L2570" s="60">
        <v>29</v>
      </c>
      <c r="M2570" s="60">
        <v>0</v>
      </c>
      <c r="N2570" s="312">
        <v>0</v>
      </c>
      <c r="O2570" s="60">
        <v>0</v>
      </c>
      <c r="P2570" s="312">
        <v>4</v>
      </c>
      <c r="Q2570" s="182">
        <f t="shared" si="3159"/>
        <v>0.97468354430379744</v>
      </c>
      <c r="R2570" s="182">
        <f t="shared" si="3160"/>
        <v>0</v>
      </c>
      <c r="S2570" s="183">
        <f t="shared" si="3161"/>
        <v>2.5316455696202531E-2</v>
      </c>
      <c r="T2570" s="183">
        <f t="shared" si="3162"/>
        <v>0</v>
      </c>
      <c r="U2570" s="184">
        <f t="shared" si="3163"/>
        <v>1</v>
      </c>
      <c r="V2570" s="385"/>
    </row>
    <row r="2571" spans="2:22" ht="15.75" hidden="1" x14ac:dyDescent="0.2">
      <c r="B2571" s="711">
        <v>46246</v>
      </c>
      <c r="C2571" s="711" t="s">
        <v>106</v>
      </c>
      <c r="D2571" s="711" t="s">
        <v>192</v>
      </c>
      <c r="E2571" s="711">
        <v>46246</v>
      </c>
      <c r="G2571" s="786"/>
      <c r="H2571" s="60" t="s">
        <v>180</v>
      </c>
      <c r="I2571" s="60" t="s">
        <v>106</v>
      </c>
      <c r="J2571" s="60">
        <f t="shared" si="3165"/>
        <v>123</v>
      </c>
      <c r="K2571" s="60">
        <v>115</v>
      </c>
      <c r="L2571" s="60">
        <v>3</v>
      </c>
      <c r="M2571" s="60">
        <v>0</v>
      </c>
      <c r="N2571" s="312">
        <v>0</v>
      </c>
      <c r="O2571" s="60">
        <v>0</v>
      </c>
      <c r="P2571" s="312">
        <v>5</v>
      </c>
      <c r="Q2571" s="182">
        <f t="shared" si="3159"/>
        <v>0.95934959349593496</v>
      </c>
      <c r="R2571" s="182">
        <f t="shared" si="3160"/>
        <v>0</v>
      </c>
      <c r="S2571" s="183">
        <f t="shared" si="3161"/>
        <v>4.065040650406504E-2</v>
      </c>
      <c r="T2571" s="183">
        <f t="shared" si="3162"/>
        <v>0</v>
      </c>
      <c r="U2571" s="184">
        <f t="shared" si="3163"/>
        <v>1</v>
      </c>
      <c r="V2571" s="385"/>
    </row>
    <row r="2572" spans="2:22" ht="15.75" hidden="1" x14ac:dyDescent="0.2">
      <c r="B2572" s="711">
        <v>46246</v>
      </c>
      <c r="C2572" s="711" t="s">
        <v>106</v>
      </c>
      <c r="D2572" s="711" t="s">
        <v>192</v>
      </c>
      <c r="E2572" s="711">
        <v>46246</v>
      </c>
      <c r="G2572" s="786"/>
      <c r="H2572" s="60" t="s">
        <v>118</v>
      </c>
      <c r="I2572" s="60" t="s">
        <v>106</v>
      </c>
      <c r="J2572" s="60">
        <f t="shared" si="3165"/>
        <v>2</v>
      </c>
      <c r="K2572" s="60">
        <v>2</v>
      </c>
      <c r="L2572" s="60">
        <v>0</v>
      </c>
      <c r="M2572" s="60">
        <v>0</v>
      </c>
      <c r="N2572" s="312">
        <v>0</v>
      </c>
      <c r="O2572" s="60">
        <v>0</v>
      </c>
      <c r="P2572" s="312">
        <v>0</v>
      </c>
      <c r="Q2572" s="182">
        <f t="shared" ref="Q2572:Q2573" si="3166">(K2572+L2572)/J2572</f>
        <v>1</v>
      </c>
      <c r="R2572" s="182">
        <f t="shared" ref="R2572:R2573" si="3167">N2572/J2572</f>
        <v>0</v>
      </c>
      <c r="S2572" s="183">
        <f t="shared" ref="S2572:S2573" si="3168">P2572/J2572</f>
        <v>0</v>
      </c>
      <c r="T2572" s="183">
        <f t="shared" ref="T2572:T2573" si="3169">O2572/J2572</f>
        <v>0</v>
      </c>
      <c r="U2572" s="184">
        <f t="shared" ref="U2572:U2573" si="3170">S2572+R2572+Q2572+T2572</f>
        <v>1</v>
      </c>
      <c r="V2572" s="385"/>
    </row>
    <row r="2573" spans="2:22" ht="15.75" hidden="1" x14ac:dyDescent="0.2">
      <c r="B2573" s="711">
        <v>46246</v>
      </c>
      <c r="C2573" s="711" t="s">
        <v>106</v>
      </c>
      <c r="D2573" s="711" t="s">
        <v>192</v>
      </c>
      <c r="E2573" s="711">
        <v>46246</v>
      </c>
      <c r="G2573" s="786"/>
      <c r="H2573" s="60" t="s">
        <v>32</v>
      </c>
      <c r="I2573" s="60" t="s">
        <v>105</v>
      </c>
      <c r="J2573" s="60">
        <f t="shared" si="3165"/>
        <v>2</v>
      </c>
      <c r="K2573" s="60">
        <v>2</v>
      </c>
      <c r="L2573" s="60">
        <v>0</v>
      </c>
      <c r="M2573" s="60">
        <v>0</v>
      </c>
      <c r="N2573" s="312">
        <v>0</v>
      </c>
      <c r="O2573" s="60">
        <v>0</v>
      </c>
      <c r="P2573" s="312">
        <v>0</v>
      </c>
      <c r="Q2573" s="182">
        <f t="shared" si="3166"/>
        <v>1</v>
      </c>
      <c r="R2573" s="182">
        <f t="shared" si="3167"/>
        <v>0</v>
      </c>
      <c r="S2573" s="183">
        <f t="shared" si="3168"/>
        <v>0</v>
      </c>
      <c r="T2573" s="183">
        <f t="shared" si="3169"/>
        <v>0</v>
      </c>
      <c r="U2573" s="184">
        <f t="shared" si="3170"/>
        <v>1</v>
      </c>
      <c r="V2573" s="385"/>
    </row>
    <row r="2574" spans="2:22" ht="15.75" hidden="1" x14ac:dyDescent="0.2">
      <c r="B2574" s="711">
        <v>46246</v>
      </c>
      <c r="C2574" s="711" t="s">
        <v>106</v>
      </c>
      <c r="D2574" s="711" t="s">
        <v>192</v>
      </c>
      <c r="E2574" s="711">
        <v>46246</v>
      </c>
      <c r="G2574" s="786"/>
      <c r="H2574" s="60" t="s">
        <v>109</v>
      </c>
      <c r="I2574" s="60" t="s">
        <v>106</v>
      </c>
      <c r="J2574" s="60">
        <f t="shared" si="3165"/>
        <v>4</v>
      </c>
      <c r="K2574" s="60">
        <v>4</v>
      </c>
      <c r="L2574" s="60">
        <v>0</v>
      </c>
      <c r="M2574" s="60">
        <v>0</v>
      </c>
      <c r="N2574" s="312">
        <v>0</v>
      </c>
      <c r="O2574" s="60">
        <v>0</v>
      </c>
      <c r="P2574" s="312">
        <v>0</v>
      </c>
      <c r="Q2574" s="182">
        <f t="shared" si="3159"/>
        <v>1</v>
      </c>
      <c r="R2574" s="182">
        <f t="shared" si="3160"/>
        <v>0</v>
      </c>
      <c r="S2574" s="183">
        <f t="shared" si="3161"/>
        <v>0</v>
      </c>
      <c r="T2574" s="183">
        <f t="shared" si="3162"/>
        <v>0</v>
      </c>
      <c r="U2574" s="184">
        <f t="shared" ref="U2574:U2584" si="3171">S2574+R2574+Q2574+T2574</f>
        <v>1</v>
      </c>
      <c r="V2574" s="385"/>
    </row>
    <row r="2575" spans="2:22" ht="15.75" hidden="1" x14ac:dyDescent="0.2">
      <c r="B2575" s="711">
        <v>46246</v>
      </c>
      <c r="C2575" s="711" t="s">
        <v>106</v>
      </c>
      <c r="D2575" s="711" t="s">
        <v>192</v>
      </c>
      <c r="E2575" s="711">
        <v>46246</v>
      </c>
      <c r="G2575" s="779"/>
      <c r="H2575" s="60" t="s">
        <v>17</v>
      </c>
      <c r="I2575" s="60" t="s">
        <v>105</v>
      </c>
      <c r="J2575" s="60">
        <v>236</v>
      </c>
      <c r="K2575" s="60">
        <v>54</v>
      </c>
      <c r="L2575" s="60">
        <v>9</v>
      </c>
      <c r="M2575" s="60">
        <f>49-25</f>
        <v>24</v>
      </c>
      <c r="N2575" s="312">
        <v>37</v>
      </c>
      <c r="O2575" s="60">
        <v>25</v>
      </c>
      <c r="P2575" s="312">
        <v>3</v>
      </c>
      <c r="Q2575" s="182">
        <f t="shared" ref="Q2575" si="3172">(K2575+L2575)/J2575</f>
        <v>0.26694915254237289</v>
      </c>
      <c r="R2575" s="182">
        <f t="shared" ref="R2575" si="3173">N2575/J2575</f>
        <v>0.15677966101694915</v>
      </c>
      <c r="S2575" s="183">
        <f t="shared" ref="S2575" si="3174">P2575/J2575</f>
        <v>1.2711864406779662E-2</v>
      </c>
      <c r="T2575" s="183">
        <f t="shared" ref="T2575" si="3175">O2575/J2575</f>
        <v>0.1059322033898305</v>
      </c>
      <c r="U2575" s="184">
        <f t="shared" ref="U2575" si="3176">S2575+R2575+Q2575+T2575</f>
        <v>0.5423728813559322</v>
      </c>
      <c r="V2575" s="385"/>
    </row>
    <row r="2576" spans="2:22" ht="15.75" hidden="1" x14ac:dyDescent="0.2">
      <c r="B2576" s="711">
        <v>46246</v>
      </c>
      <c r="C2576" s="711" t="s">
        <v>106</v>
      </c>
      <c r="D2576" s="711" t="s">
        <v>192</v>
      </c>
      <c r="E2576" s="711">
        <v>46246</v>
      </c>
      <c r="G2576" s="700">
        <v>46247</v>
      </c>
      <c r="H2576" s="60" t="s">
        <v>14</v>
      </c>
      <c r="I2576" s="60" t="s">
        <v>22</v>
      </c>
      <c r="J2576" s="60">
        <v>179</v>
      </c>
      <c r="K2576" s="60">
        <v>0</v>
      </c>
      <c r="L2576" s="60">
        <v>0</v>
      </c>
      <c r="M2576" s="60">
        <v>11</v>
      </c>
      <c r="N2576" s="312">
        <v>33</v>
      </c>
      <c r="O2576" s="60">
        <v>12</v>
      </c>
      <c r="P2576" s="312">
        <v>5</v>
      </c>
      <c r="Q2576" s="182">
        <f t="shared" si="3159"/>
        <v>0</v>
      </c>
      <c r="R2576" s="182">
        <f t="shared" si="3160"/>
        <v>0.18435754189944134</v>
      </c>
      <c r="S2576" s="183">
        <f t="shared" si="3161"/>
        <v>2.7932960893854747E-2</v>
      </c>
      <c r="T2576" s="183">
        <f t="shared" si="3162"/>
        <v>6.7039106145251395E-2</v>
      </c>
      <c r="U2576" s="184">
        <f t="shared" si="3171"/>
        <v>0.27932960893854747</v>
      </c>
      <c r="V2576" s="385"/>
    </row>
    <row r="2577" spans="2:22" ht="15.75" hidden="1" x14ac:dyDescent="0.2">
      <c r="B2577" s="711">
        <v>46246</v>
      </c>
      <c r="C2577" s="711" t="s">
        <v>106</v>
      </c>
      <c r="D2577" s="711" t="s">
        <v>192</v>
      </c>
      <c r="E2577" s="711">
        <v>46246</v>
      </c>
      <c r="G2577" s="396"/>
      <c r="H2577" s="775" t="s">
        <v>19</v>
      </c>
      <c r="I2577" s="777"/>
      <c r="J2577" s="190">
        <f t="shared" ref="J2577:P2577" si="3177">SUM(J2569:J2576)</f>
        <v>956</v>
      </c>
      <c r="K2577" s="190">
        <f t="shared" si="3177"/>
        <v>424</v>
      </c>
      <c r="L2577" s="190">
        <f t="shared" si="3177"/>
        <v>121</v>
      </c>
      <c r="M2577" s="190">
        <f t="shared" si="3177"/>
        <v>35</v>
      </c>
      <c r="N2577" s="190">
        <f t="shared" si="3177"/>
        <v>86</v>
      </c>
      <c r="O2577" s="190">
        <f t="shared" si="3177"/>
        <v>57</v>
      </c>
      <c r="P2577" s="190">
        <f t="shared" si="3177"/>
        <v>31</v>
      </c>
      <c r="Q2577" s="481">
        <f t="shared" si="3159"/>
        <v>0.57008368200836823</v>
      </c>
      <c r="R2577" s="481">
        <f t="shared" si="3160"/>
        <v>8.9958158995815898E-2</v>
      </c>
      <c r="S2577" s="482">
        <f t="shared" si="3161"/>
        <v>3.2426778242677826E-2</v>
      </c>
      <c r="T2577" s="482">
        <f t="shared" si="3162"/>
        <v>5.9623430962343099E-2</v>
      </c>
      <c r="U2577" s="483">
        <f t="shared" si="3171"/>
        <v>0.75209205020920511</v>
      </c>
      <c r="V2577" s="479"/>
    </row>
    <row r="2578" spans="2:22" ht="15.75" hidden="1" x14ac:dyDescent="0.2">
      <c r="B2578" s="711">
        <v>46246</v>
      </c>
      <c r="C2578" s="711" t="s">
        <v>105</v>
      </c>
      <c r="D2578" s="711" t="s">
        <v>13</v>
      </c>
      <c r="E2578" s="711">
        <v>46246</v>
      </c>
      <c r="G2578" s="778">
        <v>46246</v>
      </c>
      <c r="H2578" s="60" t="s">
        <v>16</v>
      </c>
      <c r="I2578" s="60" t="s">
        <v>112</v>
      </c>
      <c r="J2578" s="60">
        <v>256</v>
      </c>
      <c r="K2578" s="60">
        <v>137</v>
      </c>
      <c r="L2578" s="60">
        <v>88</v>
      </c>
      <c r="M2578" s="60">
        <v>0</v>
      </c>
      <c r="N2578" s="494">
        <v>0</v>
      </c>
      <c r="O2578" s="60">
        <v>20</v>
      </c>
      <c r="P2578" s="494">
        <v>11</v>
      </c>
      <c r="Q2578" s="182">
        <f t="shared" ref="Q2578:Q2595" si="3178">(K2578+L2578)/J2578</f>
        <v>0.87890625</v>
      </c>
      <c r="R2578" s="182">
        <f t="shared" ref="R2578:R2595" si="3179">N2578/J2578</f>
        <v>0</v>
      </c>
      <c r="S2578" s="183">
        <f t="shared" ref="S2578:S2595" si="3180">P2578/J2578</f>
        <v>4.296875E-2</v>
      </c>
      <c r="T2578" s="183">
        <f t="shared" ref="T2578:T2595" si="3181">O2578/J2578</f>
        <v>7.8125E-2</v>
      </c>
      <c r="U2578" s="184">
        <f t="shared" si="3171"/>
        <v>1</v>
      </c>
      <c r="V2578" s="386"/>
    </row>
    <row r="2579" spans="2:22" ht="15.75" hidden="1" x14ac:dyDescent="0.2">
      <c r="B2579" s="711">
        <v>46246</v>
      </c>
      <c r="C2579" s="711" t="s">
        <v>105</v>
      </c>
      <c r="D2579" s="711" t="s">
        <v>13</v>
      </c>
      <c r="E2579" s="711">
        <v>46246</v>
      </c>
      <c r="G2579" s="786"/>
      <c r="H2579" s="60" t="s">
        <v>17</v>
      </c>
      <c r="I2579" s="60" t="s">
        <v>105</v>
      </c>
      <c r="J2579" s="60">
        <v>155</v>
      </c>
      <c r="K2579" s="60">
        <v>87</v>
      </c>
      <c r="L2579" s="60">
        <v>40</v>
      </c>
      <c r="M2579" s="60">
        <v>0</v>
      </c>
      <c r="N2579" s="494">
        <v>0</v>
      </c>
      <c r="O2579" s="60">
        <v>25</v>
      </c>
      <c r="P2579" s="494">
        <v>3</v>
      </c>
      <c r="Q2579" s="182">
        <f t="shared" si="3178"/>
        <v>0.8193548387096774</v>
      </c>
      <c r="R2579" s="182">
        <f t="shared" si="3179"/>
        <v>0</v>
      </c>
      <c r="S2579" s="183">
        <f t="shared" si="3180"/>
        <v>1.935483870967742E-2</v>
      </c>
      <c r="T2579" s="183">
        <f t="shared" si="3181"/>
        <v>0.16129032258064516</v>
      </c>
      <c r="U2579" s="184">
        <f t="shared" si="3171"/>
        <v>1</v>
      </c>
      <c r="V2579" s="386"/>
    </row>
    <row r="2580" spans="2:22" ht="15.75" hidden="1" x14ac:dyDescent="0.2">
      <c r="B2580" s="711">
        <v>46246</v>
      </c>
      <c r="C2580" s="711" t="s">
        <v>105</v>
      </c>
      <c r="D2580" s="711" t="s">
        <v>13</v>
      </c>
      <c r="E2580" s="711">
        <v>46246</v>
      </c>
      <c r="G2580" s="779"/>
      <c r="H2580" s="60" t="s">
        <v>32</v>
      </c>
      <c r="I2580" s="60" t="s">
        <v>105</v>
      </c>
      <c r="J2580" s="60">
        <v>150</v>
      </c>
      <c r="K2580" s="60">
        <v>37</v>
      </c>
      <c r="L2580" s="60">
        <v>57</v>
      </c>
      <c r="M2580" s="60">
        <v>23</v>
      </c>
      <c r="N2580" s="494">
        <v>0</v>
      </c>
      <c r="O2580" s="60">
        <v>0</v>
      </c>
      <c r="P2580" s="494">
        <v>31</v>
      </c>
      <c r="Q2580" s="182">
        <f t="shared" si="3178"/>
        <v>0.62666666666666671</v>
      </c>
      <c r="R2580" s="182">
        <f t="shared" si="3179"/>
        <v>0</v>
      </c>
      <c r="S2580" s="183">
        <f t="shared" si="3180"/>
        <v>0.20666666666666667</v>
      </c>
      <c r="T2580" s="183">
        <f t="shared" si="3181"/>
        <v>0</v>
      </c>
      <c r="U2580" s="184">
        <f t="shared" si="3171"/>
        <v>0.83333333333333337</v>
      </c>
      <c r="V2580" s="386"/>
    </row>
    <row r="2581" spans="2:22" ht="15.75" hidden="1" x14ac:dyDescent="0.2">
      <c r="B2581" s="711">
        <v>46246</v>
      </c>
      <c r="C2581" s="711" t="s">
        <v>105</v>
      </c>
      <c r="D2581" s="711" t="s">
        <v>13</v>
      </c>
      <c r="E2581" s="711">
        <v>46247</v>
      </c>
      <c r="G2581" s="816">
        <v>46247</v>
      </c>
      <c r="H2581" s="60" t="s">
        <v>16</v>
      </c>
      <c r="I2581" s="60" t="s">
        <v>112</v>
      </c>
      <c r="J2581" s="60">
        <v>249</v>
      </c>
      <c r="K2581" s="60">
        <f>249-128</f>
        <v>121</v>
      </c>
      <c r="L2581" s="60">
        <v>63</v>
      </c>
      <c r="M2581" s="60">
        <v>32</v>
      </c>
      <c r="N2581" s="494">
        <v>0</v>
      </c>
      <c r="O2581" s="60">
        <v>20</v>
      </c>
      <c r="P2581" s="494">
        <v>13</v>
      </c>
      <c r="Q2581" s="182">
        <f t="shared" si="3178"/>
        <v>0.73895582329317266</v>
      </c>
      <c r="R2581" s="182">
        <f t="shared" si="3179"/>
        <v>0</v>
      </c>
      <c r="S2581" s="183">
        <f t="shared" si="3180"/>
        <v>5.2208835341365459E-2</v>
      </c>
      <c r="T2581" s="183">
        <f t="shared" si="3181"/>
        <v>8.0321285140562249E-2</v>
      </c>
      <c r="U2581" s="184">
        <f t="shared" si="3171"/>
        <v>0.87148594377510036</v>
      </c>
      <c r="V2581" s="386"/>
    </row>
    <row r="2582" spans="2:22" ht="15.75" hidden="1" x14ac:dyDescent="0.2">
      <c r="B2582" s="711">
        <v>46246</v>
      </c>
      <c r="C2582" s="711" t="s">
        <v>105</v>
      </c>
      <c r="D2582" s="711" t="s">
        <v>13</v>
      </c>
      <c r="E2582" s="711">
        <v>46247</v>
      </c>
      <c r="G2582" s="819"/>
      <c r="H2582" s="60" t="s">
        <v>14</v>
      </c>
      <c r="I2582" s="60" t="s">
        <v>22</v>
      </c>
      <c r="J2582" s="60">
        <v>165</v>
      </c>
      <c r="K2582" s="60">
        <v>71</v>
      </c>
      <c r="L2582" s="60">
        <v>28</v>
      </c>
      <c r="M2582" s="60">
        <v>10</v>
      </c>
      <c r="N2582" s="494">
        <v>36</v>
      </c>
      <c r="O2582" s="60">
        <v>12</v>
      </c>
      <c r="P2582" s="494">
        <v>8</v>
      </c>
      <c r="Q2582" s="182">
        <f t="shared" si="3178"/>
        <v>0.6</v>
      </c>
      <c r="R2582" s="182">
        <f t="shared" si="3179"/>
        <v>0.21818181818181817</v>
      </c>
      <c r="S2582" s="183">
        <f t="shared" si="3180"/>
        <v>4.8484848484848485E-2</v>
      </c>
      <c r="T2582" s="183">
        <f t="shared" si="3181"/>
        <v>7.2727272727272724E-2</v>
      </c>
      <c r="U2582" s="184">
        <f t="shared" si="3171"/>
        <v>0.93939393939393945</v>
      </c>
      <c r="V2582" s="386"/>
    </row>
    <row r="2583" spans="2:22" ht="15.75" hidden="1" x14ac:dyDescent="0.2">
      <c r="B2583" s="711">
        <v>46246</v>
      </c>
      <c r="C2583" s="711" t="s">
        <v>105</v>
      </c>
      <c r="D2583" s="711" t="s">
        <v>13</v>
      </c>
      <c r="E2583" s="711">
        <v>46247</v>
      </c>
      <c r="G2583" s="819"/>
      <c r="H2583" s="60" t="s">
        <v>180</v>
      </c>
      <c r="I2583" s="60" t="s">
        <v>106</v>
      </c>
      <c r="J2583" s="60">
        <v>54</v>
      </c>
      <c r="K2583" s="60">
        <v>0</v>
      </c>
      <c r="L2583" s="60">
        <v>0</v>
      </c>
      <c r="M2583" s="60">
        <v>31</v>
      </c>
      <c r="N2583" s="494">
        <v>23</v>
      </c>
      <c r="O2583" s="60">
        <v>0</v>
      </c>
      <c r="P2583" s="494">
        <v>0</v>
      </c>
      <c r="Q2583" s="182">
        <f t="shared" si="3178"/>
        <v>0</v>
      </c>
      <c r="R2583" s="182">
        <f t="shared" si="3179"/>
        <v>0.42592592592592593</v>
      </c>
      <c r="S2583" s="183">
        <f t="shared" si="3180"/>
        <v>0</v>
      </c>
      <c r="T2583" s="183">
        <f t="shared" si="3181"/>
        <v>0</v>
      </c>
      <c r="U2583" s="184">
        <f t="shared" si="3171"/>
        <v>0.42592592592592593</v>
      </c>
      <c r="V2583" s="386"/>
    </row>
    <row r="2584" spans="2:22" ht="15.75" hidden="1" x14ac:dyDescent="0.2">
      <c r="B2584" s="711">
        <v>46246</v>
      </c>
      <c r="C2584" s="711" t="s">
        <v>105</v>
      </c>
      <c r="D2584" s="711" t="s">
        <v>13</v>
      </c>
      <c r="E2584" s="711">
        <v>46247</v>
      </c>
      <c r="G2584" s="817"/>
      <c r="H2584" s="60" t="s">
        <v>25</v>
      </c>
      <c r="I2584" s="60" t="s">
        <v>18</v>
      </c>
      <c r="J2584" s="60">
        <v>162</v>
      </c>
      <c r="K2584" s="60">
        <v>0</v>
      </c>
      <c r="L2584" s="60">
        <v>0</v>
      </c>
      <c r="M2584" s="60">
        <v>129</v>
      </c>
      <c r="N2584" s="494">
        <v>0</v>
      </c>
      <c r="O2584" s="60">
        <v>22</v>
      </c>
      <c r="P2584" s="494">
        <v>11</v>
      </c>
      <c r="Q2584" s="182">
        <f t="shared" si="3178"/>
        <v>0</v>
      </c>
      <c r="R2584" s="182">
        <f t="shared" si="3179"/>
        <v>0</v>
      </c>
      <c r="S2584" s="183">
        <f t="shared" si="3180"/>
        <v>6.7901234567901231E-2</v>
      </c>
      <c r="T2584" s="183">
        <f t="shared" si="3181"/>
        <v>0.13580246913580246</v>
      </c>
      <c r="U2584" s="184">
        <f t="shared" si="3171"/>
        <v>0.20370370370370369</v>
      </c>
      <c r="V2584" s="386"/>
    </row>
    <row r="2585" spans="2:22" ht="15.75" hidden="1" x14ac:dyDescent="0.2">
      <c r="B2585" s="711">
        <v>46246</v>
      </c>
      <c r="C2585" s="711" t="s">
        <v>105</v>
      </c>
      <c r="D2585" s="711" t="s">
        <v>13</v>
      </c>
      <c r="E2585" s="711">
        <v>46247</v>
      </c>
      <c r="G2585" s="396"/>
      <c r="H2585" s="775" t="s">
        <v>19</v>
      </c>
      <c r="I2585" s="777"/>
      <c r="J2585" s="190">
        <f>SUM(J2578:J2584)</f>
        <v>1191</v>
      </c>
      <c r="K2585" s="190">
        <f t="shared" ref="K2585:P2585" si="3182">SUM(K2578:K2584)</f>
        <v>453</v>
      </c>
      <c r="L2585" s="190">
        <f t="shared" si="3182"/>
        <v>276</v>
      </c>
      <c r="M2585" s="190">
        <f t="shared" si="3182"/>
        <v>225</v>
      </c>
      <c r="N2585" s="190">
        <f t="shared" si="3182"/>
        <v>59</v>
      </c>
      <c r="O2585" s="190">
        <f t="shared" si="3182"/>
        <v>99</v>
      </c>
      <c r="P2585" s="190">
        <f t="shared" si="3182"/>
        <v>77</v>
      </c>
      <c r="Q2585" s="481">
        <f t="shared" si="3178"/>
        <v>0.61209068010075562</v>
      </c>
      <c r="R2585" s="481">
        <f t="shared" si="3179"/>
        <v>4.9538203190596139E-2</v>
      </c>
      <c r="S2585" s="482">
        <f t="shared" si="3180"/>
        <v>6.4651553316540725E-2</v>
      </c>
      <c r="T2585" s="482">
        <f t="shared" si="3181"/>
        <v>8.3123425692695208E-2</v>
      </c>
      <c r="U2585" s="483">
        <f t="shared" ref="U2585:U2598" si="3183">S2585+R2585+Q2585+T2585</f>
        <v>0.8094038623005877</v>
      </c>
      <c r="V2585" s="479"/>
    </row>
    <row r="2586" spans="2:22" ht="15.75" hidden="1" x14ac:dyDescent="0.2">
      <c r="B2586" s="711">
        <v>46247</v>
      </c>
      <c r="C2586" s="711" t="s">
        <v>106</v>
      </c>
      <c r="D2586" s="711" t="s">
        <v>192</v>
      </c>
      <c r="E2586" s="711">
        <v>46247</v>
      </c>
      <c r="G2586" s="778">
        <v>46247</v>
      </c>
      <c r="H2586" s="60" t="s">
        <v>16</v>
      </c>
      <c r="I2586" s="60" t="s">
        <v>112</v>
      </c>
      <c r="J2586" s="60">
        <f>SUM(K2586:P2586)</f>
        <v>119</v>
      </c>
      <c r="K2586" s="60">
        <v>47</v>
      </c>
      <c r="L2586" s="60">
        <v>40</v>
      </c>
      <c r="M2586" s="60">
        <v>0</v>
      </c>
      <c r="N2586" s="312">
        <v>0</v>
      </c>
      <c r="O2586" s="60">
        <v>20</v>
      </c>
      <c r="P2586" s="312">
        <v>12</v>
      </c>
      <c r="Q2586" s="182">
        <f t="shared" si="3178"/>
        <v>0.73109243697478987</v>
      </c>
      <c r="R2586" s="182">
        <f t="shared" si="3179"/>
        <v>0</v>
      </c>
      <c r="S2586" s="183">
        <f t="shared" si="3180"/>
        <v>0.10084033613445378</v>
      </c>
      <c r="T2586" s="183">
        <f t="shared" si="3181"/>
        <v>0.16806722689075632</v>
      </c>
      <c r="U2586" s="184">
        <f t="shared" si="3183"/>
        <v>1</v>
      </c>
      <c r="V2586" s="385"/>
    </row>
    <row r="2587" spans="2:22" ht="15.75" hidden="1" x14ac:dyDescent="0.2">
      <c r="B2587" s="711">
        <v>46247</v>
      </c>
      <c r="C2587" s="711" t="s">
        <v>106</v>
      </c>
      <c r="D2587" s="711" t="s">
        <v>192</v>
      </c>
      <c r="E2587" s="711">
        <v>46247</v>
      </c>
      <c r="G2587" s="786"/>
      <c r="H2587" s="60" t="s">
        <v>14</v>
      </c>
      <c r="I2587" s="60" t="s">
        <v>106</v>
      </c>
      <c r="J2587" s="60">
        <f t="shared" ref="J2587:J2592" si="3184">SUM(K2587:P2587)</f>
        <v>86</v>
      </c>
      <c r="K2587" s="60">
        <v>69</v>
      </c>
      <c r="L2587" s="60">
        <v>11</v>
      </c>
      <c r="M2587" s="60">
        <v>0</v>
      </c>
      <c r="N2587" s="312">
        <v>0</v>
      </c>
      <c r="O2587" s="60">
        <v>0</v>
      </c>
      <c r="P2587" s="312">
        <v>6</v>
      </c>
      <c r="Q2587" s="182">
        <f t="shared" si="3178"/>
        <v>0.93023255813953487</v>
      </c>
      <c r="R2587" s="182">
        <f t="shared" si="3179"/>
        <v>0</v>
      </c>
      <c r="S2587" s="183">
        <f t="shared" si="3180"/>
        <v>6.9767441860465115E-2</v>
      </c>
      <c r="T2587" s="183">
        <f t="shared" si="3181"/>
        <v>0</v>
      </c>
      <c r="U2587" s="184">
        <f t="shared" si="3183"/>
        <v>1</v>
      </c>
      <c r="V2587" s="385"/>
    </row>
    <row r="2588" spans="2:22" ht="15.75" hidden="1" x14ac:dyDescent="0.2">
      <c r="B2588" s="711">
        <v>46247</v>
      </c>
      <c r="C2588" s="711" t="s">
        <v>106</v>
      </c>
      <c r="D2588" s="711" t="s">
        <v>192</v>
      </c>
      <c r="E2588" s="711">
        <v>46247</v>
      </c>
      <c r="G2588" s="786"/>
      <c r="H2588" s="60" t="s">
        <v>180</v>
      </c>
      <c r="I2588" s="60" t="s">
        <v>106</v>
      </c>
      <c r="J2588" s="60">
        <f t="shared" si="3184"/>
        <v>54</v>
      </c>
      <c r="K2588" s="60">
        <v>42</v>
      </c>
      <c r="L2588" s="60">
        <v>12</v>
      </c>
      <c r="M2588" s="60">
        <v>0</v>
      </c>
      <c r="N2588" s="312">
        <v>0</v>
      </c>
      <c r="O2588" s="60">
        <v>0</v>
      </c>
      <c r="P2588" s="312">
        <v>0</v>
      </c>
      <c r="Q2588" s="182">
        <f t="shared" si="3178"/>
        <v>1</v>
      </c>
      <c r="R2588" s="182">
        <f t="shared" si="3179"/>
        <v>0</v>
      </c>
      <c r="S2588" s="183">
        <f t="shared" si="3180"/>
        <v>0</v>
      </c>
      <c r="T2588" s="183">
        <f t="shared" si="3181"/>
        <v>0</v>
      </c>
      <c r="U2588" s="184">
        <f t="shared" si="3183"/>
        <v>1</v>
      </c>
      <c r="V2588" s="385"/>
    </row>
    <row r="2589" spans="2:22" ht="15.75" hidden="1" x14ac:dyDescent="0.2">
      <c r="B2589" s="711">
        <v>46247</v>
      </c>
      <c r="C2589" s="711" t="s">
        <v>106</v>
      </c>
      <c r="D2589" s="711" t="s">
        <v>192</v>
      </c>
      <c r="E2589" s="711">
        <v>46247</v>
      </c>
      <c r="G2589" s="786"/>
      <c r="H2589" s="60" t="s">
        <v>118</v>
      </c>
      <c r="I2589" s="60" t="s">
        <v>106</v>
      </c>
      <c r="J2589" s="60">
        <f t="shared" si="3184"/>
        <v>1</v>
      </c>
      <c r="K2589" s="60">
        <v>1</v>
      </c>
      <c r="L2589" s="60">
        <v>0</v>
      </c>
      <c r="M2589" s="60">
        <v>0</v>
      </c>
      <c r="N2589" s="312">
        <v>0</v>
      </c>
      <c r="O2589" s="60">
        <v>0</v>
      </c>
      <c r="P2589" s="312">
        <v>0</v>
      </c>
      <c r="Q2589" s="182">
        <f t="shared" si="3178"/>
        <v>1</v>
      </c>
      <c r="R2589" s="182">
        <f t="shared" si="3179"/>
        <v>0</v>
      </c>
      <c r="S2589" s="183">
        <f t="shared" si="3180"/>
        <v>0</v>
      </c>
      <c r="T2589" s="183">
        <f t="shared" si="3181"/>
        <v>0</v>
      </c>
      <c r="U2589" s="184">
        <f t="shared" si="3183"/>
        <v>1</v>
      </c>
      <c r="V2589" s="385"/>
    </row>
    <row r="2590" spans="2:22" ht="15.75" hidden="1" x14ac:dyDescent="0.2">
      <c r="B2590" s="711">
        <v>46247</v>
      </c>
      <c r="C2590" s="711" t="s">
        <v>106</v>
      </c>
      <c r="D2590" s="711" t="s">
        <v>192</v>
      </c>
      <c r="E2590" s="711">
        <v>46247</v>
      </c>
      <c r="G2590" s="786"/>
      <c r="H2590" s="60" t="s">
        <v>120</v>
      </c>
      <c r="I2590" s="60" t="s">
        <v>106</v>
      </c>
      <c r="J2590" s="60">
        <f t="shared" si="3184"/>
        <v>9</v>
      </c>
      <c r="K2590" s="60">
        <v>9</v>
      </c>
      <c r="L2590" s="60">
        <v>0</v>
      </c>
      <c r="M2590" s="60">
        <v>0</v>
      </c>
      <c r="N2590" s="312">
        <v>0</v>
      </c>
      <c r="O2590" s="60">
        <v>0</v>
      </c>
      <c r="P2590" s="312">
        <v>0</v>
      </c>
      <c r="Q2590" s="182">
        <f t="shared" ref="Q2590" si="3185">(K2590+L2590)/J2590</f>
        <v>1</v>
      </c>
      <c r="R2590" s="182">
        <f t="shared" ref="R2590" si="3186">N2590/J2590</f>
        <v>0</v>
      </c>
      <c r="S2590" s="183">
        <f t="shared" ref="S2590" si="3187">P2590/J2590</f>
        <v>0</v>
      </c>
      <c r="T2590" s="183">
        <f t="shared" ref="T2590" si="3188">O2590/J2590</f>
        <v>0</v>
      </c>
      <c r="U2590" s="184">
        <f t="shared" ref="U2590" si="3189">S2590+R2590+Q2590+T2590</f>
        <v>1</v>
      </c>
      <c r="V2590" s="385"/>
    </row>
    <row r="2591" spans="2:22" ht="15.75" hidden="1" x14ac:dyDescent="0.2">
      <c r="B2591" s="711">
        <v>46247</v>
      </c>
      <c r="C2591" s="711" t="s">
        <v>106</v>
      </c>
      <c r="D2591" s="711" t="s">
        <v>192</v>
      </c>
      <c r="E2591" s="711">
        <v>46247</v>
      </c>
      <c r="G2591" s="786"/>
      <c r="H2591" s="60" t="s">
        <v>32</v>
      </c>
      <c r="I2591" s="60" t="s">
        <v>105</v>
      </c>
      <c r="J2591" s="60">
        <f t="shared" si="3184"/>
        <v>20</v>
      </c>
      <c r="K2591" s="60">
        <v>0</v>
      </c>
      <c r="L2591" s="60">
        <v>0</v>
      </c>
      <c r="M2591" s="60">
        <v>0</v>
      </c>
      <c r="N2591" s="312">
        <v>20</v>
      </c>
      <c r="O2591" s="60">
        <v>0</v>
      </c>
      <c r="P2591" s="312">
        <v>0</v>
      </c>
      <c r="Q2591" s="182">
        <f t="shared" si="3178"/>
        <v>0</v>
      </c>
      <c r="R2591" s="182">
        <f t="shared" si="3179"/>
        <v>1</v>
      </c>
      <c r="S2591" s="183">
        <f t="shared" si="3180"/>
        <v>0</v>
      </c>
      <c r="T2591" s="183">
        <f t="shared" si="3181"/>
        <v>0</v>
      </c>
      <c r="U2591" s="184">
        <f t="shared" si="3183"/>
        <v>1</v>
      </c>
      <c r="V2591" s="385"/>
    </row>
    <row r="2592" spans="2:22" ht="15.75" hidden="1" x14ac:dyDescent="0.2">
      <c r="B2592" s="711">
        <v>46247</v>
      </c>
      <c r="C2592" s="711" t="s">
        <v>106</v>
      </c>
      <c r="D2592" s="711" t="s">
        <v>192</v>
      </c>
      <c r="E2592" s="711">
        <v>46247</v>
      </c>
      <c r="G2592" s="786"/>
      <c r="H2592" s="60" t="s">
        <v>17</v>
      </c>
      <c r="I2592" s="60" t="s">
        <v>106</v>
      </c>
      <c r="J2592" s="60">
        <f t="shared" si="3184"/>
        <v>2</v>
      </c>
      <c r="K2592" s="60">
        <v>2</v>
      </c>
      <c r="L2592" s="60">
        <v>0</v>
      </c>
      <c r="M2592" s="60">
        <v>0</v>
      </c>
      <c r="N2592" s="312">
        <v>0</v>
      </c>
      <c r="O2592" s="60">
        <v>0</v>
      </c>
      <c r="P2592" s="312">
        <v>0</v>
      </c>
      <c r="Q2592" s="182">
        <f t="shared" si="3178"/>
        <v>1</v>
      </c>
      <c r="R2592" s="182">
        <f t="shared" si="3179"/>
        <v>0</v>
      </c>
      <c r="S2592" s="183">
        <f t="shared" si="3180"/>
        <v>0</v>
      </c>
      <c r="T2592" s="183">
        <f t="shared" si="3181"/>
        <v>0</v>
      </c>
      <c r="U2592" s="184">
        <f t="shared" si="3183"/>
        <v>1</v>
      </c>
      <c r="V2592" s="385"/>
    </row>
    <row r="2593" spans="2:22" ht="15.75" hidden="1" x14ac:dyDescent="0.2">
      <c r="B2593" s="711">
        <v>46247</v>
      </c>
      <c r="C2593" s="711" t="s">
        <v>106</v>
      </c>
      <c r="D2593" s="711" t="s">
        <v>192</v>
      </c>
      <c r="E2593" s="711">
        <v>46247</v>
      </c>
      <c r="G2593" s="779"/>
      <c r="H2593" s="60" t="s">
        <v>25</v>
      </c>
      <c r="I2593" s="60" t="s">
        <v>105</v>
      </c>
      <c r="J2593" s="60">
        <v>162</v>
      </c>
      <c r="K2593" s="60">
        <v>76</v>
      </c>
      <c r="L2593" s="60">
        <v>13</v>
      </c>
      <c r="M2593" s="60">
        <v>0</v>
      </c>
      <c r="N2593" s="312">
        <v>36</v>
      </c>
      <c r="O2593" s="60">
        <v>22</v>
      </c>
      <c r="P2593" s="312">
        <v>11</v>
      </c>
      <c r="Q2593" s="182">
        <f t="shared" si="3178"/>
        <v>0.54938271604938271</v>
      </c>
      <c r="R2593" s="182">
        <f t="shared" si="3179"/>
        <v>0.22222222222222221</v>
      </c>
      <c r="S2593" s="183">
        <f t="shared" si="3180"/>
        <v>6.7901234567901231E-2</v>
      </c>
      <c r="T2593" s="183">
        <f t="shared" si="3181"/>
        <v>0.13580246913580246</v>
      </c>
      <c r="U2593" s="184">
        <f t="shared" si="3183"/>
        <v>0.97530864197530853</v>
      </c>
      <c r="V2593" s="385"/>
    </row>
    <row r="2594" spans="2:22" ht="15.75" hidden="1" x14ac:dyDescent="0.2">
      <c r="B2594" s="711">
        <v>46247</v>
      </c>
      <c r="C2594" s="711" t="s">
        <v>106</v>
      </c>
      <c r="D2594" s="711" t="s">
        <v>192</v>
      </c>
      <c r="E2594" s="711">
        <v>46247</v>
      </c>
      <c r="G2594" s="700">
        <v>46248</v>
      </c>
      <c r="H2594" s="60" t="s">
        <v>16</v>
      </c>
      <c r="I2594" s="60" t="s">
        <v>106</v>
      </c>
      <c r="J2594" s="60">
        <v>240</v>
      </c>
      <c r="K2594" s="60">
        <v>0</v>
      </c>
      <c r="L2594" s="60">
        <v>0</v>
      </c>
      <c r="M2594" s="60">
        <v>135</v>
      </c>
      <c r="N2594" s="312">
        <v>59</v>
      </c>
      <c r="O2594" s="60">
        <v>20</v>
      </c>
      <c r="P2594" s="312">
        <v>16</v>
      </c>
      <c r="Q2594" s="182">
        <f t="shared" si="3178"/>
        <v>0</v>
      </c>
      <c r="R2594" s="182">
        <f t="shared" si="3179"/>
        <v>0.24583333333333332</v>
      </c>
      <c r="S2594" s="183">
        <f t="shared" si="3180"/>
        <v>6.6666666666666666E-2</v>
      </c>
      <c r="T2594" s="183">
        <f t="shared" si="3181"/>
        <v>8.3333333333333329E-2</v>
      </c>
      <c r="U2594" s="184">
        <f t="shared" si="3183"/>
        <v>0.39583333333333331</v>
      </c>
      <c r="V2594" s="385"/>
    </row>
    <row r="2595" spans="2:22" ht="15.75" hidden="1" x14ac:dyDescent="0.2">
      <c r="B2595" s="711">
        <v>46247</v>
      </c>
      <c r="C2595" s="711" t="s">
        <v>106</v>
      </c>
      <c r="D2595" s="711" t="s">
        <v>192</v>
      </c>
      <c r="E2595" s="711">
        <v>46247</v>
      </c>
      <c r="G2595" s="396"/>
      <c r="H2595" s="775" t="s">
        <v>19</v>
      </c>
      <c r="I2595" s="777"/>
      <c r="J2595" s="190">
        <f t="shared" ref="J2595:P2595" si="3190">SUM(J2586:J2594)</f>
        <v>693</v>
      </c>
      <c r="K2595" s="190">
        <f t="shared" si="3190"/>
        <v>246</v>
      </c>
      <c r="L2595" s="190">
        <f t="shared" si="3190"/>
        <v>76</v>
      </c>
      <c r="M2595" s="190">
        <f t="shared" si="3190"/>
        <v>135</v>
      </c>
      <c r="N2595" s="190">
        <f t="shared" si="3190"/>
        <v>115</v>
      </c>
      <c r="O2595" s="190">
        <f t="shared" si="3190"/>
        <v>62</v>
      </c>
      <c r="P2595" s="190">
        <f t="shared" si="3190"/>
        <v>45</v>
      </c>
      <c r="Q2595" s="481">
        <f t="shared" si="3178"/>
        <v>0.46464646464646464</v>
      </c>
      <c r="R2595" s="481">
        <f t="shared" si="3179"/>
        <v>0.16594516594516595</v>
      </c>
      <c r="S2595" s="482">
        <f t="shared" si="3180"/>
        <v>6.4935064935064929E-2</v>
      </c>
      <c r="T2595" s="482">
        <f t="shared" si="3181"/>
        <v>8.9466089466089471E-2</v>
      </c>
      <c r="U2595" s="483">
        <f t="shared" si="3183"/>
        <v>0.78499278499278502</v>
      </c>
      <c r="V2595" s="479"/>
    </row>
    <row r="2596" spans="2:22" ht="15.75" hidden="1" x14ac:dyDescent="0.2">
      <c r="B2596" s="711">
        <v>46247</v>
      </c>
      <c r="C2596" s="711" t="s">
        <v>105</v>
      </c>
      <c r="D2596" s="711" t="s">
        <v>13</v>
      </c>
      <c r="E2596" s="711">
        <v>46247</v>
      </c>
      <c r="G2596" s="778">
        <v>46247</v>
      </c>
      <c r="H2596" s="60" t="s">
        <v>16</v>
      </c>
      <c r="I2596" s="60" t="s">
        <v>112</v>
      </c>
      <c r="J2596" s="60">
        <v>249</v>
      </c>
      <c r="K2596" s="60">
        <v>138</v>
      </c>
      <c r="L2596" s="60">
        <v>80</v>
      </c>
      <c r="M2596" s="60">
        <v>0</v>
      </c>
      <c r="N2596" s="494">
        <v>0</v>
      </c>
      <c r="O2596" s="60">
        <v>20</v>
      </c>
      <c r="P2596" s="494">
        <v>11</v>
      </c>
      <c r="Q2596" s="182">
        <f t="shared" ref="Q2596:Q2598" si="3191">(K2596+L2596)/J2596</f>
        <v>0.87550200803212852</v>
      </c>
      <c r="R2596" s="182">
        <f t="shared" ref="R2596:R2598" si="3192">N2596/J2596</f>
        <v>0</v>
      </c>
      <c r="S2596" s="183">
        <f t="shared" ref="S2596:S2598" si="3193">P2596/J2596</f>
        <v>4.4176706827309238E-2</v>
      </c>
      <c r="T2596" s="183">
        <f t="shared" ref="T2596:T2598" si="3194">O2596/J2596</f>
        <v>8.0321285140562249E-2</v>
      </c>
      <c r="U2596" s="184">
        <f t="shared" si="3183"/>
        <v>1</v>
      </c>
      <c r="V2596" s="386"/>
    </row>
    <row r="2597" spans="2:22" ht="15.75" hidden="1" x14ac:dyDescent="0.2">
      <c r="B2597" s="711">
        <v>46247</v>
      </c>
      <c r="C2597" s="711" t="s">
        <v>105</v>
      </c>
      <c r="D2597" s="711" t="s">
        <v>13</v>
      </c>
      <c r="E2597" s="711">
        <v>46247</v>
      </c>
      <c r="G2597" s="786"/>
      <c r="H2597" s="60" t="s">
        <v>32</v>
      </c>
      <c r="I2597" s="60" t="s">
        <v>105</v>
      </c>
      <c r="J2597" s="60">
        <v>64</v>
      </c>
      <c r="K2597" s="60">
        <v>31</v>
      </c>
      <c r="L2597" s="60">
        <v>7</v>
      </c>
      <c r="M2597" s="60">
        <v>0</v>
      </c>
      <c r="N2597" s="494">
        <v>0</v>
      </c>
      <c r="O2597" s="60">
        <v>0</v>
      </c>
      <c r="P2597" s="494">
        <v>26</v>
      </c>
      <c r="Q2597" s="182">
        <f t="shared" si="3191"/>
        <v>0.59375</v>
      </c>
      <c r="R2597" s="182">
        <f t="shared" si="3192"/>
        <v>0</v>
      </c>
      <c r="S2597" s="183">
        <f t="shared" si="3193"/>
        <v>0.40625</v>
      </c>
      <c r="T2597" s="183">
        <f t="shared" si="3194"/>
        <v>0</v>
      </c>
      <c r="U2597" s="184">
        <f t="shared" si="3183"/>
        <v>1</v>
      </c>
      <c r="V2597" s="386"/>
    </row>
    <row r="2598" spans="2:22" ht="15.75" hidden="1" x14ac:dyDescent="0.2">
      <c r="B2598" s="711">
        <v>46247</v>
      </c>
      <c r="C2598" s="711" t="s">
        <v>105</v>
      </c>
      <c r="D2598" s="711" t="s">
        <v>13</v>
      </c>
      <c r="E2598" s="711">
        <v>46247</v>
      </c>
      <c r="G2598" s="779"/>
      <c r="H2598" s="60" t="s">
        <v>25</v>
      </c>
      <c r="I2598" s="60" t="s">
        <v>18</v>
      </c>
      <c r="J2598" s="60">
        <v>162</v>
      </c>
      <c r="K2598" s="60">
        <f>162-59</f>
        <v>103</v>
      </c>
      <c r="L2598" s="60">
        <v>26</v>
      </c>
      <c r="M2598" s="60">
        <v>0</v>
      </c>
      <c r="N2598" s="494">
        <v>0</v>
      </c>
      <c r="O2598" s="60">
        <v>22</v>
      </c>
      <c r="P2598" s="494">
        <v>11</v>
      </c>
      <c r="Q2598" s="182">
        <f t="shared" si="3191"/>
        <v>0.79629629629629628</v>
      </c>
      <c r="R2598" s="182">
        <f t="shared" si="3192"/>
        <v>0</v>
      </c>
      <c r="S2598" s="183">
        <f t="shared" si="3193"/>
        <v>6.7901234567901231E-2</v>
      </c>
      <c r="T2598" s="183">
        <f t="shared" si="3194"/>
        <v>0.13580246913580246</v>
      </c>
      <c r="U2598" s="184">
        <f t="shared" si="3183"/>
        <v>1</v>
      </c>
      <c r="V2598" s="386"/>
    </row>
    <row r="2599" spans="2:22" ht="18" hidden="1" customHeight="1" x14ac:dyDescent="0.2">
      <c r="B2599" s="711">
        <v>46247</v>
      </c>
      <c r="C2599" s="711" t="s">
        <v>105</v>
      </c>
      <c r="D2599" s="711" t="s">
        <v>13</v>
      </c>
      <c r="E2599" s="711">
        <v>46248</v>
      </c>
      <c r="G2599" s="689">
        <v>46248</v>
      </c>
      <c r="H2599" s="60" t="s">
        <v>16</v>
      </c>
      <c r="I2599" s="60" t="s">
        <v>112</v>
      </c>
      <c r="J2599" s="60">
        <v>255</v>
      </c>
      <c r="K2599" s="60">
        <f>255-138</f>
        <v>117</v>
      </c>
      <c r="L2599" s="60">
        <v>58</v>
      </c>
      <c r="M2599" s="60">
        <v>0</v>
      </c>
      <c r="N2599" s="494">
        <v>44</v>
      </c>
      <c r="O2599" s="60">
        <v>20</v>
      </c>
      <c r="P2599" s="494">
        <v>16</v>
      </c>
      <c r="Q2599" s="182">
        <f t="shared" ref="Q2599:Q2611" si="3195">(K2599+L2599)/J2599</f>
        <v>0.68627450980392157</v>
      </c>
      <c r="R2599" s="182">
        <f t="shared" ref="R2599:R2611" si="3196">N2599/J2599</f>
        <v>0.17254901960784313</v>
      </c>
      <c r="S2599" s="183">
        <f t="shared" ref="S2599:S2611" si="3197">P2599/J2599</f>
        <v>6.2745098039215685E-2</v>
      </c>
      <c r="T2599" s="183">
        <f t="shared" ref="T2599:T2611" si="3198">O2599/J2599</f>
        <v>7.8431372549019607E-2</v>
      </c>
      <c r="U2599" s="184">
        <f t="shared" ref="U2599:U2601" si="3199">S2599+R2599+Q2599+T2599</f>
        <v>1</v>
      </c>
      <c r="V2599" s="386"/>
    </row>
    <row r="2600" spans="2:22" ht="15.75" hidden="1" x14ac:dyDescent="0.2">
      <c r="B2600" s="711">
        <v>46247</v>
      </c>
      <c r="C2600" s="711" t="s">
        <v>105</v>
      </c>
      <c r="D2600" s="711" t="s">
        <v>13</v>
      </c>
      <c r="E2600" s="711">
        <v>46249</v>
      </c>
      <c r="G2600" s="816">
        <v>46249</v>
      </c>
      <c r="H2600" s="60" t="s">
        <v>14</v>
      </c>
      <c r="I2600" s="60" t="s">
        <v>22</v>
      </c>
      <c r="J2600" s="60">
        <v>163</v>
      </c>
      <c r="K2600" s="60">
        <f>163-47</f>
        <v>116</v>
      </c>
      <c r="L2600" s="60">
        <v>22</v>
      </c>
      <c r="M2600" s="60">
        <v>10</v>
      </c>
      <c r="N2600" s="494">
        <v>0</v>
      </c>
      <c r="O2600" s="60">
        <v>10</v>
      </c>
      <c r="P2600" s="494">
        <v>5</v>
      </c>
      <c r="Q2600" s="182">
        <f t="shared" si="3195"/>
        <v>0.84662576687116564</v>
      </c>
      <c r="R2600" s="182">
        <f t="shared" si="3196"/>
        <v>0</v>
      </c>
      <c r="S2600" s="183">
        <f t="shared" si="3197"/>
        <v>3.0674846625766871E-2</v>
      </c>
      <c r="T2600" s="183">
        <f t="shared" si="3198"/>
        <v>6.1349693251533742E-2</v>
      </c>
      <c r="U2600" s="184">
        <f t="shared" si="3199"/>
        <v>0.93865030674846628</v>
      </c>
      <c r="V2600" s="386"/>
    </row>
    <row r="2601" spans="2:22" ht="15.75" hidden="1" x14ac:dyDescent="0.2">
      <c r="B2601" s="711">
        <v>46247</v>
      </c>
      <c r="C2601" s="711" t="s">
        <v>105</v>
      </c>
      <c r="D2601" s="711" t="s">
        <v>13</v>
      </c>
      <c r="E2601" s="711">
        <v>46249</v>
      </c>
      <c r="G2601" s="819"/>
      <c r="H2601" s="60" t="s">
        <v>16</v>
      </c>
      <c r="I2601" s="60" t="s">
        <v>112</v>
      </c>
      <c r="J2601" s="60">
        <v>258</v>
      </c>
      <c r="K2601" s="60">
        <v>0</v>
      </c>
      <c r="L2601" s="60">
        <v>0</v>
      </c>
      <c r="M2601" s="60">
        <v>238</v>
      </c>
      <c r="N2601" s="494">
        <v>0</v>
      </c>
      <c r="O2601" s="60">
        <v>20</v>
      </c>
      <c r="P2601" s="494">
        <v>0</v>
      </c>
      <c r="Q2601" s="182">
        <f t="shared" si="3195"/>
        <v>0</v>
      </c>
      <c r="R2601" s="182">
        <f t="shared" si="3196"/>
        <v>0</v>
      </c>
      <c r="S2601" s="183">
        <f t="shared" si="3197"/>
        <v>0</v>
      </c>
      <c r="T2601" s="183">
        <f t="shared" si="3198"/>
        <v>7.7519379844961239E-2</v>
      </c>
      <c r="U2601" s="184">
        <f t="shared" si="3199"/>
        <v>7.7519379844961239E-2</v>
      </c>
      <c r="V2601" s="386"/>
    </row>
    <row r="2602" spans="2:22" ht="15.75" hidden="1" x14ac:dyDescent="0.2">
      <c r="B2602" s="711">
        <v>46247</v>
      </c>
      <c r="C2602" s="711" t="s">
        <v>105</v>
      </c>
      <c r="D2602" s="711" t="s">
        <v>13</v>
      </c>
      <c r="E2602" s="711">
        <v>46249</v>
      </c>
      <c r="G2602" s="819"/>
      <c r="H2602" s="60" t="s">
        <v>17</v>
      </c>
      <c r="I2602" s="60" t="s">
        <v>105</v>
      </c>
      <c r="J2602" s="60">
        <v>95</v>
      </c>
      <c r="K2602" s="60">
        <v>0</v>
      </c>
      <c r="L2602" s="60">
        <v>0</v>
      </c>
      <c r="M2602" s="60">
        <v>70</v>
      </c>
      <c r="N2602" s="494">
        <v>0</v>
      </c>
      <c r="O2602" s="60">
        <v>18</v>
      </c>
      <c r="P2602" s="494">
        <v>7</v>
      </c>
      <c r="Q2602" s="182">
        <f t="shared" ref="Q2602:Q2604" si="3200">(K2602+L2602)/J2602</f>
        <v>0</v>
      </c>
      <c r="R2602" s="182">
        <f t="shared" ref="R2602:R2604" si="3201">N2602/J2602</f>
        <v>0</v>
      </c>
      <c r="S2602" s="183">
        <f t="shared" ref="S2602:S2604" si="3202">P2602/J2602</f>
        <v>7.3684210526315783E-2</v>
      </c>
      <c r="T2602" s="183">
        <f t="shared" ref="T2602:T2604" si="3203">O2602/J2602</f>
        <v>0.18947368421052632</v>
      </c>
      <c r="U2602" s="184">
        <f t="shared" ref="U2602:U2604" si="3204">S2602+R2602+Q2602+T2602</f>
        <v>0.26315789473684209</v>
      </c>
      <c r="V2602" s="386"/>
    </row>
    <row r="2603" spans="2:22" ht="15.75" hidden="1" x14ac:dyDescent="0.2">
      <c r="B2603" s="711">
        <v>46247</v>
      </c>
      <c r="C2603" s="711" t="s">
        <v>105</v>
      </c>
      <c r="D2603" s="711" t="s">
        <v>13</v>
      </c>
      <c r="E2603" s="711">
        <v>46249</v>
      </c>
      <c r="G2603" s="819"/>
      <c r="H2603" s="60" t="s">
        <v>180</v>
      </c>
      <c r="I2603" s="60" t="s">
        <v>106</v>
      </c>
      <c r="J2603" s="60">
        <v>62</v>
      </c>
      <c r="K2603" s="60">
        <v>0</v>
      </c>
      <c r="L2603" s="60">
        <v>0</v>
      </c>
      <c r="M2603" s="60">
        <v>32</v>
      </c>
      <c r="N2603" s="494">
        <v>14</v>
      </c>
      <c r="O2603" s="60">
        <v>0</v>
      </c>
      <c r="P2603" s="494">
        <v>16</v>
      </c>
      <c r="Q2603" s="182">
        <f t="shared" si="3200"/>
        <v>0</v>
      </c>
      <c r="R2603" s="182">
        <f t="shared" si="3201"/>
        <v>0.22580645161290322</v>
      </c>
      <c r="S2603" s="183">
        <f t="shared" si="3202"/>
        <v>0.25806451612903225</v>
      </c>
      <c r="T2603" s="183">
        <f t="shared" si="3203"/>
        <v>0</v>
      </c>
      <c r="U2603" s="184">
        <f t="shared" si="3204"/>
        <v>0.4838709677419355</v>
      </c>
      <c r="V2603" s="386"/>
    </row>
    <row r="2604" spans="2:22" ht="15.75" hidden="1" x14ac:dyDescent="0.2">
      <c r="B2604" s="711">
        <v>46247</v>
      </c>
      <c r="C2604" s="711" t="s">
        <v>105</v>
      </c>
      <c r="D2604" s="711" t="s">
        <v>13</v>
      </c>
      <c r="E2604" s="711">
        <v>46249</v>
      </c>
      <c r="G2604" s="817"/>
      <c r="H2604" s="60" t="s">
        <v>118</v>
      </c>
      <c r="I2604" s="60" t="s">
        <v>105</v>
      </c>
      <c r="J2604" s="60">
        <v>155</v>
      </c>
      <c r="K2604" s="60">
        <v>0</v>
      </c>
      <c r="L2604" s="60">
        <v>0</v>
      </c>
      <c r="M2604" s="60">
        <v>131</v>
      </c>
      <c r="N2604" s="494">
        <v>12</v>
      </c>
      <c r="O2604" s="60">
        <v>0</v>
      </c>
      <c r="P2604" s="494">
        <v>12</v>
      </c>
      <c r="Q2604" s="182">
        <f t="shared" si="3200"/>
        <v>0</v>
      </c>
      <c r="R2604" s="182">
        <f t="shared" si="3201"/>
        <v>7.7419354838709681E-2</v>
      </c>
      <c r="S2604" s="183">
        <f t="shared" si="3202"/>
        <v>7.7419354838709681E-2</v>
      </c>
      <c r="T2604" s="183">
        <f t="shared" si="3203"/>
        <v>0</v>
      </c>
      <c r="U2604" s="184">
        <f t="shared" si="3204"/>
        <v>0.15483870967741936</v>
      </c>
      <c r="V2604" s="386"/>
    </row>
    <row r="2605" spans="2:22" ht="15.75" hidden="1" x14ac:dyDescent="0.2">
      <c r="B2605" s="711">
        <v>46247</v>
      </c>
      <c r="C2605" s="711" t="s">
        <v>105</v>
      </c>
      <c r="D2605" s="711" t="s">
        <v>13</v>
      </c>
      <c r="E2605" s="711">
        <v>46249</v>
      </c>
      <c r="G2605" s="396"/>
      <c r="H2605" s="775" t="s">
        <v>19</v>
      </c>
      <c r="I2605" s="777"/>
      <c r="J2605" s="190">
        <f>SUM(J2596:J2604)</f>
        <v>1463</v>
      </c>
      <c r="K2605" s="190">
        <f t="shared" ref="K2605:P2605" si="3205">SUM(K2596:K2604)</f>
        <v>505</v>
      </c>
      <c r="L2605" s="190">
        <f t="shared" si="3205"/>
        <v>193</v>
      </c>
      <c r="M2605" s="190">
        <f t="shared" si="3205"/>
        <v>481</v>
      </c>
      <c r="N2605" s="190">
        <f t="shared" si="3205"/>
        <v>70</v>
      </c>
      <c r="O2605" s="190">
        <f t="shared" si="3205"/>
        <v>110</v>
      </c>
      <c r="P2605" s="190">
        <f t="shared" si="3205"/>
        <v>104</v>
      </c>
      <c r="Q2605" s="481">
        <f t="shared" si="3195"/>
        <v>0.47710184552289814</v>
      </c>
      <c r="R2605" s="481">
        <f t="shared" si="3196"/>
        <v>4.784688995215311E-2</v>
      </c>
      <c r="S2605" s="482">
        <f t="shared" si="3197"/>
        <v>7.1086807928913198E-2</v>
      </c>
      <c r="T2605" s="482">
        <f t="shared" si="3198"/>
        <v>7.5187969924812026E-2</v>
      </c>
      <c r="U2605" s="483">
        <f t="shared" ref="U2605:U2617" si="3206">S2605+R2605+Q2605+T2605</f>
        <v>0.6712235133287765</v>
      </c>
      <c r="V2605" s="479"/>
    </row>
    <row r="2606" spans="2:22" ht="15.75" hidden="1" x14ac:dyDescent="0.2">
      <c r="B2606" s="711">
        <v>46248</v>
      </c>
      <c r="C2606" s="711" t="s">
        <v>106</v>
      </c>
      <c r="D2606" s="711" t="s">
        <v>192</v>
      </c>
      <c r="E2606" s="711">
        <v>46247</v>
      </c>
      <c r="G2606" s="691">
        <v>46248</v>
      </c>
      <c r="H2606" s="60" t="s">
        <v>16</v>
      </c>
      <c r="I2606" s="60" t="s">
        <v>112</v>
      </c>
      <c r="J2606" s="60">
        <f>SUM(K2606:P2606)</f>
        <v>97</v>
      </c>
      <c r="K2606" s="60">
        <v>33</v>
      </c>
      <c r="L2606" s="60">
        <f>64-29</f>
        <v>35</v>
      </c>
      <c r="M2606" s="60">
        <v>0</v>
      </c>
      <c r="N2606" s="312">
        <v>0</v>
      </c>
      <c r="O2606" s="60">
        <v>20</v>
      </c>
      <c r="P2606" s="312">
        <v>9</v>
      </c>
      <c r="Q2606" s="182">
        <f t="shared" si="3195"/>
        <v>0.7010309278350515</v>
      </c>
      <c r="R2606" s="182">
        <f t="shared" si="3196"/>
        <v>0</v>
      </c>
      <c r="S2606" s="183">
        <f t="shared" si="3197"/>
        <v>9.2783505154639179E-2</v>
      </c>
      <c r="T2606" s="183">
        <f t="shared" si="3198"/>
        <v>0.20618556701030927</v>
      </c>
      <c r="U2606" s="184">
        <f t="shared" si="3206"/>
        <v>1</v>
      </c>
      <c r="V2606" s="385"/>
    </row>
    <row r="2607" spans="2:22" ht="15.75" hidden="1" x14ac:dyDescent="0.2">
      <c r="B2607" s="711">
        <v>46248</v>
      </c>
      <c r="C2607" s="711" t="s">
        <v>106</v>
      </c>
      <c r="D2607" s="711" t="s">
        <v>192</v>
      </c>
      <c r="E2607" s="711">
        <v>46247</v>
      </c>
      <c r="G2607" s="770">
        <v>46249</v>
      </c>
      <c r="H2607" s="60" t="s">
        <v>16</v>
      </c>
      <c r="I2607" s="60" t="s">
        <v>106</v>
      </c>
      <c r="J2607" s="60">
        <v>258</v>
      </c>
      <c r="K2607" s="60">
        <v>30</v>
      </c>
      <c r="L2607" s="60">
        <v>29</v>
      </c>
      <c r="M2607" s="60">
        <v>147</v>
      </c>
      <c r="N2607" s="312">
        <v>18</v>
      </c>
      <c r="O2607" s="60">
        <v>20</v>
      </c>
      <c r="P2607" s="312">
        <v>15</v>
      </c>
      <c r="Q2607" s="182">
        <f t="shared" si="3195"/>
        <v>0.22868217054263565</v>
      </c>
      <c r="R2607" s="182">
        <f t="shared" si="3196"/>
        <v>6.9767441860465115E-2</v>
      </c>
      <c r="S2607" s="183">
        <f t="shared" si="3197"/>
        <v>5.8139534883720929E-2</v>
      </c>
      <c r="T2607" s="183">
        <f t="shared" si="3198"/>
        <v>7.7519379844961239E-2</v>
      </c>
      <c r="U2607" s="184">
        <f t="shared" si="3206"/>
        <v>0.43410852713178294</v>
      </c>
      <c r="V2607" s="385"/>
    </row>
    <row r="2608" spans="2:22" ht="15.75" hidden="1" x14ac:dyDescent="0.2">
      <c r="B2608" s="711">
        <v>46248</v>
      </c>
      <c r="C2608" s="711" t="s">
        <v>106</v>
      </c>
      <c r="D2608" s="711" t="s">
        <v>192</v>
      </c>
      <c r="E2608" s="711">
        <v>46247</v>
      </c>
      <c r="G2608" s="771"/>
      <c r="H2608" s="60" t="s">
        <v>180</v>
      </c>
      <c r="I2608" s="60" t="s">
        <v>106</v>
      </c>
      <c r="J2608" s="60">
        <v>62</v>
      </c>
      <c r="K2608" s="60">
        <v>44</v>
      </c>
      <c r="L2608" s="60">
        <v>4</v>
      </c>
      <c r="M2608" s="60">
        <v>0</v>
      </c>
      <c r="N2608" s="312">
        <v>0</v>
      </c>
      <c r="O2608" s="60">
        <v>0</v>
      </c>
      <c r="P2608" s="312">
        <v>16</v>
      </c>
      <c r="Q2608" s="182">
        <f t="shared" si="3195"/>
        <v>0.77419354838709675</v>
      </c>
      <c r="R2608" s="182">
        <f t="shared" si="3196"/>
        <v>0</v>
      </c>
      <c r="S2608" s="183">
        <f t="shared" si="3197"/>
        <v>0.25806451612903225</v>
      </c>
      <c r="T2608" s="183">
        <f t="shared" si="3198"/>
        <v>0</v>
      </c>
      <c r="U2608" s="184">
        <f t="shared" si="3206"/>
        <v>1.032258064516129</v>
      </c>
      <c r="V2608" s="385"/>
    </row>
    <row r="2609" spans="2:22" ht="15.75" hidden="1" x14ac:dyDescent="0.2">
      <c r="B2609" s="711">
        <v>46248</v>
      </c>
      <c r="C2609" s="711" t="s">
        <v>106</v>
      </c>
      <c r="D2609" s="711" t="s">
        <v>192</v>
      </c>
      <c r="E2609" s="711">
        <v>46247</v>
      </c>
      <c r="G2609" s="771"/>
      <c r="H2609" s="60" t="s">
        <v>17</v>
      </c>
      <c r="I2609" s="60" t="s">
        <v>105</v>
      </c>
      <c r="J2609" s="60">
        <v>95</v>
      </c>
      <c r="K2609" s="60">
        <v>0</v>
      </c>
      <c r="L2609" s="60">
        <v>0</v>
      </c>
      <c r="M2609" s="60">
        <v>0</v>
      </c>
      <c r="N2609" s="312">
        <v>70</v>
      </c>
      <c r="O2609" s="60">
        <v>18</v>
      </c>
      <c r="P2609" s="312">
        <v>7</v>
      </c>
      <c r="Q2609" s="182">
        <f t="shared" si="3195"/>
        <v>0</v>
      </c>
      <c r="R2609" s="182">
        <f t="shared" si="3196"/>
        <v>0.73684210526315785</v>
      </c>
      <c r="S2609" s="183">
        <f t="shared" si="3197"/>
        <v>7.3684210526315783E-2</v>
      </c>
      <c r="T2609" s="183">
        <f t="shared" si="3198"/>
        <v>0.18947368421052632</v>
      </c>
      <c r="U2609" s="184">
        <f t="shared" si="3206"/>
        <v>1</v>
      </c>
      <c r="V2609" s="385"/>
    </row>
    <row r="2610" spans="2:22" ht="15.75" hidden="1" x14ac:dyDescent="0.2">
      <c r="B2610" s="711">
        <v>46248</v>
      </c>
      <c r="C2610" s="711" t="s">
        <v>106</v>
      </c>
      <c r="D2610" s="711" t="s">
        <v>192</v>
      </c>
      <c r="E2610" s="711">
        <v>46247</v>
      </c>
      <c r="G2610" s="772"/>
      <c r="H2610" s="60" t="s">
        <v>118</v>
      </c>
      <c r="I2610" s="60" t="s">
        <v>105</v>
      </c>
      <c r="J2610" s="60">
        <v>155</v>
      </c>
      <c r="K2610" s="60">
        <v>0</v>
      </c>
      <c r="L2610" s="60">
        <v>0</v>
      </c>
      <c r="M2610" s="60">
        <v>0</v>
      </c>
      <c r="N2610" s="312">
        <v>131</v>
      </c>
      <c r="O2610" s="60">
        <v>12</v>
      </c>
      <c r="P2610" s="312">
        <v>12</v>
      </c>
      <c r="Q2610" s="182">
        <f t="shared" si="3195"/>
        <v>0</v>
      </c>
      <c r="R2610" s="182">
        <f t="shared" si="3196"/>
        <v>0.84516129032258069</v>
      </c>
      <c r="S2610" s="183">
        <f t="shared" si="3197"/>
        <v>7.7419354838709681E-2</v>
      </c>
      <c r="T2610" s="183">
        <f t="shared" si="3198"/>
        <v>7.7419354838709681E-2</v>
      </c>
      <c r="U2610" s="184">
        <f t="shared" si="3206"/>
        <v>1</v>
      </c>
      <c r="V2610" s="385"/>
    </row>
    <row r="2611" spans="2:22" ht="15.75" hidden="1" x14ac:dyDescent="0.2">
      <c r="B2611" s="711">
        <v>46248</v>
      </c>
      <c r="C2611" s="711" t="s">
        <v>106</v>
      </c>
      <c r="D2611" s="711" t="s">
        <v>192</v>
      </c>
      <c r="E2611" s="711">
        <v>46247</v>
      </c>
      <c r="G2611" s="396"/>
      <c r="H2611" s="775" t="s">
        <v>19</v>
      </c>
      <c r="I2611" s="777"/>
      <c r="J2611" s="190">
        <f t="shared" ref="J2611:P2611" si="3207">SUM(J2606:J2610)</f>
        <v>667</v>
      </c>
      <c r="K2611" s="190">
        <f t="shared" si="3207"/>
        <v>107</v>
      </c>
      <c r="L2611" s="190">
        <f t="shared" si="3207"/>
        <v>68</v>
      </c>
      <c r="M2611" s="190">
        <f t="shared" si="3207"/>
        <v>147</v>
      </c>
      <c r="N2611" s="190">
        <f t="shared" si="3207"/>
        <v>219</v>
      </c>
      <c r="O2611" s="190">
        <f t="shared" si="3207"/>
        <v>70</v>
      </c>
      <c r="P2611" s="190">
        <f t="shared" si="3207"/>
        <v>59</v>
      </c>
      <c r="Q2611" s="481">
        <f t="shared" si="3195"/>
        <v>0.26236881559220387</v>
      </c>
      <c r="R2611" s="481">
        <f t="shared" si="3196"/>
        <v>0.328335832083958</v>
      </c>
      <c r="S2611" s="482">
        <f t="shared" si="3197"/>
        <v>8.8455772113943024E-2</v>
      </c>
      <c r="T2611" s="482">
        <f t="shared" si="3198"/>
        <v>0.10494752623688156</v>
      </c>
      <c r="U2611" s="483">
        <f t="shared" si="3206"/>
        <v>0.78410794602698641</v>
      </c>
      <c r="V2611" s="479"/>
    </row>
    <row r="2612" spans="2:22" ht="15.75" hidden="1" x14ac:dyDescent="0.2">
      <c r="B2612" s="711">
        <v>46248</v>
      </c>
      <c r="C2612" s="711" t="s">
        <v>105</v>
      </c>
      <c r="D2612" s="711" t="s">
        <v>13</v>
      </c>
      <c r="E2612" s="711">
        <v>46248</v>
      </c>
      <c r="G2612" s="691">
        <v>46248</v>
      </c>
      <c r="H2612" s="497" t="s">
        <v>16</v>
      </c>
      <c r="I2612" s="60" t="s">
        <v>112</v>
      </c>
      <c r="J2612" s="60">
        <v>255</v>
      </c>
      <c r="K2612" s="60">
        <f>255-109</f>
        <v>146</v>
      </c>
      <c r="L2612" s="60">
        <v>80</v>
      </c>
      <c r="M2612" s="60">
        <v>0</v>
      </c>
      <c r="N2612" s="494">
        <v>0</v>
      </c>
      <c r="O2612" s="60">
        <v>20</v>
      </c>
      <c r="P2612" s="494">
        <v>9</v>
      </c>
      <c r="Q2612" s="182">
        <f t="shared" ref="Q2612:Q2617" si="3208">(K2612+L2612)/J2612</f>
        <v>0.88627450980392153</v>
      </c>
      <c r="R2612" s="182">
        <f t="shared" ref="R2612:R2617" si="3209">N2612/J2612</f>
        <v>0</v>
      </c>
      <c r="S2612" s="183">
        <f t="shared" ref="S2612:S2617" si="3210">P2612/J2612</f>
        <v>3.5294117647058823E-2</v>
      </c>
      <c r="T2612" s="183">
        <f t="shared" ref="T2612:T2617" si="3211">O2612/J2612</f>
        <v>7.8431372549019607E-2</v>
      </c>
      <c r="U2612" s="184">
        <f t="shared" si="3206"/>
        <v>1</v>
      </c>
      <c r="V2612" s="386"/>
    </row>
    <row r="2613" spans="2:22" ht="15.75" hidden="1" x14ac:dyDescent="0.2">
      <c r="B2613" s="711">
        <v>46248</v>
      </c>
      <c r="C2613" s="711" t="s">
        <v>105</v>
      </c>
      <c r="D2613" s="711" t="s">
        <v>13</v>
      </c>
      <c r="E2613" s="711">
        <v>46249</v>
      </c>
      <c r="G2613" s="816">
        <v>46249</v>
      </c>
      <c r="H2613" s="497" t="s">
        <v>16</v>
      </c>
      <c r="I2613" s="60" t="s">
        <v>112</v>
      </c>
      <c r="J2613" s="60">
        <v>258</v>
      </c>
      <c r="K2613" s="60">
        <v>112</v>
      </c>
      <c r="L2613" s="60">
        <v>85</v>
      </c>
      <c r="M2613" s="60">
        <v>6</v>
      </c>
      <c r="N2613" s="494">
        <v>20</v>
      </c>
      <c r="O2613" s="60">
        <v>20</v>
      </c>
      <c r="P2613" s="494">
        <v>15</v>
      </c>
      <c r="Q2613" s="182">
        <f t="shared" ref="Q2613:Q2614" si="3212">(K2613+L2613)/J2613</f>
        <v>0.76356589147286824</v>
      </c>
      <c r="R2613" s="182">
        <f t="shared" ref="R2613:R2614" si="3213">N2613/J2613</f>
        <v>7.7519379844961239E-2</v>
      </c>
      <c r="S2613" s="183">
        <f t="shared" ref="S2613:S2614" si="3214">P2613/J2613</f>
        <v>5.8139534883720929E-2</v>
      </c>
      <c r="T2613" s="183">
        <f t="shared" ref="T2613:T2614" si="3215">O2613/J2613</f>
        <v>7.7519379844961239E-2</v>
      </c>
      <c r="U2613" s="184">
        <f t="shared" ref="U2613:U2614" si="3216">S2613+R2613+Q2613+T2613</f>
        <v>0.9767441860465117</v>
      </c>
      <c r="V2613" s="386"/>
    </row>
    <row r="2614" spans="2:22" ht="15.75" hidden="1" x14ac:dyDescent="0.2">
      <c r="B2614" s="711">
        <v>46248</v>
      </c>
      <c r="C2614" s="711" t="s">
        <v>105</v>
      </c>
      <c r="D2614" s="711" t="s">
        <v>13</v>
      </c>
      <c r="E2614" s="711">
        <v>46249</v>
      </c>
      <c r="G2614" s="819"/>
      <c r="H2614" s="497" t="s">
        <v>14</v>
      </c>
      <c r="I2614" s="60" t="s">
        <v>22</v>
      </c>
      <c r="J2614" s="60">
        <v>163</v>
      </c>
      <c r="K2614" s="60">
        <v>114</v>
      </c>
      <c r="L2614" s="60">
        <v>22</v>
      </c>
      <c r="M2614" s="60">
        <v>12</v>
      </c>
      <c r="N2614" s="494">
        <v>0</v>
      </c>
      <c r="O2614" s="60">
        <v>10</v>
      </c>
      <c r="P2614" s="494">
        <v>5</v>
      </c>
      <c r="Q2614" s="182">
        <f t="shared" si="3212"/>
        <v>0.83435582822085885</v>
      </c>
      <c r="R2614" s="182">
        <f t="shared" si="3213"/>
        <v>0</v>
      </c>
      <c r="S2614" s="183">
        <f t="shared" si="3214"/>
        <v>3.0674846625766871E-2</v>
      </c>
      <c r="T2614" s="183">
        <f t="shared" si="3215"/>
        <v>6.1349693251533742E-2</v>
      </c>
      <c r="U2614" s="184">
        <f t="shared" si="3216"/>
        <v>0.92638036809815949</v>
      </c>
      <c r="V2614" s="386"/>
    </row>
    <row r="2615" spans="2:22" ht="15.75" hidden="1" x14ac:dyDescent="0.2">
      <c r="B2615" s="711">
        <v>46248</v>
      </c>
      <c r="C2615" s="711" t="s">
        <v>105</v>
      </c>
      <c r="D2615" s="711" t="s">
        <v>13</v>
      </c>
      <c r="E2615" s="711">
        <v>46249</v>
      </c>
      <c r="G2615" s="819"/>
      <c r="H2615" s="497" t="s">
        <v>17</v>
      </c>
      <c r="I2615" s="60" t="s">
        <v>105</v>
      </c>
      <c r="J2615" s="60">
        <v>95</v>
      </c>
      <c r="K2615" s="60">
        <v>0</v>
      </c>
      <c r="L2615" s="60">
        <v>0</v>
      </c>
      <c r="M2615" s="60">
        <v>0</v>
      </c>
      <c r="N2615" s="494">
        <v>70</v>
      </c>
      <c r="O2615" s="60">
        <v>18</v>
      </c>
      <c r="P2615" s="494">
        <v>7</v>
      </c>
      <c r="Q2615" s="182">
        <f t="shared" si="3208"/>
        <v>0</v>
      </c>
      <c r="R2615" s="182">
        <f t="shared" si="3209"/>
        <v>0.73684210526315785</v>
      </c>
      <c r="S2615" s="183">
        <f t="shared" si="3210"/>
        <v>7.3684210526315783E-2</v>
      </c>
      <c r="T2615" s="183">
        <f t="shared" si="3211"/>
        <v>0.18947368421052632</v>
      </c>
      <c r="U2615" s="184">
        <f t="shared" si="3206"/>
        <v>1</v>
      </c>
      <c r="V2615" s="386"/>
    </row>
    <row r="2616" spans="2:22" ht="15.75" hidden="1" x14ac:dyDescent="0.2">
      <c r="B2616" s="711">
        <v>46248</v>
      </c>
      <c r="C2616" s="711" t="s">
        <v>105</v>
      </c>
      <c r="D2616" s="711" t="s">
        <v>13</v>
      </c>
      <c r="E2616" s="711">
        <v>46249</v>
      </c>
      <c r="G2616" s="819"/>
      <c r="H2616" s="497" t="s">
        <v>180</v>
      </c>
      <c r="I2616" s="60" t="s">
        <v>106</v>
      </c>
      <c r="J2616" s="60">
        <v>62</v>
      </c>
      <c r="K2616" s="60">
        <v>43</v>
      </c>
      <c r="L2616" s="60">
        <v>3</v>
      </c>
      <c r="M2616" s="60">
        <v>0</v>
      </c>
      <c r="N2616" s="494">
        <v>4</v>
      </c>
      <c r="O2616" s="60">
        <v>0</v>
      </c>
      <c r="P2616" s="494">
        <v>12</v>
      </c>
      <c r="Q2616" s="182">
        <f t="shared" si="3208"/>
        <v>0.74193548387096775</v>
      </c>
      <c r="R2616" s="182">
        <f t="shared" si="3209"/>
        <v>6.4516129032258063E-2</v>
      </c>
      <c r="S2616" s="183">
        <f t="shared" si="3210"/>
        <v>0.19354838709677419</v>
      </c>
      <c r="T2616" s="183">
        <f t="shared" si="3211"/>
        <v>0</v>
      </c>
      <c r="U2616" s="184">
        <f t="shared" si="3206"/>
        <v>1</v>
      </c>
      <c r="V2616" s="386"/>
    </row>
    <row r="2617" spans="2:22" ht="15.75" hidden="1" x14ac:dyDescent="0.2">
      <c r="B2617" s="711">
        <v>46248</v>
      </c>
      <c r="C2617" s="711" t="s">
        <v>105</v>
      </c>
      <c r="D2617" s="711" t="s">
        <v>13</v>
      </c>
      <c r="E2617" s="711">
        <v>46249</v>
      </c>
      <c r="G2617" s="817"/>
      <c r="H2617" s="497" t="s">
        <v>118</v>
      </c>
      <c r="I2617" s="60" t="s">
        <v>105</v>
      </c>
      <c r="J2617" s="60">
        <v>155</v>
      </c>
      <c r="K2617" s="60">
        <v>0</v>
      </c>
      <c r="L2617" s="60">
        <v>0</v>
      </c>
      <c r="M2617" s="60">
        <v>0</v>
      </c>
      <c r="N2617" s="494">
        <v>131</v>
      </c>
      <c r="O2617" s="60">
        <v>11</v>
      </c>
      <c r="P2617" s="494">
        <v>13</v>
      </c>
      <c r="Q2617" s="182">
        <f t="shared" si="3208"/>
        <v>0</v>
      </c>
      <c r="R2617" s="182">
        <f t="shared" si="3209"/>
        <v>0.84516129032258069</v>
      </c>
      <c r="S2617" s="183">
        <f t="shared" si="3210"/>
        <v>8.387096774193549E-2</v>
      </c>
      <c r="T2617" s="183">
        <f t="shared" si="3211"/>
        <v>7.0967741935483872E-2</v>
      </c>
      <c r="U2617" s="184">
        <f t="shared" si="3206"/>
        <v>1</v>
      </c>
      <c r="V2617" s="386"/>
    </row>
    <row r="2618" spans="2:22" ht="15.75" hidden="1" x14ac:dyDescent="0.2">
      <c r="B2618" s="711">
        <v>46248</v>
      </c>
      <c r="C2618" s="711" t="s">
        <v>105</v>
      </c>
      <c r="D2618" s="711" t="s">
        <v>13</v>
      </c>
      <c r="E2618" s="711">
        <v>46250</v>
      </c>
      <c r="G2618" s="809">
        <v>46250</v>
      </c>
      <c r="H2618" s="497" t="s">
        <v>16</v>
      </c>
      <c r="I2618" s="60" t="s">
        <v>112</v>
      </c>
      <c r="J2618" s="60">
        <v>244</v>
      </c>
      <c r="K2618" s="60">
        <v>0</v>
      </c>
      <c r="L2618" s="60">
        <v>0</v>
      </c>
      <c r="M2618" s="60">
        <v>174</v>
      </c>
      <c r="N2618" s="494">
        <v>38</v>
      </c>
      <c r="O2618" s="60">
        <v>20</v>
      </c>
      <c r="P2618" s="494">
        <v>12</v>
      </c>
      <c r="Q2618" s="182">
        <f t="shared" ref="Q2618:Q2621" si="3217">(K2618+L2618)/J2618</f>
        <v>0</v>
      </c>
      <c r="R2618" s="182">
        <f t="shared" ref="R2618:R2621" si="3218">N2618/J2618</f>
        <v>0.15573770491803279</v>
      </c>
      <c r="S2618" s="183">
        <f t="shared" ref="S2618:S2636" si="3219">P2618/J2618</f>
        <v>4.9180327868852458E-2</v>
      </c>
      <c r="T2618" s="183">
        <f t="shared" ref="T2618:T2636" si="3220">O2618/J2618</f>
        <v>8.1967213114754092E-2</v>
      </c>
      <c r="U2618" s="184">
        <f t="shared" ref="U2618:U2621" si="3221">S2618+R2618+Q2618+T2618</f>
        <v>0.28688524590163933</v>
      </c>
      <c r="V2618" s="386"/>
    </row>
    <row r="2619" spans="2:22" ht="15.75" hidden="1" x14ac:dyDescent="0.2">
      <c r="B2619" s="711">
        <v>46248</v>
      </c>
      <c r="C2619" s="711" t="s">
        <v>105</v>
      </c>
      <c r="D2619" s="711" t="s">
        <v>13</v>
      </c>
      <c r="E2619" s="711">
        <v>46250</v>
      </c>
      <c r="G2619" s="810"/>
      <c r="H2619" s="497" t="s">
        <v>17</v>
      </c>
      <c r="I2619" s="60" t="s">
        <v>106</v>
      </c>
      <c r="J2619" s="60">
        <v>198</v>
      </c>
      <c r="K2619" s="60">
        <v>0</v>
      </c>
      <c r="L2619" s="60">
        <v>0</v>
      </c>
      <c r="M2619" s="60">
        <v>96</v>
      </c>
      <c r="N2619" s="494">
        <v>67</v>
      </c>
      <c r="O2619" s="60">
        <v>24</v>
      </c>
      <c r="P2619" s="494">
        <v>11</v>
      </c>
      <c r="Q2619" s="182">
        <f t="shared" si="3217"/>
        <v>0</v>
      </c>
      <c r="R2619" s="182">
        <f t="shared" si="3218"/>
        <v>0.3383838383838384</v>
      </c>
      <c r="S2619" s="183">
        <f t="shared" si="3219"/>
        <v>5.5555555555555552E-2</v>
      </c>
      <c r="T2619" s="183">
        <f t="shared" si="3220"/>
        <v>0.12121212121212122</v>
      </c>
      <c r="U2619" s="184">
        <f t="shared" si="3221"/>
        <v>0.51515151515151514</v>
      </c>
      <c r="V2619" s="386"/>
    </row>
    <row r="2620" spans="2:22" ht="15.75" hidden="1" x14ac:dyDescent="0.2">
      <c r="B2620" s="711">
        <v>46248</v>
      </c>
      <c r="C2620" s="711" t="s">
        <v>105</v>
      </c>
      <c r="D2620" s="711" t="s">
        <v>13</v>
      </c>
      <c r="E2620" s="711">
        <v>46250</v>
      </c>
      <c r="G2620" s="810"/>
      <c r="H2620" s="497" t="s">
        <v>25</v>
      </c>
      <c r="I2620" s="60" t="s">
        <v>105</v>
      </c>
      <c r="J2620" s="60">
        <v>182</v>
      </c>
      <c r="K2620" s="60">
        <v>0</v>
      </c>
      <c r="L2620" s="60">
        <v>0</v>
      </c>
      <c r="M2620" s="60">
        <v>157</v>
      </c>
      <c r="N2620" s="494">
        <v>0</v>
      </c>
      <c r="O2620" s="60">
        <v>25</v>
      </c>
      <c r="P2620" s="494">
        <v>0</v>
      </c>
      <c r="Q2620" s="182">
        <f t="shared" si="3217"/>
        <v>0</v>
      </c>
      <c r="R2620" s="182">
        <f t="shared" si="3218"/>
        <v>0</v>
      </c>
      <c r="S2620" s="183">
        <f t="shared" si="3219"/>
        <v>0</v>
      </c>
      <c r="T2620" s="183">
        <f t="shared" si="3220"/>
        <v>0.13736263736263737</v>
      </c>
      <c r="U2620" s="184">
        <f t="shared" si="3221"/>
        <v>0.13736263736263737</v>
      </c>
      <c r="V2620" s="386"/>
    </row>
    <row r="2621" spans="2:22" ht="15.75" hidden="1" x14ac:dyDescent="0.2">
      <c r="B2621" s="711">
        <v>46248</v>
      </c>
      <c r="C2621" s="711" t="s">
        <v>105</v>
      </c>
      <c r="D2621" s="711" t="s">
        <v>13</v>
      </c>
      <c r="E2621" s="711">
        <v>46250</v>
      </c>
      <c r="G2621" s="811"/>
      <c r="H2621" s="497" t="s">
        <v>180</v>
      </c>
      <c r="I2621" s="60" t="s">
        <v>106</v>
      </c>
      <c r="J2621" s="60">
        <v>49</v>
      </c>
      <c r="K2621" s="60">
        <v>0</v>
      </c>
      <c r="L2621" s="60">
        <v>0</v>
      </c>
      <c r="M2621" s="60">
        <v>0</v>
      </c>
      <c r="N2621" s="494">
        <v>48</v>
      </c>
      <c r="O2621" s="60">
        <v>0</v>
      </c>
      <c r="P2621" s="494">
        <v>1</v>
      </c>
      <c r="Q2621" s="182">
        <f t="shared" si="3217"/>
        <v>0</v>
      </c>
      <c r="R2621" s="182">
        <f t="shared" si="3218"/>
        <v>0.97959183673469385</v>
      </c>
      <c r="S2621" s="183">
        <f t="shared" si="3219"/>
        <v>2.0408163265306121E-2</v>
      </c>
      <c r="T2621" s="183">
        <f t="shared" si="3220"/>
        <v>0</v>
      </c>
      <c r="U2621" s="184">
        <f t="shared" si="3221"/>
        <v>1</v>
      </c>
      <c r="V2621" s="386"/>
    </row>
    <row r="2622" spans="2:22" ht="15.75" hidden="1" x14ac:dyDescent="0.2">
      <c r="B2622" s="711">
        <v>46248</v>
      </c>
      <c r="C2622" s="711" t="s">
        <v>105</v>
      </c>
      <c r="D2622" s="711" t="s">
        <v>13</v>
      </c>
      <c r="E2622" s="711">
        <v>46250</v>
      </c>
      <c r="G2622" s="775" t="s">
        <v>19</v>
      </c>
      <c r="H2622" s="776"/>
      <c r="I2622" s="777"/>
      <c r="J2622" s="190">
        <f t="shared" ref="J2622:P2622" si="3222">SUM(J2612:J2621)</f>
        <v>1661</v>
      </c>
      <c r="K2622" s="190">
        <f t="shared" si="3222"/>
        <v>415</v>
      </c>
      <c r="L2622" s="190">
        <f t="shared" si="3222"/>
        <v>190</v>
      </c>
      <c r="M2622" s="190">
        <f t="shared" si="3222"/>
        <v>445</v>
      </c>
      <c r="N2622" s="190">
        <f t="shared" si="3222"/>
        <v>378</v>
      </c>
      <c r="O2622" s="190">
        <f t="shared" si="3222"/>
        <v>148</v>
      </c>
      <c r="P2622" s="190">
        <f t="shared" si="3222"/>
        <v>85</v>
      </c>
      <c r="Q2622" s="481">
        <f>(K2622+L2622)/J2622</f>
        <v>0.36423841059602646</v>
      </c>
      <c r="R2622" s="481">
        <f>N2622/J2622</f>
        <v>0.2275737507525587</v>
      </c>
      <c r="S2622" s="482">
        <f t="shared" si="3219"/>
        <v>5.1173991571342566E-2</v>
      </c>
      <c r="T2622" s="482">
        <f t="shared" si="3220"/>
        <v>8.9102950030102351E-2</v>
      </c>
      <c r="U2622" s="483">
        <f t="shared" ref="U2622:U2640" si="3223">S2622+R2622+Q2622+T2622</f>
        <v>0.73208910295003005</v>
      </c>
      <c r="V2622" s="479"/>
    </row>
    <row r="2623" spans="2:22" ht="15.75" hidden="1" x14ac:dyDescent="0.2">
      <c r="B2623" s="711">
        <v>46249</v>
      </c>
      <c r="C2623" s="711" t="s">
        <v>106</v>
      </c>
      <c r="D2623" s="711" t="s">
        <v>192</v>
      </c>
      <c r="E2623" s="711">
        <v>46249</v>
      </c>
      <c r="G2623" s="778">
        <v>46249</v>
      </c>
      <c r="H2623" s="60" t="s">
        <v>16</v>
      </c>
      <c r="I2623" s="60" t="s">
        <v>112</v>
      </c>
      <c r="J2623" s="60">
        <f>SUM(K2623:P2623)</f>
        <v>77</v>
      </c>
      <c r="K2623" s="60">
        <f>85-63</f>
        <v>22</v>
      </c>
      <c r="L2623" s="60">
        <f>73-45</f>
        <v>28</v>
      </c>
      <c r="M2623" s="60">
        <v>0</v>
      </c>
      <c r="N2623" s="312">
        <v>0</v>
      </c>
      <c r="O2623" s="60">
        <v>20</v>
      </c>
      <c r="P2623" s="312">
        <v>7</v>
      </c>
      <c r="Q2623" s="182">
        <f t="shared" ref="Q2623:Q2640" si="3224">(K2623+L2623)/J2623</f>
        <v>0.64935064935064934</v>
      </c>
      <c r="R2623" s="182">
        <f t="shared" ref="R2623:R2640" si="3225">N2623/J2623</f>
        <v>0</v>
      </c>
      <c r="S2623" s="183">
        <f t="shared" si="3219"/>
        <v>9.0909090909090912E-2</v>
      </c>
      <c r="T2623" s="183">
        <f t="shared" si="3220"/>
        <v>0.25974025974025972</v>
      </c>
      <c r="U2623" s="184">
        <f t="shared" si="3223"/>
        <v>1</v>
      </c>
      <c r="V2623" s="385"/>
    </row>
    <row r="2624" spans="2:22" ht="15.75" hidden="1" x14ac:dyDescent="0.2">
      <c r="B2624" s="711">
        <v>46249</v>
      </c>
      <c r="C2624" s="711" t="s">
        <v>106</v>
      </c>
      <c r="D2624" s="711" t="s">
        <v>192</v>
      </c>
      <c r="E2624" s="711">
        <v>46249</v>
      </c>
      <c r="G2624" s="786"/>
      <c r="H2624" s="60" t="s">
        <v>14</v>
      </c>
      <c r="I2624" s="60" t="s">
        <v>106</v>
      </c>
      <c r="J2624" s="60">
        <f t="shared" ref="J2624:J2627" si="3226">SUM(K2624:P2624)</f>
        <v>47</v>
      </c>
      <c r="K2624" s="60">
        <v>37</v>
      </c>
      <c r="L2624" s="60">
        <v>5</v>
      </c>
      <c r="M2624" s="60">
        <v>0</v>
      </c>
      <c r="N2624" s="312">
        <v>0</v>
      </c>
      <c r="O2624" s="60">
        <v>0</v>
      </c>
      <c r="P2624" s="312">
        <v>5</v>
      </c>
      <c r="Q2624" s="182">
        <f t="shared" si="3224"/>
        <v>0.8936170212765957</v>
      </c>
      <c r="R2624" s="182">
        <f t="shared" si="3225"/>
        <v>0</v>
      </c>
      <c r="S2624" s="183">
        <f t="shared" si="3219"/>
        <v>0.10638297872340426</v>
      </c>
      <c r="T2624" s="183">
        <f t="shared" si="3220"/>
        <v>0</v>
      </c>
      <c r="U2624" s="184">
        <f t="shared" si="3223"/>
        <v>1</v>
      </c>
      <c r="V2624" s="385"/>
    </row>
    <row r="2625" spans="2:22" ht="15.75" hidden="1" x14ac:dyDescent="0.2">
      <c r="B2625" s="711">
        <v>46249</v>
      </c>
      <c r="C2625" s="711" t="s">
        <v>106</v>
      </c>
      <c r="D2625" s="711" t="s">
        <v>192</v>
      </c>
      <c r="E2625" s="711">
        <v>46249</v>
      </c>
      <c r="G2625" s="786"/>
      <c r="H2625" s="60" t="s">
        <v>180</v>
      </c>
      <c r="I2625" s="60" t="s">
        <v>106</v>
      </c>
      <c r="J2625" s="60">
        <f t="shared" si="3226"/>
        <v>28</v>
      </c>
      <c r="K2625" s="60">
        <f>63-48</f>
        <v>15</v>
      </c>
      <c r="L2625" s="60">
        <v>1</v>
      </c>
      <c r="M2625" s="60">
        <v>0</v>
      </c>
      <c r="N2625" s="312">
        <v>0</v>
      </c>
      <c r="O2625" s="60">
        <v>0</v>
      </c>
      <c r="P2625" s="312">
        <v>12</v>
      </c>
      <c r="Q2625" s="182">
        <f t="shared" si="3224"/>
        <v>0.5714285714285714</v>
      </c>
      <c r="R2625" s="182">
        <f t="shared" si="3225"/>
        <v>0</v>
      </c>
      <c r="S2625" s="183">
        <f t="shared" si="3219"/>
        <v>0.42857142857142855</v>
      </c>
      <c r="T2625" s="183">
        <f t="shared" si="3220"/>
        <v>0</v>
      </c>
      <c r="U2625" s="184">
        <f t="shared" si="3223"/>
        <v>1</v>
      </c>
      <c r="V2625" s="385"/>
    </row>
    <row r="2626" spans="2:22" ht="15.75" hidden="1" x14ac:dyDescent="0.2">
      <c r="B2626" s="711">
        <v>46249</v>
      </c>
      <c r="C2626" s="711" t="s">
        <v>106</v>
      </c>
      <c r="D2626" s="711" t="s">
        <v>192</v>
      </c>
      <c r="E2626" s="711">
        <v>46249</v>
      </c>
      <c r="G2626" s="786"/>
      <c r="H2626" s="60" t="s">
        <v>118</v>
      </c>
      <c r="I2626" s="60" t="s">
        <v>105</v>
      </c>
      <c r="J2626" s="60">
        <f t="shared" si="3226"/>
        <v>155</v>
      </c>
      <c r="K2626" s="60">
        <v>98</v>
      </c>
      <c r="L2626" s="60">
        <v>28</v>
      </c>
      <c r="M2626" s="60">
        <v>5</v>
      </c>
      <c r="N2626" s="312">
        <v>0</v>
      </c>
      <c r="O2626" s="60">
        <v>11</v>
      </c>
      <c r="P2626" s="312">
        <v>13</v>
      </c>
      <c r="Q2626" s="182">
        <f t="shared" si="3224"/>
        <v>0.81290322580645158</v>
      </c>
      <c r="R2626" s="182">
        <f t="shared" si="3225"/>
        <v>0</v>
      </c>
      <c r="S2626" s="183">
        <f t="shared" si="3219"/>
        <v>8.387096774193549E-2</v>
      </c>
      <c r="T2626" s="183">
        <f t="shared" si="3220"/>
        <v>7.0967741935483872E-2</v>
      </c>
      <c r="U2626" s="184">
        <f t="shared" si="3223"/>
        <v>0.96774193548387089</v>
      </c>
      <c r="V2626" s="385"/>
    </row>
    <row r="2627" spans="2:22" ht="15.75" hidden="1" x14ac:dyDescent="0.2">
      <c r="B2627" s="711">
        <v>46249</v>
      </c>
      <c r="C2627" s="711" t="s">
        <v>106</v>
      </c>
      <c r="D2627" s="711" t="s">
        <v>192</v>
      </c>
      <c r="E2627" s="711">
        <v>46249</v>
      </c>
      <c r="G2627" s="779"/>
      <c r="H2627" s="60" t="s">
        <v>17</v>
      </c>
      <c r="I2627" s="60" t="s">
        <v>106</v>
      </c>
      <c r="J2627" s="60">
        <f t="shared" si="3226"/>
        <v>96</v>
      </c>
      <c r="K2627" s="60">
        <v>1</v>
      </c>
      <c r="L2627" s="60">
        <v>0</v>
      </c>
      <c r="M2627" s="60">
        <v>0</v>
      </c>
      <c r="N2627" s="312">
        <v>70</v>
      </c>
      <c r="O2627" s="60">
        <v>18</v>
      </c>
      <c r="P2627" s="312">
        <v>7</v>
      </c>
      <c r="Q2627" s="182">
        <f t="shared" ref="Q2627:Q2629" si="3227">(K2627+L2627)/J2627</f>
        <v>1.0416666666666666E-2</v>
      </c>
      <c r="R2627" s="182">
        <f t="shared" ref="R2627:R2629" si="3228">N2627/J2627</f>
        <v>0.72916666666666663</v>
      </c>
      <c r="S2627" s="183">
        <f t="shared" ref="S2627:S2629" si="3229">P2627/J2627</f>
        <v>7.2916666666666671E-2</v>
      </c>
      <c r="T2627" s="183">
        <f t="shared" ref="T2627:T2629" si="3230">O2627/J2627</f>
        <v>0.1875</v>
      </c>
      <c r="U2627" s="184">
        <f t="shared" ref="U2627:U2629" si="3231">S2627+R2627+Q2627+T2627</f>
        <v>0.99999999999999989</v>
      </c>
      <c r="V2627" s="385"/>
    </row>
    <row r="2628" spans="2:22" ht="15.75" hidden="1" x14ac:dyDescent="0.2">
      <c r="B2628" s="711">
        <v>46249</v>
      </c>
      <c r="C2628" s="711" t="s">
        <v>106</v>
      </c>
      <c r="D2628" s="711" t="s">
        <v>192</v>
      </c>
      <c r="E2628" s="711">
        <v>46249</v>
      </c>
      <c r="G2628" s="770">
        <v>46250</v>
      </c>
      <c r="H2628" s="60" t="s">
        <v>16</v>
      </c>
      <c r="I2628" s="60" t="s">
        <v>112</v>
      </c>
      <c r="J2628" s="60">
        <v>244</v>
      </c>
      <c r="K2628" s="60">
        <v>63</v>
      </c>
      <c r="L2628" s="60">
        <v>45</v>
      </c>
      <c r="M2628" s="60">
        <v>4</v>
      </c>
      <c r="N2628" s="312">
        <v>101</v>
      </c>
      <c r="O2628" s="60">
        <v>20</v>
      </c>
      <c r="P2628" s="312">
        <v>12</v>
      </c>
      <c r="Q2628" s="182">
        <f t="shared" si="3227"/>
        <v>0.44262295081967212</v>
      </c>
      <c r="R2628" s="182">
        <f t="shared" si="3228"/>
        <v>0.41393442622950821</v>
      </c>
      <c r="S2628" s="183">
        <f t="shared" si="3229"/>
        <v>4.9180327868852458E-2</v>
      </c>
      <c r="T2628" s="183">
        <f t="shared" si="3230"/>
        <v>8.1967213114754092E-2</v>
      </c>
      <c r="U2628" s="184">
        <f t="shared" si="3231"/>
        <v>0.98770491803278693</v>
      </c>
      <c r="V2628" s="385"/>
    </row>
    <row r="2629" spans="2:22" ht="15.75" hidden="1" x14ac:dyDescent="0.2">
      <c r="B2629" s="711">
        <v>46249</v>
      </c>
      <c r="C2629" s="711" t="s">
        <v>106</v>
      </c>
      <c r="D2629" s="711" t="s">
        <v>192</v>
      </c>
      <c r="E2629" s="711">
        <v>46249</v>
      </c>
      <c r="G2629" s="771"/>
      <c r="H2629" s="60" t="s">
        <v>180</v>
      </c>
      <c r="I2629" s="60" t="s">
        <v>106</v>
      </c>
      <c r="J2629" s="60">
        <v>49</v>
      </c>
      <c r="K2629" s="60">
        <v>48</v>
      </c>
      <c r="L2629" s="60">
        <v>0</v>
      </c>
      <c r="M2629" s="60">
        <v>0</v>
      </c>
      <c r="N2629" s="312">
        <v>0</v>
      </c>
      <c r="O2629" s="60">
        <v>0</v>
      </c>
      <c r="P2629" s="312">
        <v>1</v>
      </c>
      <c r="Q2629" s="182">
        <f t="shared" si="3227"/>
        <v>0.97959183673469385</v>
      </c>
      <c r="R2629" s="182">
        <f t="shared" si="3228"/>
        <v>0</v>
      </c>
      <c r="S2629" s="183">
        <f t="shared" si="3229"/>
        <v>2.0408163265306121E-2</v>
      </c>
      <c r="T2629" s="183">
        <f t="shared" si="3230"/>
        <v>0</v>
      </c>
      <c r="U2629" s="184">
        <f t="shared" si="3231"/>
        <v>1</v>
      </c>
      <c r="V2629" s="385"/>
    </row>
    <row r="2630" spans="2:22" ht="15.75" hidden="1" x14ac:dyDescent="0.2">
      <c r="B2630" s="711">
        <v>46249</v>
      </c>
      <c r="C2630" s="711" t="s">
        <v>106</v>
      </c>
      <c r="D2630" s="711" t="s">
        <v>192</v>
      </c>
      <c r="E2630" s="711">
        <v>46249</v>
      </c>
      <c r="G2630" s="771"/>
      <c r="H2630" s="60" t="s">
        <v>17</v>
      </c>
      <c r="I2630" s="60" t="s">
        <v>106</v>
      </c>
      <c r="J2630" s="60">
        <v>179</v>
      </c>
      <c r="K2630" s="60">
        <v>0</v>
      </c>
      <c r="L2630" s="60">
        <v>0</v>
      </c>
      <c r="M2630" s="60">
        <v>84</v>
      </c>
      <c r="N2630" s="312">
        <v>84</v>
      </c>
      <c r="O2630" s="60">
        <v>0</v>
      </c>
      <c r="P2630" s="312">
        <v>10</v>
      </c>
      <c r="Q2630" s="182">
        <f t="shared" ref="Q2630:Q2631" si="3232">(K2630+L2630)/J2630</f>
        <v>0</v>
      </c>
      <c r="R2630" s="182">
        <f t="shared" ref="R2630:R2631" si="3233">N2630/J2630</f>
        <v>0.46927374301675978</v>
      </c>
      <c r="S2630" s="183">
        <f t="shared" ref="S2630:S2631" si="3234">P2630/J2630</f>
        <v>5.5865921787709494E-2</v>
      </c>
      <c r="T2630" s="183">
        <f t="shared" ref="T2630:T2631" si="3235">O2630/J2630</f>
        <v>0</v>
      </c>
      <c r="U2630" s="184">
        <f t="shared" ref="U2630:U2631" si="3236">S2630+R2630+Q2630+T2630</f>
        <v>0.52513966480446927</v>
      </c>
      <c r="V2630" s="385"/>
    </row>
    <row r="2631" spans="2:22" ht="15.75" hidden="1" x14ac:dyDescent="0.2">
      <c r="B2631" s="711">
        <v>46249</v>
      </c>
      <c r="C2631" s="711" t="s">
        <v>106</v>
      </c>
      <c r="D2631" s="711" t="s">
        <v>192</v>
      </c>
      <c r="E2631" s="711">
        <v>46249</v>
      </c>
      <c r="G2631" s="771"/>
      <c r="H2631" s="60" t="s">
        <v>14</v>
      </c>
      <c r="I2631" s="60" t="s">
        <v>106</v>
      </c>
      <c r="J2631" s="60">
        <v>19</v>
      </c>
      <c r="K2631" s="60">
        <v>0</v>
      </c>
      <c r="L2631" s="60">
        <v>0</v>
      </c>
      <c r="M2631" s="60">
        <v>0</v>
      </c>
      <c r="N2631" s="312">
        <v>14</v>
      </c>
      <c r="O2631" s="60">
        <v>0</v>
      </c>
      <c r="P2631" s="312">
        <v>5</v>
      </c>
      <c r="Q2631" s="182">
        <f t="shared" si="3232"/>
        <v>0</v>
      </c>
      <c r="R2631" s="182">
        <f t="shared" si="3233"/>
        <v>0.73684210526315785</v>
      </c>
      <c r="S2631" s="183">
        <f t="shared" si="3234"/>
        <v>0.26315789473684209</v>
      </c>
      <c r="T2631" s="183">
        <f t="shared" si="3235"/>
        <v>0</v>
      </c>
      <c r="U2631" s="184">
        <f t="shared" si="3236"/>
        <v>1</v>
      </c>
      <c r="V2631" s="385"/>
    </row>
    <row r="2632" spans="2:22" ht="15.75" hidden="1" x14ac:dyDescent="0.2">
      <c r="B2632" s="711">
        <v>46249</v>
      </c>
      <c r="C2632" s="711" t="s">
        <v>106</v>
      </c>
      <c r="D2632" s="711" t="s">
        <v>192</v>
      </c>
      <c r="E2632" s="711">
        <v>46249</v>
      </c>
      <c r="G2632" s="772"/>
      <c r="H2632" s="60" t="s">
        <v>25</v>
      </c>
      <c r="I2632" s="60" t="s">
        <v>105</v>
      </c>
      <c r="J2632" s="60">
        <v>182</v>
      </c>
      <c r="K2632" s="60">
        <v>0</v>
      </c>
      <c r="L2632" s="60">
        <v>0</v>
      </c>
      <c r="M2632" s="60">
        <v>161</v>
      </c>
      <c r="N2632" s="312">
        <v>16</v>
      </c>
      <c r="O2632" s="60">
        <v>0</v>
      </c>
      <c r="P2632" s="312">
        <v>5</v>
      </c>
      <c r="Q2632" s="182">
        <f t="shared" si="3224"/>
        <v>0</v>
      </c>
      <c r="R2632" s="182">
        <f t="shared" si="3225"/>
        <v>8.7912087912087919E-2</v>
      </c>
      <c r="S2632" s="183">
        <f t="shared" si="3219"/>
        <v>2.7472527472527472E-2</v>
      </c>
      <c r="T2632" s="183">
        <f t="shared" si="3220"/>
        <v>0</v>
      </c>
      <c r="U2632" s="184">
        <f t="shared" si="3223"/>
        <v>0.11538461538461539</v>
      </c>
      <c r="V2632" s="385"/>
    </row>
    <row r="2633" spans="2:22" ht="15.75" hidden="1" x14ac:dyDescent="0.2">
      <c r="B2633" s="711">
        <v>46249</v>
      </c>
      <c r="C2633" s="711" t="s">
        <v>106</v>
      </c>
      <c r="D2633" s="711" t="s">
        <v>192</v>
      </c>
      <c r="E2633" s="711">
        <v>46249</v>
      </c>
      <c r="G2633" s="396"/>
      <c r="H2633" s="775" t="s">
        <v>19</v>
      </c>
      <c r="I2633" s="777"/>
      <c r="J2633" s="190">
        <f t="shared" ref="J2633:P2633" si="3237">SUM(J2623:J2632)</f>
        <v>1076</v>
      </c>
      <c r="K2633" s="190">
        <f t="shared" si="3237"/>
        <v>284</v>
      </c>
      <c r="L2633" s="190">
        <f t="shared" si="3237"/>
        <v>107</v>
      </c>
      <c r="M2633" s="190">
        <f t="shared" si="3237"/>
        <v>254</v>
      </c>
      <c r="N2633" s="190">
        <f t="shared" si="3237"/>
        <v>285</v>
      </c>
      <c r="O2633" s="190">
        <f t="shared" si="3237"/>
        <v>69</v>
      </c>
      <c r="P2633" s="190">
        <f t="shared" si="3237"/>
        <v>77</v>
      </c>
      <c r="Q2633" s="481">
        <f t="shared" si="3224"/>
        <v>0.36338289962825276</v>
      </c>
      <c r="R2633" s="481">
        <f t="shared" si="3225"/>
        <v>0.26486988847583642</v>
      </c>
      <c r="S2633" s="482">
        <f t="shared" si="3219"/>
        <v>7.156133828996282E-2</v>
      </c>
      <c r="T2633" s="482">
        <f t="shared" si="3220"/>
        <v>6.4126394052044608E-2</v>
      </c>
      <c r="U2633" s="483">
        <f t="shared" si="3223"/>
        <v>0.76394052044609662</v>
      </c>
      <c r="V2633" s="479"/>
    </row>
    <row r="2634" spans="2:22" ht="15.75" hidden="1" x14ac:dyDescent="0.2">
      <c r="B2634" s="711">
        <v>46249</v>
      </c>
      <c r="C2634" s="711" t="s">
        <v>105</v>
      </c>
      <c r="D2634" s="711" t="s">
        <v>13</v>
      </c>
      <c r="E2634" s="711">
        <v>46249</v>
      </c>
      <c r="G2634" s="778">
        <v>46249</v>
      </c>
      <c r="H2634" s="497" t="s">
        <v>17</v>
      </c>
      <c r="I2634" s="60" t="s">
        <v>105</v>
      </c>
      <c r="J2634" s="60">
        <v>95</v>
      </c>
      <c r="K2634" s="60">
        <f>95-39</f>
        <v>56</v>
      </c>
      <c r="L2634" s="60">
        <v>6</v>
      </c>
      <c r="M2634" s="60">
        <v>0</v>
      </c>
      <c r="N2634" s="494">
        <v>9</v>
      </c>
      <c r="O2634" s="60">
        <v>18</v>
      </c>
      <c r="P2634" s="494">
        <v>6</v>
      </c>
      <c r="Q2634" s="182">
        <f t="shared" si="3224"/>
        <v>0.65263157894736845</v>
      </c>
      <c r="R2634" s="182">
        <f t="shared" si="3225"/>
        <v>9.4736842105263161E-2</v>
      </c>
      <c r="S2634" s="183">
        <f t="shared" si="3219"/>
        <v>6.3157894736842107E-2</v>
      </c>
      <c r="T2634" s="183">
        <f t="shared" si="3220"/>
        <v>0.18947368421052632</v>
      </c>
      <c r="U2634" s="184">
        <f t="shared" si="3223"/>
        <v>1</v>
      </c>
      <c r="V2634" s="386"/>
    </row>
    <row r="2635" spans="2:22" ht="15.75" hidden="1" x14ac:dyDescent="0.2">
      <c r="B2635" s="711">
        <v>46249</v>
      </c>
      <c r="C2635" s="711" t="s">
        <v>105</v>
      </c>
      <c r="D2635" s="711" t="s">
        <v>13</v>
      </c>
      <c r="E2635" s="711">
        <v>46249</v>
      </c>
      <c r="G2635" s="786"/>
      <c r="H2635" s="497" t="s">
        <v>32</v>
      </c>
      <c r="I2635" s="60" t="s">
        <v>105</v>
      </c>
      <c r="J2635" s="60">
        <v>50</v>
      </c>
      <c r="K2635" s="60">
        <v>37</v>
      </c>
      <c r="L2635" s="60">
        <v>12</v>
      </c>
      <c r="M2635" s="60">
        <v>0</v>
      </c>
      <c r="N2635" s="494">
        <v>0</v>
      </c>
      <c r="O2635" s="60">
        <v>0</v>
      </c>
      <c r="P2635" s="494">
        <v>1</v>
      </c>
      <c r="Q2635" s="182">
        <f t="shared" si="3224"/>
        <v>0.98</v>
      </c>
      <c r="R2635" s="182">
        <f t="shared" si="3225"/>
        <v>0</v>
      </c>
      <c r="S2635" s="183">
        <f t="shared" si="3219"/>
        <v>0.02</v>
      </c>
      <c r="T2635" s="183">
        <f t="shared" si="3220"/>
        <v>0</v>
      </c>
      <c r="U2635" s="184">
        <f t="shared" si="3223"/>
        <v>1</v>
      </c>
      <c r="V2635" s="386"/>
    </row>
    <row r="2636" spans="2:22" ht="15.75" hidden="1" x14ac:dyDescent="0.2">
      <c r="B2636" s="711">
        <v>46249</v>
      </c>
      <c r="C2636" s="711" t="s">
        <v>105</v>
      </c>
      <c r="D2636" s="711" t="s">
        <v>13</v>
      </c>
      <c r="E2636" s="711">
        <v>46249</v>
      </c>
      <c r="G2636" s="779"/>
      <c r="H2636" s="497" t="s">
        <v>118</v>
      </c>
      <c r="I2636" s="60" t="s">
        <v>105</v>
      </c>
      <c r="J2636" s="60">
        <v>155</v>
      </c>
      <c r="K2636" s="60">
        <v>106</v>
      </c>
      <c r="L2636" s="60">
        <v>27</v>
      </c>
      <c r="M2636" s="60">
        <v>0</v>
      </c>
      <c r="N2636" s="494">
        <v>0</v>
      </c>
      <c r="O2636" s="60">
        <v>11</v>
      </c>
      <c r="P2636" s="494">
        <v>11</v>
      </c>
      <c r="Q2636" s="182">
        <f t="shared" si="3224"/>
        <v>0.85806451612903223</v>
      </c>
      <c r="R2636" s="182">
        <f t="shared" si="3225"/>
        <v>0</v>
      </c>
      <c r="S2636" s="183">
        <f t="shared" si="3219"/>
        <v>7.0967741935483872E-2</v>
      </c>
      <c r="T2636" s="183">
        <f t="shared" si="3220"/>
        <v>7.0967741935483872E-2</v>
      </c>
      <c r="U2636" s="184">
        <f t="shared" si="3223"/>
        <v>0.99999999999999989</v>
      </c>
      <c r="V2636" s="386"/>
    </row>
    <row r="2637" spans="2:22" ht="15.75" hidden="1" x14ac:dyDescent="0.2">
      <c r="B2637" s="711">
        <v>46249</v>
      </c>
      <c r="C2637" s="711" t="s">
        <v>105</v>
      </c>
      <c r="D2637" s="711" t="s">
        <v>13</v>
      </c>
      <c r="E2637" s="711">
        <v>46250</v>
      </c>
      <c r="G2637" s="809">
        <v>46250</v>
      </c>
      <c r="H2637" s="497" t="s">
        <v>16</v>
      </c>
      <c r="I2637" s="60" t="s">
        <v>112</v>
      </c>
      <c r="J2637" s="60">
        <v>244</v>
      </c>
      <c r="K2637" s="60">
        <f>244-127</f>
        <v>117</v>
      </c>
      <c r="L2637" s="60">
        <v>87</v>
      </c>
      <c r="M2637" s="60">
        <v>8</v>
      </c>
      <c r="N2637" s="494">
        <v>0</v>
      </c>
      <c r="O2637" s="60">
        <v>20</v>
      </c>
      <c r="P2637" s="494">
        <v>12</v>
      </c>
      <c r="Q2637" s="182">
        <f t="shared" si="3224"/>
        <v>0.83606557377049184</v>
      </c>
      <c r="R2637" s="182">
        <f t="shared" si="3225"/>
        <v>0</v>
      </c>
      <c r="S2637" s="183">
        <f t="shared" ref="S2637:S2640" si="3238">P2637/J2637</f>
        <v>4.9180327868852458E-2</v>
      </c>
      <c r="T2637" s="183">
        <f t="shared" ref="T2637:T2640" si="3239">O2637/J2637</f>
        <v>8.1967213114754092E-2</v>
      </c>
      <c r="U2637" s="184">
        <f t="shared" si="3223"/>
        <v>0.96721311475409844</v>
      </c>
      <c r="V2637" s="386"/>
    </row>
    <row r="2638" spans="2:22" ht="15.75" hidden="1" x14ac:dyDescent="0.2">
      <c r="B2638" s="711">
        <v>46249</v>
      </c>
      <c r="C2638" s="711" t="s">
        <v>105</v>
      </c>
      <c r="D2638" s="711" t="s">
        <v>13</v>
      </c>
      <c r="E2638" s="711">
        <v>46250</v>
      </c>
      <c r="G2638" s="810"/>
      <c r="H2638" s="497" t="s">
        <v>17</v>
      </c>
      <c r="I2638" s="60" t="s">
        <v>106</v>
      </c>
      <c r="J2638" s="60">
        <v>198</v>
      </c>
      <c r="K2638" s="60">
        <f>198-63</f>
        <v>135</v>
      </c>
      <c r="L2638" s="60">
        <v>24</v>
      </c>
      <c r="M2638" s="60">
        <v>6</v>
      </c>
      <c r="N2638" s="494">
        <v>0</v>
      </c>
      <c r="O2638" s="60">
        <v>27</v>
      </c>
      <c r="P2638" s="494">
        <v>6</v>
      </c>
      <c r="Q2638" s="182">
        <f t="shared" si="3224"/>
        <v>0.80303030303030298</v>
      </c>
      <c r="R2638" s="182">
        <f t="shared" si="3225"/>
        <v>0</v>
      </c>
      <c r="S2638" s="183">
        <f t="shared" si="3238"/>
        <v>3.0303030303030304E-2</v>
      </c>
      <c r="T2638" s="183">
        <f t="shared" si="3239"/>
        <v>0.13636363636363635</v>
      </c>
      <c r="U2638" s="184">
        <f t="shared" si="3223"/>
        <v>0.96969696969696961</v>
      </c>
      <c r="V2638" s="386"/>
    </row>
    <row r="2639" spans="2:22" ht="15.75" hidden="1" x14ac:dyDescent="0.2">
      <c r="B2639" s="711">
        <v>46249</v>
      </c>
      <c r="C2639" s="711" t="s">
        <v>105</v>
      </c>
      <c r="D2639" s="711" t="s">
        <v>13</v>
      </c>
      <c r="E2639" s="711">
        <v>46250</v>
      </c>
      <c r="G2639" s="810"/>
      <c r="H2639" s="497" t="s">
        <v>25</v>
      </c>
      <c r="I2639" s="60" t="s">
        <v>105</v>
      </c>
      <c r="J2639" s="60">
        <v>182</v>
      </c>
      <c r="K2639" s="60">
        <v>0</v>
      </c>
      <c r="L2639" s="60">
        <v>0</v>
      </c>
      <c r="M2639" s="60">
        <f>49+6</f>
        <v>55</v>
      </c>
      <c r="N2639" s="494">
        <v>97</v>
      </c>
      <c r="O2639" s="60">
        <v>25</v>
      </c>
      <c r="P2639" s="494">
        <v>5</v>
      </c>
      <c r="Q2639" s="182">
        <f t="shared" si="3224"/>
        <v>0</v>
      </c>
      <c r="R2639" s="182">
        <f t="shared" si="3225"/>
        <v>0.53296703296703296</v>
      </c>
      <c r="S2639" s="183">
        <f t="shared" si="3238"/>
        <v>2.7472527472527472E-2</v>
      </c>
      <c r="T2639" s="183">
        <f t="shared" si="3239"/>
        <v>0.13736263736263737</v>
      </c>
      <c r="U2639" s="184">
        <f t="shared" si="3223"/>
        <v>0.69780219780219777</v>
      </c>
      <c r="V2639" s="386"/>
    </row>
    <row r="2640" spans="2:22" ht="15.75" hidden="1" x14ac:dyDescent="0.2">
      <c r="B2640" s="711">
        <v>46249</v>
      </c>
      <c r="C2640" s="711" t="s">
        <v>105</v>
      </c>
      <c r="D2640" s="711" t="s">
        <v>13</v>
      </c>
      <c r="E2640" s="711">
        <v>46250</v>
      </c>
      <c r="G2640" s="811"/>
      <c r="H2640" s="497" t="s">
        <v>194</v>
      </c>
      <c r="I2640" s="60" t="s">
        <v>105</v>
      </c>
      <c r="J2640" s="60">
        <v>47</v>
      </c>
      <c r="K2640" s="60">
        <v>47</v>
      </c>
      <c r="L2640" s="60">
        <v>0</v>
      </c>
      <c r="M2640" s="60">
        <v>0</v>
      </c>
      <c r="N2640" s="494">
        <v>0</v>
      </c>
      <c r="O2640" s="60">
        <v>0</v>
      </c>
      <c r="P2640" s="494">
        <v>0</v>
      </c>
      <c r="Q2640" s="182">
        <f t="shared" si="3224"/>
        <v>1</v>
      </c>
      <c r="R2640" s="182">
        <f t="shared" si="3225"/>
        <v>0</v>
      </c>
      <c r="S2640" s="183">
        <f t="shared" si="3238"/>
        <v>0</v>
      </c>
      <c r="T2640" s="183">
        <f t="shared" si="3239"/>
        <v>0</v>
      </c>
      <c r="U2640" s="184">
        <f t="shared" si="3223"/>
        <v>1</v>
      </c>
      <c r="V2640" s="386"/>
    </row>
    <row r="2641" spans="2:22" ht="15.75" hidden="1" x14ac:dyDescent="0.2">
      <c r="B2641" s="711">
        <v>46249</v>
      </c>
      <c r="C2641" s="711" t="s">
        <v>105</v>
      </c>
      <c r="D2641" s="711" t="s">
        <v>13</v>
      </c>
      <c r="E2641" s="711">
        <v>46251</v>
      </c>
      <c r="G2641" s="816">
        <v>46251</v>
      </c>
      <c r="H2641" s="497" t="s">
        <v>16</v>
      </c>
      <c r="I2641" s="60" t="s">
        <v>112</v>
      </c>
      <c r="J2641" s="60">
        <v>147</v>
      </c>
      <c r="K2641" s="60">
        <v>0</v>
      </c>
      <c r="L2641" s="60">
        <v>0</v>
      </c>
      <c r="M2641" s="60">
        <v>147</v>
      </c>
      <c r="N2641" s="494">
        <v>0</v>
      </c>
      <c r="O2641" s="60">
        <v>0</v>
      </c>
      <c r="P2641" s="494">
        <v>0</v>
      </c>
      <c r="Q2641" s="182">
        <f t="shared" ref="Q2641:Q2645" si="3240">(K2641+L2641)/J2641</f>
        <v>0</v>
      </c>
      <c r="R2641" s="182">
        <f t="shared" ref="R2641:R2645" si="3241">N2641/J2641</f>
        <v>0</v>
      </c>
      <c r="S2641" s="183">
        <f t="shared" ref="S2641:S2655" si="3242">P2641/J2641</f>
        <v>0</v>
      </c>
      <c r="T2641" s="183">
        <f t="shared" ref="T2641:T2655" si="3243">O2641/J2641</f>
        <v>0</v>
      </c>
      <c r="U2641" s="184">
        <f t="shared" ref="U2641:U2645" si="3244">S2641+R2641+Q2641+T2641</f>
        <v>0</v>
      </c>
      <c r="V2641" s="386"/>
    </row>
    <row r="2642" spans="2:22" ht="15.75" hidden="1" x14ac:dyDescent="0.2">
      <c r="B2642" s="711">
        <v>46249</v>
      </c>
      <c r="C2642" s="711" t="s">
        <v>105</v>
      </c>
      <c r="D2642" s="711" t="s">
        <v>13</v>
      </c>
      <c r="E2642" s="711">
        <v>46251</v>
      </c>
      <c r="G2642" s="819"/>
      <c r="H2642" s="497" t="s">
        <v>14</v>
      </c>
      <c r="I2642" s="60" t="s">
        <v>106</v>
      </c>
      <c r="J2642" s="60">
        <v>176</v>
      </c>
      <c r="K2642" s="60">
        <v>0</v>
      </c>
      <c r="L2642" s="60">
        <v>0</v>
      </c>
      <c r="M2642" s="60">
        <v>162</v>
      </c>
      <c r="N2642" s="494">
        <v>0</v>
      </c>
      <c r="O2642" s="60">
        <v>11</v>
      </c>
      <c r="P2642" s="494">
        <v>3</v>
      </c>
      <c r="Q2642" s="182">
        <f t="shared" si="3240"/>
        <v>0</v>
      </c>
      <c r="R2642" s="182">
        <f t="shared" si="3241"/>
        <v>0</v>
      </c>
      <c r="S2642" s="183">
        <f t="shared" si="3242"/>
        <v>1.7045454545454544E-2</v>
      </c>
      <c r="T2642" s="183">
        <f t="shared" si="3243"/>
        <v>6.25E-2</v>
      </c>
      <c r="U2642" s="184">
        <f t="shared" si="3244"/>
        <v>7.9545454545454544E-2</v>
      </c>
      <c r="V2642" s="386"/>
    </row>
    <row r="2643" spans="2:22" ht="15.75" hidden="1" x14ac:dyDescent="0.2">
      <c r="B2643" s="711">
        <v>46249</v>
      </c>
      <c r="C2643" s="711" t="s">
        <v>105</v>
      </c>
      <c r="D2643" s="711" t="s">
        <v>13</v>
      </c>
      <c r="E2643" s="711">
        <v>46251</v>
      </c>
      <c r="G2643" s="819"/>
      <c r="H2643" s="497" t="s">
        <v>17</v>
      </c>
      <c r="I2643" s="60" t="s">
        <v>105</v>
      </c>
      <c r="J2643" s="60">
        <v>168</v>
      </c>
      <c r="K2643" s="60">
        <v>0</v>
      </c>
      <c r="L2643" s="60">
        <v>0</v>
      </c>
      <c r="M2643" s="60">
        <v>168</v>
      </c>
      <c r="N2643" s="494">
        <v>0</v>
      </c>
      <c r="O2643" s="60">
        <v>0</v>
      </c>
      <c r="P2643" s="494">
        <v>0</v>
      </c>
      <c r="Q2643" s="182">
        <f t="shared" si="3240"/>
        <v>0</v>
      </c>
      <c r="R2643" s="182">
        <f t="shared" si="3241"/>
        <v>0</v>
      </c>
      <c r="S2643" s="183">
        <f t="shared" si="3242"/>
        <v>0</v>
      </c>
      <c r="T2643" s="183">
        <f t="shared" si="3243"/>
        <v>0</v>
      </c>
      <c r="U2643" s="184">
        <f t="shared" si="3244"/>
        <v>0</v>
      </c>
      <c r="V2643" s="386"/>
    </row>
    <row r="2644" spans="2:22" ht="15.75" hidden="1" x14ac:dyDescent="0.2">
      <c r="B2644" s="711">
        <v>46249</v>
      </c>
      <c r="C2644" s="711" t="s">
        <v>105</v>
      </c>
      <c r="D2644" s="711" t="s">
        <v>13</v>
      </c>
      <c r="E2644" s="711">
        <v>46251</v>
      </c>
      <c r="G2644" s="819"/>
      <c r="H2644" s="497" t="s">
        <v>32</v>
      </c>
      <c r="I2644" s="60" t="s">
        <v>105</v>
      </c>
      <c r="J2644" s="60">
        <v>110</v>
      </c>
      <c r="K2644" s="60">
        <v>0</v>
      </c>
      <c r="L2644" s="60">
        <v>0</v>
      </c>
      <c r="M2644" s="60">
        <v>92</v>
      </c>
      <c r="N2644" s="494">
        <v>0</v>
      </c>
      <c r="O2644" s="60">
        <v>6</v>
      </c>
      <c r="P2644" s="494">
        <v>12</v>
      </c>
      <c r="Q2644" s="182">
        <f t="shared" si="3240"/>
        <v>0</v>
      </c>
      <c r="R2644" s="182">
        <f t="shared" si="3241"/>
        <v>0</v>
      </c>
      <c r="S2644" s="183">
        <f t="shared" si="3242"/>
        <v>0.10909090909090909</v>
      </c>
      <c r="T2644" s="183">
        <f t="shared" si="3243"/>
        <v>5.4545454545454543E-2</v>
      </c>
      <c r="U2644" s="184">
        <f t="shared" si="3244"/>
        <v>0.16363636363636364</v>
      </c>
      <c r="V2644" s="386"/>
    </row>
    <row r="2645" spans="2:22" ht="15.75" hidden="1" x14ac:dyDescent="0.2">
      <c r="B2645" s="711">
        <v>46249</v>
      </c>
      <c r="C2645" s="711" t="s">
        <v>105</v>
      </c>
      <c r="D2645" s="711" t="s">
        <v>13</v>
      </c>
      <c r="E2645" s="711">
        <v>46251</v>
      </c>
      <c r="G2645" s="817"/>
      <c r="H2645" s="497" t="s">
        <v>180</v>
      </c>
      <c r="I2645" s="60" t="s">
        <v>106</v>
      </c>
      <c r="J2645" s="60">
        <v>72</v>
      </c>
      <c r="K2645" s="60">
        <v>0</v>
      </c>
      <c r="L2645" s="60">
        <v>0</v>
      </c>
      <c r="M2645" s="60">
        <v>60</v>
      </c>
      <c r="N2645" s="494">
        <v>12</v>
      </c>
      <c r="O2645" s="60">
        <v>0</v>
      </c>
      <c r="P2645" s="494">
        <v>0</v>
      </c>
      <c r="Q2645" s="182">
        <f t="shared" si="3240"/>
        <v>0</v>
      </c>
      <c r="R2645" s="182">
        <f t="shared" si="3241"/>
        <v>0.16666666666666666</v>
      </c>
      <c r="S2645" s="183">
        <f t="shared" si="3242"/>
        <v>0</v>
      </c>
      <c r="T2645" s="183">
        <f t="shared" si="3243"/>
        <v>0</v>
      </c>
      <c r="U2645" s="184">
        <f t="shared" si="3244"/>
        <v>0.16666666666666666</v>
      </c>
      <c r="V2645" s="386"/>
    </row>
    <row r="2646" spans="2:22" ht="15.75" hidden="1" x14ac:dyDescent="0.2">
      <c r="B2646" s="711">
        <v>46249</v>
      </c>
      <c r="C2646" s="711" t="s">
        <v>105</v>
      </c>
      <c r="D2646" s="711" t="s">
        <v>13</v>
      </c>
      <c r="E2646" s="711">
        <v>46251</v>
      </c>
      <c r="G2646" s="775" t="s">
        <v>19</v>
      </c>
      <c r="H2646" s="776"/>
      <c r="I2646" s="777"/>
      <c r="J2646" s="190">
        <f>SUM(J2634:J2645)</f>
        <v>1644</v>
      </c>
      <c r="K2646" s="190">
        <f t="shared" ref="K2646:P2646" si="3245">SUM(K2634:K2645)</f>
        <v>498</v>
      </c>
      <c r="L2646" s="190">
        <f t="shared" si="3245"/>
        <v>156</v>
      </c>
      <c r="M2646" s="190">
        <f t="shared" si="3245"/>
        <v>698</v>
      </c>
      <c r="N2646" s="190">
        <f t="shared" si="3245"/>
        <v>118</v>
      </c>
      <c r="O2646" s="190">
        <f t="shared" si="3245"/>
        <v>118</v>
      </c>
      <c r="P2646" s="190">
        <f t="shared" si="3245"/>
        <v>56</v>
      </c>
      <c r="Q2646" s="481">
        <f>(K2646+L2646)/J2646</f>
        <v>0.3978102189781022</v>
      </c>
      <c r="R2646" s="481">
        <f>N2646/J2646</f>
        <v>7.1776155717761553E-2</v>
      </c>
      <c r="S2646" s="482">
        <f t="shared" si="3242"/>
        <v>3.4063260340632603E-2</v>
      </c>
      <c r="T2646" s="482">
        <f t="shared" si="3243"/>
        <v>7.1776155717761553E-2</v>
      </c>
      <c r="U2646" s="483">
        <f t="shared" ref="U2646:U2660" si="3246">S2646+R2646+Q2646+T2646</f>
        <v>0.57542579075425793</v>
      </c>
      <c r="V2646" s="479"/>
    </row>
    <row r="2647" spans="2:22" ht="15.75" hidden="1" x14ac:dyDescent="0.2">
      <c r="B2647" s="711">
        <v>46250</v>
      </c>
      <c r="C2647" s="711" t="s">
        <v>106</v>
      </c>
      <c r="D2647" s="711" t="s">
        <v>192</v>
      </c>
      <c r="E2647" s="711">
        <v>46250</v>
      </c>
      <c r="G2647" s="778">
        <v>46250</v>
      </c>
      <c r="H2647" s="60" t="s">
        <v>16</v>
      </c>
      <c r="I2647" s="60" t="s">
        <v>112</v>
      </c>
      <c r="J2647" s="60">
        <f>SUM(K2647:P2647)</f>
        <v>58</v>
      </c>
      <c r="K2647" s="60">
        <v>24</v>
      </c>
      <c r="L2647" s="60">
        <v>23</v>
      </c>
      <c r="M2647" s="60">
        <v>0</v>
      </c>
      <c r="N2647" s="312">
        <v>0</v>
      </c>
      <c r="O2647" s="60">
        <v>0</v>
      </c>
      <c r="P2647" s="312">
        <v>11</v>
      </c>
      <c r="Q2647" s="182">
        <f t="shared" ref="Q2647:Q2660" si="3247">(K2647+L2647)/J2647</f>
        <v>0.81034482758620685</v>
      </c>
      <c r="R2647" s="182">
        <f t="shared" ref="R2647:R2660" si="3248">N2647/J2647</f>
        <v>0</v>
      </c>
      <c r="S2647" s="183">
        <f t="shared" si="3242"/>
        <v>0.18965517241379309</v>
      </c>
      <c r="T2647" s="183">
        <f t="shared" si="3243"/>
        <v>0</v>
      </c>
      <c r="U2647" s="184">
        <f t="shared" si="3246"/>
        <v>1</v>
      </c>
      <c r="V2647" s="385"/>
    </row>
    <row r="2648" spans="2:22" ht="15.75" hidden="1" x14ac:dyDescent="0.2">
      <c r="B2648" s="711">
        <v>46250</v>
      </c>
      <c r="C2648" s="711" t="s">
        <v>106</v>
      </c>
      <c r="D2648" s="711" t="s">
        <v>192</v>
      </c>
      <c r="E2648" s="711">
        <v>46250</v>
      </c>
      <c r="G2648" s="786"/>
      <c r="H2648" s="60" t="s">
        <v>17</v>
      </c>
      <c r="I2648" s="60" t="s">
        <v>106</v>
      </c>
      <c r="J2648" s="60">
        <f t="shared" ref="J2648:J2649" si="3249">SUM(K2648:P2648)</f>
        <v>33</v>
      </c>
      <c r="K2648" s="60">
        <v>21</v>
      </c>
      <c r="L2648" s="60">
        <v>6</v>
      </c>
      <c r="M2648" s="60">
        <v>0</v>
      </c>
      <c r="N2648" s="312">
        <v>0</v>
      </c>
      <c r="O2648" s="60">
        <v>0</v>
      </c>
      <c r="P2648" s="312">
        <v>6</v>
      </c>
      <c r="Q2648" s="182">
        <f t="shared" si="3247"/>
        <v>0.81818181818181823</v>
      </c>
      <c r="R2648" s="182">
        <f t="shared" si="3248"/>
        <v>0</v>
      </c>
      <c r="S2648" s="183">
        <f t="shared" si="3242"/>
        <v>0.18181818181818182</v>
      </c>
      <c r="T2648" s="183">
        <f t="shared" si="3243"/>
        <v>0</v>
      </c>
      <c r="U2648" s="184" t="s">
        <v>195</v>
      </c>
      <c r="V2648" s="385"/>
    </row>
    <row r="2649" spans="2:22" ht="15.75" hidden="1" x14ac:dyDescent="0.2">
      <c r="B2649" s="711">
        <v>46250</v>
      </c>
      <c r="C2649" s="711" t="s">
        <v>106</v>
      </c>
      <c r="D2649" s="711" t="s">
        <v>192</v>
      </c>
      <c r="E2649" s="711">
        <v>46250</v>
      </c>
      <c r="G2649" s="779"/>
      <c r="H2649" s="60" t="s">
        <v>25</v>
      </c>
      <c r="I2649" s="60" t="s">
        <v>106</v>
      </c>
      <c r="J2649" s="60">
        <f t="shared" si="3249"/>
        <v>182</v>
      </c>
      <c r="K2649" s="60">
        <v>109</v>
      </c>
      <c r="L2649" s="60">
        <v>38</v>
      </c>
      <c r="M2649" s="60">
        <v>2</v>
      </c>
      <c r="N2649" s="312">
        <v>0</v>
      </c>
      <c r="O2649" s="60">
        <v>25</v>
      </c>
      <c r="P2649" s="312">
        <v>8</v>
      </c>
      <c r="Q2649" s="182">
        <f t="shared" si="3247"/>
        <v>0.80769230769230771</v>
      </c>
      <c r="R2649" s="182">
        <f t="shared" si="3248"/>
        <v>0</v>
      </c>
      <c r="S2649" s="183">
        <f t="shared" si="3242"/>
        <v>4.3956043956043959E-2</v>
      </c>
      <c r="T2649" s="183">
        <f t="shared" si="3243"/>
        <v>0.13736263736263737</v>
      </c>
      <c r="U2649" s="184">
        <f t="shared" si="3246"/>
        <v>0.98901098901098905</v>
      </c>
      <c r="V2649" s="385"/>
    </row>
    <row r="2650" spans="2:22" ht="15.75" hidden="1" x14ac:dyDescent="0.2">
      <c r="B2650" s="711">
        <v>46250</v>
      </c>
      <c r="C2650" s="711" t="s">
        <v>106</v>
      </c>
      <c r="D2650" s="711" t="s">
        <v>192</v>
      </c>
      <c r="E2650" s="711">
        <v>46250</v>
      </c>
      <c r="G2650" s="770">
        <v>46251</v>
      </c>
      <c r="H2650" s="60" t="s">
        <v>16</v>
      </c>
      <c r="I2650" s="60" t="s">
        <v>105</v>
      </c>
      <c r="J2650" s="60">
        <v>143</v>
      </c>
      <c r="K2650" s="60">
        <v>0</v>
      </c>
      <c r="L2650" s="60">
        <v>0</v>
      </c>
      <c r="M2650" s="60">
        <v>110</v>
      </c>
      <c r="N2650" s="312">
        <v>14</v>
      </c>
      <c r="O2650" s="60">
        <v>20</v>
      </c>
      <c r="P2650" s="312">
        <v>4</v>
      </c>
      <c r="Q2650" s="182">
        <f t="shared" si="3247"/>
        <v>0</v>
      </c>
      <c r="R2650" s="182">
        <f t="shared" si="3248"/>
        <v>9.7902097902097904E-2</v>
      </c>
      <c r="S2650" s="183">
        <f t="shared" si="3242"/>
        <v>2.7972027972027972E-2</v>
      </c>
      <c r="T2650" s="183">
        <f t="shared" si="3243"/>
        <v>0.13986013986013987</v>
      </c>
      <c r="U2650" s="184">
        <f t="shared" si="3246"/>
        <v>0.26573426573426573</v>
      </c>
      <c r="V2650" s="385"/>
    </row>
    <row r="2651" spans="2:22" ht="15.75" hidden="1" x14ac:dyDescent="0.2">
      <c r="B2651" s="711">
        <v>46250</v>
      </c>
      <c r="C2651" s="711" t="s">
        <v>106</v>
      </c>
      <c r="D2651" s="711" t="s">
        <v>192</v>
      </c>
      <c r="E2651" s="711">
        <v>46250</v>
      </c>
      <c r="G2651" s="771"/>
      <c r="H2651" s="60" t="s">
        <v>180</v>
      </c>
      <c r="I2651" s="60" t="s">
        <v>106</v>
      </c>
      <c r="J2651" s="60">
        <v>72</v>
      </c>
      <c r="K2651" s="60">
        <v>0</v>
      </c>
      <c r="L2651" s="60">
        <v>0</v>
      </c>
      <c r="M2651" s="60">
        <v>0</v>
      </c>
      <c r="N2651" s="312">
        <v>71</v>
      </c>
      <c r="O2651" s="60">
        <v>0</v>
      </c>
      <c r="P2651" s="312">
        <v>0</v>
      </c>
      <c r="Q2651" s="182">
        <f t="shared" si="3247"/>
        <v>0</v>
      </c>
      <c r="R2651" s="182">
        <f t="shared" si="3248"/>
        <v>0.98611111111111116</v>
      </c>
      <c r="S2651" s="183">
        <f t="shared" si="3242"/>
        <v>0</v>
      </c>
      <c r="T2651" s="183">
        <f t="shared" si="3243"/>
        <v>0</v>
      </c>
      <c r="U2651" s="184">
        <f t="shared" si="3246"/>
        <v>0.98611111111111116</v>
      </c>
      <c r="V2651" s="385"/>
    </row>
    <row r="2652" spans="2:22" ht="15.75" hidden="1" x14ac:dyDescent="0.2">
      <c r="B2652" s="711">
        <v>46250</v>
      </c>
      <c r="C2652" s="711" t="s">
        <v>106</v>
      </c>
      <c r="D2652" s="711" t="s">
        <v>192</v>
      </c>
      <c r="E2652" s="711">
        <v>46250</v>
      </c>
      <c r="G2652" s="771"/>
      <c r="H2652" s="60" t="s">
        <v>14</v>
      </c>
      <c r="I2652" s="60" t="s">
        <v>112</v>
      </c>
      <c r="J2652" s="60">
        <v>176</v>
      </c>
      <c r="K2652" s="60">
        <v>10</v>
      </c>
      <c r="L2652" s="60">
        <v>0</v>
      </c>
      <c r="M2652" s="60">
        <v>15</v>
      </c>
      <c r="N2652" s="312">
        <v>147</v>
      </c>
      <c r="O2652" s="60">
        <v>11</v>
      </c>
      <c r="P2652" s="312">
        <v>3</v>
      </c>
      <c r="Q2652" s="182">
        <f t="shared" si="3247"/>
        <v>5.6818181818181816E-2</v>
      </c>
      <c r="R2652" s="182">
        <f t="shared" si="3248"/>
        <v>0.83522727272727271</v>
      </c>
      <c r="S2652" s="183">
        <f t="shared" si="3242"/>
        <v>1.7045454545454544E-2</v>
      </c>
      <c r="T2652" s="183">
        <f t="shared" si="3243"/>
        <v>6.25E-2</v>
      </c>
      <c r="U2652" s="184">
        <f t="shared" si="3246"/>
        <v>0.97159090909090906</v>
      </c>
      <c r="V2652" s="385"/>
    </row>
    <row r="2653" spans="2:22" ht="15.75" hidden="1" x14ac:dyDescent="0.2">
      <c r="B2653" s="711">
        <v>46250</v>
      </c>
      <c r="C2653" s="711" t="s">
        <v>106</v>
      </c>
      <c r="D2653" s="711" t="s">
        <v>192</v>
      </c>
      <c r="E2653" s="711">
        <v>46250</v>
      </c>
      <c r="G2653" s="771"/>
      <c r="H2653" s="60" t="s">
        <v>17</v>
      </c>
      <c r="I2653" s="60" t="s">
        <v>106</v>
      </c>
      <c r="J2653" s="60">
        <v>168</v>
      </c>
      <c r="K2653" s="60">
        <v>0</v>
      </c>
      <c r="L2653" s="60">
        <v>0</v>
      </c>
      <c r="M2653" s="60">
        <v>168</v>
      </c>
      <c r="N2653" s="312">
        <v>0</v>
      </c>
      <c r="O2653" s="60">
        <v>0</v>
      </c>
      <c r="P2653" s="312">
        <v>0</v>
      </c>
      <c r="Q2653" s="182">
        <f t="shared" si="3247"/>
        <v>0</v>
      </c>
      <c r="R2653" s="182">
        <f t="shared" si="3248"/>
        <v>0</v>
      </c>
      <c r="S2653" s="183">
        <f t="shared" si="3242"/>
        <v>0</v>
      </c>
      <c r="T2653" s="183">
        <f t="shared" si="3243"/>
        <v>0</v>
      </c>
      <c r="U2653" s="184">
        <f t="shared" si="3246"/>
        <v>0</v>
      </c>
      <c r="V2653" s="385"/>
    </row>
    <row r="2654" spans="2:22" ht="15.75" hidden="1" x14ac:dyDescent="0.2">
      <c r="B2654" s="711">
        <v>46250</v>
      </c>
      <c r="C2654" s="711" t="s">
        <v>106</v>
      </c>
      <c r="D2654" s="711" t="s">
        <v>192</v>
      </c>
      <c r="E2654" s="711">
        <v>46250</v>
      </c>
      <c r="G2654" s="772"/>
      <c r="H2654" s="60" t="s">
        <v>32</v>
      </c>
      <c r="I2654" s="60" t="s">
        <v>106</v>
      </c>
      <c r="J2654" s="60">
        <v>346</v>
      </c>
      <c r="K2654" s="60">
        <v>0</v>
      </c>
      <c r="L2654" s="60">
        <v>0</v>
      </c>
      <c r="M2654" s="60">
        <f>346-22-15</f>
        <v>309</v>
      </c>
      <c r="N2654" s="312">
        <v>0</v>
      </c>
      <c r="O2654" s="60">
        <v>15</v>
      </c>
      <c r="P2654" s="312">
        <v>22</v>
      </c>
      <c r="Q2654" s="182">
        <f t="shared" si="3247"/>
        <v>0</v>
      </c>
      <c r="R2654" s="182">
        <f t="shared" si="3248"/>
        <v>0</v>
      </c>
      <c r="S2654" s="183">
        <f t="shared" si="3242"/>
        <v>6.358381502890173E-2</v>
      </c>
      <c r="T2654" s="183">
        <f t="shared" si="3243"/>
        <v>4.3352601156069363E-2</v>
      </c>
      <c r="U2654" s="184">
        <f t="shared" si="3246"/>
        <v>0.1069364161849711</v>
      </c>
      <c r="V2654" s="385"/>
    </row>
    <row r="2655" spans="2:22" ht="15.75" hidden="1" x14ac:dyDescent="0.2">
      <c r="B2655" s="711">
        <v>46250</v>
      </c>
      <c r="C2655" s="711" t="s">
        <v>106</v>
      </c>
      <c r="D2655" s="711" t="s">
        <v>192</v>
      </c>
      <c r="E2655" s="711">
        <v>46250</v>
      </c>
      <c r="G2655" s="396"/>
      <c r="H2655" s="775" t="s">
        <v>19</v>
      </c>
      <c r="I2655" s="777"/>
      <c r="J2655" s="190">
        <f t="shared" ref="J2655:P2655" si="3250">SUM(J2647:J2654)</f>
        <v>1178</v>
      </c>
      <c r="K2655" s="190">
        <f t="shared" si="3250"/>
        <v>164</v>
      </c>
      <c r="L2655" s="190">
        <f t="shared" si="3250"/>
        <v>67</v>
      </c>
      <c r="M2655" s="190">
        <f t="shared" si="3250"/>
        <v>604</v>
      </c>
      <c r="N2655" s="190">
        <f t="shared" si="3250"/>
        <v>232</v>
      </c>
      <c r="O2655" s="190">
        <f t="shared" si="3250"/>
        <v>71</v>
      </c>
      <c r="P2655" s="190">
        <f t="shared" si="3250"/>
        <v>54</v>
      </c>
      <c r="Q2655" s="481">
        <f t="shared" si="3247"/>
        <v>0.19609507640067911</v>
      </c>
      <c r="R2655" s="481">
        <f t="shared" si="3248"/>
        <v>0.19694397283531409</v>
      </c>
      <c r="S2655" s="482">
        <f t="shared" si="3242"/>
        <v>4.5840407470288627E-2</v>
      </c>
      <c r="T2655" s="482">
        <f t="shared" si="3243"/>
        <v>6.0271646859083192E-2</v>
      </c>
      <c r="U2655" s="483">
        <f t="shared" si="3246"/>
        <v>0.49915110356536502</v>
      </c>
      <c r="V2655" s="479"/>
    </row>
    <row r="2656" spans="2:22" ht="15.75" hidden="1" x14ac:dyDescent="0.2">
      <c r="B2656" s="711">
        <v>46250</v>
      </c>
      <c r="C2656" s="711" t="s">
        <v>105</v>
      </c>
      <c r="D2656" s="711" t="s">
        <v>13</v>
      </c>
      <c r="E2656" s="711">
        <v>46251</v>
      </c>
      <c r="G2656" s="778">
        <v>46251</v>
      </c>
      <c r="H2656" s="497" t="s">
        <v>16</v>
      </c>
      <c r="I2656" s="60" t="s">
        <v>112</v>
      </c>
      <c r="J2656" s="60">
        <v>147</v>
      </c>
      <c r="K2656" s="60">
        <v>71</v>
      </c>
      <c r="L2656" s="60">
        <v>46</v>
      </c>
      <c r="M2656" s="60">
        <v>6</v>
      </c>
      <c r="N2656" s="494">
        <v>0</v>
      </c>
      <c r="O2656" s="60">
        <v>20</v>
      </c>
      <c r="P2656" s="494">
        <v>4</v>
      </c>
      <c r="Q2656" s="182">
        <f t="shared" si="3247"/>
        <v>0.79591836734693877</v>
      </c>
      <c r="R2656" s="182">
        <f t="shared" si="3248"/>
        <v>0</v>
      </c>
      <c r="S2656" s="183">
        <f t="shared" ref="S2656:S2660" si="3251">P2656/J2656</f>
        <v>2.7210884353741496E-2</v>
      </c>
      <c r="T2656" s="183">
        <f t="shared" ref="T2656:T2660" si="3252">O2656/J2656</f>
        <v>0.1360544217687075</v>
      </c>
      <c r="U2656" s="184">
        <f t="shared" si="3246"/>
        <v>0.95918367346938782</v>
      </c>
      <c r="V2656" s="386"/>
    </row>
    <row r="2657" spans="2:22" ht="15.75" hidden="1" x14ac:dyDescent="0.2">
      <c r="B2657" s="711">
        <v>46250</v>
      </c>
      <c r="C2657" s="711" t="s">
        <v>105</v>
      </c>
      <c r="D2657" s="711" t="s">
        <v>13</v>
      </c>
      <c r="E2657" s="711">
        <v>46251</v>
      </c>
      <c r="G2657" s="786"/>
      <c r="H2657" s="497" t="s">
        <v>14</v>
      </c>
      <c r="I2657" s="60" t="s">
        <v>106</v>
      </c>
      <c r="J2657" s="60">
        <v>177</v>
      </c>
      <c r="K2657" s="60">
        <v>111</v>
      </c>
      <c r="L2657" s="60">
        <v>27</v>
      </c>
      <c r="M2657" s="60">
        <v>0</v>
      </c>
      <c r="N2657" s="494">
        <v>23</v>
      </c>
      <c r="O2657" s="60">
        <v>11</v>
      </c>
      <c r="P2657" s="494">
        <v>5</v>
      </c>
      <c r="Q2657" s="182">
        <f t="shared" si="3247"/>
        <v>0.77966101694915257</v>
      </c>
      <c r="R2657" s="182">
        <f t="shared" si="3248"/>
        <v>0.12994350282485875</v>
      </c>
      <c r="S2657" s="183">
        <f t="shared" si="3251"/>
        <v>2.8248587570621469E-2</v>
      </c>
      <c r="T2657" s="183">
        <f t="shared" si="3252"/>
        <v>6.2146892655367235E-2</v>
      </c>
      <c r="U2657" s="184">
        <f t="shared" si="3246"/>
        <v>1</v>
      </c>
      <c r="V2657" s="386"/>
    </row>
    <row r="2658" spans="2:22" ht="15.75" hidden="1" x14ac:dyDescent="0.2">
      <c r="B2658" s="711">
        <v>46250</v>
      </c>
      <c r="C2658" s="711" t="s">
        <v>105</v>
      </c>
      <c r="D2658" s="711" t="s">
        <v>13</v>
      </c>
      <c r="E2658" s="711">
        <v>46251</v>
      </c>
      <c r="G2658" s="786"/>
      <c r="H2658" s="497" t="s">
        <v>17</v>
      </c>
      <c r="I2658" s="60" t="s">
        <v>105</v>
      </c>
      <c r="J2658" s="60">
        <v>168</v>
      </c>
      <c r="K2658" s="60">
        <v>0</v>
      </c>
      <c r="L2658" s="60">
        <v>0</v>
      </c>
      <c r="M2658" s="60">
        <v>138</v>
      </c>
      <c r="N2658" s="494">
        <v>0</v>
      </c>
      <c r="O2658" s="60">
        <v>25</v>
      </c>
      <c r="P2658" s="494">
        <v>5</v>
      </c>
      <c r="Q2658" s="182">
        <f t="shared" si="3247"/>
        <v>0</v>
      </c>
      <c r="R2658" s="182">
        <f t="shared" si="3248"/>
        <v>0</v>
      </c>
      <c r="S2658" s="183">
        <f t="shared" si="3251"/>
        <v>2.976190476190476E-2</v>
      </c>
      <c r="T2658" s="183">
        <f t="shared" si="3252"/>
        <v>0.14880952380952381</v>
      </c>
      <c r="U2658" s="184">
        <f t="shared" si="3246"/>
        <v>0.17857142857142858</v>
      </c>
      <c r="V2658" s="386"/>
    </row>
    <row r="2659" spans="2:22" ht="15.75" hidden="1" x14ac:dyDescent="0.2">
      <c r="B2659" s="711">
        <v>46250</v>
      </c>
      <c r="C2659" s="711" t="s">
        <v>105</v>
      </c>
      <c r="D2659" s="711" t="s">
        <v>13</v>
      </c>
      <c r="E2659" s="711">
        <v>46251</v>
      </c>
      <c r="G2659" s="786"/>
      <c r="H2659" s="497" t="s">
        <v>32</v>
      </c>
      <c r="I2659" s="60" t="s">
        <v>105</v>
      </c>
      <c r="J2659" s="60">
        <v>346</v>
      </c>
      <c r="K2659" s="60">
        <v>122</v>
      </c>
      <c r="L2659" s="60">
        <v>25</v>
      </c>
      <c r="M2659" s="60">
        <v>124</v>
      </c>
      <c r="N2659" s="312">
        <v>45</v>
      </c>
      <c r="O2659" s="60">
        <v>15</v>
      </c>
      <c r="P2659" s="312">
        <v>15</v>
      </c>
      <c r="Q2659" s="182">
        <f t="shared" si="3247"/>
        <v>0.42485549132947975</v>
      </c>
      <c r="R2659" s="182">
        <f t="shared" si="3248"/>
        <v>0.13005780346820808</v>
      </c>
      <c r="S2659" s="183">
        <f t="shared" si="3251"/>
        <v>4.3352601156069363E-2</v>
      </c>
      <c r="T2659" s="183">
        <f t="shared" si="3252"/>
        <v>4.3352601156069363E-2</v>
      </c>
      <c r="U2659" s="184">
        <f t="shared" si="3246"/>
        <v>0.64161849710982655</v>
      </c>
      <c r="V2659" s="386"/>
    </row>
    <row r="2660" spans="2:22" ht="15.75" hidden="1" x14ac:dyDescent="0.2">
      <c r="B2660" s="711">
        <v>46250</v>
      </c>
      <c r="C2660" s="711" t="s">
        <v>105</v>
      </c>
      <c r="D2660" s="711" t="s">
        <v>13</v>
      </c>
      <c r="E2660" s="711">
        <v>46251</v>
      </c>
      <c r="G2660" s="779"/>
      <c r="H2660" s="497" t="s">
        <v>180</v>
      </c>
      <c r="I2660" s="60" t="s">
        <v>106</v>
      </c>
      <c r="J2660" s="60">
        <v>72</v>
      </c>
      <c r="K2660" s="60">
        <v>0</v>
      </c>
      <c r="L2660" s="60">
        <v>0</v>
      </c>
      <c r="M2660" s="60">
        <v>0</v>
      </c>
      <c r="N2660" s="494">
        <v>72</v>
      </c>
      <c r="O2660" s="60">
        <v>0</v>
      </c>
      <c r="P2660" s="494">
        <v>0</v>
      </c>
      <c r="Q2660" s="182">
        <f t="shared" si="3247"/>
        <v>0</v>
      </c>
      <c r="R2660" s="182">
        <f t="shared" si="3248"/>
        <v>1</v>
      </c>
      <c r="S2660" s="183">
        <f t="shared" si="3251"/>
        <v>0</v>
      </c>
      <c r="T2660" s="183">
        <f t="shared" si="3252"/>
        <v>0</v>
      </c>
      <c r="U2660" s="184">
        <f t="shared" si="3246"/>
        <v>1</v>
      </c>
      <c r="V2660" s="386"/>
    </row>
    <row r="2661" spans="2:22" ht="15.75" hidden="1" x14ac:dyDescent="0.2">
      <c r="B2661" s="711">
        <v>46250</v>
      </c>
      <c r="C2661" s="711" t="s">
        <v>105</v>
      </c>
      <c r="D2661" s="711" t="s">
        <v>13</v>
      </c>
      <c r="E2661" s="711">
        <v>46252</v>
      </c>
      <c r="G2661" s="809">
        <v>46252</v>
      </c>
      <c r="H2661" s="497" t="s">
        <v>16</v>
      </c>
      <c r="I2661" s="60" t="s">
        <v>112</v>
      </c>
      <c r="J2661" s="60">
        <v>237</v>
      </c>
      <c r="K2661" s="60">
        <v>0</v>
      </c>
      <c r="L2661" s="60">
        <v>0</v>
      </c>
      <c r="M2661" s="60">
        <v>204</v>
      </c>
      <c r="N2661" s="494">
        <v>0</v>
      </c>
      <c r="O2661" s="60">
        <v>20</v>
      </c>
      <c r="P2661" s="494">
        <v>13</v>
      </c>
      <c r="Q2661" s="182">
        <f t="shared" ref="Q2661:Q2664" si="3253">(K2661+L2661)/J2661</f>
        <v>0</v>
      </c>
      <c r="R2661" s="182">
        <f t="shared" ref="R2661:R2664" si="3254">N2661/J2661</f>
        <v>0</v>
      </c>
      <c r="S2661" s="183">
        <f t="shared" ref="S2661:S2671" si="3255">P2661/J2661</f>
        <v>5.4852320675105488E-2</v>
      </c>
      <c r="T2661" s="183">
        <f t="shared" ref="T2661:T2671" si="3256">O2661/J2661</f>
        <v>8.4388185654008435E-2</v>
      </c>
      <c r="U2661" s="184">
        <f t="shared" ref="U2661:U2664" si="3257">S2661+R2661+Q2661+T2661</f>
        <v>0.13924050632911392</v>
      </c>
      <c r="V2661" s="386"/>
    </row>
    <row r="2662" spans="2:22" ht="15.75" hidden="1" x14ac:dyDescent="0.2">
      <c r="B2662" s="711">
        <v>46250</v>
      </c>
      <c r="C2662" s="711" t="s">
        <v>105</v>
      </c>
      <c r="D2662" s="711" t="s">
        <v>13</v>
      </c>
      <c r="E2662" s="711">
        <v>46252</v>
      </c>
      <c r="G2662" s="810"/>
      <c r="H2662" s="497" t="s">
        <v>17</v>
      </c>
      <c r="I2662" s="60" t="s">
        <v>105</v>
      </c>
      <c r="J2662" s="60">
        <v>178</v>
      </c>
      <c r="K2662" s="60">
        <v>0</v>
      </c>
      <c r="L2662" s="60">
        <v>0</v>
      </c>
      <c r="M2662" s="60">
        <v>151</v>
      </c>
      <c r="N2662" s="494">
        <v>0</v>
      </c>
      <c r="O2662" s="60">
        <v>27</v>
      </c>
      <c r="P2662" s="494">
        <v>0</v>
      </c>
      <c r="Q2662" s="182">
        <f t="shared" si="3253"/>
        <v>0</v>
      </c>
      <c r="R2662" s="182">
        <f t="shared" si="3254"/>
        <v>0</v>
      </c>
      <c r="S2662" s="183">
        <f t="shared" si="3255"/>
        <v>0</v>
      </c>
      <c r="T2662" s="183">
        <f t="shared" si="3256"/>
        <v>0.15168539325842698</v>
      </c>
      <c r="U2662" s="184">
        <f t="shared" si="3257"/>
        <v>0.15168539325842698</v>
      </c>
      <c r="V2662" s="386"/>
    </row>
    <row r="2663" spans="2:22" ht="15.75" hidden="1" x14ac:dyDescent="0.2">
      <c r="B2663" s="711">
        <v>46250</v>
      </c>
      <c r="C2663" s="711" t="s">
        <v>105</v>
      </c>
      <c r="D2663" s="711" t="s">
        <v>13</v>
      </c>
      <c r="E2663" s="711">
        <v>46252</v>
      </c>
      <c r="G2663" s="810"/>
      <c r="H2663" s="497" t="s">
        <v>32</v>
      </c>
      <c r="I2663" s="60" t="s">
        <v>105</v>
      </c>
      <c r="J2663" s="60">
        <v>64</v>
      </c>
      <c r="K2663" s="60">
        <v>0</v>
      </c>
      <c r="L2663" s="60">
        <v>0</v>
      </c>
      <c r="M2663" s="60">
        <v>64</v>
      </c>
      <c r="N2663" s="494">
        <v>0</v>
      </c>
      <c r="O2663" s="60">
        <v>0</v>
      </c>
      <c r="P2663" s="494">
        <v>0</v>
      </c>
      <c r="Q2663" s="182">
        <f t="shared" ref="Q2663" si="3258">(K2663+L2663)/J2663</f>
        <v>0</v>
      </c>
      <c r="R2663" s="182">
        <f t="shared" ref="R2663" si="3259">N2663/J2663</f>
        <v>0</v>
      </c>
      <c r="S2663" s="183">
        <f t="shared" ref="S2663" si="3260">P2663/J2663</f>
        <v>0</v>
      </c>
      <c r="T2663" s="183">
        <f t="shared" ref="T2663" si="3261">O2663/J2663</f>
        <v>0</v>
      </c>
      <c r="U2663" s="184">
        <f t="shared" ref="U2663" si="3262">S2663+R2663+Q2663+T2663</f>
        <v>0</v>
      </c>
      <c r="V2663" s="386"/>
    </row>
    <row r="2664" spans="2:22" ht="15.75" hidden="1" x14ac:dyDescent="0.2">
      <c r="B2664" s="711">
        <v>46250</v>
      </c>
      <c r="C2664" s="711" t="s">
        <v>105</v>
      </c>
      <c r="D2664" s="711" t="s">
        <v>13</v>
      </c>
      <c r="E2664" s="711">
        <v>46252</v>
      </c>
      <c r="G2664" s="811"/>
      <c r="H2664" s="497" t="s">
        <v>25</v>
      </c>
      <c r="I2664" s="60" t="s">
        <v>106</v>
      </c>
      <c r="J2664" s="60">
        <v>236</v>
      </c>
      <c r="K2664" s="60">
        <v>0</v>
      </c>
      <c r="L2664" s="60">
        <v>0</v>
      </c>
      <c r="M2664" s="60">
        <v>211</v>
      </c>
      <c r="N2664" s="494">
        <v>0</v>
      </c>
      <c r="O2664" s="60">
        <v>25</v>
      </c>
      <c r="P2664" s="494">
        <v>0</v>
      </c>
      <c r="Q2664" s="182">
        <f t="shared" si="3253"/>
        <v>0</v>
      </c>
      <c r="R2664" s="182">
        <f t="shared" si="3254"/>
        <v>0</v>
      </c>
      <c r="S2664" s="183">
        <f t="shared" si="3255"/>
        <v>0</v>
      </c>
      <c r="T2664" s="183">
        <f t="shared" si="3256"/>
        <v>0.1059322033898305</v>
      </c>
      <c r="U2664" s="184">
        <f t="shared" si="3257"/>
        <v>0.1059322033898305</v>
      </c>
      <c r="V2664" s="386"/>
    </row>
    <row r="2665" spans="2:22" ht="15.75" hidden="1" x14ac:dyDescent="0.2">
      <c r="B2665" s="711">
        <v>46250</v>
      </c>
      <c r="C2665" s="711" t="s">
        <v>105</v>
      </c>
      <c r="D2665" s="711" t="s">
        <v>13</v>
      </c>
      <c r="E2665" s="711">
        <v>46252</v>
      </c>
      <c r="G2665" s="775" t="s">
        <v>19</v>
      </c>
      <c r="H2665" s="776"/>
      <c r="I2665" s="777"/>
      <c r="J2665" s="190">
        <f>SUM(J2656:J2664)</f>
        <v>1625</v>
      </c>
      <c r="K2665" s="190">
        <f t="shared" ref="K2665:P2665" si="3263">SUM(K2656:K2664)</f>
        <v>304</v>
      </c>
      <c r="L2665" s="190">
        <f t="shared" si="3263"/>
        <v>98</v>
      </c>
      <c r="M2665" s="190">
        <f t="shared" si="3263"/>
        <v>898</v>
      </c>
      <c r="N2665" s="190">
        <f t="shared" si="3263"/>
        <v>140</v>
      </c>
      <c r="O2665" s="190">
        <f t="shared" si="3263"/>
        <v>143</v>
      </c>
      <c r="P2665" s="190">
        <f t="shared" si="3263"/>
        <v>42</v>
      </c>
      <c r="Q2665" s="481">
        <f>(K2665+L2665)/J2665</f>
        <v>0.2473846153846154</v>
      </c>
      <c r="R2665" s="481">
        <f>N2665/J2665</f>
        <v>8.615384615384615E-2</v>
      </c>
      <c r="S2665" s="482">
        <f t="shared" si="3255"/>
        <v>2.5846153846153845E-2</v>
      </c>
      <c r="T2665" s="482">
        <f t="shared" si="3256"/>
        <v>8.7999999999999995E-2</v>
      </c>
      <c r="U2665" s="483">
        <f t="shared" ref="U2665:U2668" si="3264">S2665+R2665+Q2665+T2665</f>
        <v>0.44738461538461538</v>
      </c>
      <c r="V2665" s="479"/>
    </row>
    <row r="2666" spans="2:22" ht="15.75" hidden="1" x14ac:dyDescent="0.2">
      <c r="B2666" s="711">
        <v>46251</v>
      </c>
      <c r="C2666" s="711" t="s">
        <v>106</v>
      </c>
      <c r="D2666" s="711" t="s">
        <v>192</v>
      </c>
      <c r="E2666" s="711">
        <v>46251</v>
      </c>
      <c r="G2666" s="778">
        <v>46251</v>
      </c>
      <c r="H2666" s="60" t="s">
        <v>16</v>
      </c>
      <c r="I2666" s="60" t="s">
        <v>112</v>
      </c>
      <c r="J2666" s="60">
        <f>SUM(K2666:P2666)</f>
        <v>69</v>
      </c>
      <c r="K2666" s="60">
        <v>26</v>
      </c>
      <c r="L2666" s="60">
        <v>20</v>
      </c>
      <c r="M2666" s="60">
        <v>0</v>
      </c>
      <c r="N2666" s="312">
        <v>0</v>
      </c>
      <c r="O2666" s="60">
        <v>20</v>
      </c>
      <c r="P2666" s="312">
        <v>3</v>
      </c>
      <c r="Q2666" s="182">
        <f t="shared" ref="Q2666:Q2676" si="3265">(K2666+L2666)/J2666</f>
        <v>0.66666666666666663</v>
      </c>
      <c r="R2666" s="182">
        <f t="shared" ref="R2666:R2676" si="3266">N2666/J2666</f>
        <v>0</v>
      </c>
      <c r="S2666" s="183">
        <f t="shared" si="3255"/>
        <v>4.3478260869565216E-2</v>
      </c>
      <c r="T2666" s="183">
        <f t="shared" si="3256"/>
        <v>0.28985507246376813</v>
      </c>
      <c r="U2666" s="184">
        <f t="shared" si="3264"/>
        <v>1</v>
      </c>
      <c r="V2666" s="385"/>
    </row>
    <row r="2667" spans="2:22" ht="15.75" hidden="1" x14ac:dyDescent="0.2">
      <c r="B2667" s="711">
        <v>46251</v>
      </c>
      <c r="C2667" s="711" t="s">
        <v>106</v>
      </c>
      <c r="D2667" s="711" t="s">
        <v>192</v>
      </c>
      <c r="E2667" s="711">
        <v>46251</v>
      </c>
      <c r="G2667" s="786"/>
      <c r="H2667" s="60" t="s">
        <v>14</v>
      </c>
      <c r="I2667" s="60" t="s">
        <v>106</v>
      </c>
      <c r="J2667" s="60">
        <f t="shared" ref="J2667:J2668" si="3267">SUM(K2667:P2667)</f>
        <v>64</v>
      </c>
      <c r="K2667" s="60">
        <v>55</v>
      </c>
      <c r="L2667" s="60">
        <v>6</v>
      </c>
      <c r="M2667" s="60">
        <v>0</v>
      </c>
      <c r="N2667" s="312">
        <v>0</v>
      </c>
      <c r="O2667" s="60">
        <v>0</v>
      </c>
      <c r="P2667" s="312">
        <v>3</v>
      </c>
      <c r="Q2667" s="182">
        <f t="shared" si="3265"/>
        <v>0.953125</v>
      </c>
      <c r="R2667" s="182">
        <f t="shared" si="3266"/>
        <v>0</v>
      </c>
      <c r="S2667" s="183">
        <f t="shared" si="3255"/>
        <v>4.6875E-2</v>
      </c>
      <c r="T2667" s="183">
        <f t="shared" si="3256"/>
        <v>0</v>
      </c>
      <c r="U2667" s="184">
        <f t="shared" si="3264"/>
        <v>1</v>
      </c>
      <c r="V2667" s="385"/>
    </row>
    <row r="2668" spans="2:22" ht="15.75" hidden="1" x14ac:dyDescent="0.2">
      <c r="B2668" s="711">
        <v>46251</v>
      </c>
      <c r="C2668" s="711" t="s">
        <v>106</v>
      </c>
      <c r="D2668" s="711" t="s">
        <v>192</v>
      </c>
      <c r="E2668" s="711">
        <v>46251</v>
      </c>
      <c r="G2668" s="786"/>
      <c r="H2668" s="60" t="s">
        <v>180</v>
      </c>
      <c r="I2668" s="60" t="s">
        <v>106</v>
      </c>
      <c r="J2668" s="60">
        <f t="shared" si="3267"/>
        <v>79</v>
      </c>
      <c r="K2668" s="60">
        <v>79</v>
      </c>
      <c r="L2668" s="60">
        <v>0</v>
      </c>
      <c r="M2668" s="60">
        <v>0</v>
      </c>
      <c r="N2668" s="312">
        <v>0</v>
      </c>
      <c r="O2668" s="60">
        <v>0</v>
      </c>
      <c r="P2668" s="312">
        <v>0</v>
      </c>
      <c r="Q2668" s="182">
        <f t="shared" si="3265"/>
        <v>1</v>
      </c>
      <c r="R2668" s="182">
        <f t="shared" si="3266"/>
        <v>0</v>
      </c>
      <c r="S2668" s="183">
        <f t="shared" si="3255"/>
        <v>0</v>
      </c>
      <c r="T2668" s="183">
        <f t="shared" si="3256"/>
        <v>0</v>
      </c>
      <c r="U2668" s="184">
        <f t="shared" si="3264"/>
        <v>1</v>
      </c>
      <c r="V2668" s="385"/>
    </row>
    <row r="2669" spans="2:22" ht="15.75" hidden="1" x14ac:dyDescent="0.2">
      <c r="B2669" s="711">
        <v>46251</v>
      </c>
      <c r="C2669" s="711" t="s">
        <v>106</v>
      </c>
      <c r="D2669" s="711" t="s">
        <v>192</v>
      </c>
      <c r="E2669" s="711">
        <v>46251</v>
      </c>
      <c r="G2669" s="786"/>
      <c r="H2669" s="60" t="s">
        <v>17</v>
      </c>
      <c r="I2669" s="60" t="s">
        <v>105</v>
      </c>
      <c r="J2669" s="60">
        <v>143</v>
      </c>
      <c r="K2669" s="60">
        <v>91</v>
      </c>
      <c r="L2669" s="60">
        <v>32</v>
      </c>
      <c r="M2669" s="60">
        <v>15</v>
      </c>
      <c r="N2669" s="312">
        <v>0</v>
      </c>
      <c r="O2669" s="60">
        <v>25</v>
      </c>
      <c r="P2669" s="312">
        <v>5</v>
      </c>
      <c r="Q2669" s="182">
        <f t="shared" si="3265"/>
        <v>0.8601398601398601</v>
      </c>
      <c r="R2669" s="182">
        <f t="shared" si="3266"/>
        <v>0</v>
      </c>
      <c r="S2669" s="183">
        <f t="shared" si="3255"/>
        <v>3.4965034965034968E-2</v>
      </c>
      <c r="T2669" s="183">
        <f t="shared" si="3256"/>
        <v>0.17482517482517482</v>
      </c>
      <c r="U2669" s="184">
        <f t="shared" ref="U2669:U2676" si="3268">S2669+R2669+Q2669+T2669</f>
        <v>1.06993006993007</v>
      </c>
      <c r="V2669" s="385"/>
    </row>
    <row r="2670" spans="2:22" ht="15.75" hidden="1" x14ac:dyDescent="0.2">
      <c r="B2670" s="711">
        <v>46251</v>
      </c>
      <c r="C2670" s="711" t="s">
        <v>106</v>
      </c>
      <c r="D2670" s="711" t="s">
        <v>192</v>
      </c>
      <c r="E2670" s="711">
        <v>46251</v>
      </c>
      <c r="G2670" s="779"/>
      <c r="H2670" s="60" t="s">
        <v>32</v>
      </c>
      <c r="I2670" s="60" t="s">
        <v>106</v>
      </c>
      <c r="J2670" s="60">
        <v>72</v>
      </c>
      <c r="K2670" s="60">
        <v>112</v>
      </c>
      <c r="L2670" s="60">
        <v>26</v>
      </c>
      <c r="M2670" s="60">
        <v>16</v>
      </c>
      <c r="N2670" s="312">
        <v>7</v>
      </c>
      <c r="O2670" s="60">
        <v>15</v>
      </c>
      <c r="P2670" s="312">
        <v>14</v>
      </c>
      <c r="Q2670" s="182">
        <f t="shared" si="3265"/>
        <v>1.9166666666666667</v>
      </c>
      <c r="R2670" s="182">
        <f t="shared" si="3266"/>
        <v>9.7222222222222224E-2</v>
      </c>
      <c r="S2670" s="183">
        <f t="shared" si="3255"/>
        <v>0.19444444444444445</v>
      </c>
      <c r="T2670" s="183">
        <f t="shared" si="3256"/>
        <v>0.20833333333333334</v>
      </c>
      <c r="U2670" s="184">
        <f t="shared" si="3268"/>
        <v>2.416666666666667</v>
      </c>
      <c r="V2670" s="385"/>
    </row>
    <row r="2671" spans="2:22" ht="15.75" hidden="1" x14ac:dyDescent="0.2">
      <c r="B2671" s="711">
        <v>46251</v>
      </c>
      <c r="C2671" s="711" t="s">
        <v>106</v>
      </c>
      <c r="D2671" s="711" t="s">
        <v>192</v>
      </c>
      <c r="E2671" s="711">
        <v>46251</v>
      </c>
      <c r="G2671" s="396"/>
      <c r="H2671" s="775" t="s">
        <v>19</v>
      </c>
      <c r="I2671" s="777"/>
      <c r="J2671" s="190">
        <f t="shared" ref="J2671:P2671" si="3269">SUM(J2666:J2670)</f>
        <v>427</v>
      </c>
      <c r="K2671" s="190">
        <f t="shared" si="3269"/>
        <v>363</v>
      </c>
      <c r="L2671" s="190">
        <f t="shared" si="3269"/>
        <v>84</v>
      </c>
      <c r="M2671" s="190">
        <f t="shared" si="3269"/>
        <v>31</v>
      </c>
      <c r="N2671" s="190">
        <f t="shared" si="3269"/>
        <v>7</v>
      </c>
      <c r="O2671" s="190">
        <f t="shared" si="3269"/>
        <v>60</v>
      </c>
      <c r="P2671" s="190">
        <f t="shared" si="3269"/>
        <v>25</v>
      </c>
      <c r="Q2671" s="481">
        <f t="shared" si="3265"/>
        <v>1.0468384074941453</v>
      </c>
      <c r="R2671" s="481">
        <f t="shared" si="3266"/>
        <v>1.6393442622950821E-2</v>
      </c>
      <c r="S2671" s="482">
        <f t="shared" si="3255"/>
        <v>5.8548009367681501E-2</v>
      </c>
      <c r="T2671" s="482">
        <f t="shared" si="3256"/>
        <v>0.14051522248243559</v>
      </c>
      <c r="U2671" s="483">
        <f t="shared" si="3268"/>
        <v>1.2622950819672132</v>
      </c>
      <c r="V2671" s="479"/>
    </row>
    <row r="2672" spans="2:22" ht="15.75" hidden="1" x14ac:dyDescent="0.2">
      <c r="B2672" s="711">
        <v>46251</v>
      </c>
      <c r="C2672" s="711" t="s">
        <v>105</v>
      </c>
      <c r="D2672" s="711" t="s">
        <v>13</v>
      </c>
      <c r="E2672" s="711">
        <v>46252</v>
      </c>
      <c r="G2672" s="778">
        <v>46252</v>
      </c>
      <c r="H2672" s="497" t="s">
        <v>16</v>
      </c>
      <c r="I2672" s="60" t="s">
        <v>112</v>
      </c>
      <c r="J2672" s="60">
        <v>237</v>
      </c>
      <c r="K2672" s="60">
        <f>237-146</f>
        <v>91</v>
      </c>
      <c r="L2672" s="60">
        <v>54</v>
      </c>
      <c r="M2672" s="60">
        <v>40</v>
      </c>
      <c r="N2672" s="494">
        <v>21</v>
      </c>
      <c r="O2672" s="60">
        <v>20</v>
      </c>
      <c r="P2672" s="494">
        <v>11</v>
      </c>
      <c r="Q2672" s="182">
        <f t="shared" si="3265"/>
        <v>0.61181434599156115</v>
      </c>
      <c r="R2672" s="182">
        <f t="shared" si="3266"/>
        <v>8.8607594936708861E-2</v>
      </c>
      <c r="S2672" s="183">
        <f t="shared" ref="S2672:S2676" si="3270">P2672/J2672</f>
        <v>4.6413502109704644E-2</v>
      </c>
      <c r="T2672" s="183">
        <f t="shared" ref="T2672:T2676" si="3271">O2672/J2672</f>
        <v>8.4388185654008435E-2</v>
      </c>
      <c r="U2672" s="184">
        <f t="shared" si="3268"/>
        <v>0.83122362869198307</v>
      </c>
      <c r="V2672" s="386"/>
    </row>
    <row r="2673" spans="2:22" ht="15.75" hidden="1" x14ac:dyDescent="0.2">
      <c r="B2673" s="711">
        <v>46251</v>
      </c>
      <c r="C2673" s="711" t="s">
        <v>105</v>
      </c>
      <c r="D2673" s="711" t="s">
        <v>13</v>
      </c>
      <c r="E2673" s="711">
        <v>46252</v>
      </c>
      <c r="G2673" s="786"/>
      <c r="H2673" s="497" t="s">
        <v>14</v>
      </c>
      <c r="I2673" s="60" t="s">
        <v>106</v>
      </c>
      <c r="J2673" s="60">
        <v>14</v>
      </c>
      <c r="K2673" s="60">
        <v>6</v>
      </c>
      <c r="L2673" s="60">
        <v>6</v>
      </c>
      <c r="M2673" s="60">
        <v>1</v>
      </c>
      <c r="N2673" s="494">
        <v>0</v>
      </c>
      <c r="O2673" s="60">
        <v>0</v>
      </c>
      <c r="P2673" s="494">
        <v>1</v>
      </c>
      <c r="Q2673" s="182">
        <f t="shared" si="3265"/>
        <v>0.8571428571428571</v>
      </c>
      <c r="R2673" s="182">
        <f t="shared" si="3266"/>
        <v>0</v>
      </c>
      <c r="S2673" s="183">
        <f t="shared" si="3270"/>
        <v>7.1428571428571425E-2</v>
      </c>
      <c r="T2673" s="183">
        <f t="shared" si="3271"/>
        <v>0</v>
      </c>
      <c r="U2673" s="184">
        <f t="shared" si="3268"/>
        <v>0.92857142857142849</v>
      </c>
      <c r="V2673" s="386"/>
    </row>
    <row r="2674" spans="2:22" ht="15.75" hidden="1" x14ac:dyDescent="0.2">
      <c r="B2674" s="711">
        <v>46251</v>
      </c>
      <c r="C2674" s="711" t="s">
        <v>105</v>
      </c>
      <c r="D2674" s="711" t="s">
        <v>13</v>
      </c>
      <c r="E2674" s="711">
        <v>46252</v>
      </c>
      <c r="G2674" s="786"/>
      <c r="H2674" s="497" t="s">
        <v>17</v>
      </c>
      <c r="I2674" s="60" t="s">
        <v>105</v>
      </c>
      <c r="J2674" s="60">
        <v>178</v>
      </c>
      <c r="K2674" s="60">
        <v>0</v>
      </c>
      <c r="L2674" s="60">
        <v>0</v>
      </c>
      <c r="M2674" s="60">
        <v>151</v>
      </c>
      <c r="N2674" s="494">
        <v>0</v>
      </c>
      <c r="O2674" s="60">
        <v>27</v>
      </c>
      <c r="P2674" s="494">
        <v>0</v>
      </c>
      <c r="Q2674" s="182">
        <f t="shared" si="3265"/>
        <v>0</v>
      </c>
      <c r="R2674" s="182">
        <f t="shared" si="3266"/>
        <v>0</v>
      </c>
      <c r="S2674" s="183">
        <f t="shared" si="3270"/>
        <v>0</v>
      </c>
      <c r="T2674" s="183">
        <f t="shared" si="3271"/>
        <v>0.15168539325842698</v>
      </c>
      <c r="U2674" s="184">
        <f t="shared" si="3268"/>
        <v>0.15168539325842698</v>
      </c>
      <c r="V2674" s="386"/>
    </row>
    <row r="2675" spans="2:22" ht="15.75" hidden="1" x14ac:dyDescent="0.2">
      <c r="B2675" s="711">
        <v>46251</v>
      </c>
      <c r="C2675" s="711" t="s">
        <v>105</v>
      </c>
      <c r="D2675" s="711" t="s">
        <v>13</v>
      </c>
      <c r="E2675" s="711">
        <v>46252</v>
      </c>
      <c r="G2675" s="786"/>
      <c r="H2675" s="497" t="s">
        <v>32</v>
      </c>
      <c r="I2675" s="60" t="s">
        <v>105</v>
      </c>
      <c r="J2675" s="60">
        <v>64</v>
      </c>
      <c r="K2675" s="60">
        <v>9</v>
      </c>
      <c r="L2675" s="60">
        <v>0</v>
      </c>
      <c r="M2675" s="60">
        <v>50</v>
      </c>
      <c r="N2675" s="494">
        <v>0</v>
      </c>
      <c r="O2675" s="60">
        <v>3</v>
      </c>
      <c r="P2675" s="494">
        <v>2</v>
      </c>
      <c r="Q2675" s="182">
        <f t="shared" si="3265"/>
        <v>0.140625</v>
      </c>
      <c r="R2675" s="182">
        <f t="shared" si="3266"/>
        <v>0</v>
      </c>
      <c r="S2675" s="183">
        <f t="shared" si="3270"/>
        <v>3.125E-2</v>
      </c>
      <c r="T2675" s="183">
        <f t="shared" si="3271"/>
        <v>4.6875E-2</v>
      </c>
      <c r="U2675" s="184">
        <f t="shared" si="3268"/>
        <v>0.21875</v>
      </c>
      <c r="V2675" s="386"/>
    </row>
    <row r="2676" spans="2:22" ht="15.75" hidden="1" x14ac:dyDescent="0.2">
      <c r="B2676" s="711">
        <v>46251</v>
      </c>
      <c r="C2676" s="711" t="s">
        <v>105</v>
      </c>
      <c r="D2676" s="711" t="s">
        <v>13</v>
      </c>
      <c r="E2676" s="711">
        <v>46252</v>
      </c>
      <c r="G2676" s="779"/>
      <c r="H2676" s="497" t="s">
        <v>25</v>
      </c>
      <c r="I2676" s="60" t="s">
        <v>106</v>
      </c>
      <c r="J2676" s="60">
        <v>236</v>
      </c>
      <c r="K2676" s="60">
        <f>236-96</f>
        <v>140</v>
      </c>
      <c r="L2676" s="60">
        <v>32</v>
      </c>
      <c r="M2676" s="60">
        <v>24</v>
      </c>
      <c r="N2676" s="494">
        <v>0</v>
      </c>
      <c r="O2676" s="60">
        <v>25</v>
      </c>
      <c r="P2676" s="494">
        <v>15</v>
      </c>
      <c r="Q2676" s="182">
        <f t="shared" si="3265"/>
        <v>0.72881355932203384</v>
      </c>
      <c r="R2676" s="182">
        <f t="shared" si="3266"/>
        <v>0</v>
      </c>
      <c r="S2676" s="183">
        <f t="shared" si="3270"/>
        <v>6.3559322033898302E-2</v>
      </c>
      <c r="T2676" s="183">
        <f t="shared" si="3271"/>
        <v>0.1059322033898305</v>
      </c>
      <c r="U2676" s="184">
        <f t="shared" si="3268"/>
        <v>0.89830508474576254</v>
      </c>
      <c r="V2676" s="386"/>
    </row>
    <row r="2677" spans="2:22" ht="15.75" hidden="1" x14ac:dyDescent="0.2">
      <c r="B2677" s="711">
        <v>46251</v>
      </c>
      <c r="C2677" s="711" t="s">
        <v>105</v>
      </c>
      <c r="D2677" s="711" t="s">
        <v>13</v>
      </c>
      <c r="E2677" s="711">
        <v>46253</v>
      </c>
      <c r="G2677" s="809">
        <v>46253</v>
      </c>
      <c r="H2677" s="497" t="s">
        <v>16</v>
      </c>
      <c r="I2677" s="60" t="s">
        <v>112</v>
      </c>
      <c r="J2677" s="60">
        <v>253</v>
      </c>
      <c r="K2677" s="60">
        <v>0</v>
      </c>
      <c r="L2677" s="60">
        <v>0</v>
      </c>
      <c r="M2677" s="60">
        <v>233</v>
      </c>
      <c r="N2677" s="494">
        <v>0</v>
      </c>
      <c r="O2677" s="60">
        <v>20</v>
      </c>
      <c r="P2677" s="494">
        <v>0</v>
      </c>
      <c r="Q2677" s="182">
        <f t="shared" ref="Q2677:Q2681" si="3272">(K2677+L2677)/J2677</f>
        <v>0</v>
      </c>
      <c r="R2677" s="182">
        <f t="shared" ref="R2677:R2681" si="3273">N2677/J2677</f>
        <v>0</v>
      </c>
      <c r="S2677" s="183">
        <f t="shared" ref="S2677:S2689" si="3274">P2677/J2677</f>
        <v>0</v>
      </c>
      <c r="T2677" s="183">
        <f t="shared" ref="T2677:T2689" si="3275">O2677/J2677</f>
        <v>7.9051383399209488E-2</v>
      </c>
      <c r="U2677" s="184">
        <f t="shared" ref="U2677:U2689" si="3276">S2677+R2677+Q2677+T2677</f>
        <v>7.9051383399209488E-2</v>
      </c>
      <c r="V2677" s="386"/>
    </row>
    <row r="2678" spans="2:22" ht="15.75" hidden="1" x14ac:dyDescent="0.2">
      <c r="B2678" s="711">
        <v>46251</v>
      </c>
      <c r="C2678" s="711" t="s">
        <v>105</v>
      </c>
      <c r="D2678" s="711" t="s">
        <v>13</v>
      </c>
      <c r="E2678" s="711">
        <v>46253</v>
      </c>
      <c r="G2678" s="810"/>
      <c r="H2678" s="497" t="s">
        <v>14</v>
      </c>
      <c r="I2678" s="60" t="s">
        <v>106</v>
      </c>
      <c r="J2678" s="60">
        <v>196</v>
      </c>
      <c r="K2678" s="60">
        <v>0</v>
      </c>
      <c r="L2678" s="60">
        <v>0</v>
      </c>
      <c r="M2678" s="60">
        <v>175</v>
      </c>
      <c r="N2678" s="494">
        <v>0</v>
      </c>
      <c r="O2678" s="60">
        <v>13</v>
      </c>
      <c r="P2678" s="494">
        <v>8</v>
      </c>
      <c r="Q2678" s="182">
        <f t="shared" si="3272"/>
        <v>0</v>
      </c>
      <c r="R2678" s="182">
        <f t="shared" si="3273"/>
        <v>0</v>
      </c>
      <c r="S2678" s="183">
        <f t="shared" si="3274"/>
        <v>4.0816326530612242E-2</v>
      </c>
      <c r="T2678" s="183">
        <f t="shared" si="3275"/>
        <v>6.6326530612244902E-2</v>
      </c>
      <c r="U2678" s="184">
        <f t="shared" si="3276"/>
        <v>0.10714285714285715</v>
      </c>
      <c r="V2678" s="386"/>
    </row>
    <row r="2679" spans="2:22" ht="15.75" hidden="1" x14ac:dyDescent="0.2">
      <c r="B2679" s="711">
        <v>46251</v>
      </c>
      <c r="C2679" s="711" t="s">
        <v>105</v>
      </c>
      <c r="D2679" s="711" t="s">
        <v>13</v>
      </c>
      <c r="E2679" s="711">
        <v>46253</v>
      </c>
      <c r="G2679" s="810"/>
      <c r="H2679" s="497" t="s">
        <v>17</v>
      </c>
      <c r="I2679" s="60" t="s">
        <v>105</v>
      </c>
      <c r="J2679" s="60">
        <v>182</v>
      </c>
      <c r="K2679" s="60">
        <v>0</v>
      </c>
      <c r="L2679" s="60">
        <v>0</v>
      </c>
      <c r="M2679" s="60">
        <v>182</v>
      </c>
      <c r="N2679" s="494">
        <v>0</v>
      </c>
      <c r="O2679" s="60">
        <v>0</v>
      </c>
      <c r="P2679" s="494">
        <v>0</v>
      </c>
      <c r="Q2679" s="182">
        <f t="shared" si="3272"/>
        <v>0</v>
      </c>
      <c r="R2679" s="182">
        <f t="shared" si="3273"/>
        <v>0</v>
      </c>
      <c r="S2679" s="183">
        <f t="shared" si="3274"/>
        <v>0</v>
      </c>
      <c r="T2679" s="183">
        <f t="shared" si="3275"/>
        <v>0</v>
      </c>
      <c r="U2679" s="184">
        <f t="shared" si="3276"/>
        <v>0</v>
      </c>
      <c r="V2679" s="386"/>
    </row>
    <row r="2680" spans="2:22" ht="15.75" hidden="1" x14ac:dyDescent="0.2">
      <c r="B2680" s="711">
        <v>46251</v>
      </c>
      <c r="C2680" s="711" t="s">
        <v>105</v>
      </c>
      <c r="D2680" s="711" t="s">
        <v>13</v>
      </c>
      <c r="E2680" s="711">
        <v>46253</v>
      </c>
      <c r="G2680" s="810"/>
      <c r="H2680" s="497" t="s">
        <v>32</v>
      </c>
      <c r="I2680" s="60" t="s">
        <v>105</v>
      </c>
      <c r="J2680" s="60">
        <v>15</v>
      </c>
      <c r="K2680" s="60">
        <v>0</v>
      </c>
      <c r="L2680" s="60">
        <v>0</v>
      </c>
      <c r="M2680" s="60">
        <v>15</v>
      </c>
      <c r="N2680" s="494">
        <v>0</v>
      </c>
      <c r="O2680" s="60">
        <v>0</v>
      </c>
      <c r="P2680" s="494">
        <v>0</v>
      </c>
      <c r="Q2680" s="182">
        <f t="shared" si="3272"/>
        <v>0</v>
      </c>
      <c r="R2680" s="182">
        <f t="shared" si="3273"/>
        <v>0</v>
      </c>
      <c r="S2680" s="183">
        <f t="shared" si="3274"/>
        <v>0</v>
      </c>
      <c r="T2680" s="183">
        <f t="shared" si="3275"/>
        <v>0</v>
      </c>
      <c r="U2680" s="184">
        <f t="shared" si="3276"/>
        <v>0</v>
      </c>
      <c r="V2680" s="386"/>
    </row>
    <row r="2681" spans="2:22" ht="15.75" hidden="1" x14ac:dyDescent="0.2">
      <c r="B2681" s="711">
        <v>46251</v>
      </c>
      <c r="C2681" s="711" t="s">
        <v>105</v>
      </c>
      <c r="D2681" s="711" t="s">
        <v>13</v>
      </c>
      <c r="E2681" s="711">
        <v>46253</v>
      </c>
      <c r="G2681" s="811"/>
      <c r="H2681" s="497" t="s">
        <v>118</v>
      </c>
      <c r="I2681" s="60" t="s">
        <v>105</v>
      </c>
      <c r="J2681" s="60">
        <v>159</v>
      </c>
      <c r="K2681" s="60">
        <v>0</v>
      </c>
      <c r="L2681" s="60">
        <v>0</v>
      </c>
      <c r="M2681" s="60">
        <v>159</v>
      </c>
      <c r="N2681" s="494">
        <v>0</v>
      </c>
      <c r="O2681" s="60">
        <v>0</v>
      </c>
      <c r="P2681" s="494">
        <v>0</v>
      </c>
      <c r="Q2681" s="182">
        <f t="shared" si="3272"/>
        <v>0</v>
      </c>
      <c r="R2681" s="182">
        <f t="shared" si="3273"/>
        <v>0</v>
      </c>
      <c r="S2681" s="183">
        <f t="shared" si="3274"/>
        <v>0</v>
      </c>
      <c r="T2681" s="183">
        <f t="shared" si="3275"/>
        <v>0</v>
      </c>
      <c r="U2681" s="184">
        <f t="shared" si="3276"/>
        <v>0</v>
      </c>
      <c r="V2681" s="386"/>
    </row>
    <row r="2682" spans="2:22" ht="15.75" hidden="1" x14ac:dyDescent="0.2">
      <c r="B2682" s="711">
        <v>46251</v>
      </c>
      <c r="C2682" s="711" t="s">
        <v>105</v>
      </c>
      <c r="D2682" s="711" t="s">
        <v>13</v>
      </c>
      <c r="E2682" s="711">
        <v>46253</v>
      </c>
      <c r="G2682" s="775" t="s">
        <v>19</v>
      </c>
      <c r="H2682" s="776"/>
      <c r="I2682" s="777"/>
      <c r="J2682" s="190">
        <f>SUM(J2672:J2681)</f>
        <v>1534</v>
      </c>
      <c r="K2682" s="190">
        <f t="shared" ref="K2682:P2682" si="3277">SUM(K2672:K2681)</f>
        <v>246</v>
      </c>
      <c r="L2682" s="190">
        <f t="shared" si="3277"/>
        <v>92</v>
      </c>
      <c r="M2682" s="190">
        <f t="shared" si="3277"/>
        <v>1030</v>
      </c>
      <c r="N2682" s="190">
        <f t="shared" si="3277"/>
        <v>21</v>
      </c>
      <c r="O2682" s="190">
        <f t="shared" si="3277"/>
        <v>108</v>
      </c>
      <c r="P2682" s="190">
        <f t="shared" si="3277"/>
        <v>37</v>
      </c>
      <c r="Q2682" s="481">
        <f>(K2682+L2682)/J2682</f>
        <v>0.22033898305084745</v>
      </c>
      <c r="R2682" s="481">
        <f>N2682/J2682</f>
        <v>1.3689700130378096E-2</v>
      </c>
      <c r="S2682" s="482">
        <f t="shared" si="3274"/>
        <v>2.4119947848761408E-2</v>
      </c>
      <c r="T2682" s="482">
        <f t="shared" si="3275"/>
        <v>7.040417209908735E-2</v>
      </c>
      <c r="U2682" s="483">
        <f t="shared" si="3276"/>
        <v>0.32855280312907431</v>
      </c>
      <c r="V2682" s="479"/>
    </row>
    <row r="2683" spans="2:22" ht="15.75" hidden="1" x14ac:dyDescent="0.2">
      <c r="B2683" s="711">
        <v>46252</v>
      </c>
      <c r="C2683" s="711" t="s">
        <v>106</v>
      </c>
      <c r="D2683" s="711" t="s">
        <v>192</v>
      </c>
      <c r="E2683" s="711">
        <v>46251</v>
      </c>
      <c r="G2683" s="778">
        <v>46252</v>
      </c>
      <c r="H2683" s="60" t="s">
        <v>16</v>
      </c>
      <c r="I2683" s="60" t="s">
        <v>112</v>
      </c>
      <c r="J2683" s="60">
        <f>SUM(K2683:P2683)</f>
        <v>129</v>
      </c>
      <c r="K2683" s="60">
        <v>54</v>
      </c>
      <c r="L2683" s="60">
        <v>48</v>
      </c>
      <c r="M2683" s="60">
        <v>0</v>
      </c>
      <c r="N2683" s="312">
        <v>0</v>
      </c>
      <c r="O2683" s="60">
        <v>20</v>
      </c>
      <c r="P2683" s="312">
        <v>7</v>
      </c>
      <c r="Q2683" s="182">
        <f t="shared" ref="Q2683:Q2694" si="3278">(K2683+L2683)/J2683</f>
        <v>0.79069767441860461</v>
      </c>
      <c r="R2683" s="182">
        <f t="shared" ref="R2683:R2694" si="3279">N2683/J2683</f>
        <v>0</v>
      </c>
      <c r="S2683" s="183">
        <f t="shared" si="3274"/>
        <v>5.4263565891472867E-2</v>
      </c>
      <c r="T2683" s="183">
        <f t="shared" si="3275"/>
        <v>0.15503875968992248</v>
      </c>
      <c r="U2683" s="184">
        <f t="shared" si="3276"/>
        <v>1</v>
      </c>
      <c r="V2683" s="385"/>
    </row>
    <row r="2684" spans="2:22" ht="15.75" hidden="1" x14ac:dyDescent="0.2">
      <c r="B2684" s="711">
        <v>46252</v>
      </c>
      <c r="C2684" s="711" t="s">
        <v>106</v>
      </c>
      <c r="D2684" s="711" t="s">
        <v>192</v>
      </c>
      <c r="E2684" s="711">
        <v>46251</v>
      </c>
      <c r="G2684" s="786"/>
      <c r="H2684" s="60" t="s">
        <v>25</v>
      </c>
      <c r="I2684" s="60" t="s">
        <v>106</v>
      </c>
      <c r="J2684" s="60">
        <f t="shared" ref="J2684:J2685" si="3280">SUM(K2684:P2684)</f>
        <v>69</v>
      </c>
      <c r="K2684" s="60">
        <v>37</v>
      </c>
      <c r="L2684" s="60">
        <v>19</v>
      </c>
      <c r="M2684" s="60">
        <v>0</v>
      </c>
      <c r="N2684" s="312">
        <v>0</v>
      </c>
      <c r="O2684" s="60">
        <v>0</v>
      </c>
      <c r="P2684" s="312">
        <v>13</v>
      </c>
      <c r="Q2684" s="182">
        <f t="shared" si="3278"/>
        <v>0.81159420289855078</v>
      </c>
      <c r="R2684" s="182">
        <f t="shared" si="3279"/>
        <v>0</v>
      </c>
      <c r="S2684" s="183">
        <f t="shared" si="3274"/>
        <v>0.18840579710144928</v>
      </c>
      <c r="T2684" s="183">
        <f t="shared" si="3275"/>
        <v>0</v>
      </c>
      <c r="U2684" s="184">
        <f t="shared" si="3276"/>
        <v>1</v>
      </c>
      <c r="V2684" s="385"/>
    </row>
    <row r="2685" spans="2:22" ht="15.75" hidden="1" x14ac:dyDescent="0.2">
      <c r="B2685" s="711">
        <v>46252</v>
      </c>
      <c r="C2685" s="711" t="s">
        <v>106</v>
      </c>
      <c r="D2685" s="711" t="s">
        <v>192</v>
      </c>
      <c r="E2685" s="711">
        <v>46251</v>
      </c>
      <c r="G2685" s="786"/>
      <c r="H2685" s="60" t="s">
        <v>14</v>
      </c>
      <c r="I2685" s="60" t="s">
        <v>106</v>
      </c>
      <c r="J2685" s="60">
        <f t="shared" si="3280"/>
        <v>7</v>
      </c>
      <c r="K2685" s="60">
        <v>3</v>
      </c>
      <c r="L2685" s="60">
        <v>4</v>
      </c>
      <c r="M2685" s="60">
        <v>0</v>
      </c>
      <c r="N2685" s="312">
        <v>0</v>
      </c>
      <c r="O2685" s="60">
        <v>0</v>
      </c>
      <c r="P2685" s="312">
        <v>0</v>
      </c>
      <c r="Q2685" s="182">
        <f t="shared" si="3278"/>
        <v>1</v>
      </c>
      <c r="R2685" s="182">
        <f t="shared" si="3279"/>
        <v>0</v>
      </c>
      <c r="S2685" s="183">
        <f t="shared" si="3274"/>
        <v>0</v>
      </c>
      <c r="T2685" s="183">
        <f t="shared" si="3275"/>
        <v>0</v>
      </c>
      <c r="U2685" s="184">
        <f t="shared" si="3276"/>
        <v>1</v>
      </c>
      <c r="V2685" s="385"/>
    </row>
    <row r="2686" spans="2:22" ht="15.75" hidden="1" x14ac:dyDescent="0.2">
      <c r="B2686" s="711">
        <v>46252</v>
      </c>
      <c r="C2686" s="711" t="s">
        <v>106</v>
      </c>
      <c r="D2686" s="711" t="s">
        <v>192</v>
      </c>
      <c r="E2686" s="711">
        <v>46251</v>
      </c>
      <c r="G2686" s="786"/>
      <c r="H2686" s="60" t="s">
        <v>17</v>
      </c>
      <c r="I2686" s="60" t="s">
        <v>105</v>
      </c>
      <c r="J2686" s="60">
        <v>178</v>
      </c>
      <c r="K2686" s="60">
        <v>105</v>
      </c>
      <c r="L2686" s="60">
        <v>31</v>
      </c>
      <c r="M2686" s="60">
        <v>10</v>
      </c>
      <c r="N2686" s="312">
        <v>0</v>
      </c>
      <c r="O2686" s="60">
        <v>26</v>
      </c>
      <c r="P2686" s="312">
        <v>10</v>
      </c>
      <c r="Q2686" s="182">
        <f t="shared" si="3278"/>
        <v>0.7640449438202247</v>
      </c>
      <c r="R2686" s="182">
        <f t="shared" si="3279"/>
        <v>0</v>
      </c>
      <c r="S2686" s="183">
        <f t="shared" si="3274"/>
        <v>5.6179775280898875E-2</v>
      </c>
      <c r="T2686" s="183">
        <f t="shared" si="3275"/>
        <v>0.14606741573033707</v>
      </c>
      <c r="U2686" s="184">
        <f t="shared" si="3276"/>
        <v>0.9662921348314607</v>
      </c>
      <c r="V2686" s="385"/>
    </row>
    <row r="2687" spans="2:22" ht="15.75" hidden="1" x14ac:dyDescent="0.2">
      <c r="B2687" s="711">
        <v>46252</v>
      </c>
      <c r="C2687" s="711" t="s">
        <v>106</v>
      </c>
      <c r="D2687" s="711" t="s">
        <v>192</v>
      </c>
      <c r="E2687" s="711">
        <v>46251</v>
      </c>
      <c r="G2687" s="779"/>
      <c r="H2687" s="60" t="s">
        <v>32</v>
      </c>
      <c r="I2687" s="60" t="s">
        <v>105</v>
      </c>
      <c r="J2687" s="60">
        <v>64</v>
      </c>
      <c r="K2687" s="60">
        <v>40</v>
      </c>
      <c r="L2687" s="60">
        <v>9</v>
      </c>
      <c r="M2687" s="60">
        <v>0</v>
      </c>
      <c r="N2687" s="312">
        <v>0</v>
      </c>
      <c r="O2687" s="60">
        <v>4</v>
      </c>
      <c r="P2687" s="312">
        <v>2</v>
      </c>
      <c r="Q2687" s="182">
        <f t="shared" ref="Q2687:Q2688" si="3281">(K2687+L2687)/J2687</f>
        <v>0.765625</v>
      </c>
      <c r="R2687" s="182">
        <f t="shared" ref="R2687:R2688" si="3282">N2687/J2687</f>
        <v>0</v>
      </c>
      <c r="S2687" s="183">
        <f t="shared" ref="S2687:S2688" si="3283">P2687/J2687</f>
        <v>3.125E-2</v>
      </c>
      <c r="T2687" s="183">
        <f t="shared" ref="T2687:T2688" si="3284">O2687/J2687</f>
        <v>6.25E-2</v>
      </c>
      <c r="U2687" s="184">
        <f t="shared" ref="U2687:U2688" si="3285">S2687+R2687+Q2687+T2687</f>
        <v>0.859375</v>
      </c>
      <c r="V2687" s="385"/>
    </row>
    <row r="2688" spans="2:22" ht="15.75" hidden="1" x14ac:dyDescent="0.2">
      <c r="B2688" s="711">
        <v>46252</v>
      </c>
      <c r="C2688" s="711" t="s">
        <v>106</v>
      </c>
      <c r="D2688" s="711" t="s">
        <v>192</v>
      </c>
      <c r="E2688" s="711">
        <v>46251</v>
      </c>
      <c r="G2688" s="700">
        <v>46253</v>
      </c>
      <c r="H2688" s="60" t="s">
        <v>14</v>
      </c>
      <c r="I2688" s="60" t="s">
        <v>106</v>
      </c>
      <c r="J2688" s="60">
        <v>196</v>
      </c>
      <c r="K2688" s="60">
        <v>0</v>
      </c>
      <c r="L2688" s="60">
        <v>0</v>
      </c>
      <c r="M2688" s="60">
        <v>93</v>
      </c>
      <c r="N2688" s="312">
        <v>81</v>
      </c>
      <c r="O2688" s="60">
        <v>13</v>
      </c>
      <c r="P2688" s="312">
        <v>8</v>
      </c>
      <c r="Q2688" s="182">
        <f t="shared" si="3281"/>
        <v>0</v>
      </c>
      <c r="R2688" s="182">
        <f t="shared" si="3282"/>
        <v>0.41326530612244899</v>
      </c>
      <c r="S2688" s="183">
        <f t="shared" si="3283"/>
        <v>4.0816326530612242E-2</v>
      </c>
      <c r="T2688" s="183">
        <f t="shared" si="3284"/>
        <v>6.6326530612244902E-2</v>
      </c>
      <c r="U2688" s="184">
        <f t="shared" si="3285"/>
        <v>0.52040816326530615</v>
      </c>
      <c r="V2688" s="385"/>
    </row>
    <row r="2689" spans="2:22" ht="15.75" hidden="1" x14ac:dyDescent="0.2">
      <c r="B2689" s="711">
        <v>46252</v>
      </c>
      <c r="C2689" s="711" t="s">
        <v>106</v>
      </c>
      <c r="D2689" s="711" t="s">
        <v>192</v>
      </c>
      <c r="E2689" s="711">
        <v>46251</v>
      </c>
      <c r="G2689" s="396"/>
      <c r="H2689" s="775" t="s">
        <v>19</v>
      </c>
      <c r="I2689" s="777"/>
      <c r="J2689" s="190">
        <f t="shared" ref="J2689:P2689" si="3286">SUM(J2683:J2688)</f>
        <v>643</v>
      </c>
      <c r="K2689" s="190">
        <f t="shared" si="3286"/>
        <v>239</v>
      </c>
      <c r="L2689" s="190">
        <f t="shared" si="3286"/>
        <v>111</v>
      </c>
      <c r="M2689" s="190">
        <f t="shared" si="3286"/>
        <v>103</v>
      </c>
      <c r="N2689" s="190">
        <f t="shared" si="3286"/>
        <v>81</v>
      </c>
      <c r="O2689" s="190">
        <f t="shared" si="3286"/>
        <v>63</v>
      </c>
      <c r="P2689" s="190">
        <f t="shared" si="3286"/>
        <v>40</v>
      </c>
      <c r="Q2689" s="481">
        <f t="shared" si="3278"/>
        <v>0.54432348367029548</v>
      </c>
      <c r="R2689" s="481">
        <f t="shared" si="3279"/>
        <v>0.12597200622083982</v>
      </c>
      <c r="S2689" s="482">
        <f t="shared" si="3274"/>
        <v>6.2208398133748059E-2</v>
      </c>
      <c r="T2689" s="482">
        <f t="shared" si="3275"/>
        <v>9.7978227060653192E-2</v>
      </c>
      <c r="U2689" s="483">
        <f t="shared" si="3276"/>
        <v>0.83048211508553649</v>
      </c>
      <c r="V2689" s="479"/>
    </row>
    <row r="2690" spans="2:22" ht="15.75" hidden="1" x14ac:dyDescent="0.2">
      <c r="B2690" s="711">
        <v>46252</v>
      </c>
      <c r="C2690" s="711" t="s">
        <v>105</v>
      </c>
      <c r="D2690" s="711" t="s">
        <v>13</v>
      </c>
      <c r="E2690" s="711">
        <v>46253</v>
      </c>
      <c r="G2690" s="778">
        <v>46253</v>
      </c>
      <c r="H2690" s="497" t="s">
        <v>16</v>
      </c>
      <c r="I2690" s="60" t="s">
        <v>112</v>
      </c>
      <c r="J2690" s="60">
        <v>253</v>
      </c>
      <c r="K2690" s="60">
        <f>253-126</f>
        <v>127</v>
      </c>
      <c r="L2690" s="60">
        <v>78</v>
      </c>
      <c r="M2690" s="60">
        <v>5</v>
      </c>
      <c r="N2690" s="494">
        <v>18</v>
      </c>
      <c r="O2690" s="60">
        <v>20</v>
      </c>
      <c r="P2690" s="494">
        <v>5</v>
      </c>
      <c r="Q2690" s="182">
        <f t="shared" si="3278"/>
        <v>0.81027667984189722</v>
      </c>
      <c r="R2690" s="182">
        <f t="shared" si="3279"/>
        <v>7.1146245059288543E-2</v>
      </c>
      <c r="S2690" s="183">
        <f t="shared" ref="S2690:S2694" si="3287">P2690/J2690</f>
        <v>1.9762845849802372E-2</v>
      </c>
      <c r="T2690" s="183">
        <f t="shared" ref="T2690:T2694" si="3288">O2690/J2690</f>
        <v>7.9051383399209488E-2</v>
      </c>
      <c r="U2690" s="184">
        <f t="shared" ref="U2690:U2694" si="3289">S2690+R2690+Q2690+T2690</f>
        <v>0.98023715415019763</v>
      </c>
      <c r="V2690" s="386"/>
    </row>
    <row r="2691" spans="2:22" ht="15.75" hidden="1" x14ac:dyDescent="0.2">
      <c r="B2691" s="711">
        <v>46252</v>
      </c>
      <c r="C2691" s="711" t="s">
        <v>105</v>
      </c>
      <c r="D2691" s="711" t="s">
        <v>13</v>
      </c>
      <c r="E2691" s="711">
        <v>46253</v>
      </c>
      <c r="G2691" s="786"/>
      <c r="H2691" s="497" t="s">
        <v>14</v>
      </c>
      <c r="I2691" s="60" t="s">
        <v>106</v>
      </c>
      <c r="J2691" s="60">
        <v>196</v>
      </c>
      <c r="K2691" s="60">
        <f>196-69</f>
        <v>127</v>
      </c>
      <c r="L2691" s="60">
        <v>39</v>
      </c>
      <c r="M2691" s="60">
        <v>9</v>
      </c>
      <c r="N2691" s="494">
        <v>0</v>
      </c>
      <c r="O2691" s="60">
        <v>13</v>
      </c>
      <c r="P2691" s="494">
        <v>8</v>
      </c>
      <c r="Q2691" s="182">
        <f t="shared" si="3278"/>
        <v>0.84693877551020413</v>
      </c>
      <c r="R2691" s="182">
        <f t="shared" si="3279"/>
        <v>0</v>
      </c>
      <c r="S2691" s="183">
        <f t="shared" si="3287"/>
        <v>4.0816326530612242E-2</v>
      </c>
      <c r="T2691" s="183">
        <f t="shared" si="3288"/>
        <v>6.6326530612244902E-2</v>
      </c>
      <c r="U2691" s="184">
        <f t="shared" si="3289"/>
        <v>0.95408163265306134</v>
      </c>
      <c r="V2691" s="386"/>
    </row>
    <row r="2692" spans="2:22" ht="15.75" hidden="1" x14ac:dyDescent="0.2">
      <c r="B2692" s="711">
        <v>46252</v>
      </c>
      <c r="C2692" s="711" t="s">
        <v>105</v>
      </c>
      <c r="D2692" s="711" t="s">
        <v>13</v>
      </c>
      <c r="E2692" s="711">
        <v>46253</v>
      </c>
      <c r="G2692" s="786"/>
      <c r="H2692" s="497" t="s">
        <v>17</v>
      </c>
      <c r="I2692" s="60" t="s">
        <v>105</v>
      </c>
      <c r="J2692" s="60">
        <v>174</v>
      </c>
      <c r="K2692" s="60">
        <v>0</v>
      </c>
      <c r="L2692" s="60">
        <v>0</v>
      </c>
      <c r="M2692" s="60">
        <v>137</v>
      </c>
      <c r="N2692" s="494">
        <v>0</v>
      </c>
      <c r="O2692" s="60">
        <v>27</v>
      </c>
      <c r="P2692" s="494">
        <v>10</v>
      </c>
      <c r="Q2692" s="182">
        <f t="shared" si="3278"/>
        <v>0</v>
      </c>
      <c r="R2692" s="182">
        <f t="shared" si="3279"/>
        <v>0</v>
      </c>
      <c r="S2692" s="183">
        <f t="shared" si="3287"/>
        <v>5.7471264367816091E-2</v>
      </c>
      <c r="T2692" s="183">
        <f t="shared" si="3288"/>
        <v>0.15517241379310345</v>
      </c>
      <c r="U2692" s="184">
        <f t="shared" si="3289"/>
        <v>0.21264367816091956</v>
      </c>
      <c r="V2692" s="386"/>
    </row>
    <row r="2693" spans="2:22" ht="15.75" hidden="1" x14ac:dyDescent="0.2">
      <c r="B2693" s="711">
        <v>46252</v>
      </c>
      <c r="C2693" s="711" t="s">
        <v>105</v>
      </c>
      <c r="D2693" s="711" t="s">
        <v>13</v>
      </c>
      <c r="E2693" s="711">
        <v>46253</v>
      </c>
      <c r="G2693" s="786"/>
      <c r="H2693" s="497" t="s">
        <v>32</v>
      </c>
      <c r="I2693" s="60" t="s">
        <v>105</v>
      </c>
      <c r="J2693" s="60">
        <v>15</v>
      </c>
      <c r="K2693" s="60">
        <v>0</v>
      </c>
      <c r="L2693" s="60">
        <v>0</v>
      </c>
      <c r="M2693" s="60">
        <v>13</v>
      </c>
      <c r="N2693" s="494">
        <v>0</v>
      </c>
      <c r="O2693" s="60">
        <v>0</v>
      </c>
      <c r="P2693" s="494">
        <v>2</v>
      </c>
      <c r="Q2693" s="182">
        <f t="shared" si="3278"/>
        <v>0</v>
      </c>
      <c r="R2693" s="182">
        <f t="shared" si="3279"/>
        <v>0</v>
      </c>
      <c r="S2693" s="183">
        <f t="shared" si="3287"/>
        <v>0.13333333333333333</v>
      </c>
      <c r="T2693" s="183">
        <f t="shared" si="3288"/>
        <v>0</v>
      </c>
      <c r="U2693" s="184">
        <f t="shared" si="3289"/>
        <v>0.13333333333333333</v>
      </c>
      <c r="V2693" s="386"/>
    </row>
    <row r="2694" spans="2:22" ht="15.75" hidden="1" x14ac:dyDescent="0.2">
      <c r="B2694" s="711">
        <v>46252</v>
      </c>
      <c r="C2694" s="711" t="s">
        <v>105</v>
      </c>
      <c r="D2694" s="711" t="s">
        <v>13</v>
      </c>
      <c r="E2694" s="711">
        <v>46253</v>
      </c>
      <c r="G2694" s="779"/>
      <c r="H2694" s="497" t="s">
        <v>118</v>
      </c>
      <c r="I2694" s="60" t="s">
        <v>105</v>
      </c>
      <c r="J2694" s="60">
        <v>238</v>
      </c>
      <c r="K2694" s="60">
        <v>7</v>
      </c>
      <c r="L2694" s="60">
        <v>2</v>
      </c>
      <c r="M2694" s="60">
        <v>130</v>
      </c>
      <c r="N2694" s="494">
        <v>58</v>
      </c>
      <c r="O2694" s="60">
        <v>17</v>
      </c>
      <c r="P2694" s="494">
        <v>24</v>
      </c>
      <c r="Q2694" s="182">
        <f t="shared" si="3278"/>
        <v>3.7815126050420166E-2</v>
      </c>
      <c r="R2694" s="182">
        <f t="shared" si="3279"/>
        <v>0.24369747899159663</v>
      </c>
      <c r="S2694" s="183">
        <f t="shared" si="3287"/>
        <v>0.10084033613445378</v>
      </c>
      <c r="T2694" s="183">
        <f t="shared" si="3288"/>
        <v>7.1428571428571425E-2</v>
      </c>
      <c r="U2694" s="184">
        <f t="shared" si="3289"/>
        <v>0.45378151260504196</v>
      </c>
      <c r="V2694" s="386"/>
    </row>
    <row r="2695" spans="2:22" ht="15.75" hidden="1" x14ac:dyDescent="0.2">
      <c r="B2695" s="711">
        <v>46252</v>
      </c>
      <c r="C2695" s="711" t="s">
        <v>105</v>
      </c>
      <c r="D2695" s="711" t="s">
        <v>13</v>
      </c>
      <c r="E2695" s="711">
        <v>46254</v>
      </c>
      <c r="G2695" s="809">
        <v>46254</v>
      </c>
      <c r="H2695" s="497" t="s">
        <v>16</v>
      </c>
      <c r="I2695" s="60" t="s">
        <v>112</v>
      </c>
      <c r="J2695" s="60">
        <v>235</v>
      </c>
      <c r="K2695" s="60">
        <v>0</v>
      </c>
      <c r="L2695" s="60">
        <v>0</v>
      </c>
      <c r="M2695" s="60">
        <v>233</v>
      </c>
      <c r="N2695" s="494">
        <v>0</v>
      </c>
      <c r="O2695" s="60">
        <v>20</v>
      </c>
      <c r="P2695" s="494">
        <v>0</v>
      </c>
      <c r="Q2695" s="182">
        <f t="shared" ref="Q2695:Q2697" si="3290">(K2695+L2695)/J2695</f>
        <v>0</v>
      </c>
      <c r="R2695" s="182">
        <f t="shared" ref="R2695:R2697" si="3291">N2695/J2695</f>
        <v>0</v>
      </c>
      <c r="S2695" s="183">
        <f t="shared" ref="S2695:S2710" si="3292">P2695/J2695</f>
        <v>0</v>
      </c>
      <c r="T2695" s="183">
        <f t="shared" ref="T2695:T2710" si="3293">O2695/J2695</f>
        <v>8.5106382978723402E-2</v>
      </c>
      <c r="U2695" s="184">
        <f t="shared" ref="U2695:U2710" si="3294">S2695+R2695+Q2695+T2695</f>
        <v>8.5106382978723402E-2</v>
      </c>
      <c r="V2695" s="386"/>
    </row>
    <row r="2696" spans="2:22" ht="15.75" hidden="1" x14ac:dyDescent="0.2">
      <c r="B2696" s="711">
        <v>46252</v>
      </c>
      <c r="C2696" s="711" t="s">
        <v>105</v>
      </c>
      <c r="D2696" s="711" t="s">
        <v>13</v>
      </c>
      <c r="E2696" s="711">
        <v>46254</v>
      </c>
      <c r="G2696" s="810"/>
      <c r="H2696" s="497" t="s">
        <v>14</v>
      </c>
      <c r="I2696" s="60" t="s">
        <v>106</v>
      </c>
      <c r="J2696" s="60">
        <v>212</v>
      </c>
      <c r="K2696" s="60">
        <v>0</v>
      </c>
      <c r="L2696" s="60">
        <v>0</v>
      </c>
      <c r="M2696" s="60">
        <v>175</v>
      </c>
      <c r="N2696" s="494">
        <v>0</v>
      </c>
      <c r="O2696" s="60">
        <v>13</v>
      </c>
      <c r="P2696" s="494">
        <v>8</v>
      </c>
      <c r="Q2696" s="182">
        <f t="shared" si="3290"/>
        <v>0</v>
      </c>
      <c r="R2696" s="182">
        <f t="shared" si="3291"/>
        <v>0</v>
      </c>
      <c r="S2696" s="183">
        <f t="shared" si="3292"/>
        <v>3.7735849056603772E-2</v>
      </c>
      <c r="T2696" s="183">
        <f t="shared" si="3293"/>
        <v>6.1320754716981132E-2</v>
      </c>
      <c r="U2696" s="184">
        <f t="shared" si="3294"/>
        <v>9.9056603773584911E-2</v>
      </c>
      <c r="V2696" s="386"/>
    </row>
    <row r="2697" spans="2:22" ht="15.75" hidden="1" x14ac:dyDescent="0.2">
      <c r="B2697" s="711">
        <v>46252</v>
      </c>
      <c r="C2697" s="711" t="s">
        <v>105</v>
      </c>
      <c r="D2697" s="711" t="s">
        <v>13</v>
      </c>
      <c r="E2697" s="711">
        <v>46254</v>
      </c>
      <c r="G2697" s="811"/>
      <c r="H2697" s="497" t="s">
        <v>17</v>
      </c>
      <c r="I2697" s="60" t="s">
        <v>105</v>
      </c>
      <c r="J2697" s="60">
        <v>161</v>
      </c>
      <c r="K2697" s="60">
        <v>0</v>
      </c>
      <c r="L2697" s="60">
        <v>0</v>
      </c>
      <c r="M2697" s="60">
        <v>135</v>
      </c>
      <c r="N2697" s="494">
        <v>0</v>
      </c>
      <c r="O2697" s="60">
        <v>26</v>
      </c>
      <c r="P2697" s="494">
        <v>0</v>
      </c>
      <c r="Q2697" s="182">
        <f t="shared" si="3290"/>
        <v>0</v>
      </c>
      <c r="R2697" s="182">
        <f t="shared" si="3291"/>
        <v>0</v>
      </c>
      <c r="S2697" s="183">
        <f t="shared" si="3292"/>
        <v>0</v>
      </c>
      <c r="T2697" s="183">
        <f t="shared" si="3293"/>
        <v>0.16149068322981366</v>
      </c>
      <c r="U2697" s="184">
        <f t="shared" si="3294"/>
        <v>0.16149068322981366</v>
      </c>
      <c r="V2697" s="386"/>
    </row>
    <row r="2698" spans="2:22" ht="15.75" hidden="1" x14ac:dyDescent="0.2">
      <c r="B2698" s="711">
        <v>46252</v>
      </c>
      <c r="C2698" s="711" t="s">
        <v>105</v>
      </c>
      <c r="D2698" s="711" t="s">
        <v>13</v>
      </c>
      <c r="E2698" s="711">
        <v>46254</v>
      </c>
      <c r="G2698" s="775" t="s">
        <v>19</v>
      </c>
      <c r="H2698" s="776"/>
      <c r="I2698" s="777"/>
      <c r="J2698" s="190">
        <f>SUM(J2690:J2697)</f>
        <v>1484</v>
      </c>
      <c r="K2698" s="190">
        <f t="shared" ref="K2698:P2698" si="3295">SUM(K2690:K2697)</f>
        <v>261</v>
      </c>
      <c r="L2698" s="190">
        <f t="shared" si="3295"/>
        <v>119</v>
      </c>
      <c r="M2698" s="190">
        <f t="shared" si="3295"/>
        <v>837</v>
      </c>
      <c r="N2698" s="190">
        <f t="shared" si="3295"/>
        <v>76</v>
      </c>
      <c r="O2698" s="190">
        <f t="shared" si="3295"/>
        <v>136</v>
      </c>
      <c r="P2698" s="190">
        <f t="shared" si="3295"/>
        <v>57</v>
      </c>
      <c r="Q2698" s="481">
        <f>(K2698+L2698)/J2698</f>
        <v>0.2560646900269542</v>
      </c>
      <c r="R2698" s="481">
        <f>N2698/J2698</f>
        <v>5.1212938005390833E-2</v>
      </c>
      <c r="S2698" s="482">
        <f t="shared" si="3292"/>
        <v>3.840970350404313E-2</v>
      </c>
      <c r="T2698" s="482">
        <f t="shared" si="3293"/>
        <v>9.1644204851752023E-2</v>
      </c>
      <c r="U2698" s="483">
        <f t="shared" si="3294"/>
        <v>0.43733153638814021</v>
      </c>
      <c r="V2698" s="479"/>
    </row>
    <row r="2699" spans="2:22" ht="15.75" hidden="1" x14ac:dyDescent="0.2">
      <c r="B2699" s="711">
        <v>46253</v>
      </c>
      <c r="C2699" s="711" t="s">
        <v>106</v>
      </c>
      <c r="D2699" s="711" t="s">
        <v>192</v>
      </c>
      <c r="E2699" s="711">
        <v>46253</v>
      </c>
      <c r="G2699" s="778">
        <v>46253</v>
      </c>
      <c r="H2699" s="60" t="s">
        <v>16</v>
      </c>
      <c r="I2699" s="60" t="s">
        <v>112</v>
      </c>
      <c r="J2699" s="60">
        <v>253</v>
      </c>
      <c r="K2699" s="60">
        <v>15</v>
      </c>
      <c r="L2699" s="60">
        <v>34</v>
      </c>
      <c r="M2699" s="60">
        <v>0</v>
      </c>
      <c r="N2699" s="312">
        <v>0</v>
      </c>
      <c r="O2699" s="60">
        <v>20</v>
      </c>
      <c r="P2699" s="312">
        <v>4</v>
      </c>
      <c r="Q2699" s="182">
        <f t="shared" ref="Q2699:Q2713" si="3296">(K2699+L2699)/J2699</f>
        <v>0.19367588932806323</v>
      </c>
      <c r="R2699" s="182">
        <f t="shared" ref="R2699:R2713" si="3297">N2699/J2699</f>
        <v>0</v>
      </c>
      <c r="S2699" s="183">
        <f t="shared" si="3292"/>
        <v>1.5810276679841896E-2</v>
      </c>
      <c r="T2699" s="183">
        <f t="shared" si="3293"/>
        <v>7.9051383399209488E-2</v>
      </c>
      <c r="U2699" s="184">
        <f t="shared" si="3294"/>
        <v>0.28853754940711462</v>
      </c>
      <c r="V2699" s="385"/>
    </row>
    <row r="2700" spans="2:22" ht="15.75" hidden="1" x14ac:dyDescent="0.2">
      <c r="B2700" s="711">
        <v>46253</v>
      </c>
      <c r="C2700" s="711" t="s">
        <v>106</v>
      </c>
      <c r="D2700" s="711" t="s">
        <v>192</v>
      </c>
      <c r="E2700" s="711">
        <v>46253</v>
      </c>
      <c r="G2700" s="786"/>
      <c r="H2700" s="60" t="s">
        <v>14</v>
      </c>
      <c r="I2700" s="60" t="s">
        <v>106</v>
      </c>
      <c r="J2700" s="60">
        <v>196</v>
      </c>
      <c r="K2700" s="60">
        <v>21</v>
      </c>
      <c r="L2700" s="60">
        <v>6</v>
      </c>
      <c r="M2700" s="60">
        <v>0</v>
      </c>
      <c r="N2700" s="312">
        <v>0</v>
      </c>
      <c r="O2700" s="60">
        <v>0</v>
      </c>
      <c r="P2700" s="312">
        <v>6</v>
      </c>
      <c r="Q2700" s="182">
        <f t="shared" si="3296"/>
        <v>0.13775510204081631</v>
      </c>
      <c r="R2700" s="182">
        <f t="shared" si="3297"/>
        <v>0</v>
      </c>
      <c r="S2700" s="183">
        <f t="shared" si="3292"/>
        <v>3.0612244897959183E-2</v>
      </c>
      <c r="T2700" s="183">
        <f t="shared" si="3293"/>
        <v>0</v>
      </c>
      <c r="U2700" s="184">
        <f t="shared" si="3294"/>
        <v>0.1683673469387755</v>
      </c>
      <c r="V2700" s="385"/>
    </row>
    <row r="2701" spans="2:22" ht="15.75" hidden="1" x14ac:dyDescent="0.2">
      <c r="B2701" s="711">
        <v>46253</v>
      </c>
      <c r="C2701" s="711" t="s">
        <v>106</v>
      </c>
      <c r="D2701" s="711" t="s">
        <v>192</v>
      </c>
      <c r="E2701" s="711">
        <v>46253</v>
      </c>
      <c r="G2701" s="786"/>
      <c r="H2701" s="60" t="s">
        <v>180</v>
      </c>
      <c r="I2701" s="60" t="s">
        <v>106</v>
      </c>
      <c r="J2701" s="60">
        <v>8</v>
      </c>
      <c r="K2701" s="60">
        <v>8</v>
      </c>
      <c r="L2701" s="60">
        <v>0</v>
      </c>
      <c r="M2701" s="60">
        <v>0</v>
      </c>
      <c r="N2701" s="312">
        <v>0</v>
      </c>
      <c r="O2701" s="60">
        <v>0</v>
      </c>
      <c r="P2701" s="312">
        <v>0</v>
      </c>
      <c r="Q2701" s="182">
        <f t="shared" ref="Q2701" si="3298">(K2701+L2701)/J2701</f>
        <v>1</v>
      </c>
      <c r="R2701" s="182">
        <f t="shared" ref="R2701" si="3299">N2701/J2701</f>
        <v>0</v>
      </c>
      <c r="S2701" s="183">
        <f t="shared" ref="S2701" si="3300">P2701/J2701</f>
        <v>0</v>
      </c>
      <c r="T2701" s="183">
        <f t="shared" ref="T2701" si="3301">O2701/J2701</f>
        <v>0</v>
      </c>
      <c r="U2701" s="184">
        <f t="shared" ref="U2701" si="3302">S2701+R2701+Q2701+T2701</f>
        <v>1</v>
      </c>
      <c r="V2701" s="385"/>
    </row>
    <row r="2702" spans="2:22" ht="15.75" hidden="1" x14ac:dyDescent="0.2">
      <c r="B2702" s="711">
        <v>46253</v>
      </c>
      <c r="C2702" s="711" t="s">
        <v>106</v>
      </c>
      <c r="D2702" s="711" t="s">
        <v>192</v>
      </c>
      <c r="E2702" s="711">
        <v>46253</v>
      </c>
      <c r="G2702" s="786"/>
      <c r="H2702" s="60" t="s">
        <v>17</v>
      </c>
      <c r="I2702" s="60" t="s">
        <v>105</v>
      </c>
      <c r="J2702" s="60">
        <v>174</v>
      </c>
      <c r="K2702" s="60">
        <v>25</v>
      </c>
      <c r="L2702" s="60">
        <v>4</v>
      </c>
      <c r="M2702" s="60">
        <v>7</v>
      </c>
      <c r="N2702" s="312">
        <v>108</v>
      </c>
      <c r="O2702" s="60">
        <v>27</v>
      </c>
      <c r="P2702" s="312">
        <v>10</v>
      </c>
      <c r="Q2702" s="182">
        <f t="shared" si="3296"/>
        <v>0.16666666666666666</v>
      </c>
      <c r="R2702" s="182">
        <f t="shared" si="3297"/>
        <v>0.62068965517241381</v>
      </c>
      <c r="S2702" s="183">
        <f t="shared" si="3292"/>
        <v>5.7471264367816091E-2</v>
      </c>
      <c r="T2702" s="183">
        <f t="shared" si="3293"/>
        <v>0.15517241379310345</v>
      </c>
      <c r="U2702" s="184">
        <f t="shared" si="3294"/>
        <v>1</v>
      </c>
      <c r="V2702" s="385"/>
    </row>
    <row r="2703" spans="2:22" ht="15.75" hidden="1" x14ac:dyDescent="0.2">
      <c r="B2703" s="711">
        <v>46253</v>
      </c>
      <c r="C2703" s="711" t="s">
        <v>106</v>
      </c>
      <c r="D2703" s="711" t="s">
        <v>192</v>
      </c>
      <c r="E2703" s="711">
        <v>46253</v>
      </c>
      <c r="G2703" s="786"/>
      <c r="H2703" s="60" t="s">
        <v>32</v>
      </c>
      <c r="I2703" s="60" t="s">
        <v>105</v>
      </c>
      <c r="J2703" s="60">
        <v>15</v>
      </c>
      <c r="K2703" s="60">
        <v>0</v>
      </c>
      <c r="L2703" s="60">
        <v>0</v>
      </c>
      <c r="M2703" s="60">
        <v>13</v>
      </c>
      <c r="N2703" s="312">
        <v>0</v>
      </c>
      <c r="O2703" s="60">
        <v>0</v>
      </c>
      <c r="P2703" s="312">
        <v>2</v>
      </c>
      <c r="Q2703" s="182">
        <f t="shared" si="3296"/>
        <v>0</v>
      </c>
      <c r="R2703" s="182">
        <f t="shared" si="3297"/>
        <v>0</v>
      </c>
      <c r="S2703" s="183">
        <f t="shared" si="3292"/>
        <v>0.13333333333333333</v>
      </c>
      <c r="T2703" s="183">
        <f t="shared" si="3293"/>
        <v>0</v>
      </c>
      <c r="U2703" s="184">
        <f t="shared" si="3294"/>
        <v>0.13333333333333333</v>
      </c>
      <c r="V2703" s="385"/>
    </row>
    <row r="2704" spans="2:22" ht="15.75" hidden="1" x14ac:dyDescent="0.2">
      <c r="B2704" s="711">
        <v>46253</v>
      </c>
      <c r="C2704" s="711" t="s">
        <v>106</v>
      </c>
      <c r="D2704" s="711" t="s">
        <v>192</v>
      </c>
      <c r="E2704" s="711">
        <v>46253</v>
      </c>
      <c r="G2704" s="779"/>
      <c r="H2704" s="60" t="s">
        <v>118</v>
      </c>
      <c r="I2704" s="60" t="s">
        <v>105</v>
      </c>
      <c r="J2704" s="60">
        <v>238</v>
      </c>
      <c r="K2704" s="60">
        <v>149</v>
      </c>
      <c r="L2704" s="60">
        <v>29</v>
      </c>
      <c r="M2704" s="60">
        <v>10</v>
      </c>
      <c r="N2704" s="312">
        <v>0</v>
      </c>
      <c r="O2704" s="60">
        <v>17</v>
      </c>
      <c r="P2704" s="312">
        <v>24</v>
      </c>
      <c r="Q2704" s="182">
        <f t="shared" ref="Q2704" si="3303">(K2704+L2704)/J2704</f>
        <v>0.74789915966386555</v>
      </c>
      <c r="R2704" s="182">
        <f t="shared" ref="R2704" si="3304">N2704/J2704</f>
        <v>0</v>
      </c>
      <c r="S2704" s="183">
        <f t="shared" ref="S2704" si="3305">P2704/J2704</f>
        <v>0.10084033613445378</v>
      </c>
      <c r="T2704" s="183">
        <f t="shared" ref="T2704" si="3306">O2704/J2704</f>
        <v>7.1428571428571425E-2</v>
      </c>
      <c r="U2704" s="184">
        <f t="shared" ref="U2704" si="3307">S2704+R2704+Q2704+T2704</f>
        <v>0.92016806722689071</v>
      </c>
      <c r="V2704" s="385"/>
    </row>
    <row r="2705" spans="2:22" ht="15.75" hidden="1" x14ac:dyDescent="0.2">
      <c r="B2705" s="711">
        <v>46253</v>
      </c>
      <c r="C2705" s="711" t="s">
        <v>106</v>
      </c>
      <c r="D2705" s="711" t="s">
        <v>192</v>
      </c>
      <c r="E2705" s="711">
        <v>46253</v>
      </c>
      <c r="G2705" s="700">
        <v>46254</v>
      </c>
      <c r="H2705" s="60" t="s">
        <v>16</v>
      </c>
      <c r="I2705" s="60" t="s">
        <v>112</v>
      </c>
      <c r="J2705" s="60">
        <v>233</v>
      </c>
      <c r="K2705" s="60">
        <v>0</v>
      </c>
      <c r="L2705" s="60">
        <v>0</v>
      </c>
      <c r="M2705" s="60">
        <v>106</v>
      </c>
      <c r="N2705" s="312">
        <v>100</v>
      </c>
      <c r="O2705" s="60">
        <v>20</v>
      </c>
      <c r="P2705" s="312">
        <v>7</v>
      </c>
      <c r="Q2705" s="182">
        <f t="shared" si="3296"/>
        <v>0</v>
      </c>
      <c r="R2705" s="182">
        <f t="shared" si="3297"/>
        <v>0.42918454935622319</v>
      </c>
      <c r="S2705" s="183">
        <f t="shared" si="3292"/>
        <v>3.0042918454935622E-2</v>
      </c>
      <c r="T2705" s="183">
        <f t="shared" si="3293"/>
        <v>8.5836909871244635E-2</v>
      </c>
      <c r="U2705" s="184">
        <f t="shared" si="3294"/>
        <v>0.54506437768240346</v>
      </c>
      <c r="V2705" s="385"/>
    </row>
    <row r="2706" spans="2:22" ht="15.75" hidden="1" x14ac:dyDescent="0.2">
      <c r="B2706" s="711">
        <v>46253</v>
      </c>
      <c r="C2706" s="711" t="s">
        <v>106</v>
      </c>
      <c r="D2706" s="711" t="s">
        <v>192</v>
      </c>
      <c r="E2706" s="711">
        <v>46253</v>
      </c>
      <c r="G2706" s="396"/>
      <c r="H2706" s="775" t="s">
        <v>19</v>
      </c>
      <c r="I2706" s="777"/>
      <c r="J2706" s="190">
        <f t="shared" ref="J2706:P2706" si="3308">SUM(J2699:J2705)</f>
        <v>1117</v>
      </c>
      <c r="K2706" s="190">
        <f t="shared" si="3308"/>
        <v>218</v>
      </c>
      <c r="L2706" s="190">
        <f t="shared" si="3308"/>
        <v>73</v>
      </c>
      <c r="M2706" s="190">
        <f t="shared" si="3308"/>
        <v>136</v>
      </c>
      <c r="N2706" s="190">
        <f t="shared" si="3308"/>
        <v>208</v>
      </c>
      <c r="O2706" s="190">
        <f t="shared" si="3308"/>
        <v>84</v>
      </c>
      <c r="P2706" s="190">
        <f t="shared" si="3308"/>
        <v>53</v>
      </c>
      <c r="Q2706" s="481">
        <f t="shared" si="3296"/>
        <v>0.26051924798567594</v>
      </c>
      <c r="R2706" s="481">
        <f t="shared" si="3297"/>
        <v>0.18621307072515667</v>
      </c>
      <c r="S2706" s="482">
        <f t="shared" si="3292"/>
        <v>4.7448522829006266E-2</v>
      </c>
      <c r="T2706" s="482">
        <f t="shared" si="3293"/>
        <v>7.5201432408236346E-2</v>
      </c>
      <c r="U2706" s="483">
        <f t="shared" si="3294"/>
        <v>0.56938227394807517</v>
      </c>
      <c r="V2706" s="479"/>
    </row>
    <row r="2707" spans="2:22" ht="15.75" hidden="1" x14ac:dyDescent="0.2">
      <c r="B2707" s="711">
        <v>46253</v>
      </c>
      <c r="C2707" s="711" t="s">
        <v>105</v>
      </c>
      <c r="D2707" s="711" t="s">
        <v>13</v>
      </c>
      <c r="E2707" s="711">
        <v>46253</v>
      </c>
      <c r="G2707" s="778">
        <v>46253</v>
      </c>
      <c r="H2707" s="497" t="s">
        <v>16</v>
      </c>
      <c r="I2707" s="60" t="s">
        <v>112</v>
      </c>
      <c r="J2707" s="60">
        <v>253</v>
      </c>
      <c r="K2707" s="60">
        <f>253-117</f>
        <v>136</v>
      </c>
      <c r="L2707" s="60">
        <v>94</v>
      </c>
      <c r="M2707" s="60">
        <v>0</v>
      </c>
      <c r="N2707" s="494">
        <v>0</v>
      </c>
      <c r="O2707" s="60">
        <v>20</v>
      </c>
      <c r="P2707" s="494">
        <v>3</v>
      </c>
      <c r="Q2707" s="182">
        <f t="shared" si="3296"/>
        <v>0.90909090909090906</v>
      </c>
      <c r="R2707" s="182">
        <f t="shared" si="3297"/>
        <v>0</v>
      </c>
      <c r="S2707" s="183">
        <f t="shared" si="3292"/>
        <v>1.1857707509881422E-2</v>
      </c>
      <c r="T2707" s="183">
        <f t="shared" si="3293"/>
        <v>7.9051383399209488E-2</v>
      </c>
      <c r="U2707" s="184">
        <f t="shared" si="3294"/>
        <v>1</v>
      </c>
      <c r="V2707" s="386"/>
    </row>
    <row r="2708" spans="2:22" ht="15.75" hidden="1" x14ac:dyDescent="0.2">
      <c r="B2708" s="711">
        <v>46253</v>
      </c>
      <c r="C2708" s="711" t="s">
        <v>105</v>
      </c>
      <c r="D2708" s="711" t="s">
        <v>13</v>
      </c>
      <c r="E2708" s="711">
        <v>46253</v>
      </c>
      <c r="G2708" s="786"/>
      <c r="H2708" s="497" t="s">
        <v>17</v>
      </c>
      <c r="I2708" s="60" t="s">
        <v>105</v>
      </c>
      <c r="J2708" s="60">
        <v>174</v>
      </c>
      <c r="K2708" s="60">
        <f>174-80</f>
        <v>94</v>
      </c>
      <c r="L2708" s="60">
        <v>33</v>
      </c>
      <c r="M2708" s="60">
        <v>0</v>
      </c>
      <c r="N2708" s="494">
        <v>13</v>
      </c>
      <c r="O2708" s="60">
        <v>27</v>
      </c>
      <c r="P2708" s="494">
        <v>7</v>
      </c>
      <c r="Q2708" s="182">
        <f t="shared" si="3296"/>
        <v>0.72988505747126442</v>
      </c>
      <c r="R2708" s="182">
        <f t="shared" si="3297"/>
        <v>7.4712643678160925E-2</v>
      </c>
      <c r="S2708" s="183">
        <f t="shared" si="3292"/>
        <v>4.0229885057471264E-2</v>
      </c>
      <c r="T2708" s="183">
        <f t="shared" si="3293"/>
        <v>0.15517241379310345</v>
      </c>
      <c r="U2708" s="184">
        <f t="shared" si="3294"/>
        <v>1</v>
      </c>
      <c r="V2708" s="503" t="s">
        <v>196</v>
      </c>
    </row>
    <row r="2709" spans="2:22" ht="15.75" hidden="1" x14ac:dyDescent="0.2">
      <c r="B2709" s="711">
        <v>46253</v>
      </c>
      <c r="C2709" s="711" t="s">
        <v>105</v>
      </c>
      <c r="D2709" s="711" t="s">
        <v>13</v>
      </c>
      <c r="E2709" s="711">
        <v>46253</v>
      </c>
      <c r="G2709" s="786"/>
      <c r="H2709" s="497" t="s">
        <v>32</v>
      </c>
      <c r="I2709" s="60" t="s">
        <v>105</v>
      </c>
      <c r="J2709" s="60">
        <v>15</v>
      </c>
      <c r="K2709" s="60">
        <v>0</v>
      </c>
      <c r="L2709" s="60">
        <v>0</v>
      </c>
      <c r="M2709" s="60">
        <v>13</v>
      </c>
      <c r="N2709" s="494">
        <v>0</v>
      </c>
      <c r="O2709" s="60">
        <v>0</v>
      </c>
      <c r="P2709" s="494">
        <v>2</v>
      </c>
      <c r="Q2709" s="182">
        <f t="shared" si="3296"/>
        <v>0</v>
      </c>
      <c r="R2709" s="182">
        <f t="shared" si="3297"/>
        <v>0</v>
      </c>
      <c r="S2709" s="183">
        <f t="shared" si="3292"/>
        <v>0.13333333333333333</v>
      </c>
      <c r="T2709" s="183">
        <f t="shared" si="3293"/>
        <v>0</v>
      </c>
      <c r="U2709" s="184">
        <f t="shared" si="3294"/>
        <v>0.13333333333333333</v>
      </c>
      <c r="V2709" s="386"/>
    </row>
    <row r="2710" spans="2:22" ht="15.75" hidden="1" x14ac:dyDescent="0.2">
      <c r="B2710" s="711">
        <v>46253</v>
      </c>
      <c r="C2710" s="711" t="s">
        <v>105</v>
      </c>
      <c r="D2710" s="711" t="s">
        <v>13</v>
      </c>
      <c r="E2710" s="711">
        <v>46253</v>
      </c>
      <c r="G2710" s="779"/>
      <c r="H2710" s="497" t="s">
        <v>118</v>
      </c>
      <c r="I2710" s="60" t="s">
        <v>105</v>
      </c>
      <c r="J2710" s="60">
        <v>238</v>
      </c>
      <c r="K2710" s="60">
        <f>238-73</f>
        <v>165</v>
      </c>
      <c r="L2710" s="60">
        <v>43</v>
      </c>
      <c r="M2710" s="60">
        <v>0</v>
      </c>
      <c r="N2710" s="494">
        <v>0</v>
      </c>
      <c r="O2710" s="60">
        <v>17</v>
      </c>
      <c r="P2710" s="494">
        <v>13</v>
      </c>
      <c r="Q2710" s="182">
        <f t="shared" si="3296"/>
        <v>0.87394957983193278</v>
      </c>
      <c r="R2710" s="182">
        <f t="shared" si="3297"/>
        <v>0</v>
      </c>
      <c r="S2710" s="183">
        <f t="shared" si="3292"/>
        <v>5.4621848739495799E-2</v>
      </c>
      <c r="T2710" s="183">
        <f t="shared" si="3293"/>
        <v>7.1428571428571425E-2</v>
      </c>
      <c r="U2710" s="184">
        <f t="shared" si="3294"/>
        <v>1</v>
      </c>
      <c r="V2710" s="386"/>
    </row>
    <row r="2711" spans="2:22" ht="15.75" hidden="1" x14ac:dyDescent="0.2">
      <c r="B2711" s="711">
        <v>46253</v>
      </c>
      <c r="C2711" s="711" t="s">
        <v>105</v>
      </c>
      <c r="D2711" s="711" t="s">
        <v>13</v>
      </c>
      <c r="E2711" s="711">
        <v>46254</v>
      </c>
      <c r="G2711" s="816">
        <v>46254</v>
      </c>
      <c r="H2711" s="497" t="s">
        <v>16</v>
      </c>
      <c r="I2711" s="60" t="s">
        <v>112</v>
      </c>
      <c r="J2711" s="60">
        <v>235</v>
      </c>
      <c r="K2711" s="60">
        <v>100</v>
      </c>
      <c r="L2711" s="60">
        <v>94</v>
      </c>
      <c r="M2711" s="60">
        <v>3</v>
      </c>
      <c r="N2711" s="494">
        <v>12</v>
      </c>
      <c r="O2711" s="60">
        <v>20</v>
      </c>
      <c r="P2711" s="494">
        <v>6</v>
      </c>
      <c r="Q2711" s="182">
        <f t="shared" si="3296"/>
        <v>0.82553191489361699</v>
      </c>
      <c r="R2711" s="182">
        <f t="shared" si="3297"/>
        <v>5.106382978723404E-2</v>
      </c>
      <c r="S2711" s="183">
        <f t="shared" ref="S2711:S2721" si="3309">P2711/J2711</f>
        <v>2.553191489361702E-2</v>
      </c>
      <c r="T2711" s="183">
        <f t="shared" ref="T2711:T2721" si="3310">O2711/J2711</f>
        <v>8.5106382978723402E-2</v>
      </c>
      <c r="U2711" s="184">
        <f t="shared" ref="U2711:U2721" si="3311">S2711+R2711+Q2711+T2711</f>
        <v>0.98723404255319147</v>
      </c>
      <c r="V2711" s="386"/>
    </row>
    <row r="2712" spans="2:22" ht="15.75" hidden="1" x14ac:dyDescent="0.2">
      <c r="B2712" s="711">
        <v>46253</v>
      </c>
      <c r="C2712" s="711" t="s">
        <v>105</v>
      </c>
      <c r="D2712" s="711" t="s">
        <v>13</v>
      </c>
      <c r="E2712" s="711">
        <v>46254</v>
      </c>
      <c r="G2712" s="819"/>
      <c r="H2712" s="497" t="s">
        <v>14</v>
      </c>
      <c r="I2712" s="60" t="s">
        <v>106</v>
      </c>
      <c r="J2712" s="60">
        <v>212</v>
      </c>
      <c r="K2712" s="60">
        <f>212-123</f>
        <v>89</v>
      </c>
      <c r="L2712" s="60">
        <v>44</v>
      </c>
      <c r="M2712" s="60">
        <v>20</v>
      </c>
      <c r="N2712" s="494">
        <v>46</v>
      </c>
      <c r="O2712" s="60">
        <v>13</v>
      </c>
      <c r="P2712" s="494">
        <v>0</v>
      </c>
      <c r="Q2712" s="182">
        <f t="shared" si="3296"/>
        <v>0.62735849056603776</v>
      </c>
      <c r="R2712" s="182">
        <f t="shared" si="3297"/>
        <v>0.21698113207547171</v>
      </c>
      <c r="S2712" s="183">
        <f t="shared" si="3309"/>
        <v>0</v>
      </c>
      <c r="T2712" s="183">
        <f t="shared" si="3310"/>
        <v>6.1320754716981132E-2</v>
      </c>
      <c r="U2712" s="184">
        <f t="shared" si="3311"/>
        <v>0.90566037735849059</v>
      </c>
      <c r="V2712" s="386"/>
    </row>
    <row r="2713" spans="2:22" ht="15.75" hidden="1" x14ac:dyDescent="0.2">
      <c r="B2713" s="711">
        <v>46253</v>
      </c>
      <c r="C2713" s="711" t="s">
        <v>105</v>
      </c>
      <c r="D2713" s="711" t="s">
        <v>13</v>
      </c>
      <c r="E2713" s="711">
        <v>46254</v>
      </c>
      <c r="G2713" s="817"/>
      <c r="H2713" s="497" t="s">
        <v>17</v>
      </c>
      <c r="I2713" s="60" t="s">
        <v>105</v>
      </c>
      <c r="J2713" s="60">
        <v>161</v>
      </c>
      <c r="K2713" s="60">
        <v>0</v>
      </c>
      <c r="L2713" s="60">
        <v>0</v>
      </c>
      <c r="M2713" s="60">
        <v>135</v>
      </c>
      <c r="N2713" s="494">
        <v>0</v>
      </c>
      <c r="O2713" s="60">
        <v>26</v>
      </c>
      <c r="P2713" s="494">
        <v>0</v>
      </c>
      <c r="Q2713" s="182">
        <f t="shared" si="3296"/>
        <v>0</v>
      </c>
      <c r="R2713" s="182">
        <f t="shared" si="3297"/>
        <v>0</v>
      </c>
      <c r="S2713" s="183">
        <f t="shared" si="3309"/>
        <v>0</v>
      </c>
      <c r="T2713" s="183">
        <f t="shared" si="3310"/>
        <v>0.16149068322981366</v>
      </c>
      <c r="U2713" s="184">
        <f t="shared" si="3311"/>
        <v>0.16149068322981366</v>
      </c>
      <c r="V2713" s="386"/>
    </row>
    <row r="2714" spans="2:22" ht="15.75" hidden="1" x14ac:dyDescent="0.2">
      <c r="B2714" s="711">
        <v>46253</v>
      </c>
      <c r="C2714" s="711" t="s">
        <v>105</v>
      </c>
      <c r="D2714" s="711" t="s">
        <v>13</v>
      </c>
      <c r="E2714" s="711">
        <v>46254</v>
      </c>
      <c r="G2714" s="775" t="s">
        <v>19</v>
      </c>
      <c r="H2714" s="776"/>
      <c r="I2714" s="777"/>
      <c r="J2714" s="190">
        <f t="shared" ref="J2714:P2714" si="3312">SUM(J2707:J2713)</f>
        <v>1288</v>
      </c>
      <c r="K2714" s="190">
        <f t="shared" si="3312"/>
        <v>584</v>
      </c>
      <c r="L2714" s="190">
        <f t="shared" si="3312"/>
        <v>308</v>
      </c>
      <c r="M2714" s="190">
        <f t="shared" si="3312"/>
        <v>171</v>
      </c>
      <c r="N2714" s="190">
        <f t="shared" si="3312"/>
        <v>71</v>
      </c>
      <c r="O2714" s="190">
        <f t="shared" si="3312"/>
        <v>123</v>
      </c>
      <c r="P2714" s="190">
        <f t="shared" si="3312"/>
        <v>31</v>
      </c>
      <c r="Q2714" s="481">
        <f>(K2714+L2714)/J2714</f>
        <v>0.69254658385093171</v>
      </c>
      <c r="R2714" s="481">
        <f>N2714/J2714</f>
        <v>5.5124223602484472E-2</v>
      </c>
      <c r="S2714" s="482">
        <f t="shared" si="3309"/>
        <v>2.406832298136646E-2</v>
      </c>
      <c r="T2714" s="482">
        <f t="shared" si="3310"/>
        <v>9.5496894409937888E-2</v>
      </c>
      <c r="U2714" s="483">
        <f t="shared" si="3311"/>
        <v>0.86723602484472051</v>
      </c>
      <c r="V2714" s="479"/>
    </row>
    <row r="2715" spans="2:22" ht="15.75" hidden="1" x14ac:dyDescent="0.2">
      <c r="B2715" s="711">
        <v>46254</v>
      </c>
      <c r="C2715" s="711" t="s">
        <v>106</v>
      </c>
      <c r="D2715" s="711" t="s">
        <v>192</v>
      </c>
      <c r="E2715" s="711">
        <v>46254</v>
      </c>
      <c r="G2715" s="778">
        <v>46254</v>
      </c>
      <c r="H2715" s="60" t="s">
        <v>16</v>
      </c>
      <c r="I2715" s="60" t="s">
        <v>112</v>
      </c>
      <c r="J2715" s="60">
        <v>38</v>
      </c>
      <c r="K2715" s="60">
        <v>5</v>
      </c>
      <c r="L2715" s="60">
        <v>13</v>
      </c>
      <c r="M2715" s="60">
        <v>0</v>
      </c>
      <c r="N2715" s="312">
        <v>0</v>
      </c>
      <c r="O2715" s="60">
        <v>20</v>
      </c>
      <c r="P2715" s="312">
        <v>3</v>
      </c>
      <c r="Q2715" s="182">
        <f t="shared" ref="Q2715:Q2723" si="3313">(K2715+L2715)/J2715</f>
        <v>0.47368421052631576</v>
      </c>
      <c r="R2715" s="182">
        <f t="shared" ref="R2715:R2723" si="3314">N2715/J2715</f>
        <v>0</v>
      </c>
      <c r="S2715" s="183">
        <f t="shared" si="3309"/>
        <v>7.8947368421052627E-2</v>
      </c>
      <c r="T2715" s="183">
        <f t="shared" si="3310"/>
        <v>0.52631578947368418</v>
      </c>
      <c r="U2715" s="184">
        <f t="shared" si="3311"/>
        <v>1.0789473684210527</v>
      </c>
      <c r="V2715" s="385"/>
    </row>
    <row r="2716" spans="2:22" ht="15.75" hidden="1" x14ac:dyDescent="0.2">
      <c r="B2716" s="711">
        <v>46254</v>
      </c>
      <c r="C2716" s="711" t="s">
        <v>106</v>
      </c>
      <c r="D2716" s="711" t="s">
        <v>192</v>
      </c>
      <c r="E2716" s="711">
        <v>46254</v>
      </c>
      <c r="G2716" s="786"/>
      <c r="H2716" s="60" t="s">
        <v>14</v>
      </c>
      <c r="I2716" s="60" t="s">
        <v>106</v>
      </c>
      <c r="J2716" s="60">
        <v>84</v>
      </c>
      <c r="K2716" s="60">
        <v>65</v>
      </c>
      <c r="L2716" s="60">
        <v>19</v>
      </c>
      <c r="M2716" s="60">
        <v>0</v>
      </c>
      <c r="N2716" s="312">
        <v>0</v>
      </c>
      <c r="O2716" s="60">
        <v>0</v>
      </c>
      <c r="P2716" s="312">
        <v>5</v>
      </c>
      <c r="Q2716" s="182">
        <f t="shared" si="3313"/>
        <v>1</v>
      </c>
      <c r="R2716" s="182">
        <f t="shared" si="3314"/>
        <v>0</v>
      </c>
      <c r="S2716" s="183">
        <f t="shared" si="3309"/>
        <v>5.9523809523809521E-2</v>
      </c>
      <c r="T2716" s="183">
        <f t="shared" si="3310"/>
        <v>0</v>
      </c>
      <c r="U2716" s="184">
        <f t="shared" si="3311"/>
        <v>1.0595238095238095</v>
      </c>
      <c r="V2716" s="385"/>
    </row>
    <row r="2717" spans="2:22" ht="15.75" hidden="1" x14ac:dyDescent="0.2">
      <c r="B2717" s="711">
        <v>46254</v>
      </c>
      <c r="C2717" s="711" t="s">
        <v>106</v>
      </c>
      <c r="D2717" s="711" t="s">
        <v>192</v>
      </c>
      <c r="E2717" s="711">
        <v>46254</v>
      </c>
      <c r="G2717" s="779"/>
      <c r="H2717" s="60" t="s">
        <v>17</v>
      </c>
      <c r="I2717" s="60" t="s">
        <v>105</v>
      </c>
      <c r="J2717" s="60">
        <v>163</v>
      </c>
      <c r="K2717" s="60">
        <v>69</v>
      </c>
      <c r="L2717" s="60">
        <v>18</v>
      </c>
      <c r="M2717" s="60">
        <v>39</v>
      </c>
      <c r="N2717" s="312">
        <v>18</v>
      </c>
      <c r="O2717" s="60">
        <v>0</v>
      </c>
      <c r="P2717" s="312">
        <v>10</v>
      </c>
      <c r="Q2717" s="182">
        <f t="shared" si="3313"/>
        <v>0.53374233128834359</v>
      </c>
      <c r="R2717" s="182">
        <f t="shared" si="3314"/>
        <v>0.11042944785276074</v>
      </c>
      <c r="S2717" s="183">
        <f t="shared" si="3309"/>
        <v>6.1349693251533742E-2</v>
      </c>
      <c r="T2717" s="183">
        <f t="shared" si="3310"/>
        <v>0</v>
      </c>
      <c r="U2717" s="184">
        <f t="shared" si="3311"/>
        <v>0.70552147239263807</v>
      </c>
      <c r="V2717" s="385"/>
    </row>
    <row r="2718" spans="2:22" ht="15.75" hidden="1" x14ac:dyDescent="0.2">
      <c r="B2718" s="711">
        <v>46254</v>
      </c>
      <c r="C2718" s="711" t="s">
        <v>106</v>
      </c>
      <c r="D2718" s="711" t="s">
        <v>192</v>
      </c>
      <c r="E2718" s="711">
        <v>46254</v>
      </c>
      <c r="G2718" s="770">
        <v>46255</v>
      </c>
      <c r="H2718" s="60" t="s">
        <v>16</v>
      </c>
      <c r="I2718" s="60" t="s">
        <v>105</v>
      </c>
      <c r="J2718" s="60">
        <v>245</v>
      </c>
      <c r="K2718" s="60">
        <v>8</v>
      </c>
      <c r="L2718" s="60">
        <v>0</v>
      </c>
      <c r="M2718" s="60">
        <v>71</v>
      </c>
      <c r="N2718" s="312">
        <v>166</v>
      </c>
      <c r="O2718" s="60">
        <v>20</v>
      </c>
      <c r="P2718" s="312">
        <v>8</v>
      </c>
      <c r="Q2718" s="182">
        <f t="shared" si="3313"/>
        <v>3.2653061224489799E-2</v>
      </c>
      <c r="R2718" s="182">
        <f t="shared" si="3314"/>
        <v>0.67755102040816328</v>
      </c>
      <c r="S2718" s="183">
        <f t="shared" si="3309"/>
        <v>3.2653061224489799E-2</v>
      </c>
      <c r="T2718" s="183">
        <f t="shared" si="3310"/>
        <v>8.1632653061224483E-2</v>
      </c>
      <c r="U2718" s="184">
        <f t="shared" si="3311"/>
        <v>0.82448979591836735</v>
      </c>
      <c r="V2718" s="385"/>
    </row>
    <row r="2719" spans="2:22" ht="15.75" hidden="1" x14ac:dyDescent="0.2">
      <c r="B2719" s="711">
        <v>46254</v>
      </c>
      <c r="C2719" s="711" t="s">
        <v>106</v>
      </c>
      <c r="D2719" s="711" t="s">
        <v>192</v>
      </c>
      <c r="E2719" s="711">
        <v>46254</v>
      </c>
      <c r="G2719" s="771"/>
      <c r="H2719" s="60" t="s">
        <v>180</v>
      </c>
      <c r="I2719" s="60" t="s">
        <v>105</v>
      </c>
      <c r="J2719" s="60">
        <v>32</v>
      </c>
      <c r="K2719" s="60">
        <v>32</v>
      </c>
      <c r="L2719" s="60">
        <v>0</v>
      </c>
      <c r="M2719" s="60">
        <v>0</v>
      </c>
      <c r="N2719" s="312">
        <v>0</v>
      </c>
      <c r="O2719" s="60">
        <v>0</v>
      </c>
      <c r="P2719" s="312">
        <v>0</v>
      </c>
      <c r="Q2719" s="182">
        <f t="shared" si="3313"/>
        <v>1</v>
      </c>
      <c r="R2719" s="182">
        <f t="shared" si="3314"/>
        <v>0</v>
      </c>
      <c r="S2719" s="183">
        <f t="shared" si="3309"/>
        <v>0</v>
      </c>
      <c r="T2719" s="183">
        <f t="shared" si="3310"/>
        <v>0</v>
      </c>
      <c r="U2719" s="184">
        <f t="shared" si="3311"/>
        <v>1</v>
      </c>
      <c r="V2719" s="385"/>
    </row>
    <row r="2720" spans="2:22" ht="15.75" hidden="1" x14ac:dyDescent="0.2">
      <c r="B2720" s="711">
        <v>46254</v>
      </c>
      <c r="C2720" s="711" t="s">
        <v>106</v>
      </c>
      <c r="D2720" s="711" t="s">
        <v>192</v>
      </c>
      <c r="E2720" s="711">
        <v>46254</v>
      </c>
      <c r="G2720" s="772"/>
      <c r="H2720" s="60" t="s">
        <v>14</v>
      </c>
      <c r="I2720" s="60" t="s">
        <v>105</v>
      </c>
      <c r="J2720" s="60">
        <v>201</v>
      </c>
      <c r="K2720" s="60">
        <v>0</v>
      </c>
      <c r="L2720" s="60">
        <v>0</v>
      </c>
      <c r="M2720" s="60">
        <v>180</v>
      </c>
      <c r="N2720" s="312">
        <v>10</v>
      </c>
      <c r="O2720" s="60">
        <v>0</v>
      </c>
      <c r="P2720" s="312">
        <v>11</v>
      </c>
      <c r="Q2720" s="182">
        <f t="shared" si="3313"/>
        <v>0</v>
      </c>
      <c r="R2720" s="182">
        <f t="shared" si="3314"/>
        <v>4.975124378109453E-2</v>
      </c>
      <c r="S2720" s="183">
        <f t="shared" si="3309"/>
        <v>5.4726368159203981E-2</v>
      </c>
      <c r="T2720" s="183">
        <f t="shared" si="3310"/>
        <v>0</v>
      </c>
      <c r="U2720" s="184">
        <f t="shared" si="3311"/>
        <v>0.1044776119402985</v>
      </c>
      <c r="V2720" s="385"/>
    </row>
    <row r="2721" spans="2:22" ht="15.75" hidden="1" x14ac:dyDescent="0.2">
      <c r="B2721" s="711">
        <v>46254</v>
      </c>
      <c r="C2721" s="711" t="s">
        <v>106</v>
      </c>
      <c r="D2721" s="711" t="s">
        <v>192</v>
      </c>
      <c r="E2721" s="711">
        <v>46254</v>
      </c>
      <c r="G2721" s="396"/>
      <c r="H2721" s="775" t="s">
        <v>19</v>
      </c>
      <c r="I2721" s="777"/>
      <c r="J2721" s="190">
        <f t="shared" ref="J2721:P2721" si="3315">SUM(J2715:J2720)</f>
        <v>763</v>
      </c>
      <c r="K2721" s="190">
        <f t="shared" si="3315"/>
        <v>179</v>
      </c>
      <c r="L2721" s="190">
        <f t="shared" si="3315"/>
        <v>50</v>
      </c>
      <c r="M2721" s="190">
        <f t="shared" si="3315"/>
        <v>290</v>
      </c>
      <c r="N2721" s="190">
        <f t="shared" si="3315"/>
        <v>194</v>
      </c>
      <c r="O2721" s="190">
        <f t="shared" si="3315"/>
        <v>40</v>
      </c>
      <c r="P2721" s="190">
        <f t="shared" si="3315"/>
        <v>37</v>
      </c>
      <c r="Q2721" s="481">
        <f t="shared" si="3313"/>
        <v>0.30013106159895153</v>
      </c>
      <c r="R2721" s="481">
        <f t="shared" si="3314"/>
        <v>0.25425950196592401</v>
      </c>
      <c r="S2721" s="482">
        <f t="shared" si="3309"/>
        <v>4.8492791612057669E-2</v>
      </c>
      <c r="T2721" s="482">
        <f t="shared" si="3310"/>
        <v>5.242463958060288E-2</v>
      </c>
      <c r="U2721" s="483">
        <f t="shared" si="3311"/>
        <v>0.65530799475753609</v>
      </c>
      <c r="V2721" s="479"/>
    </row>
    <row r="2722" spans="2:22" ht="15.75" hidden="1" x14ac:dyDescent="0.2">
      <c r="B2722" s="711">
        <v>46254</v>
      </c>
      <c r="C2722" s="711" t="s">
        <v>105</v>
      </c>
      <c r="D2722" s="711" t="s">
        <v>13</v>
      </c>
      <c r="E2722" s="711">
        <v>46254</v>
      </c>
      <c r="G2722" s="778">
        <v>46254</v>
      </c>
      <c r="H2722" s="497" t="s">
        <v>16</v>
      </c>
      <c r="I2722" s="60" t="s">
        <v>112</v>
      </c>
      <c r="J2722" s="60">
        <v>235</v>
      </c>
      <c r="K2722" s="60">
        <f>235-126</f>
        <v>109</v>
      </c>
      <c r="L2722" s="60">
        <v>100</v>
      </c>
      <c r="M2722" s="60">
        <v>0</v>
      </c>
      <c r="N2722" s="494">
        <v>0</v>
      </c>
      <c r="O2722" s="60">
        <v>20</v>
      </c>
      <c r="P2722" s="494">
        <v>6</v>
      </c>
      <c r="Q2722" s="182">
        <f t="shared" si="3313"/>
        <v>0.88936170212765953</v>
      </c>
      <c r="R2722" s="182">
        <f t="shared" si="3314"/>
        <v>0</v>
      </c>
      <c r="S2722" s="183">
        <f t="shared" ref="S2722:S2723" si="3316">P2722/J2722</f>
        <v>2.553191489361702E-2</v>
      </c>
      <c r="T2722" s="183">
        <f t="shared" ref="T2722:T2723" si="3317">O2722/J2722</f>
        <v>8.5106382978723402E-2</v>
      </c>
      <c r="U2722" s="184">
        <f t="shared" ref="U2722:U2723" si="3318">S2722+R2722+Q2722+T2722</f>
        <v>1</v>
      </c>
      <c r="V2722" s="386"/>
    </row>
    <row r="2723" spans="2:22" ht="15.75" hidden="1" x14ac:dyDescent="0.2">
      <c r="B2723" s="711">
        <v>46254</v>
      </c>
      <c r="C2723" s="711" t="s">
        <v>105</v>
      </c>
      <c r="D2723" s="711" t="s">
        <v>13</v>
      </c>
      <c r="E2723" s="711">
        <v>46254</v>
      </c>
      <c r="G2723" s="779"/>
      <c r="H2723" s="497" t="s">
        <v>17</v>
      </c>
      <c r="I2723" s="60" t="s">
        <v>105</v>
      </c>
      <c r="J2723" s="60">
        <v>161</v>
      </c>
      <c r="K2723" s="60">
        <v>85</v>
      </c>
      <c r="L2723" s="60">
        <v>43</v>
      </c>
      <c r="M2723" s="60">
        <v>0</v>
      </c>
      <c r="N2723" s="494">
        <v>0</v>
      </c>
      <c r="O2723" s="60">
        <v>26</v>
      </c>
      <c r="P2723" s="494">
        <v>7</v>
      </c>
      <c r="Q2723" s="182">
        <f t="shared" si="3313"/>
        <v>0.79503105590062106</v>
      </c>
      <c r="R2723" s="182">
        <f t="shared" si="3314"/>
        <v>0</v>
      </c>
      <c r="S2723" s="183">
        <f t="shared" si="3316"/>
        <v>4.3478260869565216E-2</v>
      </c>
      <c r="T2723" s="183">
        <f t="shared" si="3317"/>
        <v>0.16149068322981366</v>
      </c>
      <c r="U2723" s="184">
        <f t="shared" si="3318"/>
        <v>0.99999999999999989</v>
      </c>
      <c r="V2723" s="386"/>
    </row>
    <row r="2724" spans="2:22" ht="15.75" hidden="1" x14ac:dyDescent="0.2">
      <c r="B2724" s="711">
        <v>46254</v>
      </c>
      <c r="C2724" s="711" t="s">
        <v>105</v>
      </c>
      <c r="D2724" s="711" t="s">
        <v>13</v>
      </c>
      <c r="E2724" s="711">
        <v>46255</v>
      </c>
      <c r="G2724" s="816">
        <v>46255</v>
      </c>
      <c r="H2724" s="497" t="s">
        <v>16</v>
      </c>
      <c r="I2724" s="60" t="s">
        <v>112</v>
      </c>
      <c r="J2724" s="60">
        <v>245</v>
      </c>
      <c r="K2724" s="60">
        <f>245-148</f>
        <v>97</v>
      </c>
      <c r="L2724" s="60">
        <v>116</v>
      </c>
      <c r="M2724" s="60">
        <v>4</v>
      </c>
      <c r="N2724" s="494">
        <v>0</v>
      </c>
      <c r="O2724" s="60">
        <v>20</v>
      </c>
      <c r="P2724" s="494">
        <v>8</v>
      </c>
      <c r="Q2724" s="182">
        <f t="shared" ref="Q2724:Q2726" si="3319">(K2724+L2724)/J2724</f>
        <v>0.8693877551020408</v>
      </c>
      <c r="R2724" s="182">
        <f t="shared" ref="R2724:R2726" si="3320">N2724/J2724</f>
        <v>0</v>
      </c>
      <c r="S2724" s="183">
        <f t="shared" ref="S2724:S2730" si="3321">P2724/J2724</f>
        <v>3.2653061224489799E-2</v>
      </c>
      <c r="T2724" s="183">
        <f t="shared" ref="T2724:T2730" si="3322">O2724/J2724</f>
        <v>8.1632653061224483E-2</v>
      </c>
      <c r="U2724" s="184">
        <f t="shared" ref="U2724:U2730" si="3323">S2724+R2724+Q2724+T2724</f>
        <v>0.98367346938775502</v>
      </c>
      <c r="V2724" s="386"/>
    </row>
    <row r="2725" spans="2:22" ht="15.75" hidden="1" x14ac:dyDescent="0.2">
      <c r="B2725" s="711">
        <v>46254</v>
      </c>
      <c r="C2725" s="711" t="s">
        <v>105</v>
      </c>
      <c r="D2725" s="711" t="s">
        <v>13</v>
      </c>
      <c r="E2725" s="711">
        <v>46255</v>
      </c>
      <c r="G2725" s="819"/>
      <c r="H2725" s="497" t="s">
        <v>14</v>
      </c>
      <c r="I2725" s="60" t="s">
        <v>106</v>
      </c>
      <c r="J2725" s="60">
        <v>201</v>
      </c>
      <c r="K2725" s="60">
        <f>201-76</f>
        <v>125</v>
      </c>
      <c r="L2725" s="60">
        <v>40</v>
      </c>
      <c r="M2725" s="60">
        <v>4</v>
      </c>
      <c r="N2725" s="494">
        <v>10</v>
      </c>
      <c r="O2725" s="60">
        <v>12</v>
      </c>
      <c r="P2725" s="494">
        <v>10</v>
      </c>
      <c r="Q2725" s="182">
        <f t="shared" si="3319"/>
        <v>0.82089552238805974</v>
      </c>
      <c r="R2725" s="182">
        <f t="shared" si="3320"/>
        <v>4.975124378109453E-2</v>
      </c>
      <c r="S2725" s="183">
        <f t="shared" si="3321"/>
        <v>4.975124378109453E-2</v>
      </c>
      <c r="T2725" s="183">
        <f t="shared" si="3322"/>
        <v>5.9701492537313432E-2</v>
      </c>
      <c r="U2725" s="184">
        <f t="shared" si="3323"/>
        <v>0.98009950248756217</v>
      </c>
      <c r="V2725" s="386"/>
    </row>
    <row r="2726" spans="2:22" ht="15.75" hidden="1" x14ac:dyDescent="0.2">
      <c r="B2726" s="711">
        <v>46254</v>
      </c>
      <c r="C2726" s="711" t="s">
        <v>105</v>
      </c>
      <c r="D2726" s="711" t="s">
        <v>13</v>
      </c>
      <c r="E2726" s="711">
        <v>46255</v>
      </c>
      <c r="G2726" s="817"/>
      <c r="H2726" s="497" t="s">
        <v>17</v>
      </c>
      <c r="I2726" s="60" t="s">
        <v>105</v>
      </c>
      <c r="J2726" s="60">
        <v>198</v>
      </c>
      <c r="K2726" s="60">
        <v>0</v>
      </c>
      <c r="L2726" s="60">
        <v>0</v>
      </c>
      <c r="M2726" s="60">
        <v>77</v>
      </c>
      <c r="N2726" s="494">
        <v>80</v>
      </c>
      <c r="O2726" s="60">
        <v>29</v>
      </c>
      <c r="P2726" s="494">
        <v>12</v>
      </c>
      <c r="Q2726" s="182">
        <f t="shared" si="3319"/>
        <v>0</v>
      </c>
      <c r="R2726" s="182">
        <f t="shared" si="3320"/>
        <v>0.40404040404040403</v>
      </c>
      <c r="S2726" s="183">
        <f t="shared" si="3321"/>
        <v>6.0606060606060608E-2</v>
      </c>
      <c r="T2726" s="183">
        <f t="shared" si="3322"/>
        <v>0.14646464646464646</v>
      </c>
      <c r="U2726" s="184">
        <f t="shared" si="3323"/>
        <v>0.61111111111111116</v>
      </c>
      <c r="V2726" s="386"/>
    </row>
    <row r="2727" spans="2:22" ht="15.75" hidden="1" x14ac:dyDescent="0.2">
      <c r="B2727" s="711">
        <v>46254</v>
      </c>
      <c r="C2727" s="711" t="s">
        <v>105</v>
      </c>
      <c r="D2727" s="711" t="s">
        <v>13</v>
      </c>
      <c r="E2727" s="711">
        <v>46255</v>
      </c>
      <c r="G2727" s="775" t="s">
        <v>19</v>
      </c>
      <c r="H2727" s="776"/>
      <c r="I2727" s="777"/>
      <c r="J2727" s="190">
        <f>SUM(J2722:J2726)</f>
        <v>1040</v>
      </c>
      <c r="K2727" s="190">
        <f t="shared" ref="K2727:P2727" si="3324">SUM(K2722:K2726)</f>
        <v>416</v>
      </c>
      <c r="L2727" s="190">
        <f t="shared" si="3324"/>
        <v>299</v>
      </c>
      <c r="M2727" s="190">
        <f t="shared" si="3324"/>
        <v>85</v>
      </c>
      <c r="N2727" s="190">
        <f t="shared" si="3324"/>
        <v>90</v>
      </c>
      <c r="O2727" s="190">
        <f t="shared" si="3324"/>
        <v>107</v>
      </c>
      <c r="P2727" s="190">
        <f t="shared" si="3324"/>
        <v>43</v>
      </c>
      <c r="Q2727" s="481">
        <f>(K2727+L2727)/J2727</f>
        <v>0.6875</v>
      </c>
      <c r="R2727" s="481">
        <f>N2727/J2727</f>
        <v>8.6538461538461536E-2</v>
      </c>
      <c r="S2727" s="482">
        <f t="shared" si="3321"/>
        <v>4.1346153846153845E-2</v>
      </c>
      <c r="T2727" s="482">
        <f t="shared" si="3322"/>
        <v>0.10288461538461538</v>
      </c>
      <c r="U2727" s="483">
        <f t="shared" si="3323"/>
        <v>0.91826923076923073</v>
      </c>
      <c r="V2727" s="479"/>
    </row>
    <row r="2728" spans="2:22" ht="15.75" hidden="1" x14ac:dyDescent="0.2">
      <c r="B2728" s="711">
        <v>46255</v>
      </c>
      <c r="C2728" s="711" t="s">
        <v>106</v>
      </c>
      <c r="D2728" s="10" t="s">
        <v>192</v>
      </c>
      <c r="E2728" s="711">
        <v>46255</v>
      </c>
      <c r="G2728" s="778">
        <v>46255</v>
      </c>
      <c r="H2728" s="497" t="s">
        <v>16</v>
      </c>
      <c r="I2728" s="60" t="s">
        <v>112</v>
      </c>
      <c r="J2728" s="60">
        <v>50</v>
      </c>
      <c r="K2728" s="60">
        <f>J2728-L2728-M2728-N2728-O2728-P2728</f>
        <v>27</v>
      </c>
      <c r="L2728" s="60">
        <v>5</v>
      </c>
      <c r="M2728" s="60">
        <v>0</v>
      </c>
      <c r="N2728" s="494">
        <v>0</v>
      </c>
      <c r="O2728" s="60">
        <v>12</v>
      </c>
      <c r="P2728" s="494">
        <v>6</v>
      </c>
      <c r="Q2728" s="182">
        <f t="shared" ref="Q2728:Q2734" si="3325">(K2728+L2728)/J2728</f>
        <v>0.64</v>
      </c>
      <c r="R2728" s="182">
        <f t="shared" ref="R2728:R2734" si="3326">N2728/J2728</f>
        <v>0</v>
      </c>
      <c r="S2728" s="183">
        <f t="shared" si="3321"/>
        <v>0.12</v>
      </c>
      <c r="T2728" s="183">
        <f t="shared" si="3322"/>
        <v>0.24</v>
      </c>
      <c r="U2728" s="184">
        <f t="shared" si="3323"/>
        <v>1</v>
      </c>
      <c r="V2728" s="386"/>
    </row>
    <row r="2729" spans="2:22" ht="15.75" hidden="1" x14ac:dyDescent="0.2">
      <c r="B2729" s="711">
        <v>46255</v>
      </c>
      <c r="C2729" s="711" t="s">
        <v>106</v>
      </c>
      <c r="D2729" s="10" t="s">
        <v>192</v>
      </c>
      <c r="E2729" s="711">
        <v>46255</v>
      </c>
      <c r="G2729" s="786"/>
      <c r="H2729" s="497" t="s">
        <v>14</v>
      </c>
      <c r="I2729" s="60" t="s">
        <v>106</v>
      </c>
      <c r="J2729" s="60">
        <v>44</v>
      </c>
      <c r="K2729" s="60">
        <f>J2729-L2729-M2729-N2729-O2729-P2729</f>
        <v>14</v>
      </c>
      <c r="L2729" s="60">
        <v>5</v>
      </c>
      <c r="M2729" s="60">
        <v>0</v>
      </c>
      <c r="N2729" s="494">
        <v>0</v>
      </c>
      <c r="O2729" s="60">
        <v>15</v>
      </c>
      <c r="P2729" s="494">
        <v>10</v>
      </c>
      <c r="Q2729" s="182">
        <f t="shared" ref="Q2729" si="3327">(K2729+L2729)/J2729</f>
        <v>0.43181818181818182</v>
      </c>
      <c r="R2729" s="182">
        <f t="shared" ref="R2729" si="3328">N2729/J2729</f>
        <v>0</v>
      </c>
      <c r="S2729" s="183">
        <f t="shared" ref="S2729" si="3329">P2729/J2729</f>
        <v>0.22727272727272727</v>
      </c>
      <c r="T2729" s="183">
        <f t="shared" ref="T2729" si="3330">O2729/J2729</f>
        <v>0.34090909090909088</v>
      </c>
      <c r="U2729" s="184">
        <f t="shared" ref="U2729" si="3331">S2729+R2729+Q2729+T2729</f>
        <v>1</v>
      </c>
      <c r="V2729" s="386"/>
    </row>
    <row r="2730" spans="2:22" ht="15.75" hidden="1" x14ac:dyDescent="0.2">
      <c r="B2730" s="711">
        <v>46255</v>
      </c>
      <c r="C2730" s="711" t="s">
        <v>106</v>
      </c>
      <c r="D2730" s="10" t="s">
        <v>192</v>
      </c>
      <c r="E2730" s="711">
        <v>46255</v>
      </c>
      <c r="G2730" s="779"/>
      <c r="H2730" s="497" t="s">
        <v>17</v>
      </c>
      <c r="I2730" s="60" t="s">
        <v>105</v>
      </c>
      <c r="J2730" s="60">
        <v>207</v>
      </c>
      <c r="K2730" s="60">
        <f>J2730-L2730-M2730-N2730-O2730-P2730</f>
        <v>111</v>
      </c>
      <c r="L2730" s="60">
        <v>55</v>
      </c>
      <c r="M2730" s="60">
        <v>30</v>
      </c>
      <c r="N2730" s="494">
        <v>0</v>
      </c>
      <c r="O2730" s="60">
        <v>0</v>
      </c>
      <c r="P2730" s="494">
        <v>11</v>
      </c>
      <c r="Q2730" s="182">
        <f t="shared" si="3325"/>
        <v>0.80193236714975846</v>
      </c>
      <c r="R2730" s="182">
        <f t="shared" si="3326"/>
        <v>0</v>
      </c>
      <c r="S2730" s="183">
        <f t="shared" si="3321"/>
        <v>5.3140096618357488E-2</v>
      </c>
      <c r="T2730" s="183">
        <f t="shared" si="3322"/>
        <v>0</v>
      </c>
      <c r="U2730" s="184">
        <f t="shared" si="3323"/>
        <v>0.85507246376811596</v>
      </c>
      <c r="V2730" s="386"/>
    </row>
    <row r="2731" spans="2:22" ht="15.75" hidden="1" x14ac:dyDescent="0.2">
      <c r="B2731" s="711">
        <v>46255</v>
      </c>
      <c r="C2731" s="711" t="s">
        <v>106</v>
      </c>
      <c r="D2731" s="10" t="s">
        <v>192</v>
      </c>
      <c r="E2731" s="711">
        <v>46255</v>
      </c>
      <c r="G2731" s="816">
        <v>46256</v>
      </c>
      <c r="H2731" s="497" t="s">
        <v>16</v>
      </c>
      <c r="I2731" s="60" t="s">
        <v>112</v>
      </c>
      <c r="J2731" s="60">
        <v>249</v>
      </c>
      <c r="K2731" s="60">
        <f>J2731-L2731-M2731-N2731-O2731-P2731</f>
        <v>0</v>
      </c>
      <c r="L2731" s="60">
        <v>0</v>
      </c>
      <c r="M2731" s="60">
        <v>49</v>
      </c>
      <c r="N2731" s="494">
        <v>190</v>
      </c>
      <c r="O2731" s="60">
        <v>0</v>
      </c>
      <c r="P2731" s="494">
        <v>10</v>
      </c>
      <c r="Q2731" s="182">
        <f t="shared" si="3325"/>
        <v>0</v>
      </c>
      <c r="R2731" s="182">
        <f t="shared" si="3326"/>
        <v>0.76305220883534142</v>
      </c>
      <c r="S2731" s="183">
        <f t="shared" ref="S2731:S2737" si="3332">P2731/J2731</f>
        <v>4.0160642570281124E-2</v>
      </c>
      <c r="T2731" s="183">
        <f t="shared" ref="T2731:T2737" si="3333">O2731/J2731</f>
        <v>0</v>
      </c>
      <c r="U2731" s="184">
        <f t="shared" ref="U2731:U2737" si="3334">S2731+R2731+Q2731+T2731</f>
        <v>0.80321285140562249</v>
      </c>
      <c r="V2731" s="386"/>
    </row>
    <row r="2732" spans="2:22" ht="15.75" hidden="1" x14ac:dyDescent="0.2">
      <c r="B2732" s="711">
        <v>46255</v>
      </c>
      <c r="C2732" s="711" t="s">
        <v>106</v>
      </c>
      <c r="D2732" s="10" t="s">
        <v>192</v>
      </c>
      <c r="E2732" s="711">
        <v>46255</v>
      </c>
      <c r="G2732" s="819"/>
      <c r="H2732" s="497" t="s">
        <v>25</v>
      </c>
      <c r="I2732" s="60" t="s">
        <v>106</v>
      </c>
      <c r="J2732" s="60">
        <v>187</v>
      </c>
      <c r="K2732" s="60">
        <f t="shared" ref="K2732:K2734" si="3335">J2732-L2732-M2732-N2732-O2732-P2732</f>
        <v>1</v>
      </c>
      <c r="L2732" s="60">
        <v>0</v>
      </c>
      <c r="M2732" s="60">
        <v>153</v>
      </c>
      <c r="N2732" s="494">
        <v>30</v>
      </c>
      <c r="O2732" s="60">
        <v>0</v>
      </c>
      <c r="P2732" s="494">
        <v>3</v>
      </c>
      <c r="Q2732" s="182">
        <f t="shared" si="3325"/>
        <v>5.3475935828877002E-3</v>
      </c>
      <c r="R2732" s="182">
        <f t="shared" si="3326"/>
        <v>0.16042780748663102</v>
      </c>
      <c r="S2732" s="183">
        <f t="shared" si="3332"/>
        <v>1.6042780748663103E-2</v>
      </c>
      <c r="T2732" s="183">
        <f t="shared" si="3333"/>
        <v>0</v>
      </c>
      <c r="U2732" s="184">
        <f t="shared" si="3334"/>
        <v>0.18181818181818182</v>
      </c>
      <c r="V2732" s="386"/>
    </row>
    <row r="2733" spans="2:22" ht="15.75" hidden="1" x14ac:dyDescent="0.2">
      <c r="B2733" s="711">
        <v>46255</v>
      </c>
      <c r="C2733" s="711" t="s">
        <v>106</v>
      </c>
      <c r="D2733" s="10" t="s">
        <v>192</v>
      </c>
      <c r="E2733" s="711">
        <v>46255</v>
      </c>
      <c r="G2733" s="819"/>
      <c r="H2733" s="497" t="s">
        <v>180</v>
      </c>
      <c r="I2733" s="60" t="s">
        <v>106</v>
      </c>
      <c r="J2733" s="60">
        <v>26</v>
      </c>
      <c r="K2733" s="60">
        <f t="shared" ref="K2733" si="3336">J2733-L2733-M2733-N2733-O2733-P2733</f>
        <v>22</v>
      </c>
      <c r="L2733" s="60">
        <v>4</v>
      </c>
      <c r="M2733" s="60">
        <v>0</v>
      </c>
      <c r="N2733" s="494">
        <v>0</v>
      </c>
      <c r="O2733" s="60">
        <v>0</v>
      </c>
      <c r="P2733" s="494">
        <v>0</v>
      </c>
      <c r="Q2733" s="182">
        <f t="shared" ref="Q2733" si="3337">(K2733+L2733)/J2733</f>
        <v>1</v>
      </c>
      <c r="R2733" s="182">
        <f t="shared" ref="R2733" si="3338">N2733/J2733</f>
        <v>0</v>
      </c>
      <c r="S2733" s="183">
        <f t="shared" ref="S2733" si="3339">P2733/J2733</f>
        <v>0</v>
      </c>
      <c r="T2733" s="183">
        <f t="shared" ref="T2733" si="3340">O2733/J2733</f>
        <v>0</v>
      </c>
      <c r="U2733" s="184">
        <f t="shared" ref="U2733" si="3341">S2733+R2733+Q2733+T2733</f>
        <v>1</v>
      </c>
      <c r="V2733" s="386"/>
    </row>
    <row r="2734" spans="2:22" ht="15.75" hidden="1" x14ac:dyDescent="0.2">
      <c r="B2734" s="711">
        <v>46255</v>
      </c>
      <c r="C2734" s="711" t="s">
        <v>106</v>
      </c>
      <c r="D2734" s="10" t="s">
        <v>192</v>
      </c>
      <c r="E2734" s="711">
        <v>46255</v>
      </c>
      <c r="G2734" s="817"/>
      <c r="H2734" s="497" t="s">
        <v>17</v>
      </c>
      <c r="I2734" s="60" t="s">
        <v>105</v>
      </c>
      <c r="J2734" s="60">
        <v>184</v>
      </c>
      <c r="K2734" s="60">
        <f t="shared" si="3335"/>
        <v>0</v>
      </c>
      <c r="L2734" s="60">
        <v>0</v>
      </c>
      <c r="M2734" s="60">
        <v>184</v>
      </c>
      <c r="N2734" s="494">
        <v>0</v>
      </c>
      <c r="O2734" s="60">
        <v>0</v>
      </c>
      <c r="P2734" s="494">
        <v>0</v>
      </c>
      <c r="Q2734" s="182">
        <f t="shared" si="3325"/>
        <v>0</v>
      </c>
      <c r="R2734" s="182">
        <f t="shared" si="3326"/>
        <v>0</v>
      </c>
      <c r="S2734" s="183">
        <f t="shared" si="3332"/>
        <v>0</v>
      </c>
      <c r="T2734" s="183">
        <f t="shared" si="3333"/>
        <v>0</v>
      </c>
      <c r="U2734" s="184">
        <f t="shared" si="3334"/>
        <v>0</v>
      </c>
      <c r="V2734" s="386"/>
    </row>
    <row r="2735" spans="2:22" ht="15.75" hidden="1" x14ac:dyDescent="0.2">
      <c r="B2735" s="711">
        <v>46255</v>
      </c>
      <c r="C2735" s="711" t="s">
        <v>106</v>
      </c>
      <c r="D2735" s="10" t="s">
        <v>192</v>
      </c>
      <c r="E2735" s="711">
        <v>46255</v>
      </c>
      <c r="G2735" s="775" t="s">
        <v>19</v>
      </c>
      <c r="H2735" s="776"/>
      <c r="I2735" s="777"/>
      <c r="J2735" s="190">
        <f>SUM(J2728:J2734)</f>
        <v>947</v>
      </c>
      <c r="K2735" s="190">
        <f t="shared" ref="K2735:P2735" si="3342">SUM(K2728:K2734)</f>
        <v>175</v>
      </c>
      <c r="L2735" s="190">
        <f t="shared" si="3342"/>
        <v>69</v>
      </c>
      <c r="M2735" s="190">
        <f t="shared" si="3342"/>
        <v>416</v>
      </c>
      <c r="N2735" s="190">
        <f t="shared" si="3342"/>
        <v>220</v>
      </c>
      <c r="O2735" s="190">
        <f t="shared" si="3342"/>
        <v>27</v>
      </c>
      <c r="P2735" s="190">
        <f t="shared" si="3342"/>
        <v>40</v>
      </c>
      <c r="Q2735" s="481">
        <f>(K2735+L2735)/J2735</f>
        <v>0.25765575501583948</v>
      </c>
      <c r="R2735" s="481">
        <f>N2735/J2735</f>
        <v>0.23231256599788808</v>
      </c>
      <c r="S2735" s="482">
        <f t="shared" si="3332"/>
        <v>4.2238648363252376E-2</v>
      </c>
      <c r="T2735" s="482">
        <f t="shared" si="3333"/>
        <v>2.8511087645195353E-2</v>
      </c>
      <c r="U2735" s="483">
        <f t="shared" si="3334"/>
        <v>0.56071805702217536</v>
      </c>
      <c r="V2735" s="479"/>
    </row>
    <row r="2736" spans="2:22" ht="15.75" hidden="1" x14ac:dyDescent="0.2">
      <c r="B2736" s="711">
        <v>46255</v>
      </c>
      <c r="C2736" s="711" t="s">
        <v>105</v>
      </c>
      <c r="D2736" s="711" t="s">
        <v>13</v>
      </c>
      <c r="E2736" s="711">
        <v>46255</v>
      </c>
      <c r="G2736" s="778">
        <v>46255</v>
      </c>
      <c r="H2736" s="497" t="s">
        <v>16</v>
      </c>
      <c r="I2736" s="60" t="s">
        <v>112</v>
      </c>
      <c r="J2736" s="60">
        <v>245</v>
      </c>
      <c r="K2736" s="60">
        <v>122</v>
      </c>
      <c r="L2736" s="60">
        <v>100</v>
      </c>
      <c r="M2736" s="60">
        <v>0</v>
      </c>
      <c r="N2736" s="494">
        <v>0</v>
      </c>
      <c r="O2736" s="60">
        <v>20</v>
      </c>
      <c r="P2736" s="494">
        <v>3</v>
      </c>
      <c r="Q2736" s="182">
        <f t="shared" ref="Q2736:Q2737" si="3343">(K2736+L2736)/J2736</f>
        <v>0.90612244897959182</v>
      </c>
      <c r="R2736" s="182">
        <f t="shared" ref="R2736:R2737" si="3344">N2736/J2736</f>
        <v>0</v>
      </c>
      <c r="S2736" s="183">
        <f t="shared" si="3332"/>
        <v>1.2244897959183673E-2</v>
      </c>
      <c r="T2736" s="183">
        <f t="shared" si="3333"/>
        <v>8.1632653061224483E-2</v>
      </c>
      <c r="U2736" s="184">
        <f t="shared" si="3334"/>
        <v>1</v>
      </c>
      <c r="V2736" s="386"/>
    </row>
    <row r="2737" spans="2:22" ht="15.75" hidden="1" x14ac:dyDescent="0.2">
      <c r="B2737" s="711">
        <v>46255</v>
      </c>
      <c r="C2737" s="711" t="s">
        <v>105</v>
      </c>
      <c r="D2737" s="711" t="s">
        <v>13</v>
      </c>
      <c r="E2737" s="711">
        <v>46255</v>
      </c>
      <c r="G2737" s="779"/>
      <c r="H2737" s="497" t="s">
        <v>17</v>
      </c>
      <c r="I2737" s="60" t="s">
        <v>105</v>
      </c>
      <c r="J2737" s="60">
        <v>198</v>
      </c>
      <c r="K2737" s="60">
        <v>94</v>
      </c>
      <c r="L2737" s="60">
        <v>68</v>
      </c>
      <c r="M2737" s="60">
        <v>0</v>
      </c>
      <c r="N2737" s="494">
        <v>0</v>
      </c>
      <c r="O2737" s="60">
        <v>30</v>
      </c>
      <c r="P2737" s="494">
        <v>6</v>
      </c>
      <c r="Q2737" s="182">
        <f t="shared" si="3343"/>
        <v>0.81818181818181823</v>
      </c>
      <c r="R2737" s="182">
        <f t="shared" si="3344"/>
        <v>0</v>
      </c>
      <c r="S2737" s="183">
        <f t="shared" si="3332"/>
        <v>3.0303030303030304E-2</v>
      </c>
      <c r="T2737" s="183">
        <f t="shared" si="3333"/>
        <v>0.15151515151515152</v>
      </c>
      <c r="U2737" s="184">
        <f t="shared" si="3334"/>
        <v>1</v>
      </c>
      <c r="V2737" s="386"/>
    </row>
    <row r="2738" spans="2:22" ht="15.75" hidden="1" x14ac:dyDescent="0.2">
      <c r="B2738" s="711">
        <v>46255</v>
      </c>
      <c r="C2738" s="711" t="s">
        <v>105</v>
      </c>
      <c r="D2738" s="711" t="s">
        <v>13</v>
      </c>
      <c r="E2738" s="711">
        <v>46256</v>
      </c>
      <c r="G2738" s="809">
        <v>46256</v>
      </c>
      <c r="H2738" s="497" t="s">
        <v>16</v>
      </c>
      <c r="I2738" s="60" t="s">
        <v>112</v>
      </c>
      <c r="J2738" s="60">
        <v>249</v>
      </c>
      <c r="K2738" s="60">
        <v>100</v>
      </c>
      <c r="L2738" s="60">
        <v>103</v>
      </c>
      <c r="M2738" s="60">
        <v>13</v>
      </c>
      <c r="N2738" s="494">
        <v>0</v>
      </c>
      <c r="O2738" s="60">
        <v>20</v>
      </c>
      <c r="P2738" s="494">
        <v>13</v>
      </c>
      <c r="Q2738" s="182">
        <f t="shared" ref="Q2738:Q2740" si="3345">(K2738+L2738)/J2738</f>
        <v>0.81526104417670686</v>
      </c>
      <c r="R2738" s="182">
        <f t="shared" ref="R2738:R2740" si="3346">N2738/J2738</f>
        <v>0</v>
      </c>
      <c r="S2738" s="183">
        <f t="shared" ref="S2738:S2740" si="3347">P2738/J2738</f>
        <v>5.2208835341365459E-2</v>
      </c>
      <c r="T2738" s="183">
        <f t="shared" ref="T2738:T2740" si="3348">O2738/J2738</f>
        <v>8.0321285140562249E-2</v>
      </c>
      <c r="U2738" s="184">
        <f t="shared" ref="U2738:U2740" si="3349">S2738+R2738+Q2738+T2738</f>
        <v>0.94779116465863456</v>
      </c>
      <c r="V2738" s="386"/>
    </row>
    <row r="2739" spans="2:22" ht="15.75" hidden="1" x14ac:dyDescent="0.2">
      <c r="B2739" s="711">
        <v>46255</v>
      </c>
      <c r="C2739" s="711" t="s">
        <v>105</v>
      </c>
      <c r="D2739" s="711" t="s">
        <v>13</v>
      </c>
      <c r="E2739" s="711">
        <v>46256</v>
      </c>
      <c r="G2739" s="810"/>
      <c r="H2739" s="497" t="s">
        <v>25</v>
      </c>
      <c r="I2739" s="60" t="s">
        <v>106</v>
      </c>
      <c r="J2739" s="60">
        <v>187</v>
      </c>
      <c r="K2739" s="60">
        <v>115</v>
      </c>
      <c r="L2739" s="60">
        <v>34</v>
      </c>
      <c r="M2739" s="60">
        <v>7</v>
      </c>
      <c r="N2739" s="494">
        <v>0</v>
      </c>
      <c r="O2739" s="60">
        <v>25</v>
      </c>
      <c r="P2739" s="494">
        <v>6</v>
      </c>
      <c r="Q2739" s="182">
        <f t="shared" si="3345"/>
        <v>0.79679144385026734</v>
      </c>
      <c r="R2739" s="182">
        <f t="shared" si="3346"/>
        <v>0</v>
      </c>
      <c r="S2739" s="183">
        <f t="shared" si="3347"/>
        <v>3.2085561497326207E-2</v>
      </c>
      <c r="T2739" s="183">
        <f t="shared" si="3348"/>
        <v>0.13368983957219252</v>
      </c>
      <c r="U2739" s="184">
        <f t="shared" si="3349"/>
        <v>0.96256684491978606</v>
      </c>
      <c r="V2739" s="386"/>
    </row>
    <row r="2740" spans="2:22" ht="15.75" hidden="1" x14ac:dyDescent="0.2">
      <c r="B2740" s="711">
        <v>46255</v>
      </c>
      <c r="C2740" s="711" t="s">
        <v>105</v>
      </c>
      <c r="D2740" s="711" t="s">
        <v>13</v>
      </c>
      <c r="E2740" s="711">
        <v>46256</v>
      </c>
      <c r="G2740" s="811"/>
      <c r="H2740" s="497" t="s">
        <v>17</v>
      </c>
      <c r="I2740" s="60" t="s">
        <v>105</v>
      </c>
      <c r="J2740" s="60">
        <v>184</v>
      </c>
      <c r="K2740" s="60">
        <v>0</v>
      </c>
      <c r="L2740" s="60">
        <v>0</v>
      </c>
      <c r="M2740" s="60">
        <v>62</v>
      </c>
      <c r="N2740" s="494">
        <v>86</v>
      </c>
      <c r="O2740" s="60">
        <v>29</v>
      </c>
      <c r="P2740" s="494">
        <v>7</v>
      </c>
      <c r="Q2740" s="182">
        <f t="shared" si="3345"/>
        <v>0</v>
      </c>
      <c r="R2740" s="182">
        <f t="shared" si="3346"/>
        <v>0.46739130434782611</v>
      </c>
      <c r="S2740" s="183">
        <f t="shared" si="3347"/>
        <v>3.8043478260869568E-2</v>
      </c>
      <c r="T2740" s="183">
        <f t="shared" si="3348"/>
        <v>0.15760869565217392</v>
      </c>
      <c r="U2740" s="184">
        <f t="shared" si="3349"/>
        <v>0.66304347826086962</v>
      </c>
      <c r="V2740" s="386"/>
    </row>
    <row r="2741" spans="2:22" ht="15.75" hidden="1" x14ac:dyDescent="0.2">
      <c r="B2741" s="711">
        <v>46255</v>
      </c>
      <c r="C2741" s="711" t="s">
        <v>105</v>
      </c>
      <c r="D2741" s="711" t="s">
        <v>13</v>
      </c>
      <c r="E2741" s="711">
        <v>46257</v>
      </c>
      <c r="G2741" s="816">
        <v>46257</v>
      </c>
      <c r="H2741" s="497" t="s">
        <v>16</v>
      </c>
      <c r="I2741" s="60" t="s">
        <v>112</v>
      </c>
      <c r="J2741" s="60">
        <v>230</v>
      </c>
      <c r="K2741" s="60">
        <v>0</v>
      </c>
      <c r="L2741" s="60">
        <v>0</v>
      </c>
      <c r="M2741" s="60">
        <v>204</v>
      </c>
      <c r="N2741" s="494">
        <v>0</v>
      </c>
      <c r="O2741" s="60">
        <v>20</v>
      </c>
      <c r="P2741" s="494">
        <v>6</v>
      </c>
      <c r="Q2741" s="182">
        <f t="shared" ref="Q2741:Q2742" si="3350">(K2741+L2741)/J2741</f>
        <v>0</v>
      </c>
      <c r="R2741" s="182">
        <f t="shared" ref="R2741:R2742" si="3351">N2741/J2741</f>
        <v>0</v>
      </c>
      <c r="S2741" s="183">
        <f t="shared" ref="S2741:S2753" si="3352">P2741/J2741</f>
        <v>2.6086956521739129E-2</v>
      </c>
      <c r="T2741" s="183">
        <f t="shared" ref="T2741:T2753" si="3353">O2741/J2741</f>
        <v>8.6956521739130432E-2</v>
      </c>
      <c r="U2741" s="184">
        <f t="shared" ref="U2741:U2753" si="3354">S2741+R2741+Q2741+T2741</f>
        <v>0.11304347826086956</v>
      </c>
      <c r="V2741" s="386"/>
    </row>
    <row r="2742" spans="2:22" ht="15.75" hidden="1" x14ac:dyDescent="0.2">
      <c r="B2742" s="711">
        <v>46255</v>
      </c>
      <c r="C2742" s="711" t="s">
        <v>105</v>
      </c>
      <c r="D2742" s="711" t="s">
        <v>13</v>
      </c>
      <c r="E2742" s="711">
        <v>46257</v>
      </c>
      <c r="G2742" s="817"/>
      <c r="H2742" s="497" t="s">
        <v>17</v>
      </c>
      <c r="I2742" s="60" t="s">
        <v>106</v>
      </c>
      <c r="J2742" s="60">
        <v>230</v>
      </c>
      <c r="K2742" s="60">
        <v>0</v>
      </c>
      <c r="L2742" s="60">
        <v>0</v>
      </c>
      <c r="M2742" s="60">
        <v>230</v>
      </c>
      <c r="N2742" s="494">
        <v>0</v>
      </c>
      <c r="O2742" s="60">
        <v>0</v>
      </c>
      <c r="P2742" s="494">
        <v>0</v>
      </c>
      <c r="Q2742" s="182">
        <f t="shared" si="3350"/>
        <v>0</v>
      </c>
      <c r="R2742" s="182">
        <f t="shared" si="3351"/>
        <v>0</v>
      </c>
      <c r="S2742" s="183">
        <f t="shared" si="3352"/>
        <v>0</v>
      </c>
      <c r="T2742" s="183">
        <f t="shared" si="3353"/>
        <v>0</v>
      </c>
      <c r="U2742" s="184">
        <f t="shared" si="3354"/>
        <v>0</v>
      </c>
      <c r="V2742" s="386"/>
    </row>
    <row r="2743" spans="2:22" ht="15.75" hidden="1" x14ac:dyDescent="0.2">
      <c r="B2743" s="711">
        <v>46255</v>
      </c>
      <c r="C2743" s="711" t="s">
        <v>105</v>
      </c>
      <c r="D2743" s="711" t="s">
        <v>13</v>
      </c>
      <c r="E2743" s="711">
        <v>46257</v>
      </c>
      <c r="G2743" s="775" t="s">
        <v>19</v>
      </c>
      <c r="H2743" s="776"/>
      <c r="I2743" s="777"/>
      <c r="J2743" s="190">
        <f t="shared" ref="J2743:P2743" si="3355">SUM(J2736:J2742)</f>
        <v>1523</v>
      </c>
      <c r="K2743" s="190">
        <f t="shared" si="3355"/>
        <v>431</v>
      </c>
      <c r="L2743" s="190">
        <f t="shared" si="3355"/>
        <v>305</v>
      </c>
      <c r="M2743" s="190">
        <f t="shared" si="3355"/>
        <v>516</v>
      </c>
      <c r="N2743" s="190">
        <f t="shared" si="3355"/>
        <v>86</v>
      </c>
      <c r="O2743" s="190">
        <f t="shared" si="3355"/>
        <v>144</v>
      </c>
      <c r="P2743" s="190">
        <f t="shared" si="3355"/>
        <v>41</v>
      </c>
      <c r="Q2743" s="481">
        <f>(K2743+L2743)/J2743</f>
        <v>0.48325673013788573</v>
      </c>
      <c r="R2743" s="481">
        <f>N2743/J2743</f>
        <v>5.6467498358502954E-2</v>
      </c>
      <c r="S2743" s="482">
        <f t="shared" si="3352"/>
        <v>2.6920551543007223E-2</v>
      </c>
      <c r="T2743" s="482">
        <f t="shared" si="3353"/>
        <v>9.4550229809586342E-2</v>
      </c>
      <c r="U2743" s="483">
        <f t="shared" si="3354"/>
        <v>0.66119500984898227</v>
      </c>
      <c r="V2743" s="479"/>
    </row>
    <row r="2744" spans="2:22" ht="15.75" hidden="1" x14ac:dyDescent="0.2">
      <c r="B2744" s="711">
        <v>46256</v>
      </c>
      <c r="C2744" s="711" t="s">
        <v>106</v>
      </c>
      <c r="D2744" s="10" t="s">
        <v>192</v>
      </c>
      <c r="E2744" s="711">
        <v>46256</v>
      </c>
      <c r="G2744" s="778">
        <v>46256</v>
      </c>
      <c r="H2744" s="497" t="s">
        <v>16</v>
      </c>
      <c r="I2744" s="60" t="s">
        <v>112</v>
      </c>
      <c r="J2744" s="60">
        <f>SUM(K2744:P2744)</f>
        <v>85</v>
      </c>
      <c r="K2744" s="60">
        <v>40</v>
      </c>
      <c r="L2744" s="60">
        <v>32</v>
      </c>
      <c r="M2744" s="60">
        <v>0</v>
      </c>
      <c r="N2744" s="494">
        <v>0</v>
      </c>
      <c r="O2744" s="60">
        <v>4</v>
      </c>
      <c r="P2744" s="494">
        <v>9</v>
      </c>
      <c r="Q2744" s="182">
        <f t="shared" ref="Q2744:Q2750" si="3356">(K2744+L2744)/J2744</f>
        <v>0.84705882352941175</v>
      </c>
      <c r="R2744" s="182">
        <f t="shared" ref="R2744:R2750" si="3357">N2744/J2744</f>
        <v>0</v>
      </c>
      <c r="S2744" s="183">
        <f t="shared" si="3352"/>
        <v>0.10588235294117647</v>
      </c>
      <c r="T2744" s="183">
        <f t="shared" si="3353"/>
        <v>4.7058823529411764E-2</v>
      </c>
      <c r="U2744" s="184">
        <f t="shared" si="3354"/>
        <v>1</v>
      </c>
      <c r="V2744" s="386"/>
    </row>
    <row r="2745" spans="2:22" ht="15.75" hidden="1" x14ac:dyDescent="0.2">
      <c r="B2745" s="711">
        <v>46256</v>
      </c>
      <c r="C2745" s="711" t="s">
        <v>106</v>
      </c>
      <c r="D2745" s="10" t="s">
        <v>192</v>
      </c>
      <c r="E2745" s="711">
        <v>46256</v>
      </c>
      <c r="G2745" s="786"/>
      <c r="H2745" s="497" t="s">
        <v>25</v>
      </c>
      <c r="I2745" s="60" t="s">
        <v>106</v>
      </c>
      <c r="J2745" s="60">
        <f>SUM(K2745:P2745)</f>
        <v>39</v>
      </c>
      <c r="K2745" s="60">
        <v>28</v>
      </c>
      <c r="L2745" s="60">
        <v>6</v>
      </c>
      <c r="M2745" s="60">
        <v>0</v>
      </c>
      <c r="N2745" s="494">
        <v>0</v>
      </c>
      <c r="O2745" s="60">
        <v>0</v>
      </c>
      <c r="P2745" s="494">
        <v>5</v>
      </c>
      <c r="Q2745" s="182">
        <f t="shared" si="3356"/>
        <v>0.87179487179487181</v>
      </c>
      <c r="R2745" s="182">
        <f t="shared" si="3357"/>
        <v>0</v>
      </c>
      <c r="S2745" s="183">
        <f t="shared" si="3352"/>
        <v>0.12820512820512819</v>
      </c>
      <c r="T2745" s="183">
        <f t="shared" si="3353"/>
        <v>0</v>
      </c>
      <c r="U2745" s="184">
        <f t="shared" si="3354"/>
        <v>1</v>
      </c>
      <c r="V2745" s="386"/>
    </row>
    <row r="2746" spans="2:22" ht="15.75" hidden="1" x14ac:dyDescent="0.2">
      <c r="B2746" s="711">
        <v>46256</v>
      </c>
      <c r="C2746" s="711" t="s">
        <v>106</v>
      </c>
      <c r="D2746" s="10" t="s">
        <v>192</v>
      </c>
      <c r="E2746" s="711">
        <v>46256</v>
      </c>
      <c r="G2746" s="786"/>
      <c r="H2746" s="497" t="s">
        <v>180</v>
      </c>
      <c r="I2746" s="60" t="s">
        <v>106</v>
      </c>
      <c r="J2746" s="60">
        <f>SUM(K2746:P2746)</f>
        <v>28</v>
      </c>
      <c r="K2746" s="60">
        <v>28</v>
      </c>
      <c r="L2746" s="60">
        <v>0</v>
      </c>
      <c r="M2746" s="60">
        <v>0</v>
      </c>
      <c r="N2746" s="494">
        <v>0</v>
      </c>
      <c r="O2746" s="60">
        <v>0</v>
      </c>
      <c r="P2746" s="494">
        <v>0</v>
      </c>
      <c r="Q2746" s="182">
        <f t="shared" ref="Q2746" si="3358">(K2746+L2746)/J2746</f>
        <v>1</v>
      </c>
      <c r="R2746" s="182">
        <f t="shared" ref="R2746" si="3359">N2746/J2746</f>
        <v>0</v>
      </c>
      <c r="S2746" s="183">
        <f t="shared" ref="S2746" si="3360">P2746/J2746</f>
        <v>0</v>
      </c>
      <c r="T2746" s="183">
        <f t="shared" ref="T2746" si="3361">O2746/J2746</f>
        <v>0</v>
      </c>
      <c r="U2746" s="184">
        <f t="shared" ref="U2746" si="3362">S2746+R2746+Q2746+T2746</f>
        <v>1</v>
      </c>
      <c r="V2746" s="386"/>
    </row>
    <row r="2747" spans="2:22" ht="15.75" hidden="1" x14ac:dyDescent="0.2">
      <c r="B2747" s="711">
        <v>46256</v>
      </c>
      <c r="C2747" s="711" t="s">
        <v>106</v>
      </c>
      <c r="D2747" s="10" t="s">
        <v>192</v>
      </c>
      <c r="E2747" s="711">
        <v>46256</v>
      </c>
      <c r="G2747" s="779"/>
      <c r="H2747" s="497" t="s">
        <v>17</v>
      </c>
      <c r="I2747" s="60" t="s">
        <v>105</v>
      </c>
      <c r="J2747" s="60">
        <v>184</v>
      </c>
      <c r="K2747" s="60">
        <v>91</v>
      </c>
      <c r="L2747" s="60">
        <v>37</v>
      </c>
      <c r="M2747" s="60">
        <f>34-26</f>
        <v>8</v>
      </c>
      <c r="N2747" s="494">
        <v>15</v>
      </c>
      <c r="O2747" s="60">
        <v>26</v>
      </c>
      <c r="P2747" s="494">
        <v>8</v>
      </c>
      <c r="Q2747" s="182">
        <f t="shared" si="3356"/>
        <v>0.69565217391304346</v>
      </c>
      <c r="R2747" s="182">
        <f t="shared" si="3357"/>
        <v>8.1521739130434784E-2</v>
      </c>
      <c r="S2747" s="183">
        <f t="shared" si="3352"/>
        <v>4.3478260869565216E-2</v>
      </c>
      <c r="T2747" s="183">
        <f t="shared" si="3353"/>
        <v>0.14130434782608695</v>
      </c>
      <c r="U2747" s="184">
        <f t="shared" si="3354"/>
        <v>0.96195652173913038</v>
      </c>
      <c r="V2747" s="386"/>
    </row>
    <row r="2748" spans="2:22" ht="15.75" hidden="1" x14ac:dyDescent="0.2">
      <c r="B2748" s="711">
        <v>46256</v>
      </c>
      <c r="C2748" s="711" t="s">
        <v>106</v>
      </c>
      <c r="D2748" s="10" t="s">
        <v>192</v>
      </c>
      <c r="E2748" s="711">
        <v>46257</v>
      </c>
      <c r="G2748" s="816">
        <v>46257</v>
      </c>
      <c r="H2748" s="497" t="s">
        <v>16</v>
      </c>
      <c r="I2748" s="60" t="s">
        <v>106</v>
      </c>
      <c r="J2748" s="60">
        <v>225</v>
      </c>
      <c r="K2748" s="60">
        <v>0</v>
      </c>
      <c r="L2748" s="60">
        <v>0</v>
      </c>
      <c r="M2748" s="60">
        <v>34</v>
      </c>
      <c r="N2748" s="494">
        <v>165</v>
      </c>
      <c r="O2748" s="60">
        <v>20</v>
      </c>
      <c r="P2748" s="494">
        <v>6</v>
      </c>
      <c r="Q2748" s="182">
        <f t="shared" si="3356"/>
        <v>0</v>
      </c>
      <c r="R2748" s="182">
        <f t="shared" si="3357"/>
        <v>0.73333333333333328</v>
      </c>
      <c r="S2748" s="183">
        <f t="shared" si="3352"/>
        <v>2.6666666666666668E-2</v>
      </c>
      <c r="T2748" s="183">
        <f t="shared" si="3353"/>
        <v>8.8888888888888892E-2</v>
      </c>
      <c r="U2748" s="184">
        <f t="shared" si="3354"/>
        <v>0.8488888888888888</v>
      </c>
      <c r="V2748" s="386"/>
    </row>
    <row r="2749" spans="2:22" ht="15.75" hidden="1" x14ac:dyDescent="0.2">
      <c r="B2749" s="711">
        <v>46256</v>
      </c>
      <c r="C2749" s="711" t="s">
        <v>106</v>
      </c>
      <c r="D2749" s="10" t="s">
        <v>192</v>
      </c>
      <c r="E2749" s="711">
        <v>46257</v>
      </c>
      <c r="G2749" s="817"/>
      <c r="H2749" s="497" t="s">
        <v>25</v>
      </c>
      <c r="I2749" s="60" t="s">
        <v>106</v>
      </c>
      <c r="J2749" s="60">
        <v>214</v>
      </c>
      <c r="K2749" s="60">
        <v>0</v>
      </c>
      <c r="L2749" s="60">
        <v>0</v>
      </c>
      <c r="M2749" s="60">
        <v>177</v>
      </c>
      <c r="N2749" s="494">
        <v>0</v>
      </c>
      <c r="O2749" s="60">
        <v>27</v>
      </c>
      <c r="P2749" s="494">
        <v>10</v>
      </c>
      <c r="Q2749" s="182">
        <f t="shared" ref="Q2749" si="3363">(K2749+L2749)/J2749</f>
        <v>0</v>
      </c>
      <c r="R2749" s="182">
        <f t="shared" ref="R2749" si="3364">N2749/J2749</f>
        <v>0</v>
      </c>
      <c r="S2749" s="183">
        <f t="shared" ref="S2749" si="3365">P2749/J2749</f>
        <v>4.6728971962616821E-2</v>
      </c>
      <c r="T2749" s="183">
        <f t="shared" ref="T2749" si="3366">O2749/J2749</f>
        <v>0.12616822429906541</v>
      </c>
      <c r="U2749" s="184">
        <f t="shared" ref="U2749" si="3367">S2749+R2749+Q2749+T2749</f>
        <v>0.17289719626168223</v>
      </c>
      <c r="V2749" s="386"/>
    </row>
    <row r="2750" spans="2:22" ht="15.75" hidden="1" x14ac:dyDescent="0.2">
      <c r="B2750" s="711">
        <v>46256</v>
      </c>
      <c r="C2750" s="711" t="s">
        <v>106</v>
      </c>
      <c r="D2750" s="10" t="s">
        <v>192</v>
      </c>
      <c r="E2750" s="711">
        <v>46258</v>
      </c>
      <c r="G2750" s="521">
        <v>46258</v>
      </c>
      <c r="H2750" s="497" t="s">
        <v>84</v>
      </c>
      <c r="I2750" s="60" t="s">
        <v>106</v>
      </c>
      <c r="J2750" s="60">
        <v>254</v>
      </c>
      <c r="K2750" s="60">
        <v>0</v>
      </c>
      <c r="L2750" s="60">
        <v>0</v>
      </c>
      <c r="M2750" s="60">
        <v>224</v>
      </c>
      <c r="N2750" s="494">
        <v>15</v>
      </c>
      <c r="O2750" s="60">
        <v>10</v>
      </c>
      <c r="P2750" s="494">
        <v>5</v>
      </c>
      <c r="Q2750" s="182">
        <f t="shared" si="3356"/>
        <v>0</v>
      </c>
      <c r="R2750" s="182">
        <f t="shared" si="3357"/>
        <v>5.905511811023622E-2</v>
      </c>
      <c r="S2750" s="183">
        <f t="shared" si="3352"/>
        <v>1.968503937007874E-2</v>
      </c>
      <c r="T2750" s="183">
        <f t="shared" si="3353"/>
        <v>3.937007874015748E-2</v>
      </c>
      <c r="U2750" s="184">
        <f t="shared" si="3354"/>
        <v>0.11811023622047244</v>
      </c>
      <c r="V2750" s="386"/>
    </row>
    <row r="2751" spans="2:22" ht="15.75" hidden="1" x14ac:dyDescent="0.2">
      <c r="B2751" s="711">
        <v>46256</v>
      </c>
      <c r="C2751" s="711" t="s">
        <v>106</v>
      </c>
      <c r="D2751" s="10" t="s">
        <v>192</v>
      </c>
      <c r="E2751" s="711">
        <v>46256</v>
      </c>
      <c r="G2751" s="775" t="s">
        <v>19</v>
      </c>
      <c r="H2751" s="776"/>
      <c r="I2751" s="777"/>
      <c r="J2751" s="190">
        <f t="shared" ref="J2751:P2751" si="3368">SUM(J2744:J2750)</f>
        <v>1029</v>
      </c>
      <c r="K2751" s="190">
        <f t="shared" si="3368"/>
        <v>187</v>
      </c>
      <c r="L2751" s="190">
        <f t="shared" si="3368"/>
        <v>75</v>
      </c>
      <c r="M2751" s="190">
        <f t="shared" si="3368"/>
        <v>443</v>
      </c>
      <c r="N2751" s="190">
        <f t="shared" si="3368"/>
        <v>195</v>
      </c>
      <c r="O2751" s="190">
        <f t="shared" si="3368"/>
        <v>87</v>
      </c>
      <c r="P2751" s="190">
        <f t="shared" si="3368"/>
        <v>43</v>
      </c>
      <c r="Q2751" s="481">
        <f>(K2751+L2751)/J2751</f>
        <v>0.25461613216715256</v>
      </c>
      <c r="R2751" s="481">
        <f>N2751/J2751</f>
        <v>0.18950437317784258</v>
      </c>
      <c r="S2751" s="482">
        <f t="shared" si="3352"/>
        <v>4.1788143828960157E-2</v>
      </c>
      <c r="T2751" s="482">
        <f t="shared" si="3353"/>
        <v>8.4548104956268216E-2</v>
      </c>
      <c r="U2751" s="483">
        <f t="shared" si="3354"/>
        <v>0.57045675413022345</v>
      </c>
      <c r="V2751" s="479"/>
    </row>
    <row r="2752" spans="2:22" ht="15.75" hidden="1" x14ac:dyDescent="0.2">
      <c r="B2752" s="711">
        <v>46256</v>
      </c>
      <c r="C2752" s="711" t="s">
        <v>105</v>
      </c>
      <c r="D2752" s="711" t="s">
        <v>13</v>
      </c>
      <c r="E2752" s="711">
        <v>46256</v>
      </c>
      <c r="G2752" s="778">
        <v>46256</v>
      </c>
      <c r="H2752" s="497" t="s">
        <v>16</v>
      </c>
      <c r="I2752" s="60" t="s">
        <v>112</v>
      </c>
      <c r="J2752" s="60">
        <v>249</v>
      </c>
      <c r="K2752" s="60">
        <v>113</v>
      </c>
      <c r="L2752" s="60">
        <v>103</v>
      </c>
      <c r="M2752" s="60">
        <v>0</v>
      </c>
      <c r="N2752" s="494">
        <v>0</v>
      </c>
      <c r="O2752" s="60">
        <v>20</v>
      </c>
      <c r="P2752" s="494">
        <v>13</v>
      </c>
      <c r="Q2752" s="182">
        <f t="shared" ref="Q2752:Q2755" si="3369">(K2752+L2752)/J2752</f>
        <v>0.86746987951807231</v>
      </c>
      <c r="R2752" s="182">
        <f t="shared" ref="R2752:R2755" si="3370">N2752/J2752</f>
        <v>0</v>
      </c>
      <c r="S2752" s="183">
        <f t="shared" si="3352"/>
        <v>5.2208835341365459E-2</v>
      </c>
      <c r="T2752" s="183">
        <f t="shared" si="3353"/>
        <v>8.0321285140562249E-2</v>
      </c>
      <c r="U2752" s="184">
        <f t="shared" si="3354"/>
        <v>1</v>
      </c>
      <c r="V2752" s="386"/>
    </row>
    <row r="2753" spans="2:22" ht="15.75" hidden="1" x14ac:dyDescent="0.2">
      <c r="B2753" s="711">
        <v>46256</v>
      </c>
      <c r="C2753" s="711" t="s">
        <v>105</v>
      </c>
      <c r="D2753" s="711" t="s">
        <v>13</v>
      </c>
      <c r="E2753" s="711">
        <v>46256</v>
      </c>
      <c r="G2753" s="779"/>
      <c r="H2753" s="497" t="s">
        <v>17</v>
      </c>
      <c r="I2753" s="60" t="s">
        <v>105</v>
      </c>
      <c r="J2753" s="60">
        <v>184</v>
      </c>
      <c r="K2753" s="60">
        <v>108</v>
      </c>
      <c r="L2753" s="60">
        <v>40</v>
      </c>
      <c r="M2753" s="60">
        <v>0</v>
      </c>
      <c r="N2753" s="494">
        <v>0</v>
      </c>
      <c r="O2753" s="60">
        <v>29</v>
      </c>
      <c r="P2753" s="494">
        <v>7</v>
      </c>
      <c r="Q2753" s="182">
        <f t="shared" si="3369"/>
        <v>0.80434782608695654</v>
      </c>
      <c r="R2753" s="182">
        <f t="shared" si="3370"/>
        <v>0</v>
      </c>
      <c r="S2753" s="183">
        <f t="shared" si="3352"/>
        <v>3.8043478260869568E-2</v>
      </c>
      <c r="T2753" s="183">
        <f t="shared" si="3353"/>
        <v>0.15760869565217392</v>
      </c>
      <c r="U2753" s="184">
        <f t="shared" si="3354"/>
        <v>1</v>
      </c>
      <c r="V2753" s="386"/>
    </row>
    <row r="2754" spans="2:22" ht="15.75" hidden="1" x14ac:dyDescent="0.2">
      <c r="B2754" s="711">
        <v>46256</v>
      </c>
      <c r="C2754" s="711" t="s">
        <v>105</v>
      </c>
      <c r="D2754" s="711" t="s">
        <v>13</v>
      </c>
      <c r="E2754" s="711">
        <v>46257</v>
      </c>
      <c r="G2754" s="809">
        <v>46257</v>
      </c>
      <c r="H2754" s="497" t="s">
        <v>16</v>
      </c>
      <c r="I2754" s="60" t="s">
        <v>112</v>
      </c>
      <c r="J2754" s="60">
        <v>230</v>
      </c>
      <c r="K2754" s="60">
        <v>157</v>
      </c>
      <c r="L2754" s="60">
        <v>43</v>
      </c>
      <c r="M2754" s="60">
        <v>4</v>
      </c>
      <c r="N2754" s="494">
        <v>0</v>
      </c>
      <c r="O2754" s="60">
        <v>20</v>
      </c>
      <c r="P2754" s="494">
        <v>6</v>
      </c>
      <c r="Q2754" s="182">
        <f t="shared" si="3369"/>
        <v>0.86956521739130432</v>
      </c>
      <c r="R2754" s="182">
        <f t="shared" si="3370"/>
        <v>0</v>
      </c>
      <c r="S2754" s="183">
        <f t="shared" ref="S2754:S2769" si="3371">P2754/J2754</f>
        <v>2.6086956521739129E-2</v>
      </c>
      <c r="T2754" s="183">
        <f t="shared" ref="T2754:T2769" si="3372">O2754/J2754</f>
        <v>8.6956521739130432E-2</v>
      </c>
      <c r="U2754" s="184">
        <f t="shared" ref="U2754:U2769" si="3373">S2754+R2754+Q2754+T2754</f>
        <v>0.98260869565217379</v>
      </c>
      <c r="V2754" s="386"/>
    </row>
    <row r="2755" spans="2:22" ht="15.75" hidden="1" x14ac:dyDescent="0.2">
      <c r="B2755" s="711">
        <v>46256</v>
      </c>
      <c r="C2755" s="711" t="s">
        <v>105</v>
      </c>
      <c r="D2755" s="711" t="s">
        <v>13</v>
      </c>
      <c r="E2755" s="711">
        <v>46257</v>
      </c>
      <c r="G2755" s="811"/>
      <c r="H2755" s="497" t="s">
        <v>25</v>
      </c>
      <c r="I2755" s="60" t="s">
        <v>106</v>
      </c>
      <c r="J2755" s="60">
        <v>214</v>
      </c>
      <c r="K2755" s="60">
        <f>214-72</f>
        <v>142</v>
      </c>
      <c r="L2755" s="60">
        <v>26</v>
      </c>
      <c r="M2755" s="60">
        <v>6</v>
      </c>
      <c r="N2755" s="494">
        <v>0</v>
      </c>
      <c r="O2755" s="60">
        <v>27</v>
      </c>
      <c r="P2755" s="494">
        <v>13</v>
      </c>
      <c r="Q2755" s="182">
        <f t="shared" si="3369"/>
        <v>0.78504672897196259</v>
      </c>
      <c r="R2755" s="182">
        <f t="shared" si="3370"/>
        <v>0</v>
      </c>
      <c r="S2755" s="183">
        <f t="shared" si="3371"/>
        <v>6.0747663551401869E-2</v>
      </c>
      <c r="T2755" s="183">
        <f t="shared" si="3372"/>
        <v>0.12616822429906541</v>
      </c>
      <c r="U2755" s="184">
        <f t="shared" si="3373"/>
        <v>0.97196261682242979</v>
      </c>
      <c r="V2755" s="386"/>
    </row>
    <row r="2756" spans="2:22" ht="15.75" hidden="1" x14ac:dyDescent="0.2">
      <c r="B2756" s="711">
        <v>46258</v>
      </c>
      <c r="C2756" s="711" t="s">
        <v>105</v>
      </c>
      <c r="D2756" s="711" t="s">
        <v>13</v>
      </c>
      <c r="E2756" s="711">
        <v>46258</v>
      </c>
      <c r="G2756" s="816">
        <v>46258</v>
      </c>
      <c r="H2756" s="497" t="s">
        <v>16</v>
      </c>
      <c r="I2756" s="60" t="s">
        <v>112</v>
      </c>
      <c r="J2756" s="60">
        <v>238</v>
      </c>
      <c r="K2756" s="60">
        <v>0</v>
      </c>
      <c r="L2756" s="60">
        <v>0</v>
      </c>
      <c r="M2756" s="60">
        <v>213</v>
      </c>
      <c r="N2756" s="494">
        <v>0</v>
      </c>
      <c r="O2756" s="60">
        <v>20</v>
      </c>
      <c r="P2756" s="494">
        <v>5</v>
      </c>
      <c r="Q2756" s="182">
        <f t="shared" ref="Q2756:Q2759" si="3374">(K2756+L2756)/J2756</f>
        <v>0</v>
      </c>
      <c r="R2756" s="182">
        <f t="shared" ref="R2756:R2759" si="3375">N2756/J2756</f>
        <v>0</v>
      </c>
      <c r="S2756" s="183">
        <f t="shared" ref="S2756:S2759" si="3376">P2756/J2756</f>
        <v>2.100840336134454E-2</v>
      </c>
      <c r="T2756" s="183">
        <f t="shared" ref="T2756:T2759" si="3377">O2756/J2756</f>
        <v>8.4033613445378158E-2</v>
      </c>
      <c r="U2756" s="184">
        <f t="shared" ref="U2756:U2759" si="3378">S2756+R2756+Q2756+T2756</f>
        <v>0.1050420168067227</v>
      </c>
      <c r="V2756" s="386"/>
    </row>
    <row r="2757" spans="2:22" ht="15.75" hidden="1" x14ac:dyDescent="0.2">
      <c r="B2757" s="711">
        <v>46258</v>
      </c>
      <c r="C2757" s="711" t="s">
        <v>105</v>
      </c>
      <c r="D2757" s="711" t="s">
        <v>13</v>
      </c>
      <c r="E2757" s="711">
        <v>46258</v>
      </c>
      <c r="G2757" s="819"/>
      <c r="H2757" s="497" t="s">
        <v>17</v>
      </c>
      <c r="I2757" s="60" t="s">
        <v>106</v>
      </c>
      <c r="J2757" s="60">
        <v>194</v>
      </c>
      <c r="K2757" s="60">
        <v>0</v>
      </c>
      <c r="L2757" s="60">
        <v>0</v>
      </c>
      <c r="M2757" s="60">
        <v>130</v>
      </c>
      <c r="N2757" s="494">
        <v>0</v>
      </c>
      <c r="O2757" s="60">
        <v>27</v>
      </c>
      <c r="P2757" s="494">
        <v>13</v>
      </c>
      <c r="Q2757" s="182">
        <f t="shared" si="3374"/>
        <v>0</v>
      </c>
      <c r="R2757" s="182">
        <f t="shared" si="3375"/>
        <v>0</v>
      </c>
      <c r="S2757" s="183">
        <f t="shared" si="3376"/>
        <v>6.7010309278350513E-2</v>
      </c>
      <c r="T2757" s="183">
        <f t="shared" si="3377"/>
        <v>0.13917525773195877</v>
      </c>
      <c r="U2757" s="184">
        <f t="shared" si="3378"/>
        <v>0.20618556701030927</v>
      </c>
      <c r="V2757" s="386"/>
    </row>
    <row r="2758" spans="2:22" ht="15.75" hidden="1" x14ac:dyDescent="0.2">
      <c r="B2758" s="711">
        <v>46258</v>
      </c>
      <c r="C2758" s="711" t="s">
        <v>105</v>
      </c>
      <c r="D2758" s="711" t="s">
        <v>13</v>
      </c>
      <c r="E2758" s="711">
        <v>46258</v>
      </c>
      <c r="G2758" s="819"/>
      <c r="H2758" s="497" t="s">
        <v>14</v>
      </c>
      <c r="I2758" s="60" t="s">
        <v>105</v>
      </c>
      <c r="J2758" s="60">
        <v>172</v>
      </c>
      <c r="K2758" s="60">
        <v>0</v>
      </c>
      <c r="L2758" s="60">
        <v>0</v>
      </c>
      <c r="M2758" s="60">
        <v>172</v>
      </c>
      <c r="N2758" s="494">
        <v>0</v>
      </c>
      <c r="O2758" s="60">
        <v>0</v>
      </c>
      <c r="P2758" s="494">
        <v>0</v>
      </c>
      <c r="Q2758" s="182">
        <f t="shared" si="3374"/>
        <v>0</v>
      </c>
      <c r="R2758" s="182">
        <f t="shared" si="3375"/>
        <v>0</v>
      </c>
      <c r="S2758" s="183">
        <f t="shared" si="3376"/>
        <v>0</v>
      </c>
      <c r="T2758" s="183">
        <f t="shared" si="3377"/>
        <v>0</v>
      </c>
      <c r="U2758" s="184">
        <f t="shared" si="3378"/>
        <v>0</v>
      </c>
      <c r="V2758" s="386"/>
    </row>
    <row r="2759" spans="2:22" ht="15.75" hidden="1" x14ac:dyDescent="0.2">
      <c r="B2759" s="711">
        <v>46258</v>
      </c>
      <c r="C2759" s="711" t="s">
        <v>105</v>
      </c>
      <c r="D2759" s="711" t="s">
        <v>13</v>
      </c>
      <c r="E2759" s="711">
        <v>46258</v>
      </c>
      <c r="G2759" s="819"/>
      <c r="H2759" s="497" t="s">
        <v>118</v>
      </c>
      <c r="I2759" s="60" t="s">
        <v>106</v>
      </c>
      <c r="J2759" s="60">
        <v>188</v>
      </c>
      <c r="K2759" s="60">
        <v>0</v>
      </c>
      <c r="L2759" s="60">
        <v>0</v>
      </c>
      <c r="M2759" s="60">
        <v>121</v>
      </c>
      <c r="N2759" s="494">
        <v>0</v>
      </c>
      <c r="O2759" s="60">
        <v>12</v>
      </c>
      <c r="P2759" s="494">
        <v>5</v>
      </c>
      <c r="Q2759" s="182">
        <f t="shared" si="3374"/>
        <v>0</v>
      </c>
      <c r="R2759" s="182">
        <f t="shared" si="3375"/>
        <v>0</v>
      </c>
      <c r="S2759" s="183">
        <f t="shared" si="3376"/>
        <v>2.6595744680851064E-2</v>
      </c>
      <c r="T2759" s="183">
        <f t="shared" si="3377"/>
        <v>6.3829787234042548E-2</v>
      </c>
      <c r="U2759" s="184">
        <f t="shared" si="3378"/>
        <v>9.0425531914893609E-2</v>
      </c>
      <c r="V2759" s="386"/>
    </row>
    <row r="2760" spans="2:22" ht="15.75" hidden="1" x14ac:dyDescent="0.2">
      <c r="B2760" s="711">
        <v>46258</v>
      </c>
      <c r="C2760" s="711" t="s">
        <v>105</v>
      </c>
      <c r="D2760" s="711" t="s">
        <v>13</v>
      </c>
      <c r="E2760" s="711">
        <v>46258</v>
      </c>
      <c r="G2760" s="817"/>
      <c r="H2760" s="497" t="s">
        <v>84</v>
      </c>
      <c r="I2760" s="60" t="s">
        <v>106</v>
      </c>
      <c r="J2760" s="60">
        <v>254</v>
      </c>
      <c r="K2760" s="60">
        <v>100</v>
      </c>
      <c r="L2760" s="60">
        <v>34</v>
      </c>
      <c r="M2760" s="60">
        <v>90</v>
      </c>
      <c r="N2760" s="494">
        <v>15</v>
      </c>
      <c r="O2760" s="60">
        <v>10</v>
      </c>
      <c r="P2760" s="494">
        <v>5</v>
      </c>
      <c r="Q2760" s="182">
        <f t="shared" ref="Q2760" si="3379">(K2760+L2760)/J2760</f>
        <v>0.52755905511811019</v>
      </c>
      <c r="R2760" s="182">
        <f t="shared" ref="R2760" si="3380">N2760/J2760</f>
        <v>5.905511811023622E-2</v>
      </c>
      <c r="S2760" s="183">
        <f t="shared" si="3371"/>
        <v>1.968503937007874E-2</v>
      </c>
      <c r="T2760" s="183">
        <f t="shared" si="3372"/>
        <v>3.937007874015748E-2</v>
      </c>
      <c r="U2760" s="184">
        <f t="shared" si="3373"/>
        <v>0.64566929133858264</v>
      </c>
      <c r="V2760" s="386"/>
    </row>
    <row r="2761" spans="2:22" ht="15.75" hidden="1" x14ac:dyDescent="0.2">
      <c r="B2761" s="711">
        <v>46258</v>
      </c>
      <c r="C2761" s="711" t="s">
        <v>105</v>
      </c>
      <c r="D2761" s="711" t="s">
        <v>13</v>
      </c>
      <c r="E2761" s="711">
        <v>46258</v>
      </c>
      <c r="G2761" s="775" t="s">
        <v>19</v>
      </c>
      <c r="H2761" s="776"/>
      <c r="I2761" s="777"/>
      <c r="J2761" s="190">
        <f t="shared" ref="J2761:P2761" si="3381">SUM(J2752:J2760)</f>
        <v>1923</v>
      </c>
      <c r="K2761" s="190">
        <f t="shared" si="3381"/>
        <v>620</v>
      </c>
      <c r="L2761" s="190">
        <f t="shared" si="3381"/>
        <v>246</v>
      </c>
      <c r="M2761" s="190">
        <f t="shared" si="3381"/>
        <v>736</v>
      </c>
      <c r="N2761" s="190">
        <f t="shared" si="3381"/>
        <v>15</v>
      </c>
      <c r="O2761" s="190">
        <f t="shared" si="3381"/>
        <v>165</v>
      </c>
      <c r="P2761" s="190">
        <f t="shared" si="3381"/>
        <v>67</v>
      </c>
      <c r="Q2761" s="481">
        <f>(K2761+L2761)/J2761</f>
        <v>0.45033801352054081</v>
      </c>
      <c r="R2761" s="481">
        <f>N2761/J2761</f>
        <v>7.8003120124804995E-3</v>
      </c>
      <c r="S2761" s="482">
        <f t="shared" si="3371"/>
        <v>3.4841393655746226E-2</v>
      </c>
      <c r="T2761" s="482">
        <f t="shared" si="3372"/>
        <v>8.5803432137285487E-2</v>
      </c>
      <c r="U2761" s="483">
        <f t="shared" si="3373"/>
        <v>0.57878315132605307</v>
      </c>
      <c r="V2761" s="479"/>
    </row>
    <row r="2762" spans="2:22" ht="15.75" hidden="1" x14ac:dyDescent="0.2">
      <c r="B2762" s="711">
        <v>46257</v>
      </c>
      <c r="C2762" s="711" t="s">
        <v>106</v>
      </c>
      <c r="D2762" s="10" t="s">
        <v>192</v>
      </c>
      <c r="E2762" s="711">
        <v>46256</v>
      </c>
      <c r="G2762" s="778">
        <v>46257</v>
      </c>
      <c r="H2762" s="497" t="s">
        <v>16</v>
      </c>
      <c r="I2762" s="60" t="s">
        <v>112</v>
      </c>
      <c r="J2762" s="60">
        <f>SUM(K2762:P2762)</f>
        <v>57</v>
      </c>
      <c r="K2762" s="60">
        <f>143-106</f>
        <v>37</v>
      </c>
      <c r="L2762" s="60">
        <v>14</v>
      </c>
      <c r="M2762" s="60">
        <v>0</v>
      </c>
      <c r="N2762" s="494">
        <v>0</v>
      </c>
      <c r="O2762" s="60">
        <v>0</v>
      </c>
      <c r="P2762" s="494">
        <v>6</v>
      </c>
      <c r="Q2762" s="182">
        <f t="shared" ref="Q2762:Q2768" si="3382">(K2762+L2762)/J2762</f>
        <v>0.89473684210526316</v>
      </c>
      <c r="R2762" s="182">
        <f t="shared" ref="R2762:R2768" si="3383">N2762/J2762</f>
        <v>0</v>
      </c>
      <c r="S2762" s="183">
        <f t="shared" si="3371"/>
        <v>0.10526315789473684</v>
      </c>
      <c r="T2762" s="183">
        <f t="shared" si="3372"/>
        <v>0</v>
      </c>
      <c r="U2762" s="184">
        <f t="shared" si="3373"/>
        <v>1</v>
      </c>
      <c r="V2762" s="386"/>
    </row>
    <row r="2763" spans="2:22" ht="15.75" hidden="1" x14ac:dyDescent="0.2">
      <c r="B2763" s="711">
        <v>46257</v>
      </c>
      <c r="C2763" s="711" t="s">
        <v>106</v>
      </c>
      <c r="D2763" s="10" t="s">
        <v>192</v>
      </c>
      <c r="E2763" s="711">
        <v>46256</v>
      </c>
      <c r="G2763" s="779"/>
      <c r="H2763" s="497" t="s">
        <v>25</v>
      </c>
      <c r="I2763" s="60" t="s">
        <v>106</v>
      </c>
      <c r="J2763" s="60">
        <f>SUM(K2763:P2763)</f>
        <v>40</v>
      </c>
      <c r="K2763" s="60">
        <v>12</v>
      </c>
      <c r="L2763" s="60">
        <v>18</v>
      </c>
      <c r="M2763" s="60">
        <v>0</v>
      </c>
      <c r="N2763" s="494">
        <v>0</v>
      </c>
      <c r="O2763" s="60">
        <v>0</v>
      </c>
      <c r="P2763" s="494">
        <v>10</v>
      </c>
      <c r="Q2763" s="182">
        <f t="shared" si="3382"/>
        <v>0.75</v>
      </c>
      <c r="R2763" s="182">
        <f t="shared" si="3383"/>
        <v>0</v>
      </c>
      <c r="S2763" s="183">
        <f t="shared" si="3371"/>
        <v>0.25</v>
      </c>
      <c r="T2763" s="183">
        <f t="shared" si="3372"/>
        <v>0</v>
      </c>
      <c r="U2763" s="184">
        <f t="shared" si="3373"/>
        <v>1</v>
      </c>
      <c r="V2763" s="386"/>
    </row>
    <row r="2764" spans="2:22" ht="15.75" hidden="1" x14ac:dyDescent="0.2">
      <c r="B2764" s="711">
        <v>46257</v>
      </c>
      <c r="C2764" s="711" t="s">
        <v>106</v>
      </c>
      <c r="D2764" s="10" t="s">
        <v>192</v>
      </c>
      <c r="E2764" s="711">
        <v>46256</v>
      </c>
      <c r="G2764" s="770">
        <v>46258</v>
      </c>
      <c r="H2764" s="497" t="s">
        <v>16</v>
      </c>
      <c r="I2764" s="60" t="s">
        <v>106</v>
      </c>
      <c r="J2764" s="60">
        <v>238</v>
      </c>
      <c r="K2764" s="60">
        <v>106</v>
      </c>
      <c r="L2764" s="60">
        <v>84</v>
      </c>
      <c r="M2764" s="60">
        <v>23</v>
      </c>
      <c r="N2764" s="494">
        <v>0</v>
      </c>
      <c r="O2764" s="60">
        <v>20</v>
      </c>
      <c r="P2764" s="494">
        <v>5</v>
      </c>
      <c r="Q2764" s="182">
        <f t="shared" si="3382"/>
        <v>0.79831932773109249</v>
      </c>
      <c r="R2764" s="182">
        <f t="shared" si="3383"/>
        <v>0</v>
      </c>
      <c r="S2764" s="183">
        <f t="shared" si="3371"/>
        <v>2.100840336134454E-2</v>
      </c>
      <c r="T2764" s="183">
        <f t="shared" si="3372"/>
        <v>8.4033613445378158E-2</v>
      </c>
      <c r="U2764" s="184">
        <f t="shared" si="3373"/>
        <v>0.90336134453781525</v>
      </c>
      <c r="V2764" s="386"/>
    </row>
    <row r="2765" spans="2:22" ht="15.75" hidden="1" x14ac:dyDescent="0.2">
      <c r="B2765" s="711">
        <v>46257</v>
      </c>
      <c r="C2765" s="711" t="s">
        <v>106</v>
      </c>
      <c r="D2765" s="10" t="s">
        <v>192</v>
      </c>
      <c r="E2765" s="711">
        <v>46256</v>
      </c>
      <c r="G2765" s="771"/>
      <c r="H2765" s="497" t="s">
        <v>17</v>
      </c>
      <c r="I2765" s="60" t="s">
        <v>105</v>
      </c>
      <c r="J2765" s="60">
        <v>194</v>
      </c>
      <c r="K2765" s="60">
        <v>108</v>
      </c>
      <c r="L2765" s="60">
        <v>17</v>
      </c>
      <c r="M2765" s="60">
        <f>41-27</f>
        <v>14</v>
      </c>
      <c r="N2765" s="494">
        <v>0</v>
      </c>
      <c r="O2765" s="60">
        <v>27</v>
      </c>
      <c r="P2765" s="494">
        <v>13</v>
      </c>
      <c r="Q2765" s="182">
        <f t="shared" si="3382"/>
        <v>0.64432989690721654</v>
      </c>
      <c r="R2765" s="182">
        <f t="shared" si="3383"/>
        <v>0</v>
      </c>
      <c r="S2765" s="183">
        <f t="shared" si="3371"/>
        <v>6.7010309278350513E-2</v>
      </c>
      <c r="T2765" s="183">
        <f t="shared" si="3372"/>
        <v>0.13917525773195877</v>
      </c>
      <c r="U2765" s="184">
        <f t="shared" si="3373"/>
        <v>0.85051546391752586</v>
      </c>
      <c r="V2765" s="386"/>
    </row>
    <row r="2766" spans="2:22" ht="15.75" hidden="1" x14ac:dyDescent="0.2">
      <c r="B2766" s="711">
        <v>46257</v>
      </c>
      <c r="C2766" s="711" t="s">
        <v>106</v>
      </c>
      <c r="D2766" s="10" t="s">
        <v>192</v>
      </c>
      <c r="E2766" s="711">
        <v>46257</v>
      </c>
      <c r="G2766" s="771"/>
      <c r="H2766" s="497" t="s">
        <v>118</v>
      </c>
      <c r="I2766" s="60" t="s">
        <v>106</v>
      </c>
      <c r="J2766" s="60">
        <v>188</v>
      </c>
      <c r="K2766" s="60">
        <v>0</v>
      </c>
      <c r="L2766" s="60">
        <v>0</v>
      </c>
      <c r="M2766" s="60">
        <v>166</v>
      </c>
      <c r="N2766" s="494">
        <v>0</v>
      </c>
      <c r="O2766" s="60">
        <v>11</v>
      </c>
      <c r="P2766" s="494">
        <v>5</v>
      </c>
      <c r="Q2766" s="182">
        <f t="shared" si="3382"/>
        <v>0</v>
      </c>
      <c r="R2766" s="182">
        <f t="shared" si="3383"/>
        <v>0</v>
      </c>
      <c r="S2766" s="183">
        <f t="shared" si="3371"/>
        <v>2.6595744680851064E-2</v>
      </c>
      <c r="T2766" s="183">
        <f t="shared" si="3372"/>
        <v>5.8510638297872342E-2</v>
      </c>
      <c r="U2766" s="184">
        <f t="shared" si="3373"/>
        <v>8.5106382978723402E-2</v>
      </c>
      <c r="V2766" s="386"/>
    </row>
    <row r="2767" spans="2:22" ht="15.75" hidden="1" x14ac:dyDescent="0.2">
      <c r="B2767" s="711">
        <v>46257</v>
      </c>
      <c r="C2767" s="711" t="s">
        <v>106</v>
      </c>
      <c r="D2767" s="10" t="s">
        <v>192</v>
      </c>
      <c r="E2767" s="711">
        <v>46257</v>
      </c>
      <c r="G2767" s="771"/>
      <c r="H2767" s="497" t="s">
        <v>84</v>
      </c>
      <c r="I2767" s="60" t="s">
        <v>106</v>
      </c>
      <c r="J2767" s="60">
        <v>254</v>
      </c>
      <c r="K2767" s="60">
        <v>0</v>
      </c>
      <c r="L2767" s="60">
        <v>0</v>
      </c>
      <c r="M2767" s="60">
        <v>41</v>
      </c>
      <c r="N2767" s="494">
        <v>39</v>
      </c>
      <c r="O2767" s="60">
        <v>10</v>
      </c>
      <c r="P2767" s="494">
        <v>5</v>
      </c>
      <c r="Q2767" s="182">
        <f t="shared" si="3382"/>
        <v>0</v>
      </c>
      <c r="R2767" s="182">
        <f t="shared" si="3383"/>
        <v>0.15354330708661418</v>
      </c>
      <c r="S2767" s="183">
        <f t="shared" si="3371"/>
        <v>1.968503937007874E-2</v>
      </c>
      <c r="T2767" s="183">
        <f t="shared" si="3372"/>
        <v>3.937007874015748E-2</v>
      </c>
      <c r="U2767" s="184">
        <f t="shared" si="3373"/>
        <v>0.2125984251968504</v>
      </c>
      <c r="V2767" s="386"/>
    </row>
    <row r="2768" spans="2:22" ht="15.75" hidden="1" x14ac:dyDescent="0.2">
      <c r="B2768" s="711">
        <v>46257</v>
      </c>
      <c r="C2768" s="711" t="s">
        <v>106</v>
      </c>
      <c r="D2768" s="10" t="s">
        <v>192</v>
      </c>
      <c r="E2768" s="711">
        <v>46258</v>
      </c>
      <c r="G2768" s="772"/>
      <c r="H2768" s="497" t="s">
        <v>14</v>
      </c>
      <c r="I2768" s="60" t="s">
        <v>106</v>
      </c>
      <c r="J2768" s="60">
        <v>172</v>
      </c>
      <c r="K2768" s="60">
        <v>5</v>
      </c>
      <c r="L2768" s="60">
        <v>2</v>
      </c>
      <c r="M2768" s="60">
        <v>156</v>
      </c>
      <c r="N2768" s="494">
        <v>0</v>
      </c>
      <c r="O2768" s="60">
        <v>12</v>
      </c>
      <c r="P2768" s="494">
        <v>4</v>
      </c>
      <c r="Q2768" s="182">
        <f t="shared" si="3382"/>
        <v>4.0697674418604654E-2</v>
      </c>
      <c r="R2768" s="182">
        <f t="shared" si="3383"/>
        <v>0</v>
      </c>
      <c r="S2768" s="183">
        <f t="shared" si="3371"/>
        <v>2.3255813953488372E-2</v>
      </c>
      <c r="T2768" s="183">
        <f t="shared" si="3372"/>
        <v>6.9767441860465115E-2</v>
      </c>
      <c r="U2768" s="184">
        <f t="shared" si="3373"/>
        <v>0.13372093023255816</v>
      </c>
      <c r="V2768" s="386"/>
    </row>
    <row r="2769" spans="2:22" ht="15.75" hidden="1" x14ac:dyDescent="0.2">
      <c r="B2769" s="711">
        <v>46257</v>
      </c>
      <c r="C2769" s="711" t="s">
        <v>106</v>
      </c>
      <c r="D2769" s="10" t="s">
        <v>192</v>
      </c>
      <c r="E2769" s="711">
        <v>46256</v>
      </c>
      <c r="G2769" s="775" t="s">
        <v>19</v>
      </c>
      <c r="H2769" s="776"/>
      <c r="I2769" s="777"/>
      <c r="J2769" s="190">
        <f t="shared" ref="J2769:P2769" si="3384">SUM(J2762:J2768)</f>
        <v>1143</v>
      </c>
      <c r="K2769" s="190">
        <f t="shared" si="3384"/>
        <v>268</v>
      </c>
      <c r="L2769" s="190">
        <f t="shared" si="3384"/>
        <v>135</v>
      </c>
      <c r="M2769" s="190">
        <f t="shared" si="3384"/>
        <v>400</v>
      </c>
      <c r="N2769" s="190">
        <f t="shared" si="3384"/>
        <v>39</v>
      </c>
      <c r="O2769" s="190">
        <f t="shared" si="3384"/>
        <v>80</v>
      </c>
      <c r="P2769" s="190">
        <f t="shared" si="3384"/>
        <v>48</v>
      </c>
      <c r="Q2769" s="481">
        <f>(K2769+L2769)/J2769</f>
        <v>0.35258092738407698</v>
      </c>
      <c r="R2769" s="481">
        <f>N2769/J2769</f>
        <v>3.4120734908136482E-2</v>
      </c>
      <c r="S2769" s="482">
        <f t="shared" si="3371"/>
        <v>4.1994750656167978E-2</v>
      </c>
      <c r="T2769" s="482">
        <f t="shared" si="3372"/>
        <v>6.9991251093613302E-2</v>
      </c>
      <c r="U2769" s="483">
        <f t="shared" si="3373"/>
        <v>0.49868766404199477</v>
      </c>
      <c r="V2769" s="479"/>
    </row>
    <row r="2770" spans="2:22" ht="15.75" hidden="1" x14ac:dyDescent="0.2">
      <c r="B2770" s="711">
        <v>46258</v>
      </c>
      <c r="C2770" s="711" t="s">
        <v>106</v>
      </c>
      <c r="D2770" s="711" t="s">
        <v>13</v>
      </c>
      <c r="E2770" s="711">
        <v>46259</v>
      </c>
      <c r="G2770" s="770">
        <v>46258</v>
      </c>
      <c r="H2770" s="497" t="s">
        <v>16</v>
      </c>
      <c r="I2770" s="60" t="s">
        <v>106</v>
      </c>
      <c r="J2770" s="60">
        <v>238</v>
      </c>
      <c r="K2770" s="60">
        <f>+J2770-V2770</f>
        <v>195</v>
      </c>
      <c r="L2770" s="60">
        <v>18</v>
      </c>
      <c r="M2770" s="60">
        <v>0</v>
      </c>
      <c r="N2770" s="494">
        <v>0</v>
      </c>
      <c r="O2770" s="60">
        <v>20</v>
      </c>
      <c r="P2770" s="494">
        <v>5</v>
      </c>
      <c r="Q2770" s="182">
        <f t="shared" ref="Q2770:Q2773" si="3385">(K2770+L2770)/J2770</f>
        <v>0.89495798319327735</v>
      </c>
      <c r="R2770" s="182">
        <f t="shared" ref="R2770:R2773" si="3386">N2770/J2770</f>
        <v>0</v>
      </c>
      <c r="S2770" s="183">
        <f t="shared" ref="S2770:S2785" si="3387">P2770/J2770</f>
        <v>2.100840336134454E-2</v>
      </c>
      <c r="T2770" s="183">
        <f t="shared" ref="T2770:T2785" si="3388">O2770/J2770</f>
        <v>8.4033613445378158E-2</v>
      </c>
      <c r="U2770" s="184">
        <f t="shared" ref="U2770:U2785" si="3389">S2770+R2770+Q2770+T2770</f>
        <v>1</v>
      </c>
      <c r="V2770" s="386">
        <f>SUM(L2770:P2770)</f>
        <v>43</v>
      </c>
    </row>
    <row r="2771" spans="2:22" ht="15.75" hidden="1" x14ac:dyDescent="0.2">
      <c r="B2771" s="711">
        <v>46258</v>
      </c>
      <c r="C2771" s="711" t="s">
        <v>106</v>
      </c>
      <c r="D2771" s="711" t="s">
        <v>13</v>
      </c>
      <c r="E2771" s="711">
        <v>46259</v>
      </c>
      <c r="G2771" s="771"/>
      <c r="H2771" s="497" t="s">
        <v>17</v>
      </c>
      <c r="I2771" s="60" t="s">
        <v>105</v>
      </c>
      <c r="J2771" s="60">
        <v>194</v>
      </c>
      <c r="K2771" s="60">
        <f t="shared" ref="K2771:K2773" si="3390">+J2771-V2771</f>
        <v>139</v>
      </c>
      <c r="L2771" s="60">
        <v>18</v>
      </c>
      <c r="M2771" s="60">
        <v>0</v>
      </c>
      <c r="N2771" s="494">
        <v>0</v>
      </c>
      <c r="O2771" s="60">
        <v>27</v>
      </c>
      <c r="P2771" s="494">
        <v>10</v>
      </c>
      <c r="Q2771" s="182">
        <f t="shared" si="3385"/>
        <v>0.80927835051546393</v>
      </c>
      <c r="R2771" s="182">
        <f t="shared" si="3386"/>
        <v>0</v>
      </c>
      <c r="S2771" s="183">
        <f t="shared" si="3387"/>
        <v>5.1546391752577317E-2</v>
      </c>
      <c r="T2771" s="183">
        <f t="shared" si="3388"/>
        <v>0.13917525773195877</v>
      </c>
      <c r="U2771" s="184">
        <f t="shared" si="3389"/>
        <v>1</v>
      </c>
      <c r="V2771" s="386">
        <f t="shared" ref="V2771:V2773" si="3391">SUM(L2771:P2771)</f>
        <v>55</v>
      </c>
    </row>
    <row r="2772" spans="2:22" ht="15.75" hidden="1" x14ac:dyDescent="0.2">
      <c r="B2772" s="711">
        <v>46258</v>
      </c>
      <c r="C2772" s="711" t="s">
        <v>106</v>
      </c>
      <c r="D2772" s="711" t="s">
        <v>13</v>
      </c>
      <c r="E2772" s="711">
        <v>46259</v>
      </c>
      <c r="G2772" s="771"/>
      <c r="H2772" s="497" t="s">
        <v>84</v>
      </c>
      <c r="I2772" s="60" t="s">
        <v>106</v>
      </c>
      <c r="J2772" s="60">
        <v>254</v>
      </c>
      <c r="K2772" s="60">
        <f t="shared" si="3390"/>
        <v>179</v>
      </c>
      <c r="L2772" s="60">
        <v>0</v>
      </c>
      <c r="M2772" s="60">
        <v>27</v>
      </c>
      <c r="N2772" s="494">
        <v>33</v>
      </c>
      <c r="O2772" s="60">
        <v>10</v>
      </c>
      <c r="P2772" s="494">
        <v>5</v>
      </c>
      <c r="Q2772" s="182">
        <f t="shared" si="3385"/>
        <v>0.70472440944881887</v>
      </c>
      <c r="R2772" s="182">
        <f t="shared" si="3386"/>
        <v>0.12992125984251968</v>
      </c>
      <c r="S2772" s="183">
        <f t="shared" si="3387"/>
        <v>1.968503937007874E-2</v>
      </c>
      <c r="T2772" s="183">
        <f t="shared" si="3388"/>
        <v>3.937007874015748E-2</v>
      </c>
      <c r="U2772" s="184">
        <f t="shared" si="3389"/>
        <v>0.89370078740157477</v>
      </c>
      <c r="V2772" s="386">
        <f t="shared" si="3391"/>
        <v>75</v>
      </c>
    </row>
    <row r="2773" spans="2:22" ht="15.75" hidden="1" x14ac:dyDescent="0.2">
      <c r="B2773" s="711">
        <v>46258</v>
      </c>
      <c r="C2773" s="711" t="s">
        <v>106</v>
      </c>
      <c r="D2773" s="711" t="s">
        <v>13</v>
      </c>
      <c r="E2773" s="711">
        <v>46259</v>
      </c>
      <c r="G2773" s="772"/>
      <c r="H2773" s="497" t="s">
        <v>14</v>
      </c>
      <c r="I2773" s="60" t="s">
        <v>106</v>
      </c>
      <c r="J2773" s="60">
        <v>172</v>
      </c>
      <c r="K2773" s="60">
        <f t="shared" si="3390"/>
        <v>70</v>
      </c>
      <c r="L2773" s="60">
        <v>25</v>
      </c>
      <c r="M2773" s="60">
        <v>18</v>
      </c>
      <c r="N2773" s="494">
        <v>43</v>
      </c>
      <c r="O2773" s="60">
        <v>12</v>
      </c>
      <c r="P2773" s="494">
        <v>4</v>
      </c>
      <c r="Q2773" s="182">
        <f t="shared" si="3385"/>
        <v>0.55232558139534882</v>
      </c>
      <c r="R2773" s="182">
        <f t="shared" si="3386"/>
        <v>0.25</v>
      </c>
      <c r="S2773" s="183">
        <f t="shared" si="3387"/>
        <v>2.3255813953488372E-2</v>
      </c>
      <c r="T2773" s="183">
        <f t="shared" si="3388"/>
        <v>6.9767441860465115E-2</v>
      </c>
      <c r="U2773" s="184">
        <f t="shared" si="3389"/>
        <v>0.89534883720930225</v>
      </c>
      <c r="V2773" s="386">
        <f t="shared" si="3391"/>
        <v>102</v>
      </c>
    </row>
    <row r="2774" spans="2:22" ht="15.75" hidden="1" x14ac:dyDescent="0.2">
      <c r="B2774" s="711">
        <v>46258</v>
      </c>
      <c r="C2774" s="711" t="s">
        <v>106</v>
      </c>
      <c r="D2774" s="711" t="s">
        <v>13</v>
      </c>
      <c r="E2774" s="711">
        <v>46259</v>
      </c>
      <c r="G2774" s="770">
        <v>46259</v>
      </c>
      <c r="H2774" s="497" t="s">
        <v>16</v>
      </c>
      <c r="I2774" s="60" t="s">
        <v>106</v>
      </c>
      <c r="J2774" s="60">
        <v>246</v>
      </c>
      <c r="K2774" s="60">
        <v>0</v>
      </c>
      <c r="L2774" s="60">
        <v>0</v>
      </c>
      <c r="M2774" s="60">
        <v>246</v>
      </c>
      <c r="N2774" s="494">
        <v>0</v>
      </c>
      <c r="O2774" s="60">
        <v>20</v>
      </c>
      <c r="P2774" s="494">
        <v>7</v>
      </c>
      <c r="Q2774" s="182">
        <f t="shared" ref="Q2774" si="3392">(K2774+L2774)/J2774</f>
        <v>0</v>
      </c>
      <c r="R2774" s="182">
        <f t="shared" ref="R2774" si="3393">N2774/J2774</f>
        <v>0</v>
      </c>
      <c r="S2774" s="183">
        <f t="shared" ref="S2774" si="3394">P2774/J2774</f>
        <v>2.8455284552845527E-2</v>
      </c>
      <c r="T2774" s="183">
        <f t="shared" ref="T2774" si="3395">O2774/J2774</f>
        <v>8.1300813008130079E-2</v>
      </c>
      <c r="U2774" s="184">
        <f t="shared" ref="U2774" si="3396">S2774+R2774+Q2774+T2774</f>
        <v>0.10975609756097561</v>
      </c>
      <c r="V2774" s="386"/>
    </row>
    <row r="2775" spans="2:22" ht="15.75" hidden="1" x14ac:dyDescent="0.2">
      <c r="B2775" s="711">
        <v>46258</v>
      </c>
      <c r="C2775" s="711" t="s">
        <v>106</v>
      </c>
      <c r="D2775" s="711" t="s">
        <v>13</v>
      </c>
      <c r="E2775" s="711">
        <v>46259</v>
      </c>
      <c r="G2775" s="772"/>
      <c r="H2775" s="497" t="s">
        <v>118</v>
      </c>
      <c r="I2775" s="60" t="s">
        <v>106</v>
      </c>
      <c r="J2775" s="60">
        <v>188</v>
      </c>
      <c r="K2775" s="60">
        <v>0</v>
      </c>
      <c r="L2775" s="60">
        <v>0</v>
      </c>
      <c r="M2775" s="60">
        <v>166</v>
      </c>
      <c r="N2775" s="494">
        <v>116</v>
      </c>
      <c r="O2775" s="60">
        <v>11</v>
      </c>
      <c r="P2775" s="494">
        <v>11</v>
      </c>
      <c r="Q2775" s="182">
        <f t="shared" ref="Q2775" si="3397">(K2775+L2775)/J2775</f>
        <v>0</v>
      </c>
      <c r="R2775" s="182">
        <f t="shared" ref="R2775" si="3398">N2775/J2775</f>
        <v>0.61702127659574468</v>
      </c>
      <c r="S2775" s="183">
        <f t="shared" ref="S2775" si="3399">P2775/J2775</f>
        <v>5.8510638297872342E-2</v>
      </c>
      <c r="T2775" s="183">
        <f t="shared" ref="T2775" si="3400">O2775/J2775</f>
        <v>5.8510638297872342E-2</v>
      </c>
      <c r="U2775" s="184">
        <f t="shared" ref="U2775" si="3401">S2775+R2775+Q2775+T2775</f>
        <v>0.73404255319148937</v>
      </c>
      <c r="V2775" s="386"/>
    </row>
    <row r="2776" spans="2:22" ht="15.75" hidden="1" x14ac:dyDescent="0.2">
      <c r="B2776" s="711">
        <v>46258</v>
      </c>
      <c r="C2776" s="711" t="s">
        <v>106</v>
      </c>
      <c r="D2776" s="711" t="s">
        <v>13</v>
      </c>
      <c r="E2776" s="711">
        <v>46259</v>
      </c>
      <c r="G2776" s="775" t="s">
        <v>19</v>
      </c>
      <c r="H2776" s="776"/>
      <c r="I2776" s="777"/>
      <c r="J2776" s="190">
        <f t="shared" ref="J2776:P2776" si="3402">SUM(J2770:J2773)</f>
        <v>858</v>
      </c>
      <c r="K2776" s="190">
        <f t="shared" si="3402"/>
        <v>583</v>
      </c>
      <c r="L2776" s="190">
        <f t="shared" si="3402"/>
        <v>61</v>
      </c>
      <c r="M2776" s="190">
        <f t="shared" si="3402"/>
        <v>45</v>
      </c>
      <c r="N2776" s="190">
        <f t="shared" si="3402"/>
        <v>76</v>
      </c>
      <c r="O2776" s="190">
        <f t="shared" si="3402"/>
        <v>69</v>
      </c>
      <c r="P2776" s="190">
        <f t="shared" si="3402"/>
        <v>24</v>
      </c>
      <c r="Q2776" s="481">
        <f>(K2776+L2776)/J2776</f>
        <v>0.75058275058275059</v>
      </c>
      <c r="R2776" s="481">
        <f>N2776/J2776</f>
        <v>8.8578088578088576E-2</v>
      </c>
      <c r="S2776" s="482">
        <f t="shared" si="3387"/>
        <v>2.7972027972027972E-2</v>
      </c>
      <c r="T2776" s="482">
        <f t="shared" si="3388"/>
        <v>8.0419580419580416E-2</v>
      </c>
      <c r="U2776" s="483">
        <f t="shared" si="3389"/>
        <v>0.9475524475524475</v>
      </c>
      <c r="V2776" s="479"/>
    </row>
    <row r="2777" spans="2:22" ht="15.75" hidden="1" x14ac:dyDescent="0.2">
      <c r="B2777" s="711">
        <v>46258</v>
      </c>
      <c r="C2777" s="711" t="s">
        <v>106</v>
      </c>
      <c r="D2777" s="10" t="s">
        <v>192</v>
      </c>
      <c r="E2777" s="711">
        <v>46258</v>
      </c>
      <c r="G2777" s="778">
        <v>46258</v>
      </c>
      <c r="H2777" s="497" t="s">
        <v>16</v>
      </c>
      <c r="I2777" s="60" t="s">
        <v>100</v>
      </c>
      <c r="J2777" s="60">
        <f>SUM(K2777:P2777)</f>
        <v>28</v>
      </c>
      <c r="K2777" s="60">
        <v>4</v>
      </c>
      <c r="L2777" s="60">
        <v>20</v>
      </c>
      <c r="M2777" s="60">
        <v>0</v>
      </c>
      <c r="N2777" s="494">
        <v>0</v>
      </c>
      <c r="O2777" s="60">
        <v>0</v>
      </c>
      <c r="P2777" s="494">
        <v>4</v>
      </c>
      <c r="Q2777" s="182">
        <f t="shared" ref="Q2777:Q2784" si="3403">(K2777+L2777)/J2777</f>
        <v>0.8571428571428571</v>
      </c>
      <c r="R2777" s="182">
        <f t="shared" ref="R2777:R2784" si="3404">N2777/J2777</f>
        <v>0</v>
      </c>
      <c r="S2777" s="183">
        <f t="shared" si="3387"/>
        <v>0.14285714285714285</v>
      </c>
      <c r="T2777" s="183">
        <f t="shared" si="3388"/>
        <v>0</v>
      </c>
      <c r="U2777" s="184">
        <f t="shared" si="3389"/>
        <v>1</v>
      </c>
      <c r="V2777" s="386"/>
    </row>
    <row r="2778" spans="2:22" ht="15.75" hidden="1" x14ac:dyDescent="0.2">
      <c r="B2778" s="711">
        <v>46258</v>
      </c>
      <c r="C2778" s="711" t="s">
        <v>106</v>
      </c>
      <c r="D2778" s="10" t="s">
        <v>192</v>
      </c>
      <c r="E2778" s="711">
        <v>46258</v>
      </c>
      <c r="G2778" s="786"/>
      <c r="H2778" s="497" t="s">
        <v>14</v>
      </c>
      <c r="I2778" s="60" t="s">
        <v>18</v>
      </c>
      <c r="J2778" s="60">
        <f>SUM(K2778:P2778)</f>
        <v>77</v>
      </c>
      <c r="K2778" s="60">
        <v>41</v>
      </c>
      <c r="L2778" s="60">
        <v>30</v>
      </c>
      <c r="M2778" s="60">
        <v>0</v>
      </c>
      <c r="N2778" s="494">
        <v>0</v>
      </c>
      <c r="O2778" s="60">
        <v>0</v>
      </c>
      <c r="P2778" s="494">
        <v>6</v>
      </c>
      <c r="Q2778" s="182">
        <f t="shared" ref="Q2778" si="3405">(K2778+L2778)/J2778</f>
        <v>0.92207792207792205</v>
      </c>
      <c r="R2778" s="182">
        <f t="shared" ref="R2778" si="3406">N2778/J2778</f>
        <v>0</v>
      </c>
      <c r="S2778" s="183">
        <f t="shared" ref="S2778" si="3407">P2778/J2778</f>
        <v>7.792207792207792E-2</v>
      </c>
      <c r="T2778" s="183">
        <f t="shared" ref="T2778" si="3408">O2778/J2778</f>
        <v>0</v>
      </c>
      <c r="U2778" s="184">
        <f t="shared" ref="U2778" si="3409">S2778+R2778+Q2778+T2778</f>
        <v>1</v>
      </c>
      <c r="V2778" s="386"/>
    </row>
    <row r="2779" spans="2:22" ht="15.75" hidden="1" x14ac:dyDescent="0.2">
      <c r="B2779" s="711">
        <v>46258</v>
      </c>
      <c r="C2779" s="711" t="s">
        <v>106</v>
      </c>
      <c r="D2779" s="10" t="s">
        <v>192</v>
      </c>
      <c r="E2779" s="711">
        <v>46258</v>
      </c>
      <c r="G2779" s="779"/>
      <c r="H2779" s="497" t="s">
        <v>180</v>
      </c>
      <c r="I2779" s="60" t="s">
        <v>105</v>
      </c>
      <c r="J2779" s="60">
        <f>SUM(K2779:P2779)</f>
        <v>43</v>
      </c>
      <c r="K2779" s="60">
        <v>41</v>
      </c>
      <c r="L2779" s="60">
        <v>1</v>
      </c>
      <c r="M2779" s="60">
        <v>0</v>
      </c>
      <c r="N2779" s="494">
        <v>0</v>
      </c>
      <c r="O2779" s="60">
        <v>0</v>
      </c>
      <c r="P2779" s="494">
        <v>1</v>
      </c>
      <c r="Q2779" s="182">
        <f t="shared" si="3403"/>
        <v>0.97674418604651159</v>
      </c>
      <c r="R2779" s="182">
        <f t="shared" si="3404"/>
        <v>0</v>
      </c>
      <c r="S2779" s="183">
        <f t="shared" si="3387"/>
        <v>2.3255813953488372E-2</v>
      </c>
      <c r="T2779" s="183">
        <f t="shared" si="3388"/>
        <v>0</v>
      </c>
      <c r="U2779" s="184">
        <f t="shared" si="3389"/>
        <v>1</v>
      </c>
      <c r="V2779" s="386"/>
    </row>
    <row r="2780" spans="2:22" ht="15.75" hidden="1" x14ac:dyDescent="0.2">
      <c r="B2780" s="711">
        <v>46258</v>
      </c>
      <c r="C2780" s="711" t="s">
        <v>106</v>
      </c>
      <c r="D2780" s="10" t="s">
        <v>192</v>
      </c>
      <c r="E2780" s="711">
        <v>46259</v>
      </c>
      <c r="G2780" s="770">
        <v>46259</v>
      </c>
      <c r="H2780" s="497" t="s">
        <v>16</v>
      </c>
      <c r="I2780" s="60" t="s">
        <v>112</v>
      </c>
      <c r="J2780" s="60">
        <v>246</v>
      </c>
      <c r="K2780" s="60">
        <v>115</v>
      </c>
      <c r="L2780" s="60">
        <v>101</v>
      </c>
      <c r="M2780" s="60">
        <v>4</v>
      </c>
      <c r="N2780" s="494">
        <v>0</v>
      </c>
      <c r="O2780" s="60">
        <v>20</v>
      </c>
      <c r="P2780" s="494">
        <v>7</v>
      </c>
      <c r="Q2780" s="182">
        <f t="shared" si="3403"/>
        <v>0.87804878048780488</v>
      </c>
      <c r="R2780" s="182">
        <f t="shared" si="3404"/>
        <v>0</v>
      </c>
      <c r="S2780" s="183">
        <f t="shared" si="3387"/>
        <v>2.8455284552845527E-2</v>
      </c>
      <c r="T2780" s="183">
        <f t="shared" si="3388"/>
        <v>8.1300813008130079E-2</v>
      </c>
      <c r="U2780" s="184">
        <f t="shared" si="3389"/>
        <v>0.98780487804878048</v>
      </c>
      <c r="V2780" s="386"/>
    </row>
    <row r="2781" spans="2:22" ht="15.75" hidden="1" x14ac:dyDescent="0.2">
      <c r="B2781" s="711">
        <v>46258</v>
      </c>
      <c r="C2781" s="711" t="s">
        <v>106</v>
      </c>
      <c r="D2781" s="10" t="s">
        <v>192</v>
      </c>
      <c r="E2781" s="711">
        <v>46259</v>
      </c>
      <c r="G2781" s="771"/>
      <c r="H2781" s="497" t="s">
        <v>17</v>
      </c>
      <c r="I2781" s="60" t="s">
        <v>106</v>
      </c>
      <c r="J2781" s="60">
        <v>107</v>
      </c>
      <c r="K2781" s="60">
        <v>10</v>
      </c>
      <c r="L2781" s="60">
        <v>1</v>
      </c>
      <c r="M2781" s="60">
        <v>4</v>
      </c>
      <c r="N2781" s="494">
        <v>74</v>
      </c>
      <c r="O2781" s="60">
        <v>18</v>
      </c>
      <c r="P2781" s="494">
        <v>0</v>
      </c>
      <c r="Q2781" s="182">
        <f t="shared" si="3403"/>
        <v>0.10280373831775701</v>
      </c>
      <c r="R2781" s="182">
        <f t="shared" si="3404"/>
        <v>0.69158878504672894</v>
      </c>
      <c r="S2781" s="183">
        <f t="shared" si="3387"/>
        <v>0</v>
      </c>
      <c r="T2781" s="183">
        <f t="shared" si="3388"/>
        <v>0.16822429906542055</v>
      </c>
      <c r="U2781" s="184">
        <f t="shared" si="3389"/>
        <v>0.96261682242990654</v>
      </c>
      <c r="V2781" s="386"/>
    </row>
    <row r="2782" spans="2:22" ht="15.75" hidden="1" x14ac:dyDescent="0.2">
      <c r="B2782" s="711">
        <v>46258</v>
      </c>
      <c r="C2782" s="711" t="s">
        <v>106</v>
      </c>
      <c r="D2782" s="10" t="s">
        <v>192</v>
      </c>
      <c r="E2782" s="711">
        <v>46259</v>
      </c>
      <c r="G2782" s="771"/>
      <c r="H2782" s="497" t="s">
        <v>118</v>
      </c>
      <c r="I2782" s="60" t="s">
        <v>106</v>
      </c>
      <c r="J2782" s="60">
        <v>174</v>
      </c>
      <c r="K2782" s="60">
        <v>123</v>
      </c>
      <c r="L2782" s="60">
        <v>1</v>
      </c>
      <c r="M2782" s="60">
        <v>0</v>
      </c>
      <c r="N2782" s="494">
        <v>23</v>
      </c>
      <c r="O2782" s="60">
        <v>16</v>
      </c>
      <c r="P2782" s="494">
        <v>11</v>
      </c>
      <c r="Q2782" s="182">
        <f t="shared" si="3403"/>
        <v>0.71264367816091956</v>
      </c>
      <c r="R2782" s="182">
        <f t="shared" si="3404"/>
        <v>0.13218390804597702</v>
      </c>
      <c r="S2782" s="183">
        <f t="shared" si="3387"/>
        <v>6.3218390804597707E-2</v>
      </c>
      <c r="T2782" s="183">
        <f t="shared" si="3388"/>
        <v>9.1954022988505746E-2</v>
      </c>
      <c r="U2782" s="184">
        <f t="shared" si="3389"/>
        <v>1</v>
      </c>
      <c r="V2782" s="386"/>
    </row>
    <row r="2783" spans="2:22" ht="15.75" hidden="1" x14ac:dyDescent="0.2">
      <c r="B2783" s="711">
        <v>46258</v>
      </c>
      <c r="C2783" s="711" t="s">
        <v>106</v>
      </c>
      <c r="D2783" s="10" t="s">
        <v>192</v>
      </c>
      <c r="E2783" s="711">
        <v>46259</v>
      </c>
      <c r="G2783" s="771"/>
      <c r="H2783" s="497" t="s">
        <v>84</v>
      </c>
      <c r="I2783" s="60" t="s">
        <v>106</v>
      </c>
      <c r="J2783" s="60">
        <v>75</v>
      </c>
      <c r="K2783" s="60">
        <v>0</v>
      </c>
      <c r="L2783" s="60">
        <v>0</v>
      </c>
      <c r="M2783" s="60">
        <v>10</v>
      </c>
      <c r="N2783" s="494">
        <v>23</v>
      </c>
      <c r="O2783" s="60">
        <v>10</v>
      </c>
      <c r="P2783" s="494">
        <v>5</v>
      </c>
      <c r="Q2783" s="182">
        <f t="shared" ref="Q2783" si="3410">(K2783+L2783)/J2783</f>
        <v>0</v>
      </c>
      <c r="R2783" s="182">
        <f t="shared" ref="R2783" si="3411">N2783/J2783</f>
        <v>0.30666666666666664</v>
      </c>
      <c r="S2783" s="183">
        <f t="shared" ref="S2783" si="3412">P2783/J2783</f>
        <v>6.6666666666666666E-2</v>
      </c>
      <c r="T2783" s="183">
        <f t="shared" ref="T2783" si="3413">O2783/J2783</f>
        <v>0.13333333333333333</v>
      </c>
      <c r="U2783" s="184">
        <f t="shared" ref="U2783" si="3414">S2783+R2783+Q2783+T2783</f>
        <v>0.5066666666666666</v>
      </c>
      <c r="V2783" s="386"/>
    </row>
    <row r="2784" spans="2:22" ht="15.75" hidden="1" x14ac:dyDescent="0.2">
      <c r="B2784" s="711">
        <v>46258</v>
      </c>
      <c r="C2784" s="711" t="s">
        <v>106</v>
      </c>
      <c r="D2784" s="10" t="s">
        <v>192</v>
      </c>
      <c r="E2784" s="711">
        <v>46259</v>
      </c>
      <c r="G2784" s="772"/>
      <c r="H2784" s="497" t="s">
        <v>14</v>
      </c>
      <c r="I2784" s="60" t="s">
        <v>105</v>
      </c>
      <c r="J2784" s="60">
        <v>165</v>
      </c>
      <c r="K2784" s="60">
        <v>0</v>
      </c>
      <c r="L2784" s="60">
        <v>0</v>
      </c>
      <c r="M2784" s="60">
        <v>139</v>
      </c>
      <c r="N2784" s="494">
        <v>10</v>
      </c>
      <c r="O2784" s="60">
        <v>11</v>
      </c>
      <c r="P2784" s="494">
        <v>0</v>
      </c>
      <c r="Q2784" s="182">
        <f t="shared" si="3403"/>
        <v>0</v>
      </c>
      <c r="R2784" s="182">
        <f t="shared" si="3404"/>
        <v>6.0606060606060608E-2</v>
      </c>
      <c r="S2784" s="183">
        <f t="shared" si="3387"/>
        <v>0</v>
      </c>
      <c r="T2784" s="183">
        <f t="shared" si="3388"/>
        <v>6.6666666666666666E-2</v>
      </c>
      <c r="U2784" s="184">
        <f t="shared" si="3389"/>
        <v>0.12727272727272726</v>
      </c>
      <c r="V2784" s="386"/>
    </row>
    <row r="2785" spans="2:22" ht="15.75" hidden="1" x14ac:dyDescent="0.2">
      <c r="B2785" s="711">
        <v>46258</v>
      </c>
      <c r="C2785" s="711" t="s">
        <v>106</v>
      </c>
      <c r="D2785" s="10" t="s">
        <v>192</v>
      </c>
      <c r="E2785" s="711">
        <v>46259</v>
      </c>
      <c r="G2785" s="775" t="s">
        <v>19</v>
      </c>
      <c r="H2785" s="776"/>
      <c r="I2785" s="777"/>
      <c r="J2785" s="190">
        <f t="shared" ref="J2785:P2785" si="3415">SUM(J2777:J2784)</f>
        <v>915</v>
      </c>
      <c r="K2785" s="190">
        <f t="shared" si="3415"/>
        <v>334</v>
      </c>
      <c r="L2785" s="190">
        <f t="shared" si="3415"/>
        <v>154</v>
      </c>
      <c r="M2785" s="190">
        <f t="shared" si="3415"/>
        <v>157</v>
      </c>
      <c r="N2785" s="190">
        <f t="shared" si="3415"/>
        <v>130</v>
      </c>
      <c r="O2785" s="190">
        <f t="shared" si="3415"/>
        <v>75</v>
      </c>
      <c r="P2785" s="190">
        <f t="shared" si="3415"/>
        <v>34</v>
      </c>
      <c r="Q2785" s="481">
        <f>(K2785+L2785)/J2785</f>
        <v>0.53333333333333333</v>
      </c>
      <c r="R2785" s="481">
        <f>N2785/J2785</f>
        <v>0.14207650273224043</v>
      </c>
      <c r="S2785" s="482">
        <f t="shared" si="3387"/>
        <v>3.7158469945355189E-2</v>
      </c>
      <c r="T2785" s="482">
        <f t="shared" si="3388"/>
        <v>8.1967213114754092E-2</v>
      </c>
      <c r="U2785" s="483">
        <f t="shared" si="3389"/>
        <v>0.79453551912568299</v>
      </c>
      <c r="V2785" s="479"/>
    </row>
    <row r="2786" spans="2:22" ht="15.75" hidden="1" x14ac:dyDescent="0.2">
      <c r="B2786" s="711">
        <v>46259</v>
      </c>
      <c r="C2786" s="711" t="s">
        <v>106</v>
      </c>
      <c r="D2786" s="10" t="s">
        <v>13</v>
      </c>
      <c r="E2786" s="711">
        <v>46259</v>
      </c>
      <c r="G2786" s="778">
        <v>46259</v>
      </c>
      <c r="H2786" s="497" t="s">
        <v>16</v>
      </c>
      <c r="I2786" s="60" t="s">
        <v>112</v>
      </c>
      <c r="J2786" s="60">
        <v>246</v>
      </c>
      <c r="K2786" s="60">
        <f>246-148</f>
        <v>98</v>
      </c>
      <c r="L2786" s="60">
        <v>120</v>
      </c>
      <c r="M2786" s="60">
        <v>5</v>
      </c>
      <c r="N2786" s="494">
        <v>0</v>
      </c>
      <c r="O2786" s="60">
        <v>20</v>
      </c>
      <c r="P2786" s="494">
        <v>3</v>
      </c>
      <c r="Q2786" s="182">
        <f t="shared" ref="Q2786:Q2790" si="3416">(K2786+L2786)/J2786</f>
        <v>0.88617886178861793</v>
      </c>
      <c r="R2786" s="182">
        <f t="shared" ref="R2786:R2790" si="3417">N2786/J2786</f>
        <v>0</v>
      </c>
      <c r="S2786" s="183">
        <f t="shared" ref="S2786:S2790" si="3418">P2786/J2786</f>
        <v>1.2195121951219513E-2</v>
      </c>
      <c r="T2786" s="183">
        <f t="shared" ref="T2786:T2790" si="3419">O2786/J2786</f>
        <v>8.1300813008130079E-2</v>
      </c>
      <c r="U2786" s="184">
        <f t="shared" ref="U2786:U2790" si="3420">S2786+R2786+Q2786+T2786</f>
        <v>0.97967479674796754</v>
      </c>
      <c r="V2786" s="386"/>
    </row>
    <row r="2787" spans="2:22" ht="15.75" hidden="1" x14ac:dyDescent="0.2">
      <c r="B2787" s="711">
        <v>46259</v>
      </c>
      <c r="C2787" s="711" t="s">
        <v>106</v>
      </c>
      <c r="D2787" s="10" t="s">
        <v>13</v>
      </c>
      <c r="E2787" s="711">
        <v>46259</v>
      </c>
      <c r="G2787" s="786"/>
      <c r="H2787" s="497" t="s">
        <v>17</v>
      </c>
      <c r="I2787" s="60" t="s">
        <v>106</v>
      </c>
      <c r="J2787" s="60">
        <v>140</v>
      </c>
      <c r="K2787" s="60">
        <v>84</v>
      </c>
      <c r="L2787" s="60">
        <v>34</v>
      </c>
      <c r="M2787" s="60">
        <v>0</v>
      </c>
      <c r="N2787" s="494">
        <v>0</v>
      </c>
      <c r="O2787" s="60">
        <v>20</v>
      </c>
      <c r="P2787" s="494">
        <v>2</v>
      </c>
      <c r="Q2787" s="182">
        <f t="shared" si="3416"/>
        <v>0.84285714285714286</v>
      </c>
      <c r="R2787" s="182">
        <f t="shared" si="3417"/>
        <v>0</v>
      </c>
      <c r="S2787" s="183">
        <f t="shared" si="3418"/>
        <v>1.4285714285714285E-2</v>
      </c>
      <c r="T2787" s="183">
        <f t="shared" si="3419"/>
        <v>0.14285714285714285</v>
      </c>
      <c r="U2787" s="184">
        <f t="shared" si="3420"/>
        <v>1</v>
      </c>
      <c r="V2787" s="386"/>
    </row>
    <row r="2788" spans="2:22" ht="15.75" hidden="1" x14ac:dyDescent="0.2">
      <c r="B2788" s="711">
        <v>46259</v>
      </c>
      <c r="C2788" s="711" t="s">
        <v>106</v>
      </c>
      <c r="D2788" s="10" t="s">
        <v>13</v>
      </c>
      <c r="E2788" s="711">
        <v>46259</v>
      </c>
      <c r="G2788" s="786"/>
      <c r="H2788" s="497" t="s">
        <v>118</v>
      </c>
      <c r="I2788" s="60" t="s">
        <v>106</v>
      </c>
      <c r="J2788" s="60">
        <f>174+155</f>
        <v>329</v>
      </c>
      <c r="K2788" s="60">
        <v>295</v>
      </c>
      <c r="L2788" s="60">
        <v>12</v>
      </c>
      <c r="M2788" s="60">
        <v>0</v>
      </c>
      <c r="N2788" s="494">
        <v>0</v>
      </c>
      <c r="O2788" s="60">
        <v>16</v>
      </c>
      <c r="P2788" s="494">
        <v>6</v>
      </c>
      <c r="Q2788" s="182">
        <f t="shared" si="3416"/>
        <v>0.93313069908814594</v>
      </c>
      <c r="R2788" s="182">
        <f t="shared" si="3417"/>
        <v>0</v>
      </c>
      <c r="S2788" s="183">
        <f t="shared" si="3418"/>
        <v>1.82370820668693E-2</v>
      </c>
      <c r="T2788" s="183">
        <f t="shared" si="3419"/>
        <v>4.8632218844984802E-2</v>
      </c>
      <c r="U2788" s="184">
        <f t="shared" si="3420"/>
        <v>1</v>
      </c>
      <c r="V2788" s="508" t="s">
        <v>202</v>
      </c>
    </row>
    <row r="2789" spans="2:22" ht="15.75" hidden="1" x14ac:dyDescent="0.2">
      <c r="B2789" s="711">
        <v>46259</v>
      </c>
      <c r="C2789" s="711" t="s">
        <v>106</v>
      </c>
      <c r="D2789" s="10" t="s">
        <v>13</v>
      </c>
      <c r="E2789" s="711">
        <v>46259</v>
      </c>
      <c r="G2789" s="786"/>
      <c r="H2789" s="497" t="s">
        <v>84</v>
      </c>
      <c r="I2789" s="60" t="s">
        <v>106</v>
      </c>
      <c r="J2789" s="60">
        <v>116</v>
      </c>
      <c r="K2789" s="60">
        <v>49</v>
      </c>
      <c r="L2789" s="60">
        <v>53</v>
      </c>
      <c r="M2789" s="60">
        <v>0</v>
      </c>
      <c r="N2789" s="494">
        <v>0</v>
      </c>
      <c r="O2789" s="60">
        <v>10</v>
      </c>
      <c r="P2789" s="494">
        <v>4</v>
      </c>
      <c r="Q2789" s="182">
        <f t="shared" si="3416"/>
        <v>0.87931034482758619</v>
      </c>
      <c r="R2789" s="182">
        <f t="shared" si="3417"/>
        <v>0</v>
      </c>
      <c r="S2789" s="183">
        <f t="shared" si="3418"/>
        <v>3.4482758620689655E-2</v>
      </c>
      <c r="T2789" s="183">
        <f t="shared" si="3419"/>
        <v>8.6206896551724144E-2</v>
      </c>
      <c r="U2789" s="184">
        <f t="shared" si="3420"/>
        <v>1</v>
      </c>
      <c r="V2789" s="386"/>
    </row>
    <row r="2790" spans="2:22" ht="15.75" hidden="1" x14ac:dyDescent="0.2">
      <c r="B2790" s="711">
        <v>46259</v>
      </c>
      <c r="C2790" s="711" t="s">
        <v>106</v>
      </c>
      <c r="D2790" s="10" t="s">
        <v>13</v>
      </c>
      <c r="E2790" s="711">
        <v>46259</v>
      </c>
      <c r="G2790" s="779"/>
      <c r="H2790" s="497" t="s">
        <v>14</v>
      </c>
      <c r="I2790" s="60" t="s">
        <v>105</v>
      </c>
      <c r="J2790" s="60">
        <v>165</v>
      </c>
      <c r="K2790" s="60">
        <f>165-72</f>
        <v>93</v>
      </c>
      <c r="L2790" s="60">
        <v>34</v>
      </c>
      <c r="M2790" s="60">
        <v>0</v>
      </c>
      <c r="N2790" s="494">
        <v>24</v>
      </c>
      <c r="O2790" s="60">
        <v>11</v>
      </c>
      <c r="P2790" s="494">
        <v>3</v>
      </c>
      <c r="Q2790" s="182">
        <f t="shared" si="3416"/>
        <v>0.76969696969696966</v>
      </c>
      <c r="R2790" s="182">
        <f t="shared" si="3417"/>
        <v>0.14545454545454545</v>
      </c>
      <c r="S2790" s="183">
        <f t="shared" si="3418"/>
        <v>1.8181818181818181E-2</v>
      </c>
      <c r="T2790" s="183">
        <f t="shared" si="3419"/>
        <v>6.6666666666666666E-2</v>
      </c>
      <c r="U2790" s="184">
        <f t="shared" si="3420"/>
        <v>1</v>
      </c>
      <c r="V2790" s="386"/>
    </row>
    <row r="2791" spans="2:22" ht="15.75" hidden="1" x14ac:dyDescent="0.2">
      <c r="B2791" s="711">
        <v>46259</v>
      </c>
      <c r="C2791" s="711" t="s">
        <v>106</v>
      </c>
      <c r="D2791" s="10" t="s">
        <v>13</v>
      </c>
      <c r="E2791" s="711">
        <v>46260</v>
      </c>
      <c r="G2791" s="694">
        <v>46260</v>
      </c>
      <c r="H2791" s="497" t="s">
        <v>16</v>
      </c>
      <c r="I2791" s="60" t="s">
        <v>112</v>
      </c>
      <c r="J2791" s="60">
        <v>233</v>
      </c>
      <c r="K2791" s="60">
        <v>14</v>
      </c>
      <c r="L2791" s="60">
        <v>10</v>
      </c>
      <c r="M2791" s="60">
        <v>97</v>
      </c>
      <c r="N2791" s="494">
        <v>83</v>
      </c>
      <c r="O2791" s="60">
        <v>20</v>
      </c>
      <c r="P2791" s="494">
        <v>9</v>
      </c>
      <c r="Q2791" s="182">
        <f t="shared" ref="Q2791" si="3421">(K2791+L2791)/J2791</f>
        <v>0.10300429184549356</v>
      </c>
      <c r="R2791" s="182">
        <f t="shared" ref="R2791" si="3422">N2791/J2791</f>
        <v>0.35622317596566522</v>
      </c>
      <c r="S2791" s="183">
        <f t="shared" ref="S2791:S2800" si="3423">P2791/J2791</f>
        <v>3.8626609442060089E-2</v>
      </c>
      <c r="T2791" s="183">
        <f t="shared" ref="T2791:T2800" si="3424">O2791/J2791</f>
        <v>8.5836909871244635E-2</v>
      </c>
      <c r="U2791" s="184">
        <f t="shared" ref="U2791:U2800" si="3425">S2791+R2791+Q2791+T2791</f>
        <v>0.58369098712446343</v>
      </c>
      <c r="V2791" s="386"/>
    </row>
    <row r="2792" spans="2:22" ht="15.75" hidden="1" x14ac:dyDescent="0.2">
      <c r="B2792" s="711">
        <v>46259</v>
      </c>
      <c r="C2792" s="711" t="s">
        <v>106</v>
      </c>
      <c r="D2792" s="10" t="s">
        <v>13</v>
      </c>
      <c r="E2792" s="711">
        <v>46260</v>
      </c>
      <c r="G2792" s="775" t="s">
        <v>19</v>
      </c>
      <c r="H2792" s="776"/>
      <c r="I2792" s="777"/>
      <c r="J2792" s="190">
        <f t="shared" ref="J2792:P2792" si="3426">SUM(J2784:J2791)</f>
        <v>2309</v>
      </c>
      <c r="K2792" s="190">
        <f t="shared" si="3426"/>
        <v>967</v>
      </c>
      <c r="L2792" s="190">
        <f t="shared" si="3426"/>
        <v>417</v>
      </c>
      <c r="M2792" s="190">
        <f t="shared" si="3426"/>
        <v>398</v>
      </c>
      <c r="N2792" s="190">
        <f t="shared" si="3426"/>
        <v>247</v>
      </c>
      <c r="O2792" s="190">
        <f t="shared" si="3426"/>
        <v>183</v>
      </c>
      <c r="P2792" s="190">
        <f t="shared" si="3426"/>
        <v>61</v>
      </c>
      <c r="Q2792" s="481">
        <f>(K2792+L2792)/J2792</f>
        <v>0.59939367691641399</v>
      </c>
      <c r="R2792" s="481">
        <f>N2792/J2792</f>
        <v>0.10697271546123863</v>
      </c>
      <c r="S2792" s="482">
        <f t="shared" si="3423"/>
        <v>2.6418362927674317E-2</v>
      </c>
      <c r="T2792" s="482">
        <f t="shared" si="3424"/>
        <v>7.9255088783022953E-2</v>
      </c>
      <c r="U2792" s="483">
        <f t="shared" si="3425"/>
        <v>0.81203984408834984</v>
      </c>
      <c r="V2792" s="479"/>
    </row>
    <row r="2793" spans="2:22" ht="15.75" hidden="1" x14ac:dyDescent="0.2">
      <c r="B2793" s="711">
        <v>46259</v>
      </c>
      <c r="C2793" s="711" t="s">
        <v>105</v>
      </c>
      <c r="D2793" s="10" t="s">
        <v>192</v>
      </c>
      <c r="E2793" s="711">
        <v>46259</v>
      </c>
      <c r="G2793" s="778" t="s">
        <v>203</v>
      </c>
      <c r="H2793" s="497" t="s">
        <v>16</v>
      </c>
      <c r="I2793" s="60" t="s">
        <v>112</v>
      </c>
      <c r="J2793" s="60">
        <f>SUM(K2793:P2793)</f>
        <v>38</v>
      </c>
      <c r="K2793" s="60">
        <f>127-104</f>
        <v>23</v>
      </c>
      <c r="L2793" s="60">
        <f>87-74</f>
        <v>13</v>
      </c>
      <c r="M2793" s="60">
        <v>0</v>
      </c>
      <c r="N2793" s="494">
        <v>0</v>
      </c>
      <c r="O2793" s="60">
        <v>0</v>
      </c>
      <c r="P2793" s="494">
        <v>2</v>
      </c>
      <c r="Q2793" s="182">
        <f t="shared" ref="Q2793:Q2799" si="3427">(K2793+L2793)/J2793</f>
        <v>0.94736842105263153</v>
      </c>
      <c r="R2793" s="182">
        <f t="shared" ref="R2793:R2799" si="3428">N2793/J2793</f>
        <v>0</v>
      </c>
      <c r="S2793" s="183">
        <f t="shared" si="3423"/>
        <v>5.2631578947368418E-2</v>
      </c>
      <c r="T2793" s="183">
        <f t="shared" si="3424"/>
        <v>0</v>
      </c>
      <c r="U2793" s="184">
        <f t="shared" si="3425"/>
        <v>1</v>
      </c>
      <c r="V2793" s="386"/>
    </row>
    <row r="2794" spans="2:22" ht="15.75" hidden="1" x14ac:dyDescent="0.2">
      <c r="B2794" s="711">
        <v>46259</v>
      </c>
      <c r="C2794" s="711" t="s">
        <v>105</v>
      </c>
      <c r="D2794" s="10" t="s">
        <v>192</v>
      </c>
      <c r="E2794" s="711">
        <v>46259</v>
      </c>
      <c r="G2794" s="786"/>
      <c r="H2794" s="497" t="s">
        <v>14</v>
      </c>
      <c r="I2794" s="60" t="s">
        <v>105</v>
      </c>
      <c r="J2794" s="60">
        <f>SUM(K2794:P2794)</f>
        <v>55</v>
      </c>
      <c r="K2794" s="60">
        <v>39</v>
      </c>
      <c r="L2794" s="60">
        <v>14</v>
      </c>
      <c r="M2794" s="60">
        <v>0</v>
      </c>
      <c r="N2794" s="494">
        <v>0</v>
      </c>
      <c r="O2794" s="60">
        <v>0</v>
      </c>
      <c r="P2794" s="494">
        <v>2</v>
      </c>
      <c r="Q2794" s="182">
        <f t="shared" si="3427"/>
        <v>0.96363636363636362</v>
      </c>
      <c r="R2794" s="182">
        <f t="shared" si="3428"/>
        <v>0</v>
      </c>
      <c r="S2794" s="183">
        <f t="shared" si="3423"/>
        <v>3.6363636363636362E-2</v>
      </c>
      <c r="T2794" s="183">
        <f t="shared" si="3424"/>
        <v>0</v>
      </c>
      <c r="U2794" s="184">
        <f t="shared" si="3425"/>
        <v>1</v>
      </c>
      <c r="V2794" s="386"/>
    </row>
    <row r="2795" spans="2:22" ht="15.75" hidden="1" x14ac:dyDescent="0.2">
      <c r="B2795" s="711">
        <v>46259</v>
      </c>
      <c r="C2795" s="711" t="s">
        <v>105</v>
      </c>
      <c r="D2795" s="10" t="s">
        <v>192</v>
      </c>
      <c r="E2795" s="711">
        <v>46259</v>
      </c>
      <c r="G2795" s="779"/>
      <c r="H2795" s="497" t="s">
        <v>180</v>
      </c>
      <c r="I2795" s="60" t="s">
        <v>105</v>
      </c>
      <c r="J2795" s="60">
        <f>SUM(K2795:P2795)</f>
        <v>9</v>
      </c>
      <c r="K2795" s="60">
        <v>9</v>
      </c>
      <c r="L2795" s="60">
        <v>0</v>
      </c>
      <c r="M2795" s="60">
        <v>0</v>
      </c>
      <c r="N2795" s="494">
        <v>0</v>
      </c>
      <c r="O2795" s="60">
        <v>0</v>
      </c>
      <c r="P2795" s="494">
        <v>0</v>
      </c>
      <c r="Q2795" s="182">
        <f t="shared" si="3427"/>
        <v>1</v>
      </c>
      <c r="R2795" s="182">
        <f t="shared" si="3428"/>
        <v>0</v>
      </c>
      <c r="S2795" s="183">
        <f t="shared" si="3423"/>
        <v>0</v>
      </c>
      <c r="T2795" s="183">
        <f t="shared" si="3424"/>
        <v>0</v>
      </c>
      <c r="U2795" s="184">
        <f t="shared" si="3425"/>
        <v>1</v>
      </c>
      <c r="V2795" s="386"/>
    </row>
    <row r="2796" spans="2:22" ht="15.75" hidden="1" x14ac:dyDescent="0.2">
      <c r="B2796" s="711">
        <v>46259</v>
      </c>
      <c r="C2796" s="711" t="s">
        <v>105</v>
      </c>
      <c r="D2796" s="10" t="s">
        <v>192</v>
      </c>
      <c r="E2796" s="711">
        <v>46260</v>
      </c>
      <c r="G2796" s="770">
        <v>46260</v>
      </c>
      <c r="H2796" s="497" t="s">
        <v>16</v>
      </c>
      <c r="I2796" s="60" t="s">
        <v>112</v>
      </c>
      <c r="J2796" s="60">
        <v>233</v>
      </c>
      <c r="K2796" s="60">
        <v>118</v>
      </c>
      <c r="L2796" s="60">
        <v>84</v>
      </c>
      <c r="M2796" s="60">
        <v>11</v>
      </c>
      <c r="N2796" s="494">
        <v>0</v>
      </c>
      <c r="O2796" s="60">
        <v>20</v>
      </c>
      <c r="P2796" s="494">
        <v>8</v>
      </c>
      <c r="Q2796" s="182">
        <f t="shared" si="3427"/>
        <v>0.86695278969957079</v>
      </c>
      <c r="R2796" s="182">
        <f t="shared" si="3428"/>
        <v>0</v>
      </c>
      <c r="S2796" s="183">
        <f t="shared" si="3423"/>
        <v>3.4334763948497854E-2</v>
      </c>
      <c r="T2796" s="183">
        <f t="shared" si="3424"/>
        <v>8.5836909871244635E-2</v>
      </c>
      <c r="U2796" s="184">
        <f t="shared" si="3425"/>
        <v>0.98712446351931327</v>
      </c>
      <c r="V2796" s="386"/>
    </row>
    <row r="2797" spans="2:22" ht="15.75" hidden="1" x14ac:dyDescent="0.2">
      <c r="B2797" s="711">
        <v>46259</v>
      </c>
      <c r="C2797" s="711" t="s">
        <v>105</v>
      </c>
      <c r="D2797" s="10" t="s">
        <v>192</v>
      </c>
      <c r="E2797" s="711">
        <v>46260</v>
      </c>
      <c r="G2797" s="771"/>
      <c r="H2797" s="497" t="s">
        <v>17</v>
      </c>
      <c r="I2797" s="60" t="s">
        <v>106</v>
      </c>
      <c r="J2797" s="60">
        <v>175</v>
      </c>
      <c r="K2797" s="60">
        <v>88</v>
      </c>
      <c r="L2797" s="60">
        <v>27</v>
      </c>
      <c r="M2797" s="60">
        <v>0</v>
      </c>
      <c r="N2797" s="494">
        <v>25</v>
      </c>
      <c r="O2797" s="60">
        <v>27</v>
      </c>
      <c r="P2797" s="494">
        <v>8</v>
      </c>
      <c r="Q2797" s="182">
        <f t="shared" si="3427"/>
        <v>0.65714285714285714</v>
      </c>
      <c r="R2797" s="182">
        <f t="shared" si="3428"/>
        <v>0.14285714285714285</v>
      </c>
      <c r="S2797" s="183">
        <f t="shared" si="3423"/>
        <v>4.5714285714285714E-2</v>
      </c>
      <c r="T2797" s="183">
        <f t="shared" si="3424"/>
        <v>0.15428571428571428</v>
      </c>
      <c r="U2797" s="184">
        <f t="shared" si="3425"/>
        <v>0.99999999999999989</v>
      </c>
      <c r="V2797" s="386"/>
    </row>
    <row r="2798" spans="2:22" ht="15.75" hidden="1" x14ac:dyDescent="0.2">
      <c r="B2798" s="711">
        <v>46259</v>
      </c>
      <c r="C2798" s="711" t="s">
        <v>105</v>
      </c>
      <c r="D2798" s="10" t="s">
        <v>192</v>
      </c>
      <c r="E2798" s="711">
        <v>46260</v>
      </c>
      <c r="G2798" s="771"/>
      <c r="H2798" s="497" t="s">
        <v>84</v>
      </c>
      <c r="I2798" s="60" t="s">
        <v>106</v>
      </c>
      <c r="J2798" s="60">
        <v>62</v>
      </c>
      <c r="K2798" s="60">
        <v>0</v>
      </c>
      <c r="L2798" s="60">
        <v>0</v>
      </c>
      <c r="M2798" s="60">
        <v>37</v>
      </c>
      <c r="N2798" s="494">
        <v>14</v>
      </c>
      <c r="O2798" s="60">
        <v>6</v>
      </c>
      <c r="P2798" s="494">
        <v>5</v>
      </c>
      <c r="Q2798" s="182">
        <f t="shared" si="3427"/>
        <v>0</v>
      </c>
      <c r="R2798" s="182">
        <f t="shared" si="3428"/>
        <v>0.22580645161290322</v>
      </c>
      <c r="S2798" s="183">
        <f t="shared" si="3423"/>
        <v>8.0645161290322578E-2</v>
      </c>
      <c r="T2798" s="183">
        <f t="shared" si="3424"/>
        <v>9.6774193548387094E-2</v>
      </c>
      <c r="U2798" s="184">
        <f t="shared" si="3425"/>
        <v>0.40322580645161288</v>
      </c>
      <c r="V2798" s="386"/>
    </row>
    <row r="2799" spans="2:22" ht="15.75" hidden="1" x14ac:dyDescent="0.2">
      <c r="B2799" s="711">
        <v>46259</v>
      </c>
      <c r="C2799" s="711" t="s">
        <v>105</v>
      </c>
      <c r="D2799" s="10" t="s">
        <v>192</v>
      </c>
      <c r="E2799" s="711">
        <v>46260</v>
      </c>
      <c r="G2799" s="772"/>
      <c r="H2799" s="497" t="s">
        <v>25</v>
      </c>
      <c r="I2799" s="60" t="s">
        <v>105</v>
      </c>
      <c r="J2799" s="60">
        <v>173</v>
      </c>
      <c r="K2799" s="60">
        <v>1</v>
      </c>
      <c r="L2799" s="60">
        <v>10</v>
      </c>
      <c r="M2799" s="60">
        <v>38</v>
      </c>
      <c r="N2799" s="494">
        <v>80</v>
      </c>
      <c r="O2799" s="60">
        <v>27</v>
      </c>
      <c r="P2799" s="494">
        <v>4</v>
      </c>
      <c r="Q2799" s="182">
        <f t="shared" si="3427"/>
        <v>6.358381502890173E-2</v>
      </c>
      <c r="R2799" s="182">
        <f t="shared" si="3428"/>
        <v>0.46242774566473988</v>
      </c>
      <c r="S2799" s="183">
        <f t="shared" si="3423"/>
        <v>2.3121387283236993E-2</v>
      </c>
      <c r="T2799" s="183">
        <f t="shared" si="3424"/>
        <v>0.15606936416184972</v>
      </c>
      <c r="U2799" s="184">
        <f t="shared" si="3425"/>
        <v>0.7052023121387283</v>
      </c>
      <c r="V2799" s="386"/>
    </row>
    <row r="2800" spans="2:22" ht="15.75" hidden="1" x14ac:dyDescent="0.2">
      <c r="B2800" s="711">
        <v>46259</v>
      </c>
      <c r="C2800" s="711" t="s">
        <v>105</v>
      </c>
      <c r="D2800" s="10" t="s">
        <v>192</v>
      </c>
      <c r="E2800" s="711">
        <v>46259</v>
      </c>
      <c r="G2800" s="775" t="s">
        <v>19</v>
      </c>
      <c r="H2800" s="776"/>
      <c r="I2800" s="777"/>
      <c r="J2800" s="190">
        <f t="shared" ref="J2800:P2800" si="3429">SUM(J2793:J2799)</f>
        <v>745</v>
      </c>
      <c r="K2800" s="190">
        <f t="shared" si="3429"/>
        <v>278</v>
      </c>
      <c r="L2800" s="190">
        <f t="shared" si="3429"/>
        <v>148</v>
      </c>
      <c r="M2800" s="190">
        <f t="shared" si="3429"/>
        <v>86</v>
      </c>
      <c r="N2800" s="190">
        <f t="shared" si="3429"/>
        <v>119</v>
      </c>
      <c r="O2800" s="190">
        <f t="shared" si="3429"/>
        <v>80</v>
      </c>
      <c r="P2800" s="190">
        <f t="shared" si="3429"/>
        <v>29</v>
      </c>
      <c r="Q2800" s="481">
        <f>(K2800+L2800)/J2800</f>
        <v>0.57181208053691279</v>
      </c>
      <c r="R2800" s="481">
        <f>N2800/J2800</f>
        <v>0.15973154362416109</v>
      </c>
      <c r="S2800" s="482">
        <f t="shared" si="3423"/>
        <v>3.8926174496644296E-2</v>
      </c>
      <c r="T2800" s="482">
        <f t="shared" si="3424"/>
        <v>0.10738255033557047</v>
      </c>
      <c r="U2800" s="483">
        <f t="shared" si="3425"/>
        <v>0.87785234899328857</v>
      </c>
      <c r="V2800" s="479"/>
    </row>
    <row r="2801" spans="2:22" ht="15.75" hidden="1" x14ac:dyDescent="0.2">
      <c r="B2801" s="711">
        <v>46260</v>
      </c>
      <c r="C2801" s="711" t="s">
        <v>106</v>
      </c>
      <c r="D2801" s="711" t="s">
        <v>13</v>
      </c>
      <c r="E2801" s="711">
        <v>46260</v>
      </c>
      <c r="G2801" s="778">
        <v>46260</v>
      </c>
      <c r="H2801" s="497" t="s">
        <v>16</v>
      </c>
      <c r="I2801" s="60" t="s">
        <v>112</v>
      </c>
      <c r="J2801" s="60">
        <v>233</v>
      </c>
      <c r="K2801" s="60">
        <v>135</v>
      </c>
      <c r="L2801" s="60">
        <v>70</v>
      </c>
      <c r="M2801" s="60">
        <v>5</v>
      </c>
      <c r="N2801" s="494">
        <v>0</v>
      </c>
      <c r="O2801" s="60">
        <v>20</v>
      </c>
      <c r="P2801" s="494">
        <v>3</v>
      </c>
      <c r="Q2801" s="182">
        <f t="shared" ref="Q2801:Q2804" si="3430">(K2801+L2801)/J2801</f>
        <v>0.87982832618025753</v>
      </c>
      <c r="R2801" s="182">
        <f t="shared" ref="R2801:R2804" si="3431">N2801/J2801</f>
        <v>0</v>
      </c>
      <c r="S2801" s="183">
        <f t="shared" ref="S2801:S2804" si="3432">P2801/J2801</f>
        <v>1.2875536480686695E-2</v>
      </c>
      <c r="T2801" s="183">
        <f t="shared" ref="T2801:T2804" si="3433">O2801/J2801</f>
        <v>8.5836909871244635E-2</v>
      </c>
      <c r="U2801" s="184">
        <f t="shared" ref="U2801:U2804" si="3434">S2801+R2801+Q2801+T2801</f>
        <v>0.97854077253218885</v>
      </c>
      <c r="V2801" s="386"/>
    </row>
    <row r="2802" spans="2:22" ht="15.75" hidden="1" x14ac:dyDescent="0.2">
      <c r="B2802" s="711">
        <v>46260</v>
      </c>
      <c r="C2802" s="711" t="s">
        <v>106</v>
      </c>
      <c r="D2802" s="711" t="s">
        <v>13</v>
      </c>
      <c r="E2802" s="711">
        <v>46260</v>
      </c>
      <c r="G2802" s="786"/>
      <c r="H2802" s="497" t="s">
        <v>17</v>
      </c>
      <c r="I2802" s="60" t="s">
        <v>106</v>
      </c>
      <c r="J2802" s="60">
        <v>175</v>
      </c>
      <c r="K2802" s="60">
        <v>98</v>
      </c>
      <c r="L2802" s="60">
        <v>42</v>
      </c>
      <c r="M2802" s="60">
        <v>0</v>
      </c>
      <c r="N2802" s="494">
        <v>0</v>
      </c>
      <c r="O2802" s="60">
        <v>27</v>
      </c>
      <c r="P2802" s="494">
        <v>8</v>
      </c>
      <c r="Q2802" s="182">
        <f t="shared" si="3430"/>
        <v>0.8</v>
      </c>
      <c r="R2802" s="182">
        <f t="shared" si="3431"/>
        <v>0</v>
      </c>
      <c r="S2802" s="183">
        <f t="shared" si="3432"/>
        <v>4.5714285714285714E-2</v>
      </c>
      <c r="T2802" s="183">
        <f t="shared" si="3433"/>
        <v>0.15428571428571428</v>
      </c>
      <c r="U2802" s="184">
        <f t="shared" si="3434"/>
        <v>1</v>
      </c>
      <c r="V2802" s="386"/>
    </row>
    <row r="2803" spans="2:22" ht="15.75" hidden="1" x14ac:dyDescent="0.2">
      <c r="B2803" s="711">
        <v>46260</v>
      </c>
      <c r="C2803" s="711" t="s">
        <v>106</v>
      </c>
      <c r="D2803" s="711" t="s">
        <v>13</v>
      </c>
      <c r="E2803" s="711">
        <v>46260</v>
      </c>
      <c r="G2803" s="786"/>
      <c r="H2803" s="497" t="s">
        <v>84</v>
      </c>
      <c r="I2803" s="60" t="s">
        <v>106</v>
      </c>
      <c r="J2803" s="60">
        <v>62</v>
      </c>
      <c r="K2803" s="60">
        <f>62-28</f>
        <v>34</v>
      </c>
      <c r="L2803" s="60">
        <v>17</v>
      </c>
      <c r="M2803" s="60">
        <v>0</v>
      </c>
      <c r="N2803" s="494">
        <v>0</v>
      </c>
      <c r="O2803" s="60">
        <v>6</v>
      </c>
      <c r="P2803" s="494">
        <v>5</v>
      </c>
      <c r="Q2803" s="182">
        <f t="shared" si="3430"/>
        <v>0.82258064516129037</v>
      </c>
      <c r="R2803" s="182">
        <f t="shared" si="3431"/>
        <v>0</v>
      </c>
      <c r="S2803" s="183">
        <f t="shared" si="3432"/>
        <v>8.0645161290322578E-2</v>
      </c>
      <c r="T2803" s="183">
        <f t="shared" si="3433"/>
        <v>9.6774193548387094E-2</v>
      </c>
      <c r="U2803" s="184">
        <f t="shared" si="3434"/>
        <v>1</v>
      </c>
      <c r="V2803" s="386"/>
    </row>
    <row r="2804" spans="2:22" ht="15.75" hidden="1" x14ac:dyDescent="0.2">
      <c r="B2804" s="711">
        <v>46260</v>
      </c>
      <c r="C2804" s="711" t="s">
        <v>106</v>
      </c>
      <c r="D2804" s="711" t="s">
        <v>13</v>
      </c>
      <c r="E2804" s="711">
        <v>46260</v>
      </c>
      <c r="G2804" s="779"/>
      <c r="H2804" s="497" t="s">
        <v>25</v>
      </c>
      <c r="I2804" s="60" t="s">
        <v>105</v>
      </c>
      <c r="J2804" s="60">
        <v>173</v>
      </c>
      <c r="K2804" s="60">
        <v>113</v>
      </c>
      <c r="L2804" s="60">
        <v>24</v>
      </c>
      <c r="M2804" s="60">
        <v>8</v>
      </c>
      <c r="N2804" s="494">
        <v>0</v>
      </c>
      <c r="O2804" s="60">
        <v>23</v>
      </c>
      <c r="P2804" s="494">
        <v>5</v>
      </c>
      <c r="Q2804" s="182">
        <f t="shared" si="3430"/>
        <v>0.79190751445086704</v>
      </c>
      <c r="R2804" s="182">
        <f t="shared" si="3431"/>
        <v>0</v>
      </c>
      <c r="S2804" s="183">
        <f t="shared" si="3432"/>
        <v>2.8901734104046242E-2</v>
      </c>
      <c r="T2804" s="183">
        <f t="shared" si="3433"/>
        <v>0.13294797687861271</v>
      </c>
      <c r="U2804" s="184">
        <f t="shared" si="3434"/>
        <v>0.95375722543352603</v>
      </c>
      <c r="V2804" s="386"/>
    </row>
    <row r="2805" spans="2:22" ht="15.75" hidden="1" x14ac:dyDescent="0.2">
      <c r="B2805" s="711">
        <v>46260</v>
      </c>
      <c r="C2805" s="711" t="s">
        <v>106</v>
      </c>
      <c r="D2805" s="711" t="s">
        <v>13</v>
      </c>
      <c r="E2805" s="711">
        <v>46261</v>
      </c>
      <c r="G2805" s="816">
        <v>46261</v>
      </c>
      <c r="H2805" s="497" t="s">
        <v>16</v>
      </c>
      <c r="I2805" s="60" t="s">
        <v>112</v>
      </c>
      <c r="J2805" s="60">
        <v>240</v>
      </c>
      <c r="K2805" s="60">
        <v>5</v>
      </c>
      <c r="L2805" s="60">
        <v>0</v>
      </c>
      <c r="M2805" s="60">
        <v>175</v>
      </c>
      <c r="N2805" s="494">
        <v>33</v>
      </c>
      <c r="O2805" s="60">
        <v>20</v>
      </c>
      <c r="P2805" s="494">
        <v>7</v>
      </c>
      <c r="Q2805" s="182">
        <f t="shared" ref="Q2805:Q2808" si="3435">(K2805+L2805)/J2805</f>
        <v>2.0833333333333332E-2</v>
      </c>
      <c r="R2805" s="182">
        <f t="shared" ref="R2805:R2808" si="3436">N2805/J2805</f>
        <v>0.13750000000000001</v>
      </c>
      <c r="S2805" s="183">
        <f t="shared" ref="S2805:S2817" si="3437">P2805/J2805</f>
        <v>2.9166666666666667E-2</v>
      </c>
      <c r="T2805" s="183">
        <f t="shared" ref="T2805:T2817" si="3438">O2805/J2805</f>
        <v>8.3333333333333329E-2</v>
      </c>
      <c r="U2805" s="184">
        <f t="shared" ref="U2805:U2817" si="3439">S2805+R2805+Q2805+T2805</f>
        <v>0.27083333333333337</v>
      </c>
      <c r="V2805" s="386"/>
    </row>
    <row r="2806" spans="2:22" ht="15.75" hidden="1" x14ac:dyDescent="0.2">
      <c r="B2806" s="711">
        <v>46260</v>
      </c>
      <c r="C2806" s="711" t="s">
        <v>106</v>
      </c>
      <c r="D2806" s="711" t="s">
        <v>13</v>
      </c>
      <c r="E2806" s="711">
        <v>46261</v>
      </c>
      <c r="G2806" s="819"/>
      <c r="H2806" s="497" t="s">
        <v>17</v>
      </c>
      <c r="I2806" s="60" t="s">
        <v>106</v>
      </c>
      <c r="J2806" s="60">
        <v>176</v>
      </c>
      <c r="K2806" s="60">
        <v>73</v>
      </c>
      <c r="L2806" s="60">
        <v>10</v>
      </c>
      <c r="M2806" s="60">
        <v>17</v>
      </c>
      <c r="N2806" s="494">
        <v>44</v>
      </c>
      <c r="O2806" s="60">
        <v>29</v>
      </c>
      <c r="P2806" s="494">
        <v>3</v>
      </c>
      <c r="Q2806" s="182">
        <f t="shared" si="3435"/>
        <v>0.47159090909090912</v>
      </c>
      <c r="R2806" s="182">
        <f t="shared" si="3436"/>
        <v>0.25</v>
      </c>
      <c r="S2806" s="183">
        <f t="shared" si="3437"/>
        <v>1.7045454545454544E-2</v>
      </c>
      <c r="T2806" s="183">
        <f t="shared" si="3438"/>
        <v>0.16477272727272727</v>
      </c>
      <c r="U2806" s="184">
        <f t="shared" si="3439"/>
        <v>0.90340909090909094</v>
      </c>
      <c r="V2806" s="386"/>
    </row>
    <row r="2807" spans="2:22" ht="15.75" hidden="1" x14ac:dyDescent="0.2">
      <c r="B2807" s="711">
        <v>46260</v>
      </c>
      <c r="C2807" s="711" t="s">
        <v>106</v>
      </c>
      <c r="D2807" s="711" t="s">
        <v>13</v>
      </c>
      <c r="E2807" s="711">
        <v>46261</v>
      </c>
      <c r="G2807" s="819"/>
      <c r="H2807" s="497" t="s">
        <v>118</v>
      </c>
      <c r="I2807" s="60" t="s">
        <v>106</v>
      </c>
      <c r="J2807" s="60">
        <v>225</v>
      </c>
      <c r="K2807" s="60">
        <v>31</v>
      </c>
      <c r="L2807" s="60">
        <v>11</v>
      </c>
      <c r="M2807" s="60">
        <v>135</v>
      </c>
      <c r="N2807" s="494">
        <v>16</v>
      </c>
      <c r="O2807" s="60">
        <v>16</v>
      </c>
      <c r="P2807" s="494">
        <v>16</v>
      </c>
      <c r="Q2807" s="182">
        <f t="shared" si="3435"/>
        <v>0.18666666666666668</v>
      </c>
      <c r="R2807" s="182">
        <f t="shared" si="3436"/>
        <v>7.1111111111111111E-2</v>
      </c>
      <c r="S2807" s="183">
        <f t="shared" si="3437"/>
        <v>7.1111111111111111E-2</v>
      </c>
      <c r="T2807" s="183">
        <f t="shared" si="3438"/>
        <v>7.1111111111111111E-2</v>
      </c>
      <c r="U2807" s="184">
        <f t="shared" si="3439"/>
        <v>0.4</v>
      </c>
      <c r="V2807" s="386"/>
    </row>
    <row r="2808" spans="2:22" ht="15.75" hidden="1" x14ac:dyDescent="0.2">
      <c r="B2808" s="711">
        <v>46260</v>
      </c>
      <c r="C2808" s="711" t="s">
        <v>106</v>
      </c>
      <c r="D2808" s="711" t="s">
        <v>13</v>
      </c>
      <c r="E2808" s="711">
        <v>46261</v>
      </c>
      <c r="G2808" s="817"/>
      <c r="H2808" s="497" t="s">
        <v>14</v>
      </c>
      <c r="I2808" s="60" t="s">
        <v>105</v>
      </c>
      <c r="J2808" s="60">
        <v>158</v>
      </c>
      <c r="K2808" s="60">
        <v>0</v>
      </c>
      <c r="L2808" s="60">
        <v>0</v>
      </c>
      <c r="M2808" s="60">
        <v>137</v>
      </c>
      <c r="N2808" s="494">
        <v>0</v>
      </c>
      <c r="O2808" s="60">
        <v>11</v>
      </c>
      <c r="P2808" s="494">
        <v>10</v>
      </c>
      <c r="Q2808" s="182">
        <f t="shared" si="3435"/>
        <v>0</v>
      </c>
      <c r="R2808" s="182">
        <f t="shared" si="3436"/>
        <v>0</v>
      </c>
      <c r="S2808" s="183">
        <f t="shared" si="3437"/>
        <v>6.3291139240506333E-2</v>
      </c>
      <c r="T2808" s="183">
        <f t="shared" si="3438"/>
        <v>6.9620253164556958E-2</v>
      </c>
      <c r="U2808" s="184">
        <f t="shared" si="3439"/>
        <v>0.13291139240506328</v>
      </c>
      <c r="V2808" s="386"/>
    </row>
    <row r="2809" spans="2:22" ht="15.75" hidden="1" x14ac:dyDescent="0.2">
      <c r="B2809" s="711">
        <v>46260</v>
      </c>
      <c r="C2809" s="711" t="s">
        <v>106</v>
      </c>
      <c r="D2809" s="711" t="s">
        <v>13</v>
      </c>
      <c r="E2809" s="711">
        <v>46261</v>
      </c>
      <c r="G2809" s="775" t="s">
        <v>19</v>
      </c>
      <c r="H2809" s="776"/>
      <c r="I2809" s="777"/>
      <c r="J2809" s="190">
        <f>SUM(J2801:J2808)</f>
        <v>1442</v>
      </c>
      <c r="K2809" s="190">
        <f t="shared" ref="K2809:P2809" si="3440">SUM(K2801:K2808)</f>
        <v>489</v>
      </c>
      <c r="L2809" s="190">
        <f t="shared" si="3440"/>
        <v>174</v>
      </c>
      <c r="M2809" s="190">
        <f t="shared" si="3440"/>
        <v>477</v>
      </c>
      <c r="N2809" s="190">
        <f t="shared" si="3440"/>
        <v>93</v>
      </c>
      <c r="O2809" s="190">
        <f t="shared" si="3440"/>
        <v>152</v>
      </c>
      <c r="P2809" s="190">
        <f t="shared" si="3440"/>
        <v>57</v>
      </c>
      <c r="Q2809" s="481">
        <f>(K2809+L2809)/J2809</f>
        <v>0.45977808599167824</v>
      </c>
      <c r="R2809" s="481">
        <f>N2809/J2809</f>
        <v>6.4493758668515949E-2</v>
      </c>
      <c r="S2809" s="482">
        <f t="shared" si="3437"/>
        <v>3.9528432732316231E-2</v>
      </c>
      <c r="T2809" s="482">
        <f t="shared" si="3438"/>
        <v>0.10540915395284327</v>
      </c>
      <c r="U2809" s="483">
        <f t="shared" si="3439"/>
        <v>0.6692094313453536</v>
      </c>
      <c r="V2809" s="479"/>
    </row>
    <row r="2810" spans="2:22" ht="15.75" hidden="1" x14ac:dyDescent="0.2">
      <c r="B2810" s="711">
        <v>46260</v>
      </c>
      <c r="C2810" s="711" t="s">
        <v>105</v>
      </c>
      <c r="D2810" s="10" t="s">
        <v>192</v>
      </c>
      <c r="E2810" s="711">
        <v>46259</v>
      </c>
      <c r="G2810" s="778">
        <v>46260</v>
      </c>
      <c r="H2810" s="497" t="s">
        <v>16</v>
      </c>
      <c r="I2810" s="60" t="s">
        <v>112</v>
      </c>
      <c r="J2810" s="60">
        <f>SUM(K2810:P2810)</f>
        <v>42</v>
      </c>
      <c r="K2810" s="60">
        <f>120-95</f>
        <v>25</v>
      </c>
      <c r="L2810" s="60">
        <f>124-109</f>
        <v>15</v>
      </c>
      <c r="M2810" s="60">
        <v>0</v>
      </c>
      <c r="N2810" s="494">
        <v>0</v>
      </c>
      <c r="O2810" s="60">
        <v>0</v>
      </c>
      <c r="P2810" s="494">
        <v>2</v>
      </c>
      <c r="Q2810" s="182">
        <f t="shared" ref="Q2810:Q2816" si="3441">(K2810+L2810)/J2810</f>
        <v>0.95238095238095233</v>
      </c>
      <c r="R2810" s="182">
        <f t="shared" ref="R2810:R2816" si="3442">N2810/J2810</f>
        <v>0</v>
      </c>
      <c r="S2810" s="183">
        <f t="shared" si="3437"/>
        <v>4.7619047619047616E-2</v>
      </c>
      <c r="T2810" s="183">
        <f t="shared" si="3438"/>
        <v>0</v>
      </c>
      <c r="U2810" s="184">
        <f t="shared" si="3439"/>
        <v>1</v>
      </c>
      <c r="V2810" s="386"/>
    </row>
    <row r="2811" spans="2:22" ht="15.75" hidden="1" x14ac:dyDescent="0.2">
      <c r="B2811" s="711">
        <v>46260</v>
      </c>
      <c r="C2811" s="711" t="s">
        <v>105</v>
      </c>
      <c r="D2811" s="10" t="s">
        <v>192</v>
      </c>
      <c r="E2811" s="711">
        <v>46259</v>
      </c>
      <c r="G2811" s="786"/>
      <c r="H2811" s="497" t="s">
        <v>25</v>
      </c>
      <c r="I2811" s="60" t="s">
        <v>105</v>
      </c>
      <c r="J2811" s="60">
        <f>SUM(K2811:P2811)</f>
        <v>46</v>
      </c>
      <c r="K2811" s="60">
        <v>33</v>
      </c>
      <c r="L2811" s="60">
        <v>8</v>
      </c>
      <c r="M2811" s="60">
        <v>0</v>
      </c>
      <c r="N2811" s="494">
        <v>0</v>
      </c>
      <c r="O2811" s="60">
        <v>0</v>
      </c>
      <c r="P2811" s="494">
        <v>5</v>
      </c>
      <c r="Q2811" s="182">
        <f t="shared" si="3441"/>
        <v>0.89130434782608692</v>
      </c>
      <c r="R2811" s="182">
        <f t="shared" si="3442"/>
        <v>0</v>
      </c>
      <c r="S2811" s="183">
        <f t="shared" si="3437"/>
        <v>0.10869565217391304</v>
      </c>
      <c r="T2811" s="183">
        <f t="shared" si="3438"/>
        <v>0</v>
      </c>
      <c r="U2811" s="184">
        <f t="shared" si="3439"/>
        <v>1</v>
      </c>
      <c r="V2811" s="386"/>
    </row>
    <row r="2812" spans="2:22" ht="15.75" hidden="1" x14ac:dyDescent="0.2">
      <c r="B2812" s="711">
        <v>46260</v>
      </c>
      <c r="C2812" s="711" t="s">
        <v>105</v>
      </c>
      <c r="D2812" s="10" t="s">
        <v>192</v>
      </c>
      <c r="E2812" s="711">
        <v>46259</v>
      </c>
      <c r="G2812" s="779"/>
      <c r="H2812" s="497" t="s">
        <v>180</v>
      </c>
      <c r="I2812" s="60" t="s">
        <v>105</v>
      </c>
      <c r="J2812" s="60">
        <f>SUM(K2812:P2812)</f>
        <v>7</v>
      </c>
      <c r="K2812" s="60">
        <v>6</v>
      </c>
      <c r="L2812" s="60">
        <v>1</v>
      </c>
      <c r="M2812" s="60">
        <v>0</v>
      </c>
      <c r="N2812" s="494">
        <v>0</v>
      </c>
      <c r="O2812" s="60">
        <v>0</v>
      </c>
      <c r="P2812" s="494">
        <v>0</v>
      </c>
      <c r="Q2812" s="182">
        <f t="shared" si="3441"/>
        <v>1</v>
      </c>
      <c r="R2812" s="182">
        <f t="shared" si="3442"/>
        <v>0</v>
      </c>
      <c r="S2812" s="183">
        <f t="shared" si="3437"/>
        <v>0</v>
      </c>
      <c r="T2812" s="183">
        <f t="shared" si="3438"/>
        <v>0</v>
      </c>
      <c r="U2812" s="184">
        <f t="shared" si="3439"/>
        <v>1</v>
      </c>
      <c r="V2812" s="386"/>
    </row>
    <row r="2813" spans="2:22" ht="15.75" hidden="1" x14ac:dyDescent="0.2">
      <c r="B2813" s="711">
        <v>46260</v>
      </c>
      <c r="C2813" s="711" t="s">
        <v>105</v>
      </c>
      <c r="D2813" s="10" t="s">
        <v>192</v>
      </c>
      <c r="E2813" s="711">
        <v>46260</v>
      </c>
      <c r="G2813" s="770">
        <v>46261</v>
      </c>
      <c r="H2813" s="497" t="s">
        <v>16</v>
      </c>
      <c r="I2813" s="60" t="s">
        <v>112</v>
      </c>
      <c r="J2813" s="60">
        <v>240</v>
      </c>
      <c r="K2813" s="60">
        <v>95</v>
      </c>
      <c r="L2813" s="60">
        <v>109</v>
      </c>
      <c r="M2813" s="60">
        <v>3</v>
      </c>
      <c r="N2813" s="494">
        <v>0</v>
      </c>
      <c r="O2813" s="60">
        <v>20</v>
      </c>
      <c r="P2813" s="494">
        <v>7</v>
      </c>
      <c r="Q2813" s="182">
        <f t="shared" si="3441"/>
        <v>0.85</v>
      </c>
      <c r="R2813" s="182">
        <f t="shared" si="3442"/>
        <v>0</v>
      </c>
      <c r="S2813" s="183">
        <f t="shared" si="3437"/>
        <v>2.9166666666666667E-2</v>
      </c>
      <c r="T2813" s="183">
        <f t="shared" si="3438"/>
        <v>8.3333333333333329E-2</v>
      </c>
      <c r="U2813" s="184">
        <f t="shared" si="3439"/>
        <v>0.96250000000000002</v>
      </c>
      <c r="V2813" s="386"/>
    </row>
    <row r="2814" spans="2:22" ht="15.75" hidden="1" x14ac:dyDescent="0.2">
      <c r="B2814" s="711">
        <v>46260</v>
      </c>
      <c r="C2814" s="711" t="s">
        <v>105</v>
      </c>
      <c r="D2814" s="10" t="s">
        <v>192</v>
      </c>
      <c r="E2814" s="711">
        <v>46260</v>
      </c>
      <c r="G2814" s="771"/>
      <c r="H2814" s="497" t="s">
        <v>17</v>
      </c>
      <c r="I2814" s="60" t="s">
        <v>106</v>
      </c>
      <c r="J2814" s="60">
        <v>176</v>
      </c>
      <c r="K2814" s="60">
        <v>60</v>
      </c>
      <c r="L2814" s="60">
        <v>12</v>
      </c>
      <c r="M2814" s="60">
        <v>5</v>
      </c>
      <c r="N2814" s="494">
        <v>0</v>
      </c>
      <c r="O2814" s="60">
        <v>29</v>
      </c>
      <c r="P2814" s="494">
        <v>3</v>
      </c>
      <c r="Q2814" s="182">
        <f t="shared" si="3441"/>
        <v>0.40909090909090912</v>
      </c>
      <c r="R2814" s="182">
        <f t="shared" si="3442"/>
        <v>0</v>
      </c>
      <c r="S2814" s="183">
        <f t="shared" si="3437"/>
        <v>1.7045454545454544E-2</v>
      </c>
      <c r="T2814" s="183">
        <f t="shared" si="3438"/>
        <v>0.16477272727272727</v>
      </c>
      <c r="U2814" s="184">
        <f t="shared" si="3439"/>
        <v>0.59090909090909094</v>
      </c>
      <c r="V2814" s="386"/>
    </row>
    <row r="2815" spans="2:22" ht="15.75" hidden="1" x14ac:dyDescent="0.2">
      <c r="B2815" s="711">
        <v>46260</v>
      </c>
      <c r="C2815" s="711" t="s">
        <v>105</v>
      </c>
      <c r="D2815" s="10" t="s">
        <v>192</v>
      </c>
      <c r="E2815" s="711">
        <v>46260</v>
      </c>
      <c r="G2815" s="771"/>
      <c r="H2815" s="497" t="s">
        <v>118</v>
      </c>
      <c r="I2815" s="60" t="s">
        <v>106</v>
      </c>
      <c r="J2815" s="60">
        <v>225</v>
      </c>
      <c r="K2815" s="60">
        <v>7</v>
      </c>
      <c r="L2815" s="60">
        <v>3</v>
      </c>
      <c r="M2815" s="60">
        <v>36</v>
      </c>
      <c r="N2815" s="494">
        <v>104</v>
      </c>
      <c r="O2815" s="60">
        <v>16</v>
      </c>
      <c r="P2815" s="494">
        <v>16</v>
      </c>
      <c r="Q2815" s="182">
        <f t="shared" si="3441"/>
        <v>4.4444444444444446E-2</v>
      </c>
      <c r="R2815" s="182">
        <f t="shared" si="3442"/>
        <v>0.4622222222222222</v>
      </c>
      <c r="S2815" s="183">
        <f t="shared" si="3437"/>
        <v>7.1111111111111111E-2</v>
      </c>
      <c r="T2815" s="183">
        <f t="shared" si="3438"/>
        <v>7.1111111111111111E-2</v>
      </c>
      <c r="U2815" s="184">
        <f t="shared" si="3439"/>
        <v>0.64888888888888885</v>
      </c>
      <c r="V2815" s="386"/>
    </row>
    <row r="2816" spans="2:22" ht="15.75" hidden="1" x14ac:dyDescent="0.2">
      <c r="B2816" s="711">
        <v>46260</v>
      </c>
      <c r="C2816" s="711" t="s">
        <v>105</v>
      </c>
      <c r="D2816" s="10" t="s">
        <v>192</v>
      </c>
      <c r="E2816" s="711">
        <v>46260</v>
      </c>
      <c r="G2816" s="772"/>
      <c r="H2816" s="497" t="s">
        <v>14</v>
      </c>
      <c r="I2816" s="60" t="s">
        <v>105</v>
      </c>
      <c r="J2816" s="60">
        <v>158</v>
      </c>
      <c r="K2816" s="60">
        <v>1</v>
      </c>
      <c r="L2816" s="60">
        <v>0</v>
      </c>
      <c r="M2816" s="60">
        <v>98</v>
      </c>
      <c r="N2816" s="494">
        <v>39</v>
      </c>
      <c r="O2816" s="60">
        <v>11</v>
      </c>
      <c r="P2816" s="494">
        <v>10</v>
      </c>
      <c r="Q2816" s="182">
        <f t="shared" si="3441"/>
        <v>6.3291139240506328E-3</v>
      </c>
      <c r="R2816" s="182">
        <f t="shared" si="3442"/>
        <v>0.24683544303797469</v>
      </c>
      <c r="S2816" s="183">
        <f t="shared" si="3437"/>
        <v>6.3291139240506333E-2</v>
      </c>
      <c r="T2816" s="183">
        <f t="shared" si="3438"/>
        <v>6.9620253164556958E-2</v>
      </c>
      <c r="U2816" s="184">
        <f t="shared" si="3439"/>
        <v>0.38607594936708856</v>
      </c>
      <c r="V2816" s="386"/>
    </row>
    <row r="2817" spans="2:22" ht="15.75" hidden="1" x14ac:dyDescent="0.2">
      <c r="B2817" s="711">
        <v>46260</v>
      </c>
      <c r="C2817" s="711" t="s">
        <v>105</v>
      </c>
      <c r="D2817" s="10" t="s">
        <v>192</v>
      </c>
      <c r="E2817" s="711">
        <v>46259</v>
      </c>
      <c r="G2817" s="775" t="s">
        <v>19</v>
      </c>
      <c r="H2817" s="776"/>
      <c r="I2817" s="777"/>
      <c r="J2817" s="190">
        <f t="shared" ref="J2817:P2817" si="3443">SUM(J2810:J2816)</f>
        <v>894</v>
      </c>
      <c r="K2817" s="190">
        <f t="shared" si="3443"/>
        <v>227</v>
      </c>
      <c r="L2817" s="190">
        <f t="shared" si="3443"/>
        <v>148</v>
      </c>
      <c r="M2817" s="190">
        <f t="shared" si="3443"/>
        <v>142</v>
      </c>
      <c r="N2817" s="190">
        <f t="shared" si="3443"/>
        <v>143</v>
      </c>
      <c r="O2817" s="190">
        <f t="shared" si="3443"/>
        <v>76</v>
      </c>
      <c r="P2817" s="190">
        <f t="shared" si="3443"/>
        <v>43</v>
      </c>
      <c r="Q2817" s="481">
        <f>(K2817+L2817)/J2817</f>
        <v>0.41946308724832215</v>
      </c>
      <c r="R2817" s="481">
        <f>N2817/J2817</f>
        <v>0.15995525727069351</v>
      </c>
      <c r="S2817" s="482">
        <f t="shared" si="3437"/>
        <v>4.8098434004474271E-2</v>
      </c>
      <c r="T2817" s="482">
        <f t="shared" si="3438"/>
        <v>8.5011185682326629E-2</v>
      </c>
      <c r="U2817" s="483">
        <f t="shared" si="3439"/>
        <v>0.71252796420581666</v>
      </c>
      <c r="V2817" s="479"/>
    </row>
    <row r="2818" spans="2:22" ht="15.75" hidden="1" x14ac:dyDescent="0.2">
      <c r="B2818" s="711">
        <v>46261</v>
      </c>
      <c r="C2818" s="711" t="s">
        <v>106</v>
      </c>
      <c r="D2818" s="711" t="s">
        <v>13</v>
      </c>
      <c r="E2818" s="711">
        <v>46261</v>
      </c>
      <c r="G2818" s="778">
        <v>46261</v>
      </c>
      <c r="H2818" s="497" t="s">
        <v>16</v>
      </c>
      <c r="I2818" s="60" t="s">
        <v>112</v>
      </c>
      <c r="J2818" s="60">
        <v>240</v>
      </c>
      <c r="K2818" s="60">
        <v>97</v>
      </c>
      <c r="L2818" s="60">
        <v>114</v>
      </c>
      <c r="M2818" s="60">
        <v>3</v>
      </c>
      <c r="N2818" s="494">
        <v>0</v>
      </c>
      <c r="O2818" s="60">
        <v>20</v>
      </c>
      <c r="P2818" s="494">
        <v>6</v>
      </c>
      <c r="Q2818" s="182">
        <f t="shared" ref="Q2818:Q2821" si="3444">(K2818+L2818)/J2818</f>
        <v>0.87916666666666665</v>
      </c>
      <c r="R2818" s="182">
        <f t="shared" ref="R2818:R2821" si="3445">N2818/J2818</f>
        <v>0</v>
      </c>
      <c r="S2818" s="183">
        <f t="shared" ref="S2818:S2821" si="3446">P2818/J2818</f>
        <v>2.5000000000000001E-2</v>
      </c>
      <c r="T2818" s="183">
        <f t="shared" ref="T2818:T2821" si="3447">O2818/J2818</f>
        <v>8.3333333333333329E-2</v>
      </c>
      <c r="U2818" s="184">
        <f t="shared" ref="U2818:U2821" si="3448">S2818+R2818+Q2818+T2818</f>
        <v>0.98750000000000004</v>
      </c>
      <c r="V2818" s="386"/>
    </row>
    <row r="2819" spans="2:22" ht="15.75" hidden="1" x14ac:dyDescent="0.2">
      <c r="B2819" s="711">
        <v>46261</v>
      </c>
      <c r="C2819" s="711" t="s">
        <v>106</v>
      </c>
      <c r="D2819" s="711" t="s">
        <v>13</v>
      </c>
      <c r="E2819" s="711">
        <v>46261</v>
      </c>
      <c r="G2819" s="786"/>
      <c r="H2819" s="497" t="s">
        <v>17</v>
      </c>
      <c r="I2819" s="60" t="s">
        <v>106</v>
      </c>
      <c r="J2819" s="60">
        <v>176</v>
      </c>
      <c r="K2819" s="60">
        <v>113</v>
      </c>
      <c r="L2819" s="60">
        <v>29</v>
      </c>
      <c r="M2819" s="60">
        <v>0</v>
      </c>
      <c r="N2819" s="494">
        <v>0</v>
      </c>
      <c r="O2819" s="60">
        <v>29</v>
      </c>
      <c r="P2819" s="494">
        <v>5</v>
      </c>
      <c r="Q2819" s="182">
        <f t="shared" si="3444"/>
        <v>0.80681818181818177</v>
      </c>
      <c r="R2819" s="182">
        <f t="shared" si="3445"/>
        <v>0</v>
      </c>
      <c r="S2819" s="183">
        <f t="shared" si="3446"/>
        <v>2.8409090909090908E-2</v>
      </c>
      <c r="T2819" s="183">
        <f t="shared" si="3447"/>
        <v>0.16477272727272727</v>
      </c>
      <c r="U2819" s="184">
        <f t="shared" si="3448"/>
        <v>1</v>
      </c>
      <c r="V2819" s="386"/>
    </row>
    <row r="2820" spans="2:22" ht="15.75" hidden="1" x14ac:dyDescent="0.2">
      <c r="B2820" s="711">
        <v>46261</v>
      </c>
      <c r="C2820" s="711" t="s">
        <v>106</v>
      </c>
      <c r="D2820" s="711" t="s">
        <v>13</v>
      </c>
      <c r="E2820" s="711">
        <v>46261</v>
      </c>
      <c r="G2820" s="786"/>
      <c r="H2820" s="497" t="s">
        <v>118</v>
      </c>
      <c r="I2820" s="60" t="s">
        <v>106</v>
      </c>
      <c r="J2820" s="60">
        <v>225</v>
      </c>
      <c r="K2820" s="60">
        <v>156</v>
      </c>
      <c r="L2820" s="60">
        <v>41</v>
      </c>
      <c r="M2820" s="60">
        <v>0</v>
      </c>
      <c r="N2820" s="494">
        <v>0</v>
      </c>
      <c r="O2820" s="60">
        <v>16</v>
      </c>
      <c r="P2820" s="494">
        <v>12</v>
      </c>
      <c r="Q2820" s="182">
        <f t="shared" si="3444"/>
        <v>0.87555555555555553</v>
      </c>
      <c r="R2820" s="182">
        <f t="shared" si="3445"/>
        <v>0</v>
      </c>
      <c r="S2820" s="183">
        <f t="shared" si="3446"/>
        <v>5.3333333333333337E-2</v>
      </c>
      <c r="T2820" s="183">
        <f t="shared" si="3447"/>
        <v>7.1111111111111111E-2</v>
      </c>
      <c r="U2820" s="184">
        <f t="shared" si="3448"/>
        <v>1</v>
      </c>
      <c r="V2820" s="386"/>
    </row>
    <row r="2821" spans="2:22" ht="15.75" hidden="1" x14ac:dyDescent="0.2">
      <c r="B2821" s="711">
        <v>46261</v>
      </c>
      <c r="C2821" s="711" t="s">
        <v>106</v>
      </c>
      <c r="D2821" s="711" t="s">
        <v>13</v>
      </c>
      <c r="E2821" s="711">
        <v>46261</v>
      </c>
      <c r="G2821" s="779"/>
      <c r="H2821" s="497" t="s">
        <v>14</v>
      </c>
      <c r="I2821" s="60" t="s">
        <v>105</v>
      </c>
      <c r="J2821" s="60">
        <v>158</v>
      </c>
      <c r="K2821" s="60">
        <v>72</v>
      </c>
      <c r="L2821" s="60">
        <v>40</v>
      </c>
      <c r="M2821" s="60">
        <v>0</v>
      </c>
      <c r="N2821" s="494">
        <v>25</v>
      </c>
      <c r="O2821" s="60">
        <v>11</v>
      </c>
      <c r="P2821" s="494">
        <v>10</v>
      </c>
      <c r="Q2821" s="182">
        <f t="shared" si="3444"/>
        <v>0.70886075949367089</v>
      </c>
      <c r="R2821" s="182">
        <f t="shared" si="3445"/>
        <v>0.15822784810126583</v>
      </c>
      <c r="S2821" s="183">
        <f t="shared" si="3446"/>
        <v>6.3291139240506333E-2</v>
      </c>
      <c r="T2821" s="183">
        <f t="shared" si="3447"/>
        <v>6.9620253164556958E-2</v>
      </c>
      <c r="U2821" s="184">
        <f t="shared" si="3448"/>
        <v>1</v>
      </c>
      <c r="V2821" s="386"/>
    </row>
    <row r="2822" spans="2:22" ht="15.75" hidden="1" x14ac:dyDescent="0.2">
      <c r="B2822" s="711">
        <v>46261</v>
      </c>
      <c r="C2822" s="711" t="s">
        <v>106</v>
      </c>
      <c r="D2822" s="711" t="s">
        <v>13</v>
      </c>
      <c r="E2822" s="711">
        <v>46262</v>
      </c>
      <c r="G2822" s="816">
        <v>46262</v>
      </c>
      <c r="H2822" s="497" t="s">
        <v>16</v>
      </c>
      <c r="I2822" s="60" t="s">
        <v>112</v>
      </c>
      <c r="J2822" s="60">
        <v>240</v>
      </c>
      <c r="K2822" s="60">
        <v>0</v>
      </c>
      <c r="L2822" s="60">
        <v>0</v>
      </c>
      <c r="M2822" s="60">
        <v>131</v>
      </c>
      <c r="N2822" s="494">
        <v>81</v>
      </c>
      <c r="O2822" s="60">
        <v>20</v>
      </c>
      <c r="P2822" s="494">
        <v>8</v>
      </c>
      <c r="Q2822" s="182">
        <f t="shared" ref="Q2822:Q2824" si="3449">(K2822+L2822)/J2822</f>
        <v>0</v>
      </c>
      <c r="R2822" s="182">
        <f t="shared" ref="R2822:R2824" si="3450">N2822/J2822</f>
        <v>0.33750000000000002</v>
      </c>
      <c r="S2822" s="183">
        <f t="shared" ref="S2822:S2833" si="3451">P2822/J2822</f>
        <v>3.3333333333333333E-2</v>
      </c>
      <c r="T2822" s="183">
        <f t="shared" ref="T2822:T2833" si="3452">O2822/J2822</f>
        <v>8.3333333333333329E-2</v>
      </c>
      <c r="U2822" s="184">
        <f t="shared" ref="U2822:U2833" si="3453">S2822+R2822+Q2822+T2822</f>
        <v>0.45416666666666666</v>
      </c>
      <c r="V2822" s="386"/>
    </row>
    <row r="2823" spans="2:22" ht="15.75" hidden="1" x14ac:dyDescent="0.2">
      <c r="B2823" s="711">
        <v>46261</v>
      </c>
      <c r="C2823" s="711" t="s">
        <v>106</v>
      </c>
      <c r="D2823" s="711" t="s">
        <v>13</v>
      </c>
      <c r="E2823" s="711">
        <v>46262</v>
      </c>
      <c r="G2823" s="819"/>
      <c r="H2823" s="497" t="s">
        <v>17</v>
      </c>
      <c r="I2823" s="60" t="s">
        <v>106</v>
      </c>
      <c r="J2823" s="60">
        <v>205</v>
      </c>
      <c r="K2823" s="60">
        <v>2</v>
      </c>
      <c r="L2823" s="60">
        <v>0</v>
      </c>
      <c r="M2823" s="60">
        <v>44</v>
      </c>
      <c r="N2823" s="494">
        <v>116</v>
      </c>
      <c r="O2823" s="60">
        <v>32</v>
      </c>
      <c r="P2823" s="494">
        <v>11</v>
      </c>
      <c r="Q2823" s="182">
        <f t="shared" si="3449"/>
        <v>9.7560975609756097E-3</v>
      </c>
      <c r="R2823" s="182">
        <f t="shared" si="3450"/>
        <v>0.56585365853658531</v>
      </c>
      <c r="S2823" s="183">
        <f t="shared" si="3451"/>
        <v>5.3658536585365853E-2</v>
      </c>
      <c r="T2823" s="183">
        <f t="shared" si="3452"/>
        <v>0.15609756097560976</v>
      </c>
      <c r="U2823" s="184">
        <f t="shared" si="3453"/>
        <v>0.78536585365853662</v>
      </c>
      <c r="V2823" s="386"/>
    </row>
    <row r="2824" spans="2:22" ht="15.75" hidden="1" x14ac:dyDescent="0.2">
      <c r="B2824" s="711">
        <v>46261</v>
      </c>
      <c r="C2824" s="711" t="s">
        <v>106</v>
      </c>
      <c r="D2824" s="711" t="s">
        <v>13</v>
      </c>
      <c r="E2824" s="711">
        <v>46262</v>
      </c>
      <c r="G2824" s="817"/>
      <c r="H2824" s="497" t="s">
        <v>25</v>
      </c>
      <c r="I2824" s="60" t="s">
        <v>105</v>
      </c>
      <c r="J2824" s="60">
        <v>174</v>
      </c>
      <c r="K2824" s="60"/>
      <c r="L2824" s="60">
        <v>0</v>
      </c>
      <c r="M2824" s="60">
        <v>174</v>
      </c>
      <c r="N2824" s="494">
        <v>0</v>
      </c>
      <c r="O2824" s="60">
        <v>0</v>
      </c>
      <c r="P2824" s="494">
        <v>0</v>
      </c>
      <c r="Q2824" s="182">
        <f t="shared" si="3449"/>
        <v>0</v>
      </c>
      <c r="R2824" s="182">
        <f t="shared" si="3450"/>
        <v>0</v>
      </c>
      <c r="S2824" s="183">
        <f t="shared" si="3451"/>
        <v>0</v>
      </c>
      <c r="T2824" s="183">
        <f t="shared" si="3452"/>
        <v>0</v>
      </c>
      <c r="U2824" s="184">
        <f t="shared" si="3453"/>
        <v>0</v>
      </c>
      <c r="V2824" s="386"/>
    </row>
    <row r="2825" spans="2:22" ht="15.75" hidden="1" x14ac:dyDescent="0.2">
      <c r="B2825" s="711">
        <v>46261</v>
      </c>
      <c r="C2825" s="711" t="s">
        <v>106</v>
      </c>
      <c r="D2825" s="711" t="s">
        <v>13</v>
      </c>
      <c r="E2825" s="711">
        <v>46262</v>
      </c>
      <c r="G2825" s="775" t="s">
        <v>19</v>
      </c>
      <c r="H2825" s="776"/>
      <c r="I2825" s="777"/>
      <c r="J2825" s="190">
        <f>SUM(J2818:J2824)</f>
        <v>1418</v>
      </c>
      <c r="K2825" s="190">
        <f t="shared" ref="K2825:P2825" si="3454">SUM(K2818:K2824)</f>
        <v>440</v>
      </c>
      <c r="L2825" s="190">
        <f t="shared" si="3454"/>
        <v>224</v>
      </c>
      <c r="M2825" s="190">
        <f t="shared" si="3454"/>
        <v>352</v>
      </c>
      <c r="N2825" s="190">
        <f t="shared" si="3454"/>
        <v>222</v>
      </c>
      <c r="O2825" s="190">
        <f t="shared" si="3454"/>
        <v>128</v>
      </c>
      <c r="P2825" s="190">
        <f t="shared" si="3454"/>
        <v>52</v>
      </c>
      <c r="Q2825" s="481">
        <f>(K2825+L2825)/J2825</f>
        <v>0.46826516220028208</v>
      </c>
      <c r="R2825" s="481">
        <f>N2825/J2825</f>
        <v>0.15655853314527504</v>
      </c>
      <c r="S2825" s="482">
        <f t="shared" si="3451"/>
        <v>3.6671368124118475E-2</v>
      </c>
      <c r="T2825" s="482">
        <f t="shared" si="3452"/>
        <v>9.0267983074753172E-2</v>
      </c>
      <c r="U2825" s="483">
        <f t="shared" si="3453"/>
        <v>0.75176304654442871</v>
      </c>
      <c r="V2825" s="479"/>
    </row>
    <row r="2826" spans="2:22" ht="15.75" hidden="1" x14ac:dyDescent="0.2">
      <c r="B2826" s="711">
        <v>46261</v>
      </c>
      <c r="C2826" s="711" t="s">
        <v>105</v>
      </c>
      <c r="D2826" s="10" t="s">
        <v>192</v>
      </c>
      <c r="E2826" s="711">
        <v>46261</v>
      </c>
      <c r="G2826" s="778">
        <v>46261</v>
      </c>
      <c r="H2826" s="497" t="s">
        <v>16</v>
      </c>
      <c r="I2826" s="60" t="s">
        <v>112</v>
      </c>
      <c r="J2826" s="60">
        <f>SUM(K2826:P2826)</f>
        <v>49</v>
      </c>
      <c r="K2826" s="60">
        <f>149-121</f>
        <v>28</v>
      </c>
      <c r="L2826" s="60">
        <f>110-91</f>
        <v>19</v>
      </c>
      <c r="M2826" s="60">
        <v>0</v>
      </c>
      <c r="N2826" s="494">
        <v>0</v>
      </c>
      <c r="O2826" s="60">
        <v>0</v>
      </c>
      <c r="P2826" s="494">
        <v>2</v>
      </c>
      <c r="Q2826" s="182">
        <f t="shared" ref="Q2826:Q2832" si="3455">(K2826+L2826)/J2826</f>
        <v>0.95918367346938771</v>
      </c>
      <c r="R2826" s="182">
        <f t="shared" ref="R2826:R2832" si="3456">N2826/J2826</f>
        <v>0</v>
      </c>
      <c r="S2826" s="183">
        <f t="shared" si="3451"/>
        <v>4.0816326530612242E-2</v>
      </c>
      <c r="T2826" s="183">
        <f t="shared" si="3452"/>
        <v>0</v>
      </c>
      <c r="U2826" s="184">
        <f t="shared" si="3453"/>
        <v>1</v>
      </c>
      <c r="V2826" s="386"/>
    </row>
    <row r="2827" spans="2:22" ht="15.75" hidden="1" x14ac:dyDescent="0.2">
      <c r="B2827" s="711">
        <v>46261</v>
      </c>
      <c r="C2827" s="711" t="s">
        <v>105</v>
      </c>
      <c r="D2827" s="10" t="s">
        <v>192</v>
      </c>
      <c r="E2827" s="711">
        <v>46261</v>
      </c>
      <c r="G2827" s="786"/>
      <c r="H2827" s="497" t="s">
        <v>14</v>
      </c>
      <c r="I2827" s="60" t="s">
        <v>105</v>
      </c>
      <c r="J2827" s="60">
        <f>SUM(K2827:P2827)</f>
        <v>77</v>
      </c>
      <c r="K2827" s="60">
        <v>53</v>
      </c>
      <c r="L2827" s="60">
        <v>15</v>
      </c>
      <c r="M2827" s="60">
        <v>0</v>
      </c>
      <c r="N2827" s="494">
        <v>0</v>
      </c>
      <c r="O2827" s="60">
        <v>0</v>
      </c>
      <c r="P2827" s="494">
        <v>9</v>
      </c>
      <c r="Q2827" s="182">
        <f t="shared" si="3455"/>
        <v>0.88311688311688308</v>
      </c>
      <c r="R2827" s="182">
        <f t="shared" si="3456"/>
        <v>0</v>
      </c>
      <c r="S2827" s="183">
        <f t="shared" si="3451"/>
        <v>0.11688311688311688</v>
      </c>
      <c r="T2827" s="183">
        <f t="shared" si="3452"/>
        <v>0</v>
      </c>
      <c r="U2827" s="184">
        <f t="shared" si="3453"/>
        <v>1</v>
      </c>
      <c r="V2827" s="386"/>
    </row>
    <row r="2828" spans="2:22" ht="15.75" hidden="1" x14ac:dyDescent="0.2">
      <c r="B2828" s="711">
        <v>46261</v>
      </c>
      <c r="C2828" s="711" t="s">
        <v>105</v>
      </c>
      <c r="D2828" s="10" t="s">
        <v>192</v>
      </c>
      <c r="E2828" s="711">
        <v>46261</v>
      </c>
      <c r="G2828" s="779"/>
      <c r="H2828" s="497" t="s">
        <v>180</v>
      </c>
      <c r="I2828" s="60" t="s">
        <v>105</v>
      </c>
      <c r="J2828" s="60">
        <f>SUM(K2828:P2828)</f>
        <v>13</v>
      </c>
      <c r="K2828" s="60">
        <v>11</v>
      </c>
      <c r="L2828" s="60">
        <v>2</v>
      </c>
      <c r="M2828" s="60">
        <v>0</v>
      </c>
      <c r="N2828" s="494">
        <v>0</v>
      </c>
      <c r="O2828" s="60">
        <v>0</v>
      </c>
      <c r="P2828" s="494">
        <v>0</v>
      </c>
      <c r="Q2828" s="182">
        <f t="shared" si="3455"/>
        <v>1</v>
      </c>
      <c r="R2828" s="182">
        <f t="shared" si="3456"/>
        <v>0</v>
      </c>
      <c r="S2828" s="183">
        <f t="shared" si="3451"/>
        <v>0</v>
      </c>
      <c r="T2828" s="183">
        <f t="shared" si="3452"/>
        <v>0</v>
      </c>
      <c r="U2828" s="184">
        <f t="shared" si="3453"/>
        <v>1</v>
      </c>
      <c r="V2828" s="386"/>
    </row>
    <row r="2829" spans="2:22" ht="15.75" hidden="1" x14ac:dyDescent="0.2">
      <c r="B2829" s="711">
        <v>46261</v>
      </c>
      <c r="C2829" s="711" t="s">
        <v>105</v>
      </c>
      <c r="D2829" s="10" t="s">
        <v>192</v>
      </c>
      <c r="E2829" s="711">
        <v>46262</v>
      </c>
      <c r="G2829" s="770">
        <v>46262</v>
      </c>
      <c r="H2829" s="497" t="s">
        <v>16</v>
      </c>
      <c r="I2829" s="60" t="s">
        <v>112</v>
      </c>
      <c r="J2829" s="60">
        <v>240</v>
      </c>
      <c r="K2829" s="60">
        <v>121</v>
      </c>
      <c r="L2829" s="60">
        <v>91</v>
      </c>
      <c r="M2829" s="60">
        <v>4</v>
      </c>
      <c r="N2829" s="494">
        <v>0</v>
      </c>
      <c r="O2829" s="60">
        <v>20</v>
      </c>
      <c r="P2829" s="494">
        <v>3</v>
      </c>
      <c r="Q2829" s="182">
        <f t="shared" si="3455"/>
        <v>0.8833333333333333</v>
      </c>
      <c r="R2829" s="182">
        <f t="shared" si="3456"/>
        <v>0</v>
      </c>
      <c r="S2829" s="183">
        <f t="shared" si="3451"/>
        <v>1.2500000000000001E-2</v>
      </c>
      <c r="T2829" s="183">
        <f t="shared" si="3452"/>
        <v>8.3333333333333329E-2</v>
      </c>
      <c r="U2829" s="184">
        <f t="shared" si="3453"/>
        <v>0.97916666666666663</v>
      </c>
      <c r="V2829" s="386"/>
    </row>
    <row r="2830" spans="2:22" ht="15.75" hidden="1" x14ac:dyDescent="0.2">
      <c r="B2830" s="711">
        <v>46261</v>
      </c>
      <c r="C2830" s="711" t="s">
        <v>105</v>
      </c>
      <c r="D2830" s="10" t="s">
        <v>192</v>
      </c>
      <c r="E2830" s="711">
        <v>46262</v>
      </c>
      <c r="G2830" s="771"/>
      <c r="H2830" s="497" t="s">
        <v>17</v>
      </c>
      <c r="I2830" s="60" t="s">
        <v>106</v>
      </c>
      <c r="J2830" s="60">
        <v>205</v>
      </c>
      <c r="K2830" s="60">
        <v>106</v>
      </c>
      <c r="L2830" s="60">
        <v>23</v>
      </c>
      <c r="M2830" s="60">
        <v>15</v>
      </c>
      <c r="N2830" s="494">
        <v>20</v>
      </c>
      <c r="O2830" s="60">
        <v>32</v>
      </c>
      <c r="P2830" s="494">
        <v>11</v>
      </c>
      <c r="Q2830" s="182">
        <f t="shared" si="3455"/>
        <v>0.62926829268292683</v>
      </c>
      <c r="R2830" s="182">
        <f t="shared" si="3456"/>
        <v>9.7560975609756101E-2</v>
      </c>
      <c r="S2830" s="183">
        <f t="shared" si="3451"/>
        <v>5.3658536585365853E-2</v>
      </c>
      <c r="T2830" s="183">
        <f t="shared" si="3452"/>
        <v>0.15609756097560976</v>
      </c>
      <c r="U2830" s="184">
        <f t="shared" si="3453"/>
        <v>0.93658536585365859</v>
      </c>
      <c r="V2830" s="386"/>
    </row>
    <row r="2831" spans="2:22" ht="15.75" hidden="1" x14ac:dyDescent="0.2">
      <c r="B2831" s="711">
        <v>46261</v>
      </c>
      <c r="C2831" s="711" t="s">
        <v>105</v>
      </c>
      <c r="D2831" s="10" t="s">
        <v>192</v>
      </c>
      <c r="E2831" s="711">
        <v>46262</v>
      </c>
      <c r="G2831" s="771"/>
      <c r="H2831" s="497" t="s">
        <v>120</v>
      </c>
      <c r="I2831" s="60" t="s">
        <v>106</v>
      </c>
      <c r="J2831" s="60">
        <v>27</v>
      </c>
      <c r="K2831" s="60">
        <v>25</v>
      </c>
      <c r="L2831" s="60">
        <v>0</v>
      </c>
      <c r="M2831" s="60">
        <v>0</v>
      </c>
      <c r="N2831" s="494">
        <v>0</v>
      </c>
      <c r="O2831" s="60">
        <v>0</v>
      </c>
      <c r="P2831" s="494">
        <v>2</v>
      </c>
      <c r="Q2831" s="182">
        <f t="shared" si="3455"/>
        <v>0.92592592592592593</v>
      </c>
      <c r="R2831" s="182">
        <f t="shared" si="3456"/>
        <v>0</v>
      </c>
      <c r="S2831" s="183">
        <f t="shared" si="3451"/>
        <v>7.407407407407407E-2</v>
      </c>
      <c r="T2831" s="183">
        <f t="shared" si="3452"/>
        <v>0</v>
      </c>
      <c r="U2831" s="184">
        <f t="shared" si="3453"/>
        <v>1</v>
      </c>
      <c r="V2831" s="386"/>
    </row>
    <row r="2832" spans="2:22" ht="15.75" hidden="1" x14ac:dyDescent="0.2">
      <c r="B2832" s="711">
        <v>46261</v>
      </c>
      <c r="C2832" s="711" t="s">
        <v>105</v>
      </c>
      <c r="D2832" s="10" t="s">
        <v>192</v>
      </c>
      <c r="E2832" s="711">
        <v>46262</v>
      </c>
      <c r="G2832" s="772"/>
      <c r="H2832" s="497" t="s">
        <v>25</v>
      </c>
      <c r="I2832" s="60" t="s">
        <v>105</v>
      </c>
      <c r="J2832" s="60">
        <v>174</v>
      </c>
      <c r="K2832" s="60">
        <v>3</v>
      </c>
      <c r="L2832" s="60">
        <v>5</v>
      </c>
      <c r="M2832" s="60">
        <v>85</v>
      </c>
      <c r="N2832" s="494">
        <v>60</v>
      </c>
      <c r="O2832" s="60">
        <v>16</v>
      </c>
      <c r="P2832" s="494">
        <v>5</v>
      </c>
      <c r="Q2832" s="182">
        <f t="shared" si="3455"/>
        <v>4.5977011494252873E-2</v>
      </c>
      <c r="R2832" s="182">
        <f t="shared" si="3456"/>
        <v>0.34482758620689657</v>
      </c>
      <c r="S2832" s="183">
        <f t="shared" si="3451"/>
        <v>2.8735632183908046E-2</v>
      </c>
      <c r="T2832" s="183">
        <f t="shared" si="3452"/>
        <v>9.1954022988505746E-2</v>
      </c>
      <c r="U2832" s="184">
        <f t="shared" si="3453"/>
        <v>0.51149425287356332</v>
      </c>
      <c r="V2832" s="386"/>
    </row>
    <row r="2833" spans="2:22" ht="15.75" hidden="1" x14ac:dyDescent="0.2">
      <c r="B2833" s="711">
        <v>46261</v>
      </c>
      <c r="C2833" s="711" t="s">
        <v>105</v>
      </c>
      <c r="D2833" s="10" t="s">
        <v>192</v>
      </c>
      <c r="E2833" s="711">
        <v>46261</v>
      </c>
      <c r="G2833" s="775" t="s">
        <v>19</v>
      </c>
      <c r="H2833" s="776"/>
      <c r="I2833" s="777"/>
      <c r="J2833" s="190">
        <f t="shared" ref="J2833:P2833" si="3457">SUM(J2826:J2832)</f>
        <v>785</v>
      </c>
      <c r="K2833" s="190">
        <f t="shared" si="3457"/>
        <v>347</v>
      </c>
      <c r="L2833" s="190">
        <f t="shared" si="3457"/>
        <v>155</v>
      </c>
      <c r="M2833" s="190">
        <f t="shared" si="3457"/>
        <v>104</v>
      </c>
      <c r="N2833" s="190">
        <f t="shared" si="3457"/>
        <v>80</v>
      </c>
      <c r="O2833" s="190">
        <f t="shared" si="3457"/>
        <v>68</v>
      </c>
      <c r="P2833" s="190">
        <f t="shared" si="3457"/>
        <v>32</v>
      </c>
      <c r="Q2833" s="481">
        <f>(K2833+L2833)/J2833</f>
        <v>0.63949044585987258</v>
      </c>
      <c r="R2833" s="481">
        <f>N2833/J2833</f>
        <v>0.10191082802547771</v>
      </c>
      <c r="S2833" s="482">
        <f t="shared" si="3451"/>
        <v>4.0764331210191081E-2</v>
      </c>
      <c r="T2833" s="482">
        <f t="shared" si="3452"/>
        <v>8.6624203821656046E-2</v>
      </c>
      <c r="U2833" s="483">
        <f t="shared" si="3453"/>
        <v>0.86878980891719737</v>
      </c>
      <c r="V2833" s="479"/>
    </row>
    <row r="2834" spans="2:22" ht="15.75" hidden="1" x14ac:dyDescent="0.2">
      <c r="B2834" s="711">
        <v>46262</v>
      </c>
      <c r="C2834" s="711" t="s">
        <v>106</v>
      </c>
      <c r="D2834" s="10" t="s">
        <v>13</v>
      </c>
      <c r="E2834" s="711">
        <v>46262</v>
      </c>
      <c r="G2834" s="778">
        <v>46262</v>
      </c>
      <c r="H2834" s="497" t="s">
        <v>16</v>
      </c>
      <c r="I2834" s="60" t="s">
        <v>112</v>
      </c>
      <c r="J2834" s="60">
        <v>240</v>
      </c>
      <c r="K2834" s="60">
        <v>145</v>
      </c>
      <c r="L2834" s="60">
        <v>70</v>
      </c>
      <c r="M2834" s="60">
        <v>2</v>
      </c>
      <c r="N2834" s="494">
        <v>0</v>
      </c>
      <c r="O2834" s="60">
        <v>20</v>
      </c>
      <c r="P2834" s="494">
        <v>3</v>
      </c>
      <c r="Q2834" s="182">
        <f t="shared" ref="Q2834:Q2838" si="3458">(K2834+L2834)/J2834</f>
        <v>0.89583333333333337</v>
      </c>
      <c r="R2834" s="182">
        <f t="shared" ref="R2834:R2838" si="3459">N2834/J2834</f>
        <v>0</v>
      </c>
      <c r="S2834" s="183">
        <f t="shared" ref="S2834:S2838" si="3460">P2834/J2834</f>
        <v>1.2500000000000001E-2</v>
      </c>
      <c r="T2834" s="183">
        <f t="shared" ref="T2834:T2838" si="3461">O2834/J2834</f>
        <v>8.3333333333333329E-2</v>
      </c>
      <c r="U2834" s="184">
        <f t="shared" ref="U2834:U2838" si="3462">S2834+R2834+Q2834+T2834</f>
        <v>0.9916666666666667</v>
      </c>
      <c r="V2834" s="386"/>
    </row>
    <row r="2835" spans="2:22" ht="15.75" hidden="1" x14ac:dyDescent="0.2">
      <c r="B2835" s="711">
        <v>46262</v>
      </c>
      <c r="C2835" s="711" t="s">
        <v>106</v>
      </c>
      <c r="D2835" s="10" t="s">
        <v>13</v>
      </c>
      <c r="E2835" s="711">
        <v>46262</v>
      </c>
      <c r="G2835" s="786"/>
      <c r="H2835" s="497" t="s">
        <v>17</v>
      </c>
      <c r="I2835" s="60" t="s">
        <v>106</v>
      </c>
      <c r="J2835" s="60">
        <v>205</v>
      </c>
      <c r="K2835" s="60">
        <v>130</v>
      </c>
      <c r="L2835" s="60">
        <v>33</v>
      </c>
      <c r="M2835" s="60">
        <v>0</v>
      </c>
      <c r="N2835" s="494">
        <v>0</v>
      </c>
      <c r="O2835" s="60">
        <v>32</v>
      </c>
      <c r="P2835" s="494">
        <v>10</v>
      </c>
      <c r="Q2835" s="182">
        <f t="shared" si="3458"/>
        <v>0.79512195121951224</v>
      </c>
      <c r="R2835" s="182">
        <f t="shared" si="3459"/>
        <v>0</v>
      </c>
      <c r="S2835" s="183">
        <f t="shared" si="3460"/>
        <v>4.878048780487805E-2</v>
      </c>
      <c r="T2835" s="183">
        <f t="shared" si="3461"/>
        <v>0.15609756097560976</v>
      </c>
      <c r="U2835" s="184">
        <f t="shared" si="3462"/>
        <v>1</v>
      </c>
      <c r="V2835" s="386"/>
    </row>
    <row r="2836" spans="2:22" ht="15.75" hidden="1" x14ac:dyDescent="0.2">
      <c r="B2836" s="711">
        <v>46262</v>
      </c>
      <c r="C2836" s="711" t="s">
        <v>106</v>
      </c>
      <c r="D2836" s="10" t="s">
        <v>13</v>
      </c>
      <c r="E2836" s="711">
        <v>46262</v>
      </c>
      <c r="G2836" s="786"/>
      <c r="H2836" s="497" t="s">
        <v>120</v>
      </c>
      <c r="I2836" s="60" t="s">
        <v>106</v>
      </c>
      <c r="J2836" s="60">
        <v>27</v>
      </c>
      <c r="K2836" s="60">
        <v>27</v>
      </c>
      <c r="L2836" s="60">
        <v>0</v>
      </c>
      <c r="M2836" s="60">
        <v>0</v>
      </c>
      <c r="N2836" s="494">
        <v>0</v>
      </c>
      <c r="O2836" s="60">
        <v>0</v>
      </c>
      <c r="P2836" s="494">
        <v>0</v>
      </c>
      <c r="Q2836" s="182">
        <f t="shared" si="3458"/>
        <v>1</v>
      </c>
      <c r="R2836" s="182">
        <f t="shared" si="3459"/>
        <v>0</v>
      </c>
      <c r="S2836" s="183">
        <f t="shared" si="3460"/>
        <v>0</v>
      </c>
      <c r="T2836" s="183">
        <f t="shared" si="3461"/>
        <v>0</v>
      </c>
      <c r="U2836" s="184">
        <f t="shared" si="3462"/>
        <v>1</v>
      </c>
      <c r="V2836" s="386"/>
    </row>
    <row r="2837" spans="2:22" ht="15.75" hidden="1" x14ac:dyDescent="0.2">
      <c r="B2837" s="711">
        <v>46262</v>
      </c>
      <c r="C2837" s="711" t="s">
        <v>106</v>
      </c>
      <c r="D2837" s="10" t="s">
        <v>13</v>
      </c>
      <c r="E2837" s="711">
        <v>46262</v>
      </c>
      <c r="G2837" s="786"/>
      <c r="H2837" s="497" t="s">
        <v>180</v>
      </c>
      <c r="I2837" s="60" t="s">
        <v>105</v>
      </c>
      <c r="J2837" s="60">
        <v>15</v>
      </c>
      <c r="K2837" s="60">
        <v>0</v>
      </c>
      <c r="L2837" s="60">
        <v>0</v>
      </c>
      <c r="M2837" s="60">
        <v>0</v>
      </c>
      <c r="N2837" s="494">
        <v>15</v>
      </c>
      <c r="O2837" s="60">
        <v>0</v>
      </c>
      <c r="P2837" s="494">
        <v>0</v>
      </c>
      <c r="Q2837" s="182">
        <f t="shared" ref="Q2837" si="3463">(K2837+L2837)/J2837</f>
        <v>0</v>
      </c>
      <c r="R2837" s="182">
        <f t="shared" ref="R2837" si="3464">N2837/J2837</f>
        <v>1</v>
      </c>
      <c r="S2837" s="183">
        <f t="shared" ref="S2837" si="3465">P2837/J2837</f>
        <v>0</v>
      </c>
      <c r="T2837" s="183">
        <f t="shared" ref="T2837" si="3466">O2837/J2837</f>
        <v>0</v>
      </c>
      <c r="U2837" s="184">
        <f t="shared" ref="U2837" si="3467">S2837+R2837+Q2837+T2837</f>
        <v>1</v>
      </c>
      <c r="V2837" s="386"/>
    </row>
    <row r="2838" spans="2:22" ht="15.75" hidden="1" x14ac:dyDescent="0.2">
      <c r="B2838" s="711">
        <v>46262</v>
      </c>
      <c r="C2838" s="711" t="s">
        <v>106</v>
      </c>
      <c r="D2838" s="10" t="s">
        <v>13</v>
      </c>
      <c r="E2838" s="711">
        <v>46262</v>
      </c>
      <c r="G2838" s="779"/>
      <c r="H2838" s="497" t="s">
        <v>25</v>
      </c>
      <c r="I2838" s="60" t="s">
        <v>105</v>
      </c>
      <c r="J2838" s="60">
        <v>174</v>
      </c>
      <c r="K2838" s="60">
        <f>174-89</f>
        <v>85</v>
      </c>
      <c r="L2838" s="60">
        <v>18</v>
      </c>
      <c r="M2838" s="60">
        <v>4</v>
      </c>
      <c r="N2838" s="494">
        <v>46</v>
      </c>
      <c r="O2838" s="60">
        <v>16</v>
      </c>
      <c r="P2838" s="494">
        <v>5</v>
      </c>
      <c r="Q2838" s="182">
        <f t="shared" si="3458"/>
        <v>0.59195402298850575</v>
      </c>
      <c r="R2838" s="182">
        <f t="shared" si="3459"/>
        <v>0.26436781609195403</v>
      </c>
      <c r="S2838" s="183">
        <f t="shared" si="3460"/>
        <v>2.8735632183908046E-2</v>
      </c>
      <c r="T2838" s="183">
        <f t="shared" si="3461"/>
        <v>9.1954022988505746E-2</v>
      </c>
      <c r="U2838" s="184">
        <f t="shared" si="3462"/>
        <v>0.97701149425287359</v>
      </c>
      <c r="V2838" s="386"/>
    </row>
    <row r="2839" spans="2:22" ht="15.75" hidden="1" x14ac:dyDescent="0.2">
      <c r="B2839" s="711">
        <v>46262</v>
      </c>
      <c r="C2839" s="711" t="s">
        <v>106</v>
      </c>
      <c r="D2839" s="10" t="s">
        <v>13</v>
      </c>
      <c r="E2839" s="711">
        <v>46263</v>
      </c>
      <c r="G2839" s="770">
        <v>46263</v>
      </c>
      <c r="H2839" s="497" t="s">
        <v>16</v>
      </c>
      <c r="I2839" s="60" t="s">
        <v>112</v>
      </c>
      <c r="J2839" s="60">
        <v>252</v>
      </c>
      <c r="K2839" s="60">
        <v>0</v>
      </c>
      <c r="L2839" s="60">
        <v>0</v>
      </c>
      <c r="M2839" s="60">
        <v>60</v>
      </c>
      <c r="N2839" s="494">
        <v>165</v>
      </c>
      <c r="O2839" s="60">
        <v>20</v>
      </c>
      <c r="P2839" s="494">
        <v>7</v>
      </c>
      <c r="Q2839" s="182">
        <f t="shared" ref="Q2839:Q2842" si="3468">(K2839+L2839)/J2839</f>
        <v>0</v>
      </c>
      <c r="R2839" s="182">
        <f t="shared" ref="R2839:R2842" si="3469">N2839/J2839</f>
        <v>0.65476190476190477</v>
      </c>
      <c r="S2839" s="183">
        <f t="shared" ref="S2839:S2851" si="3470">P2839/J2839</f>
        <v>2.7777777777777776E-2</v>
      </c>
      <c r="T2839" s="183">
        <f t="shared" ref="T2839:T2851" si="3471">O2839/J2839</f>
        <v>7.9365079365079361E-2</v>
      </c>
      <c r="U2839" s="184">
        <f t="shared" ref="U2839:U2851" si="3472">S2839+R2839+Q2839+T2839</f>
        <v>0.76190476190476186</v>
      </c>
      <c r="V2839" s="386"/>
    </row>
    <row r="2840" spans="2:22" ht="15.75" hidden="1" x14ac:dyDescent="0.2">
      <c r="B2840" s="711">
        <v>46262</v>
      </c>
      <c r="C2840" s="711" t="s">
        <v>106</v>
      </c>
      <c r="D2840" s="10" t="s">
        <v>13</v>
      </c>
      <c r="E2840" s="711">
        <v>46263</v>
      </c>
      <c r="G2840" s="771"/>
      <c r="H2840" s="497" t="s">
        <v>25</v>
      </c>
      <c r="I2840" s="60" t="s">
        <v>106</v>
      </c>
      <c r="J2840" s="60">
        <v>234</v>
      </c>
      <c r="K2840" s="60">
        <v>0</v>
      </c>
      <c r="L2840" s="60">
        <v>0</v>
      </c>
      <c r="M2840" s="60">
        <v>224</v>
      </c>
      <c r="N2840" s="494">
        <v>0</v>
      </c>
      <c r="O2840" s="60">
        <v>0</v>
      </c>
      <c r="P2840" s="494">
        <v>10</v>
      </c>
      <c r="Q2840" s="182">
        <f t="shared" si="3468"/>
        <v>0</v>
      </c>
      <c r="R2840" s="182">
        <f t="shared" si="3469"/>
        <v>0</v>
      </c>
      <c r="S2840" s="183">
        <f t="shared" si="3470"/>
        <v>4.2735042735042736E-2</v>
      </c>
      <c r="T2840" s="183">
        <f t="shared" si="3471"/>
        <v>0</v>
      </c>
      <c r="U2840" s="184">
        <f t="shared" si="3472"/>
        <v>4.2735042735042736E-2</v>
      </c>
      <c r="V2840" s="386"/>
    </row>
    <row r="2841" spans="2:22" ht="15.75" hidden="1" x14ac:dyDescent="0.2">
      <c r="B2841" s="711">
        <v>46262</v>
      </c>
      <c r="C2841" s="711" t="s">
        <v>106</v>
      </c>
      <c r="D2841" s="10" t="s">
        <v>13</v>
      </c>
      <c r="E2841" s="711">
        <v>46263</v>
      </c>
      <c r="G2841" s="771"/>
      <c r="H2841" s="497" t="s">
        <v>120</v>
      </c>
      <c r="I2841" s="60" t="s">
        <v>106</v>
      </c>
      <c r="J2841" s="60">
        <v>17</v>
      </c>
      <c r="K2841" s="60">
        <v>0</v>
      </c>
      <c r="L2841" s="60">
        <v>0</v>
      </c>
      <c r="M2841" s="60">
        <v>0</v>
      </c>
      <c r="N2841" s="494">
        <v>17</v>
      </c>
      <c r="O2841" s="60">
        <v>0</v>
      </c>
      <c r="P2841" s="494">
        <v>0</v>
      </c>
      <c r="Q2841" s="182">
        <f t="shared" si="3468"/>
        <v>0</v>
      </c>
      <c r="R2841" s="182">
        <f t="shared" si="3469"/>
        <v>1</v>
      </c>
      <c r="S2841" s="183">
        <f t="shared" si="3470"/>
        <v>0</v>
      </c>
      <c r="T2841" s="183">
        <f t="shared" si="3471"/>
        <v>0</v>
      </c>
      <c r="U2841" s="184">
        <f t="shared" si="3472"/>
        <v>1</v>
      </c>
      <c r="V2841" s="386"/>
    </row>
    <row r="2842" spans="2:22" ht="15.75" hidden="1" x14ac:dyDescent="0.2">
      <c r="B2842" s="711">
        <v>46262</v>
      </c>
      <c r="C2842" s="711" t="s">
        <v>106</v>
      </c>
      <c r="D2842" s="10" t="s">
        <v>13</v>
      </c>
      <c r="E2842" s="711">
        <v>46263</v>
      </c>
      <c r="G2842" s="772"/>
      <c r="H2842" s="497" t="s">
        <v>14</v>
      </c>
      <c r="I2842" s="60" t="s">
        <v>105</v>
      </c>
      <c r="J2842" s="60">
        <v>168</v>
      </c>
      <c r="K2842" s="60">
        <v>0</v>
      </c>
      <c r="L2842" s="60">
        <v>0</v>
      </c>
      <c r="M2842" s="60">
        <v>151</v>
      </c>
      <c r="N2842" s="494">
        <v>0</v>
      </c>
      <c r="O2842" s="60">
        <v>11</v>
      </c>
      <c r="P2842" s="494">
        <v>6</v>
      </c>
      <c r="Q2842" s="182">
        <f t="shared" si="3468"/>
        <v>0</v>
      </c>
      <c r="R2842" s="182">
        <f t="shared" si="3469"/>
        <v>0</v>
      </c>
      <c r="S2842" s="183">
        <f t="shared" si="3470"/>
        <v>3.5714285714285712E-2</v>
      </c>
      <c r="T2842" s="183">
        <f t="shared" si="3471"/>
        <v>6.5476190476190479E-2</v>
      </c>
      <c r="U2842" s="184">
        <f t="shared" si="3472"/>
        <v>0.10119047619047619</v>
      </c>
      <c r="V2842" s="386"/>
    </row>
    <row r="2843" spans="2:22" ht="15.75" hidden="1" x14ac:dyDescent="0.2">
      <c r="B2843" s="711">
        <v>46262</v>
      </c>
      <c r="C2843" s="711" t="s">
        <v>106</v>
      </c>
      <c r="D2843" s="10" t="s">
        <v>13</v>
      </c>
      <c r="E2843" s="711">
        <v>46263</v>
      </c>
      <c r="G2843" s="775" t="s">
        <v>19</v>
      </c>
      <c r="H2843" s="776"/>
      <c r="I2843" s="777"/>
      <c r="J2843" s="190">
        <f t="shared" ref="J2843:P2843" si="3473">SUM(J2834:J2842)</f>
        <v>1332</v>
      </c>
      <c r="K2843" s="190">
        <f t="shared" si="3473"/>
        <v>387</v>
      </c>
      <c r="L2843" s="190">
        <f t="shared" si="3473"/>
        <v>121</v>
      </c>
      <c r="M2843" s="190">
        <f t="shared" si="3473"/>
        <v>441</v>
      </c>
      <c r="N2843" s="190">
        <f t="shared" si="3473"/>
        <v>243</v>
      </c>
      <c r="O2843" s="190">
        <f t="shared" si="3473"/>
        <v>99</v>
      </c>
      <c r="P2843" s="190">
        <f t="shared" si="3473"/>
        <v>41</v>
      </c>
      <c r="Q2843" s="481">
        <f>(K2843+L2843)/J2843</f>
        <v>0.38138138138138139</v>
      </c>
      <c r="R2843" s="481">
        <f>N2843/J2843</f>
        <v>0.18243243243243243</v>
      </c>
      <c r="S2843" s="482">
        <f t="shared" si="3470"/>
        <v>3.0780780780780781E-2</v>
      </c>
      <c r="T2843" s="482">
        <f t="shared" si="3471"/>
        <v>7.4324324324324328E-2</v>
      </c>
      <c r="U2843" s="483">
        <f t="shared" si="3472"/>
        <v>0.66891891891891897</v>
      </c>
      <c r="V2843" s="479"/>
    </row>
    <row r="2844" spans="2:22" ht="15.75" hidden="1" x14ac:dyDescent="0.2">
      <c r="B2844" s="711">
        <v>46262</v>
      </c>
      <c r="C2844" s="711" t="s">
        <v>105</v>
      </c>
      <c r="D2844" s="10" t="s">
        <v>192</v>
      </c>
      <c r="E2844" s="711">
        <v>46261</v>
      </c>
      <c r="G2844" s="778">
        <v>46262</v>
      </c>
      <c r="H2844" s="497" t="s">
        <v>16</v>
      </c>
      <c r="I2844" s="60" t="s">
        <v>112</v>
      </c>
      <c r="J2844" s="60">
        <f>SUM(K2844:P2844)</f>
        <v>32</v>
      </c>
      <c r="K2844" s="60">
        <v>5</v>
      </c>
      <c r="L2844" s="60">
        <f>117-93</f>
        <v>24</v>
      </c>
      <c r="M2844" s="60">
        <v>0</v>
      </c>
      <c r="N2844" s="494">
        <v>0</v>
      </c>
      <c r="O2844" s="60">
        <v>0</v>
      </c>
      <c r="P2844" s="494">
        <v>3</v>
      </c>
      <c r="Q2844" s="182">
        <f t="shared" ref="Q2844:Q2850" si="3474">(K2844+L2844)/J2844</f>
        <v>0.90625</v>
      </c>
      <c r="R2844" s="182">
        <f t="shared" ref="R2844:R2850" si="3475">N2844/J2844</f>
        <v>0</v>
      </c>
      <c r="S2844" s="183">
        <f t="shared" si="3470"/>
        <v>9.375E-2</v>
      </c>
      <c r="T2844" s="183">
        <f t="shared" si="3471"/>
        <v>0</v>
      </c>
      <c r="U2844" s="184">
        <f t="shared" si="3472"/>
        <v>1</v>
      </c>
      <c r="V2844" s="386"/>
    </row>
    <row r="2845" spans="2:22" ht="15.75" hidden="1" x14ac:dyDescent="0.2">
      <c r="B2845" s="711">
        <v>46262</v>
      </c>
      <c r="C2845" s="711" t="s">
        <v>105</v>
      </c>
      <c r="D2845" s="10" t="s">
        <v>192</v>
      </c>
      <c r="E2845" s="711">
        <v>46261</v>
      </c>
      <c r="G2845" s="786"/>
      <c r="H2845" s="497" t="s">
        <v>25</v>
      </c>
      <c r="I2845" s="60" t="s">
        <v>105</v>
      </c>
      <c r="J2845" s="60">
        <f>SUM(K2845:P2845)</f>
        <v>80</v>
      </c>
      <c r="K2845" s="60">
        <v>53</v>
      </c>
      <c r="L2845" s="60">
        <v>25</v>
      </c>
      <c r="M2845" s="60">
        <v>0</v>
      </c>
      <c r="N2845" s="494">
        <v>0</v>
      </c>
      <c r="O2845" s="60">
        <v>0</v>
      </c>
      <c r="P2845" s="494">
        <v>2</v>
      </c>
      <c r="Q2845" s="182">
        <f t="shared" si="3474"/>
        <v>0.97499999999999998</v>
      </c>
      <c r="R2845" s="182">
        <f t="shared" si="3475"/>
        <v>0</v>
      </c>
      <c r="S2845" s="183">
        <f t="shared" si="3470"/>
        <v>2.5000000000000001E-2</v>
      </c>
      <c r="T2845" s="183">
        <f t="shared" si="3471"/>
        <v>0</v>
      </c>
      <c r="U2845" s="184">
        <f t="shared" si="3472"/>
        <v>1</v>
      </c>
      <c r="V2845" s="386"/>
    </row>
    <row r="2846" spans="2:22" ht="15.75" hidden="1" x14ac:dyDescent="0.2">
      <c r="B2846" s="711">
        <v>46262</v>
      </c>
      <c r="C2846" s="711" t="s">
        <v>105</v>
      </c>
      <c r="D2846" s="10" t="s">
        <v>192</v>
      </c>
      <c r="E2846" s="711">
        <v>46261</v>
      </c>
      <c r="G2846" s="779"/>
      <c r="H2846" s="497" t="s">
        <v>180</v>
      </c>
      <c r="I2846" s="60" t="s">
        <v>105</v>
      </c>
      <c r="J2846" s="60">
        <f>SUM(K2846:P2846)</f>
        <v>18</v>
      </c>
      <c r="K2846" s="60">
        <v>17</v>
      </c>
      <c r="L2846" s="60">
        <v>1</v>
      </c>
      <c r="M2846" s="60">
        <v>0</v>
      </c>
      <c r="N2846" s="494">
        <v>0</v>
      </c>
      <c r="O2846" s="60">
        <v>0</v>
      </c>
      <c r="P2846" s="494">
        <v>0</v>
      </c>
      <c r="Q2846" s="182">
        <f t="shared" si="3474"/>
        <v>1</v>
      </c>
      <c r="R2846" s="182">
        <f t="shared" si="3475"/>
        <v>0</v>
      </c>
      <c r="S2846" s="183">
        <f t="shared" si="3470"/>
        <v>0</v>
      </c>
      <c r="T2846" s="183">
        <f t="shared" si="3471"/>
        <v>0</v>
      </c>
      <c r="U2846" s="184">
        <f t="shared" si="3472"/>
        <v>1</v>
      </c>
      <c r="V2846" s="386"/>
    </row>
    <row r="2847" spans="2:22" ht="15.75" hidden="1" x14ac:dyDescent="0.2">
      <c r="B2847" s="711">
        <v>46262</v>
      </c>
      <c r="C2847" s="711" t="s">
        <v>105</v>
      </c>
      <c r="D2847" s="10" t="s">
        <v>192</v>
      </c>
      <c r="E2847" s="711">
        <v>46262</v>
      </c>
      <c r="G2847" s="770">
        <v>46263</v>
      </c>
      <c r="H2847" s="497" t="s">
        <v>16</v>
      </c>
      <c r="I2847" s="60" t="s">
        <v>112</v>
      </c>
      <c r="J2847" s="60">
        <v>252</v>
      </c>
      <c r="K2847" s="60">
        <v>70</v>
      </c>
      <c r="L2847" s="60">
        <v>93</v>
      </c>
      <c r="M2847" s="60">
        <v>0</v>
      </c>
      <c r="N2847" s="494">
        <v>60</v>
      </c>
      <c r="O2847" s="60">
        <v>20</v>
      </c>
      <c r="P2847" s="494">
        <v>7</v>
      </c>
      <c r="Q2847" s="182">
        <f t="shared" si="3474"/>
        <v>0.64682539682539686</v>
      </c>
      <c r="R2847" s="182">
        <f t="shared" si="3475"/>
        <v>0.23809523809523808</v>
      </c>
      <c r="S2847" s="183">
        <f t="shared" si="3470"/>
        <v>2.7777777777777776E-2</v>
      </c>
      <c r="T2847" s="183">
        <f t="shared" si="3471"/>
        <v>7.9365079365079361E-2</v>
      </c>
      <c r="U2847" s="184">
        <f t="shared" si="3472"/>
        <v>0.99206349206349209</v>
      </c>
      <c r="V2847" s="386"/>
    </row>
    <row r="2848" spans="2:22" ht="15.75" hidden="1" x14ac:dyDescent="0.2">
      <c r="B2848" s="711">
        <v>46262</v>
      </c>
      <c r="C2848" s="711" t="s">
        <v>105</v>
      </c>
      <c r="D2848" s="10" t="s">
        <v>192</v>
      </c>
      <c r="E2848" s="711">
        <v>46262</v>
      </c>
      <c r="G2848" s="771"/>
      <c r="H2848" s="497" t="s">
        <v>25</v>
      </c>
      <c r="I2848" s="60" t="s">
        <v>106</v>
      </c>
      <c r="J2848" s="60">
        <v>234</v>
      </c>
      <c r="K2848" s="60">
        <v>126</v>
      </c>
      <c r="L2848" s="60">
        <v>41</v>
      </c>
      <c r="M2848" s="60">
        <v>17</v>
      </c>
      <c r="N2848" s="494">
        <v>14</v>
      </c>
      <c r="O2848" s="60">
        <v>23</v>
      </c>
      <c r="P2848" s="494">
        <v>14</v>
      </c>
      <c r="Q2848" s="182">
        <f t="shared" si="3474"/>
        <v>0.71367521367521369</v>
      </c>
      <c r="R2848" s="182">
        <f t="shared" si="3475"/>
        <v>5.9829059829059832E-2</v>
      </c>
      <c r="S2848" s="183">
        <f t="shared" si="3470"/>
        <v>5.9829059829059832E-2</v>
      </c>
      <c r="T2848" s="183">
        <f t="shared" si="3471"/>
        <v>9.8290598290598288E-2</v>
      </c>
      <c r="U2848" s="184">
        <f t="shared" si="3472"/>
        <v>0.93162393162393164</v>
      </c>
      <c r="V2848" s="386"/>
    </row>
    <row r="2849" spans="2:22" ht="15.75" hidden="1" x14ac:dyDescent="0.2">
      <c r="B2849" s="711">
        <v>46262</v>
      </c>
      <c r="C2849" s="711" t="s">
        <v>105</v>
      </c>
      <c r="D2849" s="10" t="s">
        <v>192</v>
      </c>
      <c r="E2849" s="711">
        <v>46262</v>
      </c>
      <c r="G2849" s="771"/>
      <c r="H2849" s="497" t="s">
        <v>120</v>
      </c>
      <c r="I2849" s="60" t="s">
        <v>106</v>
      </c>
      <c r="J2849" s="60">
        <v>17</v>
      </c>
      <c r="K2849" s="60">
        <v>17</v>
      </c>
      <c r="L2849" s="60">
        <v>0</v>
      </c>
      <c r="M2849" s="60">
        <v>0</v>
      </c>
      <c r="N2849" s="494">
        <v>0</v>
      </c>
      <c r="O2849" s="60">
        <v>0</v>
      </c>
      <c r="P2849" s="494">
        <v>0</v>
      </c>
      <c r="Q2849" s="182">
        <f t="shared" si="3474"/>
        <v>1</v>
      </c>
      <c r="R2849" s="182">
        <f t="shared" si="3475"/>
        <v>0</v>
      </c>
      <c r="S2849" s="183">
        <f t="shared" si="3470"/>
        <v>0</v>
      </c>
      <c r="T2849" s="183">
        <f t="shared" si="3471"/>
        <v>0</v>
      </c>
      <c r="U2849" s="184">
        <f t="shared" si="3472"/>
        <v>1</v>
      </c>
      <c r="V2849" s="386"/>
    </row>
    <row r="2850" spans="2:22" ht="15.75" hidden="1" x14ac:dyDescent="0.2">
      <c r="B2850" s="711">
        <v>46262</v>
      </c>
      <c r="C2850" s="711" t="s">
        <v>105</v>
      </c>
      <c r="D2850" s="10" t="s">
        <v>192</v>
      </c>
      <c r="E2850" s="711">
        <v>46262</v>
      </c>
      <c r="G2850" s="772"/>
      <c r="H2850" s="497" t="s">
        <v>14</v>
      </c>
      <c r="I2850" s="60" t="s">
        <v>105</v>
      </c>
      <c r="J2850" s="60">
        <v>168</v>
      </c>
      <c r="K2850" s="60">
        <v>0</v>
      </c>
      <c r="L2850" s="60">
        <v>0</v>
      </c>
      <c r="M2850" s="60">
        <v>63</v>
      </c>
      <c r="N2850" s="494">
        <v>88</v>
      </c>
      <c r="O2850" s="60">
        <v>11</v>
      </c>
      <c r="P2850" s="494">
        <v>6</v>
      </c>
      <c r="Q2850" s="182">
        <f t="shared" si="3474"/>
        <v>0</v>
      </c>
      <c r="R2850" s="182">
        <f t="shared" si="3475"/>
        <v>0.52380952380952384</v>
      </c>
      <c r="S2850" s="183">
        <f t="shared" si="3470"/>
        <v>3.5714285714285712E-2</v>
      </c>
      <c r="T2850" s="183">
        <f t="shared" si="3471"/>
        <v>6.5476190476190479E-2</v>
      </c>
      <c r="U2850" s="184">
        <f t="shared" si="3472"/>
        <v>0.625</v>
      </c>
      <c r="V2850" s="386"/>
    </row>
    <row r="2851" spans="2:22" ht="15.75" hidden="1" x14ac:dyDescent="0.2">
      <c r="B2851" s="711">
        <v>46262</v>
      </c>
      <c r="C2851" s="711" t="s">
        <v>105</v>
      </c>
      <c r="D2851" s="10" t="s">
        <v>192</v>
      </c>
      <c r="E2851" s="711">
        <v>46261</v>
      </c>
      <c r="G2851" s="775" t="s">
        <v>19</v>
      </c>
      <c r="H2851" s="776"/>
      <c r="I2851" s="777"/>
      <c r="J2851" s="190">
        <f t="shared" ref="J2851:P2851" si="3476">SUM(J2844:J2850)</f>
        <v>801</v>
      </c>
      <c r="K2851" s="190">
        <f t="shared" si="3476"/>
        <v>288</v>
      </c>
      <c r="L2851" s="190">
        <f t="shared" si="3476"/>
        <v>184</v>
      </c>
      <c r="M2851" s="190">
        <f t="shared" si="3476"/>
        <v>80</v>
      </c>
      <c r="N2851" s="190">
        <f t="shared" si="3476"/>
        <v>162</v>
      </c>
      <c r="O2851" s="190">
        <f t="shared" si="3476"/>
        <v>54</v>
      </c>
      <c r="P2851" s="190">
        <f t="shared" si="3476"/>
        <v>32</v>
      </c>
      <c r="Q2851" s="481">
        <f>(K2851+L2851)/J2851</f>
        <v>0.58926342072409488</v>
      </c>
      <c r="R2851" s="481">
        <f>N2851/J2851</f>
        <v>0.20224719101123595</v>
      </c>
      <c r="S2851" s="482">
        <f t="shared" si="3470"/>
        <v>3.9950062421972535E-2</v>
      </c>
      <c r="T2851" s="482">
        <f t="shared" si="3471"/>
        <v>6.741573033707865E-2</v>
      </c>
      <c r="U2851" s="483">
        <f t="shared" si="3472"/>
        <v>0.898876404494382</v>
      </c>
      <c r="V2851" s="479"/>
    </row>
    <row r="2852" spans="2:22" ht="15.75" hidden="1" x14ac:dyDescent="0.2">
      <c r="B2852" s="711">
        <v>46263</v>
      </c>
      <c r="C2852" s="711" t="s">
        <v>105</v>
      </c>
      <c r="D2852" s="10" t="s">
        <v>13</v>
      </c>
      <c r="E2852" s="711">
        <v>46263</v>
      </c>
      <c r="G2852" s="778">
        <v>46263</v>
      </c>
      <c r="H2852" s="497" t="s">
        <v>16</v>
      </c>
      <c r="I2852" s="60" t="s">
        <v>112</v>
      </c>
      <c r="J2852" s="60">
        <v>252</v>
      </c>
      <c r="K2852" s="60">
        <v>123</v>
      </c>
      <c r="L2852" s="60">
        <v>100</v>
      </c>
      <c r="M2852" s="60">
        <v>3</v>
      </c>
      <c r="N2852" s="494">
        <v>0</v>
      </c>
      <c r="O2852" s="60">
        <v>20</v>
      </c>
      <c r="P2852" s="494">
        <v>6</v>
      </c>
      <c r="Q2852" s="182">
        <f t="shared" ref="Q2852:Q2855" si="3477">(K2852+L2852)/J2852</f>
        <v>0.88492063492063489</v>
      </c>
      <c r="R2852" s="182">
        <f t="shared" ref="R2852:R2855" si="3478">N2852/J2852</f>
        <v>0</v>
      </c>
      <c r="S2852" s="183">
        <f t="shared" ref="S2852:S2855" si="3479">P2852/J2852</f>
        <v>2.3809523809523808E-2</v>
      </c>
      <c r="T2852" s="183">
        <f t="shared" ref="T2852:T2855" si="3480">O2852/J2852</f>
        <v>7.9365079365079361E-2</v>
      </c>
      <c r="U2852" s="184">
        <f t="shared" ref="U2852:U2855" si="3481">S2852+R2852+Q2852+T2852</f>
        <v>0.98809523809523814</v>
      </c>
      <c r="V2852" s="386"/>
    </row>
    <row r="2853" spans="2:22" ht="15.75" hidden="1" x14ac:dyDescent="0.2">
      <c r="B2853" s="711">
        <v>46263</v>
      </c>
      <c r="C2853" s="711" t="s">
        <v>105</v>
      </c>
      <c r="D2853" s="10" t="s">
        <v>13</v>
      </c>
      <c r="E2853" s="711">
        <v>46263</v>
      </c>
      <c r="G2853" s="786"/>
      <c r="H2853" s="497" t="s">
        <v>180</v>
      </c>
      <c r="I2853" s="60" t="s">
        <v>106</v>
      </c>
      <c r="J2853" s="60">
        <v>20</v>
      </c>
      <c r="K2853" s="60">
        <v>20</v>
      </c>
      <c r="L2853" s="60">
        <v>0</v>
      </c>
      <c r="M2853" s="60">
        <v>0</v>
      </c>
      <c r="N2853" s="494">
        <v>0</v>
      </c>
      <c r="O2853" s="60">
        <v>0</v>
      </c>
      <c r="P2853" s="494">
        <v>0</v>
      </c>
      <c r="Q2853" s="182">
        <f t="shared" si="3477"/>
        <v>1</v>
      </c>
      <c r="R2853" s="182">
        <f t="shared" si="3478"/>
        <v>0</v>
      </c>
      <c r="S2853" s="183">
        <f t="shared" si="3479"/>
        <v>0</v>
      </c>
      <c r="T2853" s="183">
        <f t="shared" si="3480"/>
        <v>0</v>
      </c>
      <c r="U2853" s="184">
        <f t="shared" si="3481"/>
        <v>1</v>
      </c>
      <c r="V2853" s="386"/>
    </row>
    <row r="2854" spans="2:22" ht="15.75" hidden="1" x14ac:dyDescent="0.2">
      <c r="B2854" s="711">
        <v>46263</v>
      </c>
      <c r="C2854" s="711" t="s">
        <v>105</v>
      </c>
      <c r="D2854" s="10" t="s">
        <v>13</v>
      </c>
      <c r="E2854" s="711">
        <v>46263</v>
      </c>
      <c r="G2854" s="786"/>
      <c r="H2854" s="497" t="s">
        <v>25</v>
      </c>
      <c r="I2854" s="60" t="s">
        <v>106</v>
      </c>
      <c r="J2854" s="60">
        <v>234</v>
      </c>
      <c r="K2854" s="60">
        <f>234-96</f>
        <v>138</v>
      </c>
      <c r="L2854" s="60">
        <v>62</v>
      </c>
      <c r="M2854" s="60">
        <v>0</v>
      </c>
      <c r="N2854" s="494">
        <v>0</v>
      </c>
      <c r="O2854" s="60">
        <v>23</v>
      </c>
      <c r="P2854" s="494">
        <v>11</v>
      </c>
      <c r="Q2854" s="182">
        <f t="shared" si="3477"/>
        <v>0.85470085470085466</v>
      </c>
      <c r="R2854" s="182">
        <f t="shared" si="3478"/>
        <v>0</v>
      </c>
      <c r="S2854" s="183">
        <f t="shared" si="3479"/>
        <v>4.7008547008547008E-2</v>
      </c>
      <c r="T2854" s="183">
        <f t="shared" si="3480"/>
        <v>9.8290598290598288E-2</v>
      </c>
      <c r="U2854" s="184">
        <f t="shared" si="3481"/>
        <v>0.99999999999999989</v>
      </c>
      <c r="V2854" s="386"/>
    </row>
    <row r="2855" spans="2:22" ht="15.75" hidden="1" x14ac:dyDescent="0.2">
      <c r="B2855" s="711">
        <v>46263</v>
      </c>
      <c r="C2855" s="711" t="s">
        <v>105</v>
      </c>
      <c r="D2855" s="10" t="s">
        <v>13</v>
      </c>
      <c r="E2855" s="711">
        <v>46263</v>
      </c>
      <c r="G2855" s="779"/>
      <c r="H2855" s="497" t="s">
        <v>14</v>
      </c>
      <c r="I2855" s="60" t="s">
        <v>105</v>
      </c>
      <c r="J2855" s="60">
        <v>168</v>
      </c>
      <c r="K2855" s="60">
        <f>168-101</f>
        <v>67</v>
      </c>
      <c r="L2855" s="60">
        <v>36</v>
      </c>
      <c r="M2855" s="60">
        <v>3</v>
      </c>
      <c r="N2855" s="494">
        <v>45</v>
      </c>
      <c r="O2855" s="60">
        <v>11</v>
      </c>
      <c r="P2855" s="494">
        <v>6</v>
      </c>
      <c r="Q2855" s="182">
        <f t="shared" si="3477"/>
        <v>0.61309523809523814</v>
      </c>
      <c r="R2855" s="182">
        <f t="shared" si="3478"/>
        <v>0.26785714285714285</v>
      </c>
      <c r="S2855" s="183">
        <f t="shared" si="3479"/>
        <v>3.5714285714285712E-2</v>
      </c>
      <c r="T2855" s="183">
        <f t="shared" si="3480"/>
        <v>6.5476190476190479E-2</v>
      </c>
      <c r="U2855" s="184">
        <f t="shared" si="3481"/>
        <v>0.98214285714285721</v>
      </c>
      <c r="V2855" s="386"/>
    </row>
    <row r="2856" spans="2:22" ht="15.75" hidden="1" x14ac:dyDescent="0.2">
      <c r="B2856" s="711">
        <v>46263</v>
      </c>
      <c r="C2856" s="711" t="s">
        <v>105</v>
      </c>
      <c r="D2856" s="10" t="s">
        <v>13</v>
      </c>
      <c r="E2856" s="711">
        <v>46264</v>
      </c>
      <c r="G2856" s="816">
        <v>46264</v>
      </c>
      <c r="H2856" s="497" t="s">
        <v>16</v>
      </c>
      <c r="I2856" s="60" t="s">
        <v>112</v>
      </c>
      <c r="J2856" s="60">
        <v>238</v>
      </c>
      <c r="K2856" s="60">
        <v>0</v>
      </c>
      <c r="L2856" s="60">
        <v>0</v>
      </c>
      <c r="M2856" s="60">
        <v>209</v>
      </c>
      <c r="N2856" s="494">
        <v>0</v>
      </c>
      <c r="O2856" s="60">
        <v>20</v>
      </c>
      <c r="P2856" s="494">
        <v>9</v>
      </c>
      <c r="Q2856" s="182">
        <f t="shared" ref="Q2856:Q2861" si="3482">(K2856+L2856)/J2856</f>
        <v>0</v>
      </c>
      <c r="R2856" s="182">
        <f t="shared" ref="R2856:R2861" si="3483">N2856/J2856</f>
        <v>0</v>
      </c>
      <c r="S2856" s="183">
        <f t="shared" ref="S2856:S2871" si="3484">P2856/J2856</f>
        <v>3.7815126050420166E-2</v>
      </c>
      <c r="T2856" s="183">
        <f t="shared" ref="T2856:T2871" si="3485">O2856/J2856</f>
        <v>8.4033613445378158E-2</v>
      </c>
      <c r="U2856" s="184">
        <f t="shared" ref="U2856:U2871" si="3486">S2856+R2856+Q2856+T2856</f>
        <v>0.12184873949579833</v>
      </c>
      <c r="V2856" s="386"/>
    </row>
    <row r="2857" spans="2:22" ht="15.75" hidden="1" x14ac:dyDescent="0.2">
      <c r="B2857" s="711">
        <v>46263</v>
      </c>
      <c r="C2857" s="711" t="s">
        <v>105</v>
      </c>
      <c r="D2857" s="10" t="s">
        <v>13</v>
      </c>
      <c r="E2857" s="711">
        <v>46264</v>
      </c>
      <c r="G2857" s="819"/>
      <c r="H2857" s="497" t="s">
        <v>17</v>
      </c>
      <c r="I2857" s="60" t="s">
        <v>106</v>
      </c>
      <c r="J2857" s="60">
        <v>191</v>
      </c>
      <c r="K2857" s="60">
        <v>0</v>
      </c>
      <c r="L2857" s="60">
        <v>0</v>
      </c>
      <c r="M2857" s="60">
        <v>102</v>
      </c>
      <c r="N2857" s="494">
        <v>49</v>
      </c>
      <c r="O2857" s="60">
        <v>26</v>
      </c>
      <c r="P2857" s="494">
        <v>14</v>
      </c>
      <c r="Q2857" s="182">
        <f t="shared" si="3482"/>
        <v>0</v>
      </c>
      <c r="R2857" s="182">
        <f t="shared" si="3483"/>
        <v>0.25654450261780104</v>
      </c>
      <c r="S2857" s="183">
        <f t="shared" si="3484"/>
        <v>7.3298429319371722E-2</v>
      </c>
      <c r="T2857" s="183">
        <f t="shared" si="3485"/>
        <v>0.13612565445026178</v>
      </c>
      <c r="U2857" s="184">
        <f t="shared" si="3486"/>
        <v>0.46596858638743455</v>
      </c>
      <c r="V2857" s="386"/>
    </row>
    <row r="2858" spans="2:22" ht="15.75" hidden="1" x14ac:dyDescent="0.2">
      <c r="B2858" s="711">
        <v>46263</v>
      </c>
      <c r="C2858" s="711" t="s">
        <v>105</v>
      </c>
      <c r="D2858" s="10" t="s">
        <v>13</v>
      </c>
      <c r="E2858" s="711">
        <v>46264</v>
      </c>
      <c r="G2858" s="819"/>
      <c r="H2858" s="497" t="s">
        <v>25</v>
      </c>
      <c r="I2858" s="60" t="s">
        <v>105</v>
      </c>
      <c r="J2858" s="60">
        <v>175</v>
      </c>
      <c r="K2858" s="60">
        <v>0</v>
      </c>
      <c r="L2858" s="60">
        <v>0</v>
      </c>
      <c r="M2858" s="60">
        <v>175</v>
      </c>
      <c r="N2858" s="494">
        <v>0</v>
      </c>
      <c r="O2858" s="60">
        <v>0</v>
      </c>
      <c r="P2858" s="494">
        <v>0</v>
      </c>
      <c r="Q2858" s="182">
        <f t="shared" si="3482"/>
        <v>0</v>
      </c>
      <c r="R2858" s="182">
        <f t="shared" si="3483"/>
        <v>0</v>
      </c>
      <c r="S2858" s="183">
        <f t="shared" si="3484"/>
        <v>0</v>
      </c>
      <c r="T2858" s="183">
        <f t="shared" si="3485"/>
        <v>0</v>
      </c>
      <c r="U2858" s="184">
        <f t="shared" si="3486"/>
        <v>0</v>
      </c>
      <c r="V2858" s="386"/>
    </row>
    <row r="2859" spans="2:22" ht="15.75" hidden="1" x14ac:dyDescent="0.2">
      <c r="B2859" s="711">
        <v>46263</v>
      </c>
      <c r="C2859" s="711" t="s">
        <v>105</v>
      </c>
      <c r="D2859" s="10" t="s">
        <v>13</v>
      </c>
      <c r="E2859" s="711">
        <v>46264</v>
      </c>
      <c r="G2859" s="819"/>
      <c r="H2859" s="497" t="s">
        <v>84</v>
      </c>
      <c r="I2859" s="60" t="s">
        <v>106</v>
      </c>
      <c r="J2859" s="60">
        <v>199</v>
      </c>
      <c r="K2859" s="60">
        <v>112</v>
      </c>
      <c r="L2859" s="60">
        <v>14</v>
      </c>
      <c r="M2859" s="60">
        <v>22</v>
      </c>
      <c r="N2859" s="494">
        <v>28</v>
      </c>
      <c r="O2859" s="60">
        <v>11</v>
      </c>
      <c r="P2859" s="494">
        <v>12</v>
      </c>
      <c r="Q2859" s="182">
        <f t="shared" ref="Q2859:Q2860" si="3487">(K2859+L2859)/J2859</f>
        <v>0.63316582914572861</v>
      </c>
      <c r="R2859" s="182">
        <f t="shared" ref="R2859:R2860" si="3488">N2859/J2859</f>
        <v>0.1407035175879397</v>
      </c>
      <c r="S2859" s="183">
        <f t="shared" ref="S2859:S2860" si="3489">P2859/J2859</f>
        <v>6.030150753768844E-2</v>
      </c>
      <c r="T2859" s="183">
        <f t="shared" ref="T2859:T2860" si="3490">O2859/J2859</f>
        <v>5.5276381909547742E-2</v>
      </c>
      <c r="U2859" s="184">
        <f t="shared" ref="U2859:U2860" si="3491">S2859+R2859+Q2859+T2859</f>
        <v>0.88944723618090449</v>
      </c>
      <c r="V2859" s="386"/>
    </row>
    <row r="2860" spans="2:22" ht="15.75" hidden="1" x14ac:dyDescent="0.2">
      <c r="B2860" s="711">
        <v>46263</v>
      </c>
      <c r="C2860" s="711" t="s">
        <v>105</v>
      </c>
      <c r="D2860" s="10" t="s">
        <v>13</v>
      </c>
      <c r="E2860" s="711">
        <v>46264</v>
      </c>
      <c r="G2860" s="819"/>
      <c r="H2860" s="497" t="s">
        <v>120</v>
      </c>
      <c r="I2860" s="60" t="s">
        <v>106</v>
      </c>
      <c r="J2860" s="60">
        <v>40</v>
      </c>
      <c r="K2860" s="60">
        <v>38</v>
      </c>
      <c r="L2860" s="60">
        <v>0</v>
      </c>
      <c r="M2860" s="60">
        <v>0</v>
      </c>
      <c r="N2860" s="494">
        <v>0</v>
      </c>
      <c r="O2860" s="60">
        <v>0</v>
      </c>
      <c r="P2860" s="494">
        <v>2</v>
      </c>
      <c r="Q2860" s="182">
        <f t="shared" si="3487"/>
        <v>0.95</v>
      </c>
      <c r="R2860" s="182">
        <f t="shared" si="3488"/>
        <v>0</v>
      </c>
      <c r="S2860" s="183">
        <f t="shared" si="3489"/>
        <v>0.05</v>
      </c>
      <c r="T2860" s="183">
        <f t="shared" si="3490"/>
        <v>0</v>
      </c>
      <c r="U2860" s="184">
        <f t="shared" si="3491"/>
        <v>1</v>
      </c>
      <c r="V2860" s="386"/>
    </row>
    <row r="2861" spans="2:22" ht="15.75" hidden="1" x14ac:dyDescent="0.2">
      <c r="B2861" s="711">
        <v>46263</v>
      </c>
      <c r="C2861" s="711" t="s">
        <v>105</v>
      </c>
      <c r="D2861" s="10" t="s">
        <v>13</v>
      </c>
      <c r="E2861" s="711">
        <v>46264</v>
      </c>
      <c r="G2861" s="817"/>
      <c r="H2861" s="497" t="s">
        <v>118</v>
      </c>
      <c r="I2861" s="60" t="s">
        <v>106</v>
      </c>
      <c r="J2861" s="60">
        <v>14</v>
      </c>
      <c r="K2861" s="60">
        <v>0</v>
      </c>
      <c r="L2861" s="60">
        <v>0</v>
      </c>
      <c r="M2861" s="60">
        <v>9</v>
      </c>
      <c r="N2861" s="494">
        <v>0</v>
      </c>
      <c r="O2861" s="60">
        <v>0</v>
      </c>
      <c r="P2861" s="494">
        <v>5</v>
      </c>
      <c r="Q2861" s="182">
        <f t="shared" si="3482"/>
        <v>0</v>
      </c>
      <c r="R2861" s="182">
        <f t="shared" si="3483"/>
        <v>0</v>
      </c>
      <c r="S2861" s="183">
        <f t="shared" si="3484"/>
        <v>0.35714285714285715</v>
      </c>
      <c r="T2861" s="183">
        <f t="shared" si="3485"/>
        <v>0</v>
      </c>
      <c r="U2861" s="184">
        <f t="shared" si="3486"/>
        <v>0.35714285714285715</v>
      </c>
      <c r="V2861" s="386"/>
    </row>
    <row r="2862" spans="2:22" ht="15.75" hidden="1" x14ac:dyDescent="0.2">
      <c r="B2862" s="711">
        <v>46263</v>
      </c>
      <c r="C2862" s="711" t="s">
        <v>105</v>
      </c>
      <c r="D2862" s="10" t="s">
        <v>13</v>
      </c>
      <c r="E2862" s="711">
        <v>46264</v>
      </c>
      <c r="G2862" s="775" t="s">
        <v>19</v>
      </c>
      <c r="H2862" s="776"/>
      <c r="I2862" s="777"/>
      <c r="J2862" s="190">
        <f>SUM(J2852:J2861)</f>
        <v>1531</v>
      </c>
      <c r="K2862" s="190">
        <f t="shared" ref="K2862:P2862" si="3492">SUM(K2852:K2861)</f>
        <v>498</v>
      </c>
      <c r="L2862" s="190">
        <f t="shared" si="3492"/>
        <v>212</v>
      </c>
      <c r="M2862" s="190">
        <f t="shared" si="3492"/>
        <v>523</v>
      </c>
      <c r="N2862" s="190">
        <f t="shared" si="3492"/>
        <v>122</v>
      </c>
      <c r="O2862" s="190">
        <f t="shared" si="3492"/>
        <v>111</v>
      </c>
      <c r="P2862" s="190">
        <f t="shared" si="3492"/>
        <v>65</v>
      </c>
      <c r="Q2862" s="481">
        <f>(K2862+L2862)/J2862</f>
        <v>0.46374918354016981</v>
      </c>
      <c r="R2862" s="481">
        <f>N2862/J2862</f>
        <v>7.9686479425212273E-2</v>
      </c>
      <c r="S2862" s="482">
        <f t="shared" si="3484"/>
        <v>4.2455911169170475E-2</v>
      </c>
      <c r="T2862" s="482">
        <f t="shared" si="3485"/>
        <v>7.2501632919660358E-2</v>
      </c>
      <c r="U2862" s="483">
        <f t="shared" si="3486"/>
        <v>0.65839320705421289</v>
      </c>
      <c r="V2862" s="479"/>
    </row>
    <row r="2863" spans="2:22" ht="15.75" hidden="1" x14ac:dyDescent="0.2">
      <c r="B2863" s="711">
        <v>46263</v>
      </c>
      <c r="C2863" s="711" t="s">
        <v>105</v>
      </c>
      <c r="D2863" s="10" t="s">
        <v>192</v>
      </c>
      <c r="E2863" s="711">
        <v>46263</v>
      </c>
      <c r="G2863" s="778">
        <v>46263</v>
      </c>
      <c r="H2863" s="497" t="s">
        <v>16</v>
      </c>
      <c r="I2863" s="60" t="s">
        <v>112</v>
      </c>
      <c r="J2863" s="60">
        <f>SUM(K2863:P2863)</f>
        <v>37</v>
      </c>
      <c r="K2863" s="60">
        <v>7</v>
      </c>
      <c r="L2863" s="60">
        <f>110-85</f>
        <v>25</v>
      </c>
      <c r="M2863" s="60">
        <v>0</v>
      </c>
      <c r="N2863" s="494">
        <v>0</v>
      </c>
      <c r="O2863" s="60">
        <v>0</v>
      </c>
      <c r="P2863" s="494">
        <v>5</v>
      </c>
      <c r="Q2863" s="182">
        <f t="shared" ref="Q2863:Q2870" si="3493">(K2863+L2863)/J2863</f>
        <v>0.86486486486486491</v>
      </c>
      <c r="R2863" s="182">
        <f t="shared" ref="R2863:R2870" si="3494">N2863/J2863</f>
        <v>0</v>
      </c>
      <c r="S2863" s="183">
        <f t="shared" si="3484"/>
        <v>0.13513513513513514</v>
      </c>
      <c r="T2863" s="183">
        <f t="shared" si="3485"/>
        <v>0</v>
      </c>
      <c r="U2863" s="184">
        <f t="shared" si="3486"/>
        <v>1</v>
      </c>
      <c r="V2863" s="386"/>
    </row>
    <row r="2864" spans="2:22" ht="15.75" hidden="1" x14ac:dyDescent="0.2">
      <c r="B2864" s="711">
        <v>46263</v>
      </c>
      <c r="C2864" s="711" t="s">
        <v>105</v>
      </c>
      <c r="D2864" s="10" t="s">
        <v>192</v>
      </c>
      <c r="E2864" s="711">
        <v>46263</v>
      </c>
      <c r="G2864" s="779"/>
      <c r="H2864" s="497" t="s">
        <v>14</v>
      </c>
      <c r="I2864" s="60" t="s">
        <v>105</v>
      </c>
      <c r="J2864" s="60">
        <f>SUM(K2864:P2864)</f>
        <v>102</v>
      </c>
      <c r="K2864" s="60">
        <v>84</v>
      </c>
      <c r="L2864" s="60">
        <v>16</v>
      </c>
      <c r="M2864" s="60">
        <v>0</v>
      </c>
      <c r="N2864" s="494">
        <v>0</v>
      </c>
      <c r="O2864" s="60">
        <v>0</v>
      </c>
      <c r="P2864" s="494">
        <v>2</v>
      </c>
      <c r="Q2864" s="182">
        <f t="shared" si="3493"/>
        <v>0.98039215686274506</v>
      </c>
      <c r="R2864" s="182">
        <f t="shared" si="3494"/>
        <v>0</v>
      </c>
      <c r="S2864" s="183">
        <f t="shared" si="3484"/>
        <v>1.9607843137254902E-2</v>
      </c>
      <c r="T2864" s="183">
        <f t="shared" si="3485"/>
        <v>0</v>
      </c>
      <c r="U2864" s="184">
        <f t="shared" si="3486"/>
        <v>1</v>
      </c>
      <c r="V2864" s="386"/>
    </row>
    <row r="2865" spans="2:22" ht="15.75" hidden="1" x14ac:dyDescent="0.2">
      <c r="B2865" s="711">
        <v>46263</v>
      </c>
      <c r="C2865" s="711" t="s">
        <v>105</v>
      </c>
      <c r="D2865" s="10" t="s">
        <v>192</v>
      </c>
      <c r="E2865" s="711">
        <v>46263</v>
      </c>
      <c r="G2865" s="770">
        <v>46264</v>
      </c>
      <c r="H2865" s="497" t="s">
        <v>16</v>
      </c>
      <c r="I2865" s="60" t="s">
        <v>112</v>
      </c>
      <c r="J2865" s="60">
        <v>238</v>
      </c>
      <c r="K2865" s="60">
        <v>101</v>
      </c>
      <c r="L2865" s="60">
        <v>85</v>
      </c>
      <c r="M2865" s="60">
        <v>23</v>
      </c>
      <c r="N2865" s="494">
        <v>0</v>
      </c>
      <c r="O2865" s="60">
        <v>20</v>
      </c>
      <c r="P2865" s="494">
        <v>9</v>
      </c>
      <c r="Q2865" s="182">
        <f t="shared" si="3493"/>
        <v>0.78151260504201681</v>
      </c>
      <c r="R2865" s="182">
        <f t="shared" si="3494"/>
        <v>0</v>
      </c>
      <c r="S2865" s="183">
        <f t="shared" si="3484"/>
        <v>3.7815126050420166E-2</v>
      </c>
      <c r="T2865" s="183">
        <f t="shared" si="3485"/>
        <v>8.4033613445378158E-2</v>
      </c>
      <c r="U2865" s="184">
        <f t="shared" si="3486"/>
        <v>0.90336134453781514</v>
      </c>
      <c r="V2865" s="386"/>
    </row>
    <row r="2866" spans="2:22" ht="15.75" hidden="1" x14ac:dyDescent="0.2">
      <c r="B2866" s="711">
        <v>46263</v>
      </c>
      <c r="C2866" s="711" t="s">
        <v>105</v>
      </c>
      <c r="D2866" s="10" t="s">
        <v>192</v>
      </c>
      <c r="E2866" s="711">
        <v>46264</v>
      </c>
      <c r="G2866" s="771"/>
      <c r="H2866" s="497" t="s">
        <v>180</v>
      </c>
      <c r="I2866" s="60" t="s">
        <v>105</v>
      </c>
      <c r="J2866" s="60">
        <v>6</v>
      </c>
      <c r="K2866" s="60">
        <v>6</v>
      </c>
      <c r="L2866" s="60">
        <v>0</v>
      </c>
      <c r="M2866" s="60">
        <v>0</v>
      </c>
      <c r="N2866" s="494">
        <v>0</v>
      </c>
      <c r="O2866" s="60">
        <v>0</v>
      </c>
      <c r="P2866" s="494">
        <v>0</v>
      </c>
      <c r="Q2866" s="182">
        <f t="shared" si="3493"/>
        <v>1</v>
      </c>
      <c r="R2866" s="182">
        <f t="shared" si="3494"/>
        <v>0</v>
      </c>
      <c r="S2866" s="183">
        <f t="shared" si="3484"/>
        <v>0</v>
      </c>
      <c r="T2866" s="183">
        <f t="shared" si="3485"/>
        <v>0</v>
      </c>
      <c r="U2866" s="184">
        <f t="shared" si="3486"/>
        <v>1</v>
      </c>
      <c r="V2866" s="386"/>
    </row>
    <row r="2867" spans="2:22" ht="15.75" hidden="1" x14ac:dyDescent="0.2">
      <c r="B2867" s="711">
        <v>46263</v>
      </c>
      <c r="C2867" s="711" t="s">
        <v>105</v>
      </c>
      <c r="D2867" s="10" t="s">
        <v>192</v>
      </c>
      <c r="E2867" s="711">
        <v>46264</v>
      </c>
      <c r="G2867" s="771"/>
      <c r="H2867" s="497" t="s">
        <v>118</v>
      </c>
      <c r="I2867" s="60" t="s">
        <v>106</v>
      </c>
      <c r="J2867" s="60">
        <v>14</v>
      </c>
      <c r="K2867" s="60">
        <v>9</v>
      </c>
      <c r="L2867" s="60">
        <v>0</v>
      </c>
      <c r="M2867" s="60">
        <v>0</v>
      </c>
      <c r="N2867" s="494">
        <v>0</v>
      </c>
      <c r="O2867" s="60">
        <v>0</v>
      </c>
      <c r="P2867" s="494">
        <v>5</v>
      </c>
      <c r="Q2867" s="182">
        <f t="shared" si="3493"/>
        <v>0.6428571428571429</v>
      </c>
      <c r="R2867" s="182">
        <f t="shared" si="3494"/>
        <v>0</v>
      </c>
      <c r="S2867" s="183">
        <f t="shared" si="3484"/>
        <v>0.35714285714285715</v>
      </c>
      <c r="T2867" s="183">
        <f t="shared" si="3485"/>
        <v>0</v>
      </c>
      <c r="U2867" s="184">
        <f t="shared" si="3486"/>
        <v>1</v>
      </c>
      <c r="V2867" s="386"/>
    </row>
    <row r="2868" spans="2:22" ht="15.75" hidden="1" x14ac:dyDescent="0.2">
      <c r="B2868" s="711">
        <v>46263</v>
      </c>
      <c r="C2868" s="711" t="s">
        <v>105</v>
      </c>
      <c r="D2868" s="10" t="s">
        <v>192</v>
      </c>
      <c r="E2868" s="711">
        <v>46264</v>
      </c>
      <c r="G2868" s="771"/>
      <c r="H2868" s="497" t="s">
        <v>17</v>
      </c>
      <c r="I2868" s="60" t="s">
        <v>106</v>
      </c>
      <c r="J2868" s="60">
        <v>191</v>
      </c>
      <c r="K2868" s="60">
        <v>116</v>
      </c>
      <c r="L2868" s="60">
        <v>37</v>
      </c>
      <c r="M2868" s="60">
        <v>20</v>
      </c>
      <c r="N2868" s="494">
        <v>17</v>
      </c>
      <c r="O2868" s="60">
        <v>28</v>
      </c>
      <c r="P2868" s="494">
        <v>18</v>
      </c>
      <c r="Q2868" s="182">
        <f t="shared" si="3493"/>
        <v>0.80104712041884818</v>
      </c>
      <c r="R2868" s="182">
        <f t="shared" si="3494"/>
        <v>8.9005235602094238E-2</v>
      </c>
      <c r="S2868" s="183">
        <f t="shared" si="3484"/>
        <v>9.4240837696335081E-2</v>
      </c>
      <c r="T2868" s="183">
        <f t="shared" si="3485"/>
        <v>0.14659685863874344</v>
      </c>
      <c r="U2868" s="184">
        <f t="shared" si="3486"/>
        <v>1.130890052356021</v>
      </c>
      <c r="V2868" s="386"/>
    </row>
    <row r="2869" spans="2:22" ht="15.75" hidden="1" x14ac:dyDescent="0.2">
      <c r="B2869" s="711">
        <v>46263</v>
      </c>
      <c r="C2869" s="711" t="s">
        <v>105</v>
      </c>
      <c r="D2869" s="10" t="s">
        <v>192</v>
      </c>
      <c r="E2869" s="711">
        <v>46264</v>
      </c>
      <c r="G2869" s="772"/>
      <c r="H2869" s="497" t="s">
        <v>25</v>
      </c>
      <c r="I2869" s="60" t="s">
        <v>105</v>
      </c>
      <c r="J2869" s="60">
        <v>175</v>
      </c>
      <c r="K2869" s="60">
        <v>10</v>
      </c>
      <c r="L2869" s="60">
        <v>0</v>
      </c>
      <c r="M2869" s="60">
        <v>61</v>
      </c>
      <c r="N2869" s="494">
        <v>62</v>
      </c>
      <c r="O2869" s="60">
        <v>19</v>
      </c>
      <c r="P2869" s="494">
        <v>8</v>
      </c>
      <c r="Q2869" s="182">
        <f t="shared" ref="Q2869" si="3495">(K2869+L2869)/J2869</f>
        <v>5.7142857142857141E-2</v>
      </c>
      <c r="R2869" s="182">
        <f t="shared" ref="R2869" si="3496">N2869/J2869</f>
        <v>0.35428571428571426</v>
      </c>
      <c r="S2869" s="183">
        <f t="shared" ref="S2869" si="3497">P2869/J2869</f>
        <v>4.5714285714285714E-2</v>
      </c>
      <c r="T2869" s="183">
        <f t="shared" ref="T2869" si="3498">O2869/J2869</f>
        <v>0.10857142857142857</v>
      </c>
      <c r="U2869" s="184">
        <f t="shared" ref="U2869" si="3499">S2869+R2869+Q2869+T2869</f>
        <v>0.56571428571428573</v>
      </c>
      <c r="V2869" s="386"/>
    </row>
    <row r="2870" spans="2:22" ht="15.75" hidden="1" x14ac:dyDescent="0.2">
      <c r="B2870" s="711">
        <v>46263</v>
      </c>
      <c r="C2870" s="711" t="s">
        <v>105</v>
      </c>
      <c r="D2870" s="10" t="s">
        <v>192</v>
      </c>
      <c r="E2870" s="711">
        <v>46264</v>
      </c>
      <c r="G2870" s="698">
        <v>46268</v>
      </c>
      <c r="H2870" s="497" t="s">
        <v>118</v>
      </c>
      <c r="I2870" s="60" t="s">
        <v>106</v>
      </c>
      <c r="J2870" s="60">
        <v>176</v>
      </c>
      <c r="K2870" s="60">
        <v>0</v>
      </c>
      <c r="L2870" s="60">
        <v>0</v>
      </c>
      <c r="M2870" s="60">
        <v>132</v>
      </c>
      <c r="N2870" s="494">
        <v>15</v>
      </c>
      <c r="O2870" s="60">
        <v>13</v>
      </c>
      <c r="P2870" s="494">
        <v>16</v>
      </c>
      <c r="Q2870" s="182">
        <f t="shared" si="3493"/>
        <v>0</v>
      </c>
      <c r="R2870" s="182">
        <f t="shared" si="3494"/>
        <v>8.5227272727272721E-2</v>
      </c>
      <c r="S2870" s="183">
        <f t="shared" si="3484"/>
        <v>9.0909090909090912E-2</v>
      </c>
      <c r="T2870" s="183">
        <f t="shared" si="3485"/>
        <v>7.3863636363636367E-2</v>
      </c>
      <c r="U2870" s="184">
        <f t="shared" si="3486"/>
        <v>0.25</v>
      </c>
      <c r="V2870" s="386"/>
    </row>
    <row r="2871" spans="2:22" ht="15.75" hidden="1" x14ac:dyDescent="0.2">
      <c r="B2871" s="711">
        <v>46263</v>
      </c>
      <c r="C2871" s="711" t="s">
        <v>105</v>
      </c>
      <c r="D2871" s="10" t="s">
        <v>192</v>
      </c>
      <c r="E2871" s="711">
        <v>46263</v>
      </c>
      <c r="G2871" s="775" t="s">
        <v>19</v>
      </c>
      <c r="H2871" s="776"/>
      <c r="I2871" s="777"/>
      <c r="J2871" s="190">
        <f t="shared" ref="J2871:P2871" si="3500">SUM(J2863:J2870)</f>
        <v>939</v>
      </c>
      <c r="K2871" s="190">
        <f t="shared" si="3500"/>
        <v>333</v>
      </c>
      <c r="L2871" s="190">
        <f t="shared" si="3500"/>
        <v>163</v>
      </c>
      <c r="M2871" s="190">
        <f t="shared" si="3500"/>
        <v>236</v>
      </c>
      <c r="N2871" s="190">
        <f t="shared" si="3500"/>
        <v>94</v>
      </c>
      <c r="O2871" s="190">
        <f t="shared" si="3500"/>
        <v>80</v>
      </c>
      <c r="P2871" s="190">
        <f t="shared" si="3500"/>
        <v>63</v>
      </c>
      <c r="Q2871" s="481">
        <f>(K2871+L2871)/J2871</f>
        <v>0.52822151224707137</v>
      </c>
      <c r="R2871" s="481">
        <f>N2871/J2871</f>
        <v>0.10010649627263046</v>
      </c>
      <c r="S2871" s="482">
        <f t="shared" si="3484"/>
        <v>6.7092651757188496E-2</v>
      </c>
      <c r="T2871" s="482">
        <f t="shared" si="3485"/>
        <v>8.5197018104366348E-2</v>
      </c>
      <c r="U2871" s="483">
        <f t="shared" si="3486"/>
        <v>0.78061767838125662</v>
      </c>
      <c r="V2871" s="479"/>
    </row>
    <row r="2872" spans="2:22" ht="15.75" hidden="1" x14ac:dyDescent="0.2">
      <c r="B2872" s="711">
        <v>46264</v>
      </c>
      <c r="C2872" s="711" t="s">
        <v>106</v>
      </c>
      <c r="D2872" s="711" t="s">
        <v>13</v>
      </c>
      <c r="E2872" s="711">
        <v>46264</v>
      </c>
      <c r="G2872" s="778">
        <v>46264</v>
      </c>
      <c r="H2872" s="497" t="s">
        <v>16</v>
      </c>
      <c r="I2872" s="60" t="s">
        <v>112</v>
      </c>
      <c r="J2872" s="60">
        <v>238</v>
      </c>
      <c r="K2872" s="60">
        <f>238-143</f>
        <v>95</v>
      </c>
      <c r="L2872" s="60">
        <v>106</v>
      </c>
      <c r="M2872" s="60">
        <v>13</v>
      </c>
      <c r="N2872" s="494">
        <v>0</v>
      </c>
      <c r="O2872" s="60">
        <v>20</v>
      </c>
      <c r="P2872" s="494">
        <v>4</v>
      </c>
      <c r="Q2872" s="182">
        <f t="shared" ref="Q2872:Q2882" si="3501">(K2872+L2872)/J2872</f>
        <v>0.84453781512605042</v>
      </c>
      <c r="R2872" s="182">
        <f t="shared" ref="R2872:R2882" si="3502">N2872/J2872</f>
        <v>0</v>
      </c>
      <c r="S2872" s="183">
        <f t="shared" ref="S2872:S2883" si="3503">P2872/J2872</f>
        <v>1.680672268907563E-2</v>
      </c>
      <c r="T2872" s="183">
        <f t="shared" ref="T2872:T2883" si="3504">O2872/J2872</f>
        <v>8.4033613445378158E-2</v>
      </c>
      <c r="U2872" s="184">
        <f t="shared" ref="U2872:U2883" si="3505">S2872+R2872+Q2872+T2872</f>
        <v>0.94537815126050428</v>
      </c>
      <c r="V2872" s="386"/>
    </row>
    <row r="2873" spans="2:22" ht="15.75" hidden="1" x14ac:dyDescent="0.2">
      <c r="B2873" s="711">
        <v>46264</v>
      </c>
      <c r="C2873" s="711" t="s">
        <v>106</v>
      </c>
      <c r="D2873" s="711" t="s">
        <v>13</v>
      </c>
      <c r="E2873" s="711">
        <v>46264</v>
      </c>
      <c r="G2873" s="786"/>
      <c r="H2873" s="497" t="s">
        <v>180</v>
      </c>
      <c r="I2873" s="60" t="s">
        <v>105</v>
      </c>
      <c r="J2873" s="60">
        <v>25</v>
      </c>
      <c r="K2873" s="60">
        <v>2</v>
      </c>
      <c r="L2873" s="60">
        <v>0</v>
      </c>
      <c r="M2873" s="60">
        <v>0</v>
      </c>
      <c r="N2873" s="494">
        <v>23</v>
      </c>
      <c r="O2873" s="60">
        <v>0</v>
      </c>
      <c r="P2873" s="494">
        <v>0</v>
      </c>
      <c r="Q2873" s="182">
        <f t="shared" si="3501"/>
        <v>0.08</v>
      </c>
      <c r="R2873" s="182">
        <f t="shared" si="3502"/>
        <v>0.92</v>
      </c>
      <c r="S2873" s="183">
        <f t="shared" si="3503"/>
        <v>0</v>
      </c>
      <c r="T2873" s="183">
        <f t="shared" si="3504"/>
        <v>0</v>
      </c>
      <c r="U2873" s="184">
        <f t="shared" si="3505"/>
        <v>1</v>
      </c>
      <c r="V2873" s="386"/>
    </row>
    <row r="2874" spans="2:22" ht="15.75" hidden="1" x14ac:dyDescent="0.2">
      <c r="B2874" s="711">
        <v>46264</v>
      </c>
      <c r="C2874" s="711" t="s">
        <v>106</v>
      </c>
      <c r="D2874" s="711" t="s">
        <v>13</v>
      </c>
      <c r="E2874" s="711">
        <v>46264</v>
      </c>
      <c r="G2874" s="786"/>
      <c r="H2874" s="497" t="s">
        <v>118</v>
      </c>
      <c r="I2874" s="60" t="s">
        <v>106</v>
      </c>
      <c r="J2874" s="60">
        <v>14</v>
      </c>
      <c r="K2874" s="60">
        <v>9</v>
      </c>
      <c r="L2874" s="60">
        <v>0</v>
      </c>
      <c r="M2874" s="60">
        <v>0</v>
      </c>
      <c r="N2874" s="494">
        <v>0</v>
      </c>
      <c r="O2874" s="60">
        <v>0</v>
      </c>
      <c r="P2874" s="494">
        <v>5</v>
      </c>
      <c r="Q2874" s="182">
        <f t="shared" si="3501"/>
        <v>0.6428571428571429</v>
      </c>
      <c r="R2874" s="182">
        <f t="shared" si="3502"/>
        <v>0</v>
      </c>
      <c r="S2874" s="183">
        <f t="shared" si="3503"/>
        <v>0.35714285714285715</v>
      </c>
      <c r="T2874" s="183">
        <f t="shared" si="3504"/>
        <v>0</v>
      </c>
      <c r="U2874" s="184">
        <f t="shared" si="3505"/>
        <v>1</v>
      </c>
      <c r="V2874" s="386"/>
    </row>
    <row r="2875" spans="2:22" ht="15.75" hidden="1" x14ac:dyDescent="0.2">
      <c r="B2875" s="711">
        <v>46264</v>
      </c>
      <c r="C2875" s="711" t="s">
        <v>106</v>
      </c>
      <c r="D2875" s="711" t="s">
        <v>13</v>
      </c>
      <c r="E2875" s="711">
        <v>46264</v>
      </c>
      <c r="G2875" s="786"/>
      <c r="H2875" s="497" t="s">
        <v>17</v>
      </c>
      <c r="I2875" s="60" t="s">
        <v>106</v>
      </c>
      <c r="J2875" s="60">
        <v>191</v>
      </c>
      <c r="K2875" s="60">
        <f>191-96</f>
        <v>95</v>
      </c>
      <c r="L2875" s="60">
        <v>51</v>
      </c>
      <c r="M2875" s="60">
        <v>0</v>
      </c>
      <c r="N2875" s="494">
        <v>0</v>
      </c>
      <c r="O2875" s="60">
        <v>28</v>
      </c>
      <c r="P2875" s="494">
        <v>17</v>
      </c>
      <c r="Q2875" s="182">
        <f t="shared" si="3501"/>
        <v>0.76439790575916233</v>
      </c>
      <c r="R2875" s="182">
        <f t="shared" si="3502"/>
        <v>0</v>
      </c>
      <c r="S2875" s="183">
        <f t="shared" si="3503"/>
        <v>8.9005235602094238E-2</v>
      </c>
      <c r="T2875" s="183">
        <f t="shared" si="3504"/>
        <v>0.14659685863874344</v>
      </c>
      <c r="U2875" s="184">
        <f t="shared" si="3505"/>
        <v>1</v>
      </c>
      <c r="V2875" s="386"/>
    </row>
    <row r="2876" spans="2:22" ht="15.75" hidden="1" x14ac:dyDescent="0.2">
      <c r="B2876" s="711">
        <v>46264</v>
      </c>
      <c r="C2876" s="711" t="s">
        <v>106</v>
      </c>
      <c r="D2876" s="711" t="s">
        <v>13</v>
      </c>
      <c r="E2876" s="711">
        <v>46264</v>
      </c>
      <c r="G2876" s="786"/>
      <c r="H2876" s="497" t="s">
        <v>25</v>
      </c>
      <c r="I2876" s="60" t="s">
        <v>105</v>
      </c>
      <c r="J2876" s="60">
        <v>175</v>
      </c>
      <c r="K2876" s="60">
        <v>117</v>
      </c>
      <c r="L2876" s="60">
        <v>15</v>
      </c>
      <c r="M2876" s="60">
        <v>16</v>
      </c>
      <c r="N2876" s="494">
        <v>0</v>
      </c>
      <c r="O2876" s="60">
        <v>19</v>
      </c>
      <c r="P2876" s="494">
        <v>8</v>
      </c>
      <c r="Q2876" s="182">
        <f t="shared" si="3501"/>
        <v>0.75428571428571434</v>
      </c>
      <c r="R2876" s="182">
        <f t="shared" si="3502"/>
        <v>0</v>
      </c>
      <c r="S2876" s="183">
        <f t="shared" si="3503"/>
        <v>4.5714285714285714E-2</v>
      </c>
      <c r="T2876" s="183">
        <f t="shared" si="3504"/>
        <v>0.10857142857142857</v>
      </c>
      <c r="U2876" s="184">
        <f t="shared" si="3505"/>
        <v>0.90857142857142859</v>
      </c>
      <c r="V2876" s="386" t="s">
        <v>207</v>
      </c>
    </row>
    <row r="2877" spans="2:22" ht="15.75" hidden="1" x14ac:dyDescent="0.2">
      <c r="B2877" s="711">
        <v>46264</v>
      </c>
      <c r="C2877" s="711" t="s">
        <v>106</v>
      </c>
      <c r="D2877" s="711" t="s">
        <v>13</v>
      </c>
      <c r="E2877" s="711">
        <v>46264</v>
      </c>
      <c r="G2877" s="779"/>
      <c r="H2877" s="497" t="s">
        <v>206</v>
      </c>
      <c r="I2877" s="60" t="s">
        <v>125</v>
      </c>
      <c r="J2877" s="60">
        <v>50</v>
      </c>
      <c r="K2877" s="60">
        <v>50</v>
      </c>
      <c r="L2877" s="60">
        <v>0</v>
      </c>
      <c r="M2877" s="60">
        <v>0</v>
      </c>
      <c r="N2877" s="494">
        <v>0</v>
      </c>
      <c r="O2877" s="60">
        <v>0</v>
      </c>
      <c r="P2877" s="494">
        <v>0</v>
      </c>
      <c r="Q2877" s="182">
        <f t="shared" si="3501"/>
        <v>1</v>
      </c>
      <c r="R2877" s="182">
        <f t="shared" si="3502"/>
        <v>0</v>
      </c>
      <c r="S2877" s="183">
        <f t="shared" si="3503"/>
        <v>0</v>
      </c>
      <c r="T2877" s="183">
        <f t="shared" si="3504"/>
        <v>0</v>
      </c>
      <c r="U2877" s="184">
        <f t="shared" si="3505"/>
        <v>1</v>
      </c>
      <c r="V2877" s="386"/>
    </row>
    <row r="2878" spans="2:22" ht="15.75" hidden="1" x14ac:dyDescent="0.2">
      <c r="B2878" s="711">
        <v>46264</v>
      </c>
      <c r="C2878" s="711" t="s">
        <v>106</v>
      </c>
      <c r="D2878" s="711" t="s">
        <v>13</v>
      </c>
      <c r="E2878" s="711">
        <v>46268</v>
      </c>
      <c r="G2878" s="809">
        <v>46268</v>
      </c>
      <c r="H2878" s="510" t="s">
        <v>16</v>
      </c>
      <c r="I2878" s="486" t="s">
        <v>112</v>
      </c>
      <c r="J2878" s="486">
        <v>186</v>
      </c>
      <c r="K2878" s="486">
        <v>0</v>
      </c>
      <c r="L2878" s="486">
        <v>0</v>
      </c>
      <c r="M2878" s="486">
        <v>144</v>
      </c>
      <c r="N2878" s="511">
        <v>14</v>
      </c>
      <c r="O2878" s="486">
        <v>20</v>
      </c>
      <c r="P2878" s="511">
        <v>0</v>
      </c>
      <c r="Q2878" s="488">
        <f t="shared" si="3501"/>
        <v>0</v>
      </c>
      <c r="R2878" s="488">
        <f t="shared" si="3502"/>
        <v>7.5268817204301078E-2</v>
      </c>
      <c r="S2878" s="489">
        <f t="shared" si="3503"/>
        <v>0</v>
      </c>
      <c r="T2878" s="489">
        <f t="shared" si="3504"/>
        <v>0.10752688172043011</v>
      </c>
      <c r="U2878" s="490">
        <f t="shared" si="3505"/>
        <v>0.18279569892473119</v>
      </c>
      <c r="V2878" s="491"/>
    </row>
    <row r="2879" spans="2:22" ht="15.75" hidden="1" x14ac:dyDescent="0.2">
      <c r="B2879" s="711">
        <v>46264</v>
      </c>
      <c r="C2879" s="711" t="s">
        <v>106</v>
      </c>
      <c r="D2879" s="711" t="s">
        <v>13</v>
      </c>
      <c r="E2879" s="711">
        <v>46268</v>
      </c>
      <c r="G2879" s="810"/>
      <c r="H2879" s="510" t="s">
        <v>17</v>
      </c>
      <c r="I2879" s="486" t="s">
        <v>106</v>
      </c>
      <c r="J2879" s="486">
        <v>183</v>
      </c>
      <c r="K2879" s="486">
        <v>0</v>
      </c>
      <c r="L2879" s="486">
        <v>0</v>
      </c>
      <c r="M2879" s="486">
        <v>183</v>
      </c>
      <c r="N2879" s="511">
        <v>0</v>
      </c>
      <c r="O2879" s="486">
        <v>0</v>
      </c>
      <c r="P2879" s="511">
        <v>0</v>
      </c>
      <c r="Q2879" s="488">
        <f t="shared" si="3501"/>
        <v>0</v>
      </c>
      <c r="R2879" s="488">
        <f t="shared" si="3502"/>
        <v>0</v>
      </c>
      <c r="S2879" s="489">
        <f t="shared" si="3503"/>
        <v>0</v>
      </c>
      <c r="T2879" s="489">
        <f t="shared" si="3504"/>
        <v>0</v>
      </c>
      <c r="U2879" s="490">
        <f t="shared" si="3505"/>
        <v>0</v>
      </c>
      <c r="V2879" s="491"/>
    </row>
    <row r="2880" spans="2:22" ht="15.75" hidden="1" x14ac:dyDescent="0.2">
      <c r="B2880" s="711">
        <v>46264</v>
      </c>
      <c r="C2880" s="711" t="s">
        <v>106</v>
      </c>
      <c r="D2880" s="711" t="s">
        <v>13</v>
      </c>
      <c r="E2880" s="711">
        <v>46268</v>
      </c>
      <c r="G2880" s="810"/>
      <c r="H2880" s="510" t="s">
        <v>14</v>
      </c>
      <c r="I2880" s="486" t="s">
        <v>105</v>
      </c>
      <c r="J2880" s="486">
        <v>170</v>
      </c>
      <c r="K2880" s="486">
        <v>0</v>
      </c>
      <c r="L2880" s="486">
        <v>0</v>
      </c>
      <c r="M2880" s="486">
        <v>140</v>
      </c>
      <c r="N2880" s="511">
        <v>13</v>
      </c>
      <c r="O2880" s="486">
        <v>11</v>
      </c>
      <c r="P2880" s="511">
        <v>6</v>
      </c>
      <c r="Q2880" s="488">
        <f t="shared" ref="Q2880:Q2881" si="3506">(K2880+L2880)/J2880</f>
        <v>0</v>
      </c>
      <c r="R2880" s="488">
        <f t="shared" ref="R2880:R2881" si="3507">N2880/J2880</f>
        <v>7.6470588235294124E-2</v>
      </c>
      <c r="S2880" s="489">
        <f t="shared" ref="S2880:S2881" si="3508">P2880/J2880</f>
        <v>3.5294117647058823E-2</v>
      </c>
      <c r="T2880" s="489">
        <f t="shared" ref="T2880:T2881" si="3509">O2880/J2880</f>
        <v>6.4705882352941183E-2</v>
      </c>
      <c r="U2880" s="490">
        <f t="shared" ref="U2880:U2881" si="3510">S2880+R2880+Q2880+T2880</f>
        <v>0.17647058823529413</v>
      </c>
      <c r="V2880" s="491"/>
    </row>
    <row r="2881" spans="2:22" ht="15.75" hidden="1" x14ac:dyDescent="0.2">
      <c r="B2881" s="711">
        <v>46264</v>
      </c>
      <c r="C2881" s="711" t="s">
        <v>106</v>
      </c>
      <c r="D2881" s="711" t="s">
        <v>13</v>
      </c>
      <c r="E2881" s="711">
        <v>46268</v>
      </c>
      <c r="G2881" s="810"/>
      <c r="H2881" s="510" t="s">
        <v>84</v>
      </c>
      <c r="I2881" s="486" t="s">
        <v>105</v>
      </c>
      <c r="J2881" s="486">
        <v>26</v>
      </c>
      <c r="K2881" s="486">
        <v>0</v>
      </c>
      <c r="L2881" s="486">
        <v>0</v>
      </c>
      <c r="M2881" s="486">
        <v>25</v>
      </c>
      <c r="N2881" s="511">
        <v>0</v>
      </c>
      <c r="O2881" s="486">
        <v>0</v>
      </c>
      <c r="P2881" s="511">
        <v>1</v>
      </c>
      <c r="Q2881" s="488">
        <f t="shared" si="3506"/>
        <v>0</v>
      </c>
      <c r="R2881" s="488">
        <f t="shared" si="3507"/>
        <v>0</v>
      </c>
      <c r="S2881" s="489">
        <f t="shared" si="3508"/>
        <v>3.8461538461538464E-2</v>
      </c>
      <c r="T2881" s="489">
        <f t="shared" si="3509"/>
        <v>0</v>
      </c>
      <c r="U2881" s="490">
        <f t="shared" si="3510"/>
        <v>3.8461538461538464E-2</v>
      </c>
      <c r="V2881" s="491"/>
    </row>
    <row r="2882" spans="2:22" ht="15.75" hidden="1" x14ac:dyDescent="0.2">
      <c r="B2882" s="711">
        <v>46264</v>
      </c>
      <c r="C2882" s="711" t="s">
        <v>106</v>
      </c>
      <c r="D2882" s="711" t="s">
        <v>13</v>
      </c>
      <c r="E2882" s="711">
        <v>46268</v>
      </c>
      <c r="G2882" s="811"/>
      <c r="H2882" s="510" t="s">
        <v>118</v>
      </c>
      <c r="I2882" s="486" t="s">
        <v>106</v>
      </c>
      <c r="J2882" s="486">
        <v>176</v>
      </c>
      <c r="K2882" s="486">
        <v>26</v>
      </c>
      <c r="L2882" s="486">
        <v>4</v>
      </c>
      <c r="M2882" s="486">
        <v>0</v>
      </c>
      <c r="N2882" s="511">
        <v>117</v>
      </c>
      <c r="O2882" s="486">
        <v>13</v>
      </c>
      <c r="P2882" s="511">
        <v>16</v>
      </c>
      <c r="Q2882" s="488">
        <f t="shared" si="3501"/>
        <v>0.17045454545454544</v>
      </c>
      <c r="R2882" s="488">
        <f t="shared" si="3502"/>
        <v>0.66477272727272729</v>
      </c>
      <c r="S2882" s="489">
        <f t="shared" si="3503"/>
        <v>9.0909090909090912E-2</v>
      </c>
      <c r="T2882" s="489">
        <f t="shared" si="3504"/>
        <v>7.3863636363636367E-2</v>
      </c>
      <c r="U2882" s="490">
        <f t="shared" si="3505"/>
        <v>1</v>
      </c>
      <c r="V2882" s="491"/>
    </row>
    <row r="2883" spans="2:22" ht="15.75" hidden="1" x14ac:dyDescent="0.2">
      <c r="B2883" s="711">
        <v>46264</v>
      </c>
      <c r="C2883" s="711" t="s">
        <v>106</v>
      </c>
      <c r="D2883" s="711" t="s">
        <v>13</v>
      </c>
      <c r="E2883" s="711">
        <v>46268</v>
      </c>
      <c r="G2883" s="775" t="s">
        <v>19</v>
      </c>
      <c r="H2883" s="776"/>
      <c r="I2883" s="777"/>
      <c r="J2883" s="190">
        <f t="shared" ref="J2883:P2883" si="3511">SUM(J2870:J2882)</f>
        <v>2549</v>
      </c>
      <c r="K2883" s="190">
        <f t="shared" si="3511"/>
        <v>727</v>
      </c>
      <c r="L2883" s="190">
        <f t="shared" si="3511"/>
        <v>339</v>
      </c>
      <c r="M2883" s="190">
        <f t="shared" si="3511"/>
        <v>889</v>
      </c>
      <c r="N2883" s="190">
        <f t="shared" si="3511"/>
        <v>276</v>
      </c>
      <c r="O2883" s="190">
        <f t="shared" si="3511"/>
        <v>204</v>
      </c>
      <c r="P2883" s="190">
        <f t="shared" si="3511"/>
        <v>136</v>
      </c>
      <c r="Q2883" s="481">
        <f>(K2883+L2883)/J2883</f>
        <v>0.4182032169478227</v>
      </c>
      <c r="R2883" s="481">
        <f>N2883/J2883</f>
        <v>0.10827775598273832</v>
      </c>
      <c r="S2883" s="482">
        <f t="shared" si="3503"/>
        <v>5.3354256571204392E-2</v>
      </c>
      <c r="T2883" s="482">
        <f t="shared" si="3504"/>
        <v>8.0031384856806595E-2</v>
      </c>
      <c r="U2883" s="483">
        <f t="shared" si="3505"/>
        <v>0.65986661435857208</v>
      </c>
      <c r="V2883" s="479"/>
    </row>
    <row r="2884" spans="2:22" ht="15.75" hidden="1" x14ac:dyDescent="0.2">
      <c r="B2884" s="711">
        <v>46264</v>
      </c>
      <c r="C2884" s="711" t="s">
        <v>105</v>
      </c>
      <c r="D2884" s="711" t="s">
        <v>189</v>
      </c>
      <c r="E2884" s="711">
        <v>46264</v>
      </c>
      <c r="G2884" s="816">
        <v>46264</v>
      </c>
      <c r="H2884" s="513" t="s">
        <v>16</v>
      </c>
      <c r="I2884" s="514" t="s">
        <v>112</v>
      </c>
      <c r="J2884" s="514">
        <v>35</v>
      </c>
      <c r="K2884" s="514">
        <f>J2884-L2884-M2884-N2884-O2884-P2884</f>
        <v>10</v>
      </c>
      <c r="L2884" s="514">
        <v>2</v>
      </c>
      <c r="M2884" s="514">
        <v>0</v>
      </c>
      <c r="N2884" s="515">
        <v>0</v>
      </c>
      <c r="O2884" s="514">
        <v>15</v>
      </c>
      <c r="P2884" s="515">
        <v>8</v>
      </c>
      <c r="Q2884" s="516">
        <f t="shared" ref="Q2884:Q2890" si="3512">(K2884+L2884)/J2884</f>
        <v>0.34285714285714286</v>
      </c>
      <c r="R2884" s="516">
        <f t="shared" ref="R2884:R2890" si="3513">N2884/J2884</f>
        <v>0</v>
      </c>
      <c r="S2884" s="517">
        <f t="shared" ref="S2884:S2891" si="3514">P2884/J2884</f>
        <v>0.22857142857142856</v>
      </c>
      <c r="T2884" s="517">
        <f t="shared" ref="T2884:T2891" si="3515">O2884/J2884</f>
        <v>0.42857142857142855</v>
      </c>
      <c r="U2884" s="518">
        <f t="shared" ref="U2884:U2891" si="3516">S2884+R2884+Q2884+T2884</f>
        <v>1</v>
      </c>
      <c r="V2884" s="386"/>
    </row>
    <row r="2885" spans="2:22" ht="15.75" hidden="1" x14ac:dyDescent="0.2">
      <c r="B2885" s="711">
        <v>46264</v>
      </c>
      <c r="C2885" s="711" t="s">
        <v>105</v>
      </c>
      <c r="D2885" s="711" t="s">
        <v>189</v>
      </c>
      <c r="E2885" s="711">
        <v>46264</v>
      </c>
      <c r="G2885" s="817"/>
      <c r="H2885" s="513" t="s">
        <v>17</v>
      </c>
      <c r="I2885" s="514" t="s">
        <v>106</v>
      </c>
      <c r="J2885" s="514">
        <v>40</v>
      </c>
      <c r="K2885" s="514">
        <f>J2885-L2885-M2885-N2885-O2885-P2885</f>
        <v>13</v>
      </c>
      <c r="L2885" s="514">
        <v>2</v>
      </c>
      <c r="M2885" s="514">
        <v>0</v>
      </c>
      <c r="N2885" s="515">
        <v>0</v>
      </c>
      <c r="O2885" s="514">
        <v>20</v>
      </c>
      <c r="P2885" s="515">
        <v>5</v>
      </c>
      <c r="Q2885" s="516">
        <f t="shared" si="3512"/>
        <v>0.375</v>
      </c>
      <c r="R2885" s="516">
        <f t="shared" si="3513"/>
        <v>0</v>
      </c>
      <c r="S2885" s="517">
        <f t="shared" si="3514"/>
        <v>0.125</v>
      </c>
      <c r="T2885" s="517">
        <f t="shared" si="3515"/>
        <v>0.5</v>
      </c>
      <c r="U2885" s="518">
        <f t="shared" si="3516"/>
        <v>1</v>
      </c>
      <c r="V2885" s="386"/>
    </row>
    <row r="2886" spans="2:22" ht="15.75" hidden="1" x14ac:dyDescent="0.2">
      <c r="B2886" s="711">
        <v>46264</v>
      </c>
      <c r="C2886" s="711" t="s">
        <v>105</v>
      </c>
      <c r="D2886" s="711" t="s">
        <v>189</v>
      </c>
      <c r="E2886" s="711">
        <v>46268</v>
      </c>
      <c r="G2886" s="778">
        <v>46268</v>
      </c>
      <c r="H2886" s="497" t="s">
        <v>16</v>
      </c>
      <c r="I2886" s="60" t="s">
        <v>112</v>
      </c>
      <c r="J2886" s="60">
        <v>186</v>
      </c>
      <c r="K2886" s="60">
        <f>J2886-L2886-M2886-N2886-O2886-P2886</f>
        <v>49</v>
      </c>
      <c r="L2886" s="60">
        <v>63</v>
      </c>
      <c r="M2886" s="60">
        <v>37</v>
      </c>
      <c r="N2886" s="494">
        <v>29</v>
      </c>
      <c r="O2886" s="60">
        <v>0</v>
      </c>
      <c r="P2886" s="494">
        <v>8</v>
      </c>
      <c r="Q2886" s="182">
        <f t="shared" si="3512"/>
        <v>0.60215053763440862</v>
      </c>
      <c r="R2886" s="182">
        <f t="shared" si="3513"/>
        <v>0.15591397849462366</v>
      </c>
      <c r="S2886" s="183">
        <f t="shared" si="3514"/>
        <v>4.3010752688172046E-2</v>
      </c>
      <c r="T2886" s="183">
        <f t="shared" si="3515"/>
        <v>0</v>
      </c>
      <c r="U2886" s="184">
        <f t="shared" si="3516"/>
        <v>0.80107526881720426</v>
      </c>
      <c r="V2886" s="386"/>
    </row>
    <row r="2887" spans="2:22" ht="15.75" hidden="1" x14ac:dyDescent="0.2">
      <c r="B2887" s="711">
        <v>46264</v>
      </c>
      <c r="C2887" s="711" t="s">
        <v>105</v>
      </c>
      <c r="D2887" s="711" t="s">
        <v>189</v>
      </c>
      <c r="E2887" s="711">
        <v>46268</v>
      </c>
      <c r="G2887" s="786"/>
      <c r="H2887" s="497" t="s">
        <v>17</v>
      </c>
      <c r="I2887" s="60" t="s">
        <v>106</v>
      </c>
      <c r="J2887" s="60">
        <v>184</v>
      </c>
      <c r="K2887" s="60">
        <f t="shared" ref="K2887:K2890" si="3517">J2887-L2887-M2887-N2887-O2887-P2887</f>
        <v>111</v>
      </c>
      <c r="L2887" s="60">
        <v>14</v>
      </c>
      <c r="M2887" s="60">
        <v>31</v>
      </c>
      <c r="N2887" s="494">
        <v>17</v>
      </c>
      <c r="O2887" s="60">
        <v>0</v>
      </c>
      <c r="P2887" s="494">
        <v>11</v>
      </c>
      <c r="Q2887" s="182">
        <f t="shared" si="3512"/>
        <v>0.67934782608695654</v>
      </c>
      <c r="R2887" s="182">
        <f t="shared" si="3513"/>
        <v>9.2391304347826081E-2</v>
      </c>
      <c r="S2887" s="183">
        <f t="shared" si="3514"/>
        <v>5.9782608695652176E-2</v>
      </c>
      <c r="T2887" s="183">
        <f t="shared" si="3515"/>
        <v>0</v>
      </c>
      <c r="U2887" s="184">
        <f t="shared" si="3516"/>
        <v>0.83152173913043481</v>
      </c>
      <c r="V2887" s="386"/>
    </row>
    <row r="2888" spans="2:22" ht="15.75" hidden="1" x14ac:dyDescent="0.2">
      <c r="B2888" s="711">
        <v>46264</v>
      </c>
      <c r="C2888" s="711" t="s">
        <v>105</v>
      </c>
      <c r="D2888" s="711" t="s">
        <v>189</v>
      </c>
      <c r="E2888" s="711">
        <v>46268</v>
      </c>
      <c r="G2888" s="786"/>
      <c r="H2888" s="497" t="s">
        <v>14</v>
      </c>
      <c r="I2888" s="60" t="s">
        <v>105</v>
      </c>
      <c r="J2888" s="60">
        <v>170</v>
      </c>
      <c r="K2888" s="60">
        <f t="shared" si="3517"/>
        <v>3</v>
      </c>
      <c r="L2888" s="60">
        <v>2</v>
      </c>
      <c r="M2888" s="60">
        <v>40</v>
      </c>
      <c r="N2888" s="494">
        <v>119</v>
      </c>
      <c r="O2888" s="60">
        <v>0</v>
      </c>
      <c r="P2888" s="494">
        <v>6</v>
      </c>
      <c r="Q2888" s="182">
        <f t="shared" si="3512"/>
        <v>2.9411764705882353E-2</v>
      </c>
      <c r="R2888" s="182">
        <f t="shared" si="3513"/>
        <v>0.7</v>
      </c>
      <c r="S2888" s="183">
        <f t="shared" si="3514"/>
        <v>3.5294117647058823E-2</v>
      </c>
      <c r="T2888" s="183">
        <f t="shared" si="3515"/>
        <v>0</v>
      </c>
      <c r="U2888" s="184">
        <f t="shared" si="3516"/>
        <v>0.76470588235294112</v>
      </c>
      <c r="V2888" s="386"/>
    </row>
    <row r="2889" spans="2:22" ht="15.75" hidden="1" x14ac:dyDescent="0.2">
      <c r="B2889" s="711">
        <v>46264</v>
      </c>
      <c r="C2889" s="711" t="s">
        <v>105</v>
      </c>
      <c r="D2889" s="711" t="s">
        <v>189</v>
      </c>
      <c r="E2889" s="711">
        <v>46268</v>
      </c>
      <c r="G2889" s="786"/>
      <c r="H2889" s="497" t="s">
        <v>84</v>
      </c>
      <c r="I2889" s="60" t="s">
        <v>105</v>
      </c>
      <c r="J2889" s="60">
        <v>26</v>
      </c>
      <c r="K2889" s="60">
        <f t="shared" si="3517"/>
        <v>0</v>
      </c>
      <c r="L2889" s="60">
        <v>0</v>
      </c>
      <c r="M2889" s="60">
        <v>25</v>
      </c>
      <c r="N2889" s="494">
        <v>0</v>
      </c>
      <c r="O2889" s="60">
        <v>0</v>
      </c>
      <c r="P2889" s="494">
        <v>1</v>
      </c>
      <c r="Q2889" s="182">
        <f t="shared" si="3512"/>
        <v>0</v>
      </c>
      <c r="R2889" s="182">
        <f t="shared" si="3513"/>
        <v>0</v>
      </c>
      <c r="S2889" s="183">
        <f t="shared" si="3514"/>
        <v>3.8461538461538464E-2</v>
      </c>
      <c r="T2889" s="183">
        <f t="shared" si="3515"/>
        <v>0</v>
      </c>
      <c r="U2889" s="184">
        <f t="shared" si="3516"/>
        <v>3.8461538461538464E-2</v>
      </c>
      <c r="V2889" s="386"/>
    </row>
    <row r="2890" spans="2:22" ht="15.75" hidden="1" x14ac:dyDescent="0.2">
      <c r="B2890" s="711">
        <v>46264</v>
      </c>
      <c r="C2890" s="711" t="s">
        <v>105</v>
      </c>
      <c r="D2890" s="711" t="s">
        <v>189</v>
      </c>
      <c r="E2890" s="711">
        <v>46268</v>
      </c>
      <c r="G2890" s="779"/>
      <c r="H2890" s="497" t="s">
        <v>118</v>
      </c>
      <c r="I2890" s="60" t="s">
        <v>106</v>
      </c>
      <c r="J2890" s="60">
        <v>176</v>
      </c>
      <c r="K2890" s="60">
        <f t="shared" si="3517"/>
        <v>115</v>
      </c>
      <c r="L2890" s="60">
        <v>29</v>
      </c>
      <c r="M2890" s="60">
        <v>16</v>
      </c>
      <c r="N2890" s="494">
        <v>0</v>
      </c>
      <c r="O2890" s="60">
        <v>0</v>
      </c>
      <c r="P2890" s="494">
        <v>16</v>
      </c>
      <c r="Q2890" s="182">
        <f t="shared" si="3512"/>
        <v>0.81818181818181823</v>
      </c>
      <c r="R2890" s="182">
        <f t="shared" si="3513"/>
        <v>0</v>
      </c>
      <c r="S2890" s="183">
        <f t="shared" si="3514"/>
        <v>9.0909090909090912E-2</v>
      </c>
      <c r="T2890" s="183">
        <f t="shared" si="3515"/>
        <v>0</v>
      </c>
      <c r="U2890" s="184">
        <f t="shared" si="3516"/>
        <v>0.90909090909090917</v>
      </c>
      <c r="V2890" s="386"/>
    </row>
    <row r="2891" spans="2:22" ht="15.75" hidden="1" x14ac:dyDescent="0.2">
      <c r="B2891" s="711">
        <v>46264</v>
      </c>
      <c r="C2891" s="711" t="s">
        <v>105</v>
      </c>
      <c r="D2891" s="711" t="s">
        <v>189</v>
      </c>
      <c r="E2891" s="711">
        <v>46268</v>
      </c>
      <c r="G2891" s="775" t="s">
        <v>19</v>
      </c>
      <c r="H2891" s="776"/>
      <c r="I2891" s="777"/>
      <c r="J2891" s="190">
        <f>SUM(J2884:J2890)</f>
        <v>817</v>
      </c>
      <c r="K2891" s="190">
        <f t="shared" ref="K2891:P2891" si="3518">SUM(K2884:K2890)</f>
        <v>301</v>
      </c>
      <c r="L2891" s="190">
        <f t="shared" si="3518"/>
        <v>112</v>
      </c>
      <c r="M2891" s="190">
        <f t="shared" si="3518"/>
        <v>149</v>
      </c>
      <c r="N2891" s="190">
        <f t="shared" si="3518"/>
        <v>165</v>
      </c>
      <c r="O2891" s="190">
        <f t="shared" si="3518"/>
        <v>35</v>
      </c>
      <c r="P2891" s="190">
        <f t="shared" si="3518"/>
        <v>55</v>
      </c>
      <c r="Q2891" s="481">
        <f>(K2891+L2891)/J2891</f>
        <v>0.50550795593635256</v>
      </c>
      <c r="R2891" s="481">
        <f>N2891/J2891</f>
        <v>0.20195838433292534</v>
      </c>
      <c r="S2891" s="482">
        <f t="shared" si="3514"/>
        <v>6.7319461444308448E-2</v>
      </c>
      <c r="T2891" s="482">
        <f t="shared" si="3515"/>
        <v>4.2839657282741736E-2</v>
      </c>
      <c r="U2891" s="483">
        <f t="shared" si="3516"/>
        <v>0.8176254589963281</v>
      </c>
      <c r="V2891" s="479"/>
    </row>
    <row r="2892" spans="2:22" ht="15.75" hidden="1" x14ac:dyDescent="0.2">
      <c r="B2892" s="711">
        <v>46268</v>
      </c>
      <c r="C2892" s="711" t="s">
        <v>106</v>
      </c>
      <c r="D2892" s="711" t="s">
        <v>189</v>
      </c>
      <c r="E2892" s="711">
        <v>46268</v>
      </c>
      <c r="G2892" s="778">
        <v>46268</v>
      </c>
      <c r="H2892" s="497" t="s">
        <v>16</v>
      </c>
      <c r="I2892" s="60" t="s">
        <v>112</v>
      </c>
      <c r="J2892" s="60">
        <f>SUM(K2892:P2892)</f>
        <v>120</v>
      </c>
      <c r="K2892" s="60">
        <f>65-26</f>
        <v>39</v>
      </c>
      <c r="L2892" s="60">
        <f>62-21</f>
        <v>41</v>
      </c>
      <c r="M2892" s="60">
        <v>0</v>
      </c>
      <c r="N2892" s="494">
        <v>14</v>
      </c>
      <c r="O2892" s="60">
        <v>20</v>
      </c>
      <c r="P2892" s="494">
        <v>6</v>
      </c>
      <c r="Q2892" s="182">
        <f t="shared" ref="Q2892:Q2895" si="3519">(K2892+L2892)/J2892</f>
        <v>0.66666666666666663</v>
      </c>
      <c r="R2892" s="182">
        <f t="shared" ref="R2892:R2895" si="3520">N2892/J2892</f>
        <v>0.11666666666666667</v>
      </c>
      <c r="S2892" s="183">
        <f t="shared" ref="S2892:S2908" si="3521">P2892/J2892</f>
        <v>0.05</v>
      </c>
      <c r="T2892" s="183">
        <f t="shared" ref="T2892:T2908" si="3522">O2892/J2892</f>
        <v>0.16666666666666666</v>
      </c>
      <c r="U2892" s="184">
        <f t="shared" ref="U2892:U2908" si="3523">S2892+R2892+Q2892+T2892</f>
        <v>0.99999999999999989</v>
      </c>
      <c r="V2892" s="386"/>
    </row>
    <row r="2893" spans="2:22" ht="15.75" hidden="1" x14ac:dyDescent="0.2">
      <c r="B2893" s="711">
        <v>46268</v>
      </c>
      <c r="C2893" s="711" t="s">
        <v>106</v>
      </c>
      <c r="D2893" s="711" t="s">
        <v>189</v>
      </c>
      <c r="E2893" s="711">
        <v>46268</v>
      </c>
      <c r="G2893" s="786"/>
      <c r="H2893" s="497" t="s">
        <v>17</v>
      </c>
      <c r="I2893" s="60" t="s">
        <v>106</v>
      </c>
      <c r="J2893" s="60">
        <f t="shared" ref="J2893:J2895" si="3524">SUM(K2893:P2893)</f>
        <v>77</v>
      </c>
      <c r="K2893" s="60">
        <v>21</v>
      </c>
      <c r="L2893" s="60">
        <v>17</v>
      </c>
      <c r="M2893" s="60">
        <v>0</v>
      </c>
      <c r="N2893" s="494">
        <v>0</v>
      </c>
      <c r="O2893" s="60">
        <v>25</v>
      </c>
      <c r="P2893" s="494">
        <v>14</v>
      </c>
      <c r="Q2893" s="182">
        <f t="shared" si="3519"/>
        <v>0.4935064935064935</v>
      </c>
      <c r="R2893" s="182">
        <f t="shared" si="3520"/>
        <v>0</v>
      </c>
      <c r="S2893" s="183">
        <f t="shared" si="3521"/>
        <v>0.18181818181818182</v>
      </c>
      <c r="T2893" s="183">
        <f t="shared" si="3522"/>
        <v>0.32467532467532467</v>
      </c>
      <c r="U2893" s="184">
        <f t="shared" si="3523"/>
        <v>1</v>
      </c>
      <c r="V2893" s="386"/>
    </row>
    <row r="2894" spans="2:22" ht="15.75" hidden="1" x14ac:dyDescent="0.2">
      <c r="B2894" s="711">
        <v>46268</v>
      </c>
      <c r="C2894" s="711" t="s">
        <v>106</v>
      </c>
      <c r="D2894" s="711" t="s">
        <v>189</v>
      </c>
      <c r="E2894" s="711">
        <v>46268</v>
      </c>
      <c r="G2894" s="786"/>
      <c r="H2894" s="497" t="s">
        <v>118</v>
      </c>
      <c r="I2894" s="60" t="s">
        <v>106</v>
      </c>
      <c r="J2894" s="60">
        <f t="shared" si="3524"/>
        <v>46</v>
      </c>
      <c r="K2894" s="60">
        <v>27</v>
      </c>
      <c r="L2894" s="60">
        <v>12</v>
      </c>
      <c r="M2894" s="60">
        <v>0</v>
      </c>
      <c r="N2894" s="494">
        <v>0</v>
      </c>
      <c r="O2894" s="60">
        <v>0</v>
      </c>
      <c r="P2894" s="494">
        <v>7</v>
      </c>
      <c r="Q2894" s="182">
        <f t="shared" ref="Q2894" si="3525">(K2894+L2894)/J2894</f>
        <v>0.84782608695652173</v>
      </c>
      <c r="R2894" s="182">
        <f t="shared" ref="R2894" si="3526">N2894/J2894</f>
        <v>0</v>
      </c>
      <c r="S2894" s="183">
        <f t="shared" ref="S2894" si="3527">P2894/J2894</f>
        <v>0.15217391304347827</v>
      </c>
      <c r="T2894" s="183">
        <f t="shared" ref="T2894" si="3528">O2894/J2894</f>
        <v>0</v>
      </c>
      <c r="U2894" s="184">
        <f t="shared" ref="U2894" si="3529">S2894+R2894+Q2894+T2894</f>
        <v>1</v>
      </c>
      <c r="V2894" s="386"/>
    </row>
    <row r="2895" spans="2:22" ht="15.75" hidden="1" x14ac:dyDescent="0.2">
      <c r="B2895" s="711">
        <v>46268</v>
      </c>
      <c r="C2895" s="711" t="s">
        <v>106</v>
      </c>
      <c r="D2895" s="711" t="s">
        <v>189</v>
      </c>
      <c r="E2895" s="711">
        <v>46268</v>
      </c>
      <c r="G2895" s="786"/>
      <c r="H2895" s="497" t="s">
        <v>180</v>
      </c>
      <c r="I2895" s="60" t="s">
        <v>106</v>
      </c>
      <c r="J2895" s="60">
        <f t="shared" si="3524"/>
        <v>27</v>
      </c>
      <c r="K2895" s="60">
        <v>27</v>
      </c>
      <c r="L2895" s="60">
        <v>0</v>
      </c>
      <c r="M2895" s="60">
        <v>0</v>
      </c>
      <c r="N2895" s="494">
        <v>0</v>
      </c>
      <c r="O2895" s="60">
        <v>0</v>
      </c>
      <c r="P2895" s="494">
        <v>0</v>
      </c>
      <c r="Q2895" s="182">
        <f t="shared" si="3519"/>
        <v>1</v>
      </c>
      <c r="R2895" s="182">
        <f t="shared" si="3520"/>
        <v>0</v>
      </c>
      <c r="S2895" s="183">
        <f t="shared" si="3521"/>
        <v>0</v>
      </c>
      <c r="T2895" s="183">
        <f t="shared" si="3522"/>
        <v>0</v>
      </c>
      <c r="U2895" s="184">
        <f t="shared" si="3523"/>
        <v>1</v>
      </c>
      <c r="V2895" s="386"/>
    </row>
    <row r="2896" spans="2:22" ht="15.75" hidden="1" x14ac:dyDescent="0.2">
      <c r="B2896" s="711">
        <v>46268</v>
      </c>
      <c r="C2896" s="711" t="s">
        <v>106</v>
      </c>
      <c r="D2896" s="711" t="s">
        <v>189</v>
      </c>
      <c r="E2896" s="711">
        <v>46268</v>
      </c>
      <c r="G2896" s="786"/>
      <c r="H2896" s="497" t="s">
        <v>14</v>
      </c>
      <c r="I2896" s="60" t="s">
        <v>105</v>
      </c>
      <c r="J2896" s="60">
        <v>170</v>
      </c>
      <c r="K2896" s="60">
        <v>87</v>
      </c>
      <c r="L2896" s="60">
        <v>46</v>
      </c>
      <c r="M2896" s="60">
        <v>5</v>
      </c>
      <c r="N2896" s="494">
        <v>18</v>
      </c>
      <c r="O2896" s="60">
        <v>11</v>
      </c>
      <c r="P2896" s="494">
        <v>6</v>
      </c>
      <c r="Q2896" s="182">
        <f t="shared" ref="Q2896:Q2899" si="3530">(K2896+L2896)/J2896</f>
        <v>0.78235294117647058</v>
      </c>
      <c r="R2896" s="182">
        <f t="shared" ref="R2896:R2899" si="3531">N2896/J2896</f>
        <v>0.10588235294117647</v>
      </c>
      <c r="S2896" s="183">
        <f t="shared" ref="S2896:S2899" si="3532">P2896/J2896</f>
        <v>3.5294117647058823E-2</v>
      </c>
      <c r="T2896" s="183">
        <f t="shared" ref="T2896:T2899" si="3533">O2896/J2896</f>
        <v>6.4705882352941183E-2</v>
      </c>
      <c r="U2896" s="184">
        <f t="shared" ref="U2896:U2899" si="3534">S2896+R2896+Q2896+T2896</f>
        <v>0.9882352941176471</v>
      </c>
      <c r="V2896" s="386"/>
    </row>
    <row r="2897" spans="2:22" ht="15.75" hidden="1" x14ac:dyDescent="0.2">
      <c r="B2897" s="711">
        <v>46268</v>
      </c>
      <c r="C2897" s="711" t="s">
        <v>106</v>
      </c>
      <c r="D2897" s="711" t="s">
        <v>189</v>
      </c>
      <c r="E2897" s="711">
        <v>46268</v>
      </c>
      <c r="G2897" s="779"/>
      <c r="H2897" s="497" t="s">
        <v>84</v>
      </c>
      <c r="I2897" s="60" t="s">
        <v>105</v>
      </c>
      <c r="J2897" s="60">
        <v>26</v>
      </c>
      <c r="K2897" s="60">
        <v>0</v>
      </c>
      <c r="L2897" s="60">
        <v>0</v>
      </c>
      <c r="M2897" s="60">
        <v>19</v>
      </c>
      <c r="N2897" s="494">
        <v>6</v>
      </c>
      <c r="O2897" s="60">
        <v>0</v>
      </c>
      <c r="P2897" s="494">
        <v>1</v>
      </c>
      <c r="Q2897" s="182">
        <f t="shared" ref="Q2897:Q2898" si="3535">(K2897+L2897)/J2897</f>
        <v>0</v>
      </c>
      <c r="R2897" s="182">
        <f t="shared" ref="R2897:R2898" si="3536">N2897/J2897</f>
        <v>0.23076923076923078</v>
      </c>
      <c r="S2897" s="183">
        <f t="shared" ref="S2897:S2898" si="3537">P2897/J2897</f>
        <v>3.8461538461538464E-2</v>
      </c>
      <c r="T2897" s="183">
        <f t="shared" ref="T2897:T2898" si="3538">O2897/J2897</f>
        <v>0</v>
      </c>
      <c r="U2897" s="184">
        <f t="shared" ref="U2897:U2898" si="3539">S2897+R2897+Q2897+T2897</f>
        <v>0.26923076923076927</v>
      </c>
      <c r="V2897" s="386"/>
    </row>
    <row r="2898" spans="2:22" ht="15.75" hidden="1" x14ac:dyDescent="0.2">
      <c r="B2898" s="711">
        <v>46268</v>
      </c>
      <c r="C2898" s="711" t="s">
        <v>106</v>
      </c>
      <c r="D2898" s="711" t="s">
        <v>189</v>
      </c>
      <c r="E2898" s="711">
        <v>46269</v>
      </c>
      <c r="G2898" s="770">
        <v>46269</v>
      </c>
      <c r="H2898" s="497" t="s">
        <v>17</v>
      </c>
      <c r="I2898" s="60" t="s">
        <v>106</v>
      </c>
      <c r="J2898" s="60">
        <v>170</v>
      </c>
      <c r="K2898" s="60">
        <v>0</v>
      </c>
      <c r="L2898" s="60">
        <v>0</v>
      </c>
      <c r="M2898" s="60">
        <v>81</v>
      </c>
      <c r="N2898" s="494">
        <v>50</v>
      </c>
      <c r="O2898" s="60">
        <v>8</v>
      </c>
      <c r="P2898" s="494">
        <v>8</v>
      </c>
      <c r="Q2898" s="182">
        <f t="shared" si="3535"/>
        <v>0</v>
      </c>
      <c r="R2898" s="182">
        <f t="shared" si="3536"/>
        <v>0.29411764705882354</v>
      </c>
      <c r="S2898" s="183">
        <f t="shared" si="3537"/>
        <v>4.7058823529411764E-2</v>
      </c>
      <c r="T2898" s="183">
        <f t="shared" si="3538"/>
        <v>4.7058823529411764E-2</v>
      </c>
      <c r="U2898" s="184">
        <f t="shared" si="3539"/>
        <v>0.38823529411764707</v>
      </c>
      <c r="V2898" s="386"/>
    </row>
    <row r="2899" spans="2:22" ht="15.75" hidden="1" x14ac:dyDescent="0.2">
      <c r="B2899" s="711">
        <v>46268</v>
      </c>
      <c r="C2899" s="711" t="s">
        <v>106</v>
      </c>
      <c r="D2899" s="711" t="s">
        <v>189</v>
      </c>
      <c r="E2899" s="711">
        <v>46269</v>
      </c>
      <c r="G2899" s="772"/>
      <c r="H2899" s="497" t="s">
        <v>16</v>
      </c>
      <c r="I2899" s="60" t="s">
        <v>112</v>
      </c>
      <c r="J2899" s="60">
        <v>236</v>
      </c>
      <c r="K2899" s="60">
        <v>26</v>
      </c>
      <c r="L2899" s="60">
        <v>21</v>
      </c>
      <c r="M2899" s="60">
        <v>18</v>
      </c>
      <c r="N2899" s="494">
        <v>144</v>
      </c>
      <c r="O2899" s="60">
        <v>20</v>
      </c>
      <c r="P2899" s="494">
        <v>31</v>
      </c>
      <c r="Q2899" s="182">
        <f t="shared" si="3530"/>
        <v>0.19915254237288135</v>
      </c>
      <c r="R2899" s="182">
        <f t="shared" si="3531"/>
        <v>0.61016949152542377</v>
      </c>
      <c r="S2899" s="183">
        <f t="shared" si="3532"/>
        <v>0.13135593220338984</v>
      </c>
      <c r="T2899" s="183">
        <f t="shared" si="3533"/>
        <v>8.4745762711864403E-2</v>
      </c>
      <c r="U2899" s="184">
        <f t="shared" si="3534"/>
        <v>1.0254237288135593</v>
      </c>
      <c r="V2899" s="386"/>
    </row>
    <row r="2900" spans="2:22" ht="15.75" hidden="1" x14ac:dyDescent="0.2">
      <c r="B2900" s="711">
        <v>46268</v>
      </c>
      <c r="C2900" s="711" t="s">
        <v>106</v>
      </c>
      <c r="D2900" s="711" t="s">
        <v>189</v>
      </c>
      <c r="E2900" s="711">
        <v>46268</v>
      </c>
      <c r="G2900" s="775" t="s">
        <v>19</v>
      </c>
      <c r="H2900" s="776"/>
      <c r="I2900" s="777"/>
      <c r="J2900" s="190">
        <f t="shared" ref="J2900:P2900" si="3540">SUM(J2892:J2899)</f>
        <v>872</v>
      </c>
      <c r="K2900" s="190">
        <f t="shared" si="3540"/>
        <v>227</v>
      </c>
      <c r="L2900" s="190">
        <f t="shared" si="3540"/>
        <v>137</v>
      </c>
      <c r="M2900" s="190">
        <f t="shared" si="3540"/>
        <v>123</v>
      </c>
      <c r="N2900" s="190">
        <f t="shared" si="3540"/>
        <v>232</v>
      </c>
      <c r="O2900" s="190">
        <f t="shared" si="3540"/>
        <v>84</v>
      </c>
      <c r="P2900" s="190">
        <f t="shared" si="3540"/>
        <v>73</v>
      </c>
      <c r="Q2900" s="481">
        <f>(K2900+L2900)/J2900</f>
        <v>0.41743119266055045</v>
      </c>
      <c r="R2900" s="481">
        <f>N2900/J2900</f>
        <v>0.26605504587155965</v>
      </c>
      <c r="S2900" s="482">
        <f t="shared" si="3521"/>
        <v>8.3715596330275227E-2</v>
      </c>
      <c r="T2900" s="482">
        <f t="shared" si="3522"/>
        <v>9.6330275229357804E-2</v>
      </c>
      <c r="U2900" s="483">
        <f t="shared" si="3523"/>
        <v>0.86353211009174302</v>
      </c>
      <c r="V2900" s="479"/>
    </row>
    <row r="2901" spans="2:22" ht="15.75" hidden="1" x14ac:dyDescent="0.2">
      <c r="B2901" s="711">
        <v>46268</v>
      </c>
      <c r="C2901" s="711" t="s">
        <v>105</v>
      </c>
      <c r="D2901" s="711" t="s">
        <v>13</v>
      </c>
      <c r="E2901" s="711">
        <v>46268</v>
      </c>
      <c r="G2901" s="778">
        <v>46268</v>
      </c>
      <c r="H2901" s="497" t="s">
        <v>16</v>
      </c>
      <c r="I2901" s="60" t="s">
        <v>112</v>
      </c>
      <c r="J2901" s="60">
        <v>186</v>
      </c>
      <c r="K2901" s="60">
        <v>85</v>
      </c>
      <c r="L2901" s="60">
        <v>73</v>
      </c>
      <c r="M2901" s="60">
        <v>0</v>
      </c>
      <c r="N2901" s="494">
        <v>0</v>
      </c>
      <c r="O2901" s="60">
        <v>20</v>
      </c>
      <c r="P2901" s="494">
        <v>8</v>
      </c>
      <c r="Q2901" s="182">
        <f t="shared" ref="Q2901:Q2908" si="3541">(K2901+L2901)/J2901</f>
        <v>0.84946236559139787</v>
      </c>
      <c r="R2901" s="182">
        <f t="shared" ref="R2901:R2908" si="3542">N2901/J2901</f>
        <v>0</v>
      </c>
      <c r="S2901" s="183">
        <f t="shared" si="3521"/>
        <v>4.3010752688172046E-2</v>
      </c>
      <c r="T2901" s="183">
        <f t="shared" si="3522"/>
        <v>0.10752688172043011</v>
      </c>
      <c r="U2901" s="184">
        <f t="shared" si="3523"/>
        <v>1</v>
      </c>
      <c r="V2901" s="386"/>
    </row>
    <row r="2902" spans="2:22" ht="15.75" hidden="1" x14ac:dyDescent="0.2">
      <c r="B2902" s="711">
        <v>46268</v>
      </c>
      <c r="C2902" s="711" t="s">
        <v>105</v>
      </c>
      <c r="D2902" s="711" t="s">
        <v>13</v>
      </c>
      <c r="E2902" s="711">
        <v>46268</v>
      </c>
      <c r="G2902" s="786"/>
      <c r="H2902" s="497" t="s">
        <v>14</v>
      </c>
      <c r="I2902" s="60" t="s">
        <v>105</v>
      </c>
      <c r="J2902" s="60">
        <v>170</v>
      </c>
      <c r="K2902" s="60">
        <v>103</v>
      </c>
      <c r="L2902" s="60">
        <v>50</v>
      </c>
      <c r="M2902" s="60">
        <v>0</v>
      </c>
      <c r="N2902" s="494">
        <v>0</v>
      </c>
      <c r="O2902" s="60">
        <v>11</v>
      </c>
      <c r="P2902" s="494">
        <v>6</v>
      </c>
      <c r="Q2902" s="182">
        <f t="shared" si="3541"/>
        <v>0.9</v>
      </c>
      <c r="R2902" s="182">
        <f t="shared" si="3542"/>
        <v>0</v>
      </c>
      <c r="S2902" s="183">
        <f t="shared" si="3521"/>
        <v>3.5294117647058823E-2</v>
      </c>
      <c r="T2902" s="183">
        <f t="shared" si="3522"/>
        <v>6.4705882352941183E-2</v>
      </c>
      <c r="U2902" s="184">
        <f t="shared" si="3523"/>
        <v>1</v>
      </c>
      <c r="V2902" s="386"/>
    </row>
    <row r="2903" spans="2:22" ht="15.75" hidden="1" x14ac:dyDescent="0.2">
      <c r="B2903" s="711">
        <v>46268</v>
      </c>
      <c r="C2903" s="711" t="s">
        <v>105</v>
      </c>
      <c r="D2903" s="711" t="s">
        <v>13</v>
      </c>
      <c r="E2903" s="711">
        <v>46268</v>
      </c>
      <c r="G2903" s="779"/>
      <c r="H2903" s="497" t="s">
        <v>84</v>
      </c>
      <c r="I2903" s="60" t="s">
        <v>105</v>
      </c>
      <c r="J2903" s="60">
        <v>26</v>
      </c>
      <c r="K2903" s="60">
        <v>17</v>
      </c>
      <c r="L2903" s="60">
        <v>8</v>
      </c>
      <c r="M2903" s="60">
        <v>0</v>
      </c>
      <c r="N2903" s="494">
        <v>0</v>
      </c>
      <c r="O2903" s="60">
        <v>0</v>
      </c>
      <c r="P2903" s="494">
        <v>1</v>
      </c>
      <c r="Q2903" s="182">
        <f t="shared" si="3541"/>
        <v>0.96153846153846156</v>
      </c>
      <c r="R2903" s="182">
        <f t="shared" si="3542"/>
        <v>0</v>
      </c>
      <c r="S2903" s="183">
        <f t="shared" si="3521"/>
        <v>3.8461538461538464E-2</v>
      </c>
      <c r="T2903" s="183">
        <f t="shared" si="3522"/>
        <v>0</v>
      </c>
      <c r="U2903" s="184">
        <f t="shared" si="3523"/>
        <v>1</v>
      </c>
      <c r="V2903" s="386"/>
    </row>
    <row r="2904" spans="2:22" ht="15.75" hidden="1" x14ac:dyDescent="0.2">
      <c r="B2904" s="711">
        <v>46268</v>
      </c>
      <c r="C2904" s="711" t="s">
        <v>105</v>
      </c>
      <c r="D2904" s="711" t="s">
        <v>13</v>
      </c>
      <c r="E2904" s="711">
        <v>46269</v>
      </c>
      <c r="G2904" s="809">
        <v>46269</v>
      </c>
      <c r="H2904" s="510" t="s">
        <v>17</v>
      </c>
      <c r="I2904" s="486" t="s">
        <v>106</v>
      </c>
      <c r="J2904" s="486">
        <v>170</v>
      </c>
      <c r="K2904" s="486">
        <v>91</v>
      </c>
      <c r="L2904" s="486">
        <v>39</v>
      </c>
      <c r="M2904" s="486">
        <v>2</v>
      </c>
      <c r="N2904" s="511">
        <v>0</v>
      </c>
      <c r="O2904" s="486">
        <v>28</v>
      </c>
      <c r="P2904" s="511">
        <v>10</v>
      </c>
      <c r="Q2904" s="488">
        <f t="shared" si="3541"/>
        <v>0.76470588235294112</v>
      </c>
      <c r="R2904" s="488">
        <f t="shared" si="3542"/>
        <v>0</v>
      </c>
      <c r="S2904" s="489">
        <f t="shared" si="3521"/>
        <v>5.8823529411764705E-2</v>
      </c>
      <c r="T2904" s="489">
        <f t="shared" si="3522"/>
        <v>0.16470588235294117</v>
      </c>
      <c r="U2904" s="490">
        <f t="shared" si="3523"/>
        <v>0.98823529411764699</v>
      </c>
      <c r="V2904" s="386"/>
    </row>
    <row r="2905" spans="2:22" ht="15.75" hidden="1" x14ac:dyDescent="0.2">
      <c r="B2905" s="711">
        <v>46268</v>
      </c>
      <c r="C2905" s="711" t="s">
        <v>105</v>
      </c>
      <c r="D2905" s="711" t="s">
        <v>13</v>
      </c>
      <c r="E2905" s="711">
        <v>46269</v>
      </c>
      <c r="G2905" s="810"/>
      <c r="H2905" s="510" t="s">
        <v>14</v>
      </c>
      <c r="I2905" s="486" t="s">
        <v>105</v>
      </c>
      <c r="J2905" s="486">
        <v>169</v>
      </c>
      <c r="K2905" s="486">
        <v>5</v>
      </c>
      <c r="L2905" s="486">
        <v>0</v>
      </c>
      <c r="M2905" s="486">
        <v>35</v>
      </c>
      <c r="N2905" s="511">
        <v>116</v>
      </c>
      <c r="O2905" s="486">
        <v>8</v>
      </c>
      <c r="P2905" s="511">
        <v>5</v>
      </c>
      <c r="Q2905" s="488">
        <f t="shared" ref="Q2905:Q2907" si="3543">(K2905+L2905)/J2905</f>
        <v>2.9585798816568046E-2</v>
      </c>
      <c r="R2905" s="488">
        <f t="shared" ref="R2905:R2907" si="3544">N2905/J2905</f>
        <v>0.68639053254437865</v>
      </c>
      <c r="S2905" s="489">
        <f t="shared" ref="S2905:S2907" si="3545">P2905/J2905</f>
        <v>2.9585798816568046E-2</v>
      </c>
      <c r="T2905" s="489">
        <f t="shared" ref="T2905:T2907" si="3546">O2905/J2905</f>
        <v>4.7337278106508875E-2</v>
      </c>
      <c r="U2905" s="490">
        <f t="shared" ref="U2905:U2907" si="3547">S2905+R2905+Q2905+T2905</f>
        <v>0.79289940828402372</v>
      </c>
      <c r="V2905" s="386"/>
    </row>
    <row r="2906" spans="2:22" ht="15.75" hidden="1" x14ac:dyDescent="0.2">
      <c r="B2906" s="711">
        <v>46268</v>
      </c>
      <c r="C2906" s="711" t="s">
        <v>105</v>
      </c>
      <c r="D2906" s="711" t="s">
        <v>13</v>
      </c>
      <c r="E2906" s="711">
        <v>46269</v>
      </c>
      <c r="G2906" s="810"/>
      <c r="H2906" s="510" t="s">
        <v>180</v>
      </c>
      <c r="I2906" s="486" t="s">
        <v>106</v>
      </c>
      <c r="J2906" s="486">
        <v>67</v>
      </c>
      <c r="K2906" s="486">
        <v>0</v>
      </c>
      <c r="L2906" s="486">
        <v>0</v>
      </c>
      <c r="M2906" s="486">
        <v>0</v>
      </c>
      <c r="N2906" s="511">
        <v>64</v>
      </c>
      <c r="O2906" s="486">
        <v>0</v>
      </c>
      <c r="P2906" s="511">
        <v>3</v>
      </c>
      <c r="Q2906" s="488">
        <f t="shared" si="3543"/>
        <v>0</v>
      </c>
      <c r="R2906" s="488">
        <f t="shared" si="3544"/>
        <v>0.95522388059701491</v>
      </c>
      <c r="S2906" s="489">
        <f t="shared" si="3545"/>
        <v>4.4776119402985072E-2</v>
      </c>
      <c r="T2906" s="489">
        <f t="shared" si="3546"/>
        <v>0</v>
      </c>
      <c r="U2906" s="490">
        <f t="shared" si="3547"/>
        <v>1</v>
      </c>
      <c r="V2906" s="386"/>
    </row>
    <row r="2907" spans="2:22" ht="15.75" hidden="1" x14ac:dyDescent="0.2">
      <c r="B2907" s="711">
        <v>46268</v>
      </c>
      <c r="C2907" s="711" t="s">
        <v>105</v>
      </c>
      <c r="D2907" s="711" t="s">
        <v>13</v>
      </c>
      <c r="E2907" s="711">
        <v>46269</v>
      </c>
      <c r="G2907" s="810"/>
      <c r="H2907" s="510" t="s">
        <v>84</v>
      </c>
      <c r="I2907" s="486" t="s">
        <v>105</v>
      </c>
      <c r="J2907" s="486">
        <v>45</v>
      </c>
      <c r="K2907" s="486">
        <v>22</v>
      </c>
      <c r="L2907" s="486">
        <v>4</v>
      </c>
      <c r="M2907" s="486">
        <v>13</v>
      </c>
      <c r="N2907" s="511">
        <v>0</v>
      </c>
      <c r="O2907" s="486">
        <v>3</v>
      </c>
      <c r="P2907" s="511">
        <v>3</v>
      </c>
      <c r="Q2907" s="488">
        <f t="shared" si="3543"/>
        <v>0.57777777777777772</v>
      </c>
      <c r="R2907" s="488">
        <f t="shared" si="3544"/>
        <v>0</v>
      </c>
      <c r="S2907" s="489">
        <f t="shared" si="3545"/>
        <v>6.6666666666666666E-2</v>
      </c>
      <c r="T2907" s="489">
        <f t="shared" si="3546"/>
        <v>6.6666666666666666E-2</v>
      </c>
      <c r="U2907" s="490">
        <f t="shared" si="3547"/>
        <v>0.71111111111111103</v>
      </c>
      <c r="V2907" s="386"/>
    </row>
    <row r="2908" spans="2:22" ht="15.75" hidden="1" x14ac:dyDescent="0.2">
      <c r="B2908" s="711">
        <v>46268</v>
      </c>
      <c r="C2908" s="711" t="s">
        <v>105</v>
      </c>
      <c r="D2908" s="711" t="s">
        <v>13</v>
      </c>
      <c r="E2908" s="711">
        <v>46269</v>
      </c>
      <c r="G2908" s="811"/>
      <c r="H2908" s="510" t="s">
        <v>16</v>
      </c>
      <c r="I2908" s="486" t="s">
        <v>112</v>
      </c>
      <c r="J2908" s="486">
        <v>236</v>
      </c>
      <c r="K2908" s="486">
        <v>135</v>
      </c>
      <c r="L2908" s="486">
        <v>66</v>
      </c>
      <c r="M2908" s="486">
        <v>10</v>
      </c>
      <c r="N2908" s="511">
        <v>0</v>
      </c>
      <c r="O2908" s="486">
        <v>20</v>
      </c>
      <c r="P2908" s="511">
        <v>5</v>
      </c>
      <c r="Q2908" s="488">
        <f t="shared" si="3541"/>
        <v>0.85169491525423724</v>
      </c>
      <c r="R2908" s="488">
        <f t="shared" si="3542"/>
        <v>0</v>
      </c>
      <c r="S2908" s="489">
        <f t="shared" si="3521"/>
        <v>2.1186440677966101E-2</v>
      </c>
      <c r="T2908" s="489">
        <f t="shared" si="3522"/>
        <v>8.4745762711864403E-2</v>
      </c>
      <c r="U2908" s="490">
        <f t="shared" si="3523"/>
        <v>0.95762711864406769</v>
      </c>
      <c r="V2908" s="386"/>
    </row>
    <row r="2909" spans="2:22" ht="15.75" hidden="1" x14ac:dyDescent="0.2">
      <c r="B2909" s="711">
        <v>46268</v>
      </c>
      <c r="C2909" s="711" t="s">
        <v>105</v>
      </c>
      <c r="D2909" s="711" t="s">
        <v>13</v>
      </c>
      <c r="E2909" s="711">
        <v>46269</v>
      </c>
      <c r="G2909" s="775" t="s">
        <v>19</v>
      </c>
      <c r="H2909" s="776"/>
      <c r="I2909" s="777"/>
      <c r="J2909" s="190">
        <f t="shared" ref="J2909:P2909" si="3548">SUM(J2898:J2908)</f>
        <v>2347</v>
      </c>
      <c r="K2909" s="190">
        <f t="shared" si="3548"/>
        <v>711</v>
      </c>
      <c r="L2909" s="190">
        <f t="shared" si="3548"/>
        <v>398</v>
      </c>
      <c r="M2909" s="190">
        <f t="shared" si="3548"/>
        <v>282</v>
      </c>
      <c r="N2909" s="190">
        <f t="shared" si="3548"/>
        <v>606</v>
      </c>
      <c r="O2909" s="190">
        <f t="shared" si="3548"/>
        <v>202</v>
      </c>
      <c r="P2909" s="190">
        <f t="shared" si="3548"/>
        <v>153</v>
      </c>
      <c r="Q2909" s="481">
        <f>(K2909+L2909)/J2909</f>
        <v>0.47251810822326373</v>
      </c>
      <c r="R2909" s="481">
        <f>N2909/J2909</f>
        <v>0.25820195994887091</v>
      </c>
      <c r="S2909" s="482">
        <f t="shared" ref="S2909:S2922" si="3549">P2909/J2909</f>
        <v>6.5189603749467404E-2</v>
      </c>
      <c r="T2909" s="482">
        <f t="shared" ref="T2909:T2922" si="3550">O2909/J2909</f>
        <v>8.6067319982956969E-2</v>
      </c>
      <c r="U2909" s="483">
        <f t="shared" ref="U2909:U2922" si="3551">S2909+R2909+Q2909+T2909</f>
        <v>0.88197699190455903</v>
      </c>
      <c r="V2909" s="479"/>
    </row>
    <row r="2910" spans="2:22" ht="15.75" hidden="1" x14ac:dyDescent="0.2">
      <c r="B2910" s="711">
        <v>46269</v>
      </c>
      <c r="C2910" s="711" t="s">
        <v>106</v>
      </c>
      <c r="D2910" s="711" t="s">
        <v>189</v>
      </c>
      <c r="E2910" s="711">
        <v>46269</v>
      </c>
      <c r="G2910" s="778">
        <v>46269</v>
      </c>
      <c r="H2910" s="497" t="s">
        <v>16</v>
      </c>
      <c r="I2910" s="60" t="s">
        <v>112</v>
      </c>
      <c r="J2910" s="60">
        <f>SUM(K2910:P2910)</f>
        <v>62</v>
      </c>
      <c r="K2910" s="60">
        <v>22</v>
      </c>
      <c r="L2910" s="60">
        <v>29</v>
      </c>
      <c r="M2910" s="60">
        <v>0</v>
      </c>
      <c r="N2910" s="494">
        <v>3</v>
      </c>
      <c r="O2910" s="60">
        <v>5</v>
      </c>
      <c r="P2910" s="494">
        <v>3</v>
      </c>
      <c r="Q2910" s="182">
        <f t="shared" ref="Q2910:Q2918" si="3552">(K2910+L2910)/J2910</f>
        <v>0.82258064516129037</v>
      </c>
      <c r="R2910" s="182">
        <f t="shared" ref="R2910:R2918" si="3553">N2910/J2910</f>
        <v>4.8387096774193547E-2</v>
      </c>
      <c r="S2910" s="183">
        <f t="shared" si="3549"/>
        <v>4.8387096774193547E-2</v>
      </c>
      <c r="T2910" s="183">
        <f t="shared" si="3550"/>
        <v>8.0645161290322578E-2</v>
      </c>
      <c r="U2910" s="184">
        <f t="shared" si="3551"/>
        <v>1</v>
      </c>
      <c r="V2910" s="386"/>
    </row>
    <row r="2911" spans="2:22" ht="15.75" hidden="1" x14ac:dyDescent="0.2">
      <c r="B2911" s="711">
        <v>46269</v>
      </c>
      <c r="C2911" s="711" t="s">
        <v>106</v>
      </c>
      <c r="D2911" s="711" t="s">
        <v>189</v>
      </c>
      <c r="E2911" s="711">
        <v>46269</v>
      </c>
      <c r="G2911" s="786"/>
      <c r="H2911" s="497" t="s">
        <v>17</v>
      </c>
      <c r="I2911" s="60" t="s">
        <v>106</v>
      </c>
      <c r="J2911" s="60">
        <f t="shared" ref="J2911:J2914" si="3554">SUM(K2911:P2911)</f>
        <v>66</v>
      </c>
      <c r="K2911" s="60">
        <v>41</v>
      </c>
      <c r="L2911" s="60">
        <v>18</v>
      </c>
      <c r="M2911" s="60">
        <v>0</v>
      </c>
      <c r="N2911" s="494">
        <v>0</v>
      </c>
      <c r="O2911" s="60">
        <v>0</v>
      </c>
      <c r="P2911" s="494">
        <v>7</v>
      </c>
      <c r="Q2911" s="182">
        <f t="shared" si="3552"/>
        <v>0.89393939393939392</v>
      </c>
      <c r="R2911" s="182">
        <f t="shared" si="3553"/>
        <v>0</v>
      </c>
      <c r="S2911" s="183">
        <f t="shared" si="3549"/>
        <v>0.10606060606060606</v>
      </c>
      <c r="T2911" s="183">
        <f t="shared" si="3550"/>
        <v>0</v>
      </c>
      <c r="U2911" s="184">
        <f t="shared" si="3551"/>
        <v>1</v>
      </c>
      <c r="V2911" s="386"/>
    </row>
    <row r="2912" spans="2:22" ht="15.75" hidden="1" x14ac:dyDescent="0.2">
      <c r="B2912" s="711">
        <v>46269</v>
      </c>
      <c r="C2912" s="711" t="s">
        <v>106</v>
      </c>
      <c r="D2912" s="711" t="s">
        <v>189</v>
      </c>
      <c r="E2912" s="711">
        <v>46269</v>
      </c>
      <c r="G2912" s="786"/>
      <c r="H2912" s="497" t="s">
        <v>118</v>
      </c>
      <c r="I2912" s="60" t="s">
        <v>106</v>
      </c>
      <c r="J2912" s="60">
        <f t="shared" si="3554"/>
        <v>2</v>
      </c>
      <c r="K2912" s="60">
        <v>2</v>
      </c>
      <c r="L2912" s="60">
        <v>0</v>
      </c>
      <c r="M2912" s="60">
        <v>0</v>
      </c>
      <c r="N2912" s="494">
        <v>0</v>
      </c>
      <c r="O2912" s="60">
        <v>0</v>
      </c>
      <c r="P2912" s="494">
        <v>0</v>
      </c>
      <c r="Q2912" s="182">
        <f t="shared" si="3552"/>
        <v>1</v>
      </c>
      <c r="R2912" s="182">
        <f t="shared" si="3553"/>
        <v>0</v>
      </c>
      <c r="S2912" s="183">
        <f t="shared" si="3549"/>
        <v>0</v>
      </c>
      <c r="T2912" s="183">
        <f t="shared" si="3550"/>
        <v>0</v>
      </c>
      <c r="U2912" s="184">
        <f t="shared" si="3551"/>
        <v>1</v>
      </c>
      <c r="V2912" s="386"/>
    </row>
    <row r="2913" spans="2:22" ht="15.75" hidden="1" x14ac:dyDescent="0.2">
      <c r="B2913" s="711">
        <v>46269</v>
      </c>
      <c r="C2913" s="711" t="s">
        <v>106</v>
      </c>
      <c r="D2913" s="711" t="s">
        <v>189</v>
      </c>
      <c r="E2913" s="711">
        <v>46269</v>
      </c>
      <c r="G2913" s="786"/>
      <c r="H2913" s="497" t="s">
        <v>180</v>
      </c>
      <c r="I2913" s="60" t="s">
        <v>106</v>
      </c>
      <c r="J2913" s="60">
        <v>67</v>
      </c>
      <c r="K2913" s="60">
        <v>64</v>
      </c>
      <c r="L2913" s="60">
        <v>0</v>
      </c>
      <c r="M2913" s="60">
        <v>0</v>
      </c>
      <c r="N2913" s="494">
        <v>0</v>
      </c>
      <c r="O2913" s="60">
        <v>0</v>
      </c>
      <c r="P2913" s="494">
        <v>3</v>
      </c>
      <c r="Q2913" s="182">
        <f t="shared" si="3552"/>
        <v>0.95522388059701491</v>
      </c>
      <c r="R2913" s="182">
        <f t="shared" si="3553"/>
        <v>0</v>
      </c>
      <c r="S2913" s="183">
        <f t="shared" si="3549"/>
        <v>4.4776119402985072E-2</v>
      </c>
      <c r="T2913" s="183">
        <f t="shared" si="3550"/>
        <v>0</v>
      </c>
      <c r="U2913" s="184">
        <f t="shared" si="3551"/>
        <v>1</v>
      </c>
      <c r="V2913" s="386"/>
    </row>
    <row r="2914" spans="2:22" ht="15.75" hidden="1" x14ac:dyDescent="0.2">
      <c r="B2914" s="711">
        <v>46269</v>
      </c>
      <c r="C2914" s="711" t="s">
        <v>106</v>
      </c>
      <c r="D2914" s="711" t="s">
        <v>189</v>
      </c>
      <c r="E2914" s="711">
        <v>46269</v>
      </c>
      <c r="G2914" s="786"/>
      <c r="H2914" s="497" t="s">
        <v>25</v>
      </c>
      <c r="I2914" s="60" t="s">
        <v>106</v>
      </c>
      <c r="J2914" s="60">
        <f t="shared" si="3554"/>
        <v>13</v>
      </c>
      <c r="K2914" s="60">
        <v>7</v>
      </c>
      <c r="L2914" s="60">
        <v>6</v>
      </c>
      <c r="M2914" s="60">
        <v>0</v>
      </c>
      <c r="N2914" s="494">
        <v>0</v>
      </c>
      <c r="O2914" s="60">
        <v>0</v>
      </c>
      <c r="P2914" s="494">
        <v>0</v>
      </c>
      <c r="Q2914" s="182">
        <f t="shared" ref="Q2914" si="3555">(K2914+L2914)/J2914</f>
        <v>1</v>
      </c>
      <c r="R2914" s="182">
        <f t="shared" ref="R2914" si="3556">N2914/J2914</f>
        <v>0</v>
      </c>
      <c r="S2914" s="183">
        <f t="shared" ref="S2914" si="3557">P2914/J2914</f>
        <v>0</v>
      </c>
      <c r="T2914" s="183">
        <f t="shared" ref="T2914" si="3558">O2914/J2914</f>
        <v>0</v>
      </c>
      <c r="U2914" s="184">
        <f t="shared" ref="U2914" si="3559">S2914+R2914+Q2914+T2914</f>
        <v>1</v>
      </c>
      <c r="V2914" s="386"/>
    </row>
    <row r="2915" spans="2:22" ht="15.75" hidden="1" x14ac:dyDescent="0.2">
      <c r="B2915" s="711">
        <v>46269</v>
      </c>
      <c r="C2915" s="711" t="s">
        <v>106</v>
      </c>
      <c r="D2915" s="711" t="s">
        <v>189</v>
      </c>
      <c r="E2915" s="711">
        <v>46269</v>
      </c>
      <c r="G2915" s="786"/>
      <c r="H2915" s="497" t="s">
        <v>14</v>
      </c>
      <c r="I2915" s="60" t="s">
        <v>105</v>
      </c>
      <c r="J2915" s="60">
        <v>170</v>
      </c>
      <c r="K2915" s="60">
        <v>123</v>
      </c>
      <c r="L2915" s="60">
        <v>24</v>
      </c>
      <c r="M2915" s="60">
        <v>3</v>
      </c>
      <c r="N2915" s="494">
        <v>0</v>
      </c>
      <c r="O2915" s="60">
        <v>9</v>
      </c>
      <c r="P2915" s="494">
        <v>5</v>
      </c>
      <c r="Q2915" s="182">
        <f t="shared" si="3552"/>
        <v>0.86470588235294121</v>
      </c>
      <c r="R2915" s="182">
        <f t="shared" si="3553"/>
        <v>0</v>
      </c>
      <c r="S2915" s="183">
        <f t="shared" si="3549"/>
        <v>2.9411764705882353E-2</v>
      </c>
      <c r="T2915" s="183">
        <f t="shared" si="3550"/>
        <v>5.2941176470588235E-2</v>
      </c>
      <c r="U2915" s="184">
        <f t="shared" si="3551"/>
        <v>0.94705882352941184</v>
      </c>
      <c r="V2915" s="386"/>
    </row>
    <row r="2916" spans="2:22" ht="15.75" hidden="1" x14ac:dyDescent="0.2">
      <c r="B2916" s="711">
        <v>46269</v>
      </c>
      <c r="C2916" s="711" t="s">
        <v>106</v>
      </c>
      <c r="D2916" s="711" t="s">
        <v>189</v>
      </c>
      <c r="E2916" s="711">
        <v>46269</v>
      </c>
      <c r="G2916" s="779"/>
      <c r="H2916" s="497" t="s">
        <v>84</v>
      </c>
      <c r="I2916" s="60" t="s">
        <v>105</v>
      </c>
      <c r="J2916" s="60">
        <v>19</v>
      </c>
      <c r="K2916" s="60">
        <v>0</v>
      </c>
      <c r="L2916" s="60">
        <v>0</v>
      </c>
      <c r="M2916" s="60">
        <v>16</v>
      </c>
      <c r="N2916" s="494">
        <v>0</v>
      </c>
      <c r="O2916" s="60">
        <v>0</v>
      </c>
      <c r="P2916" s="494">
        <v>3</v>
      </c>
      <c r="Q2916" s="182">
        <f t="shared" si="3552"/>
        <v>0</v>
      </c>
      <c r="R2916" s="182">
        <f t="shared" si="3553"/>
        <v>0</v>
      </c>
      <c r="S2916" s="183">
        <f t="shared" si="3549"/>
        <v>0.15789473684210525</v>
      </c>
      <c r="T2916" s="183">
        <f t="shared" si="3550"/>
        <v>0</v>
      </c>
      <c r="U2916" s="184">
        <f t="shared" si="3551"/>
        <v>0.15789473684210525</v>
      </c>
      <c r="V2916" s="386"/>
    </row>
    <row r="2917" spans="2:22" ht="15.75" hidden="1" x14ac:dyDescent="0.2">
      <c r="B2917" s="711">
        <v>46269</v>
      </c>
      <c r="C2917" s="711" t="s">
        <v>106</v>
      </c>
      <c r="D2917" s="711" t="s">
        <v>189</v>
      </c>
      <c r="E2917" s="711">
        <v>46270</v>
      </c>
      <c r="G2917" s="770">
        <v>46270</v>
      </c>
      <c r="H2917" s="497" t="s">
        <v>25</v>
      </c>
      <c r="I2917" s="60" t="s">
        <v>106</v>
      </c>
      <c r="J2917" s="60">
        <v>223</v>
      </c>
      <c r="K2917" s="60">
        <v>0</v>
      </c>
      <c r="L2917" s="60">
        <v>0</v>
      </c>
      <c r="M2917" s="60">
        <v>84</v>
      </c>
      <c r="N2917" s="494">
        <v>105</v>
      </c>
      <c r="O2917" s="60">
        <v>20</v>
      </c>
      <c r="P2917" s="494">
        <v>14</v>
      </c>
      <c r="Q2917" s="182">
        <f t="shared" si="3552"/>
        <v>0</v>
      </c>
      <c r="R2917" s="182">
        <f t="shared" si="3553"/>
        <v>0.47085201793721976</v>
      </c>
      <c r="S2917" s="183">
        <f t="shared" si="3549"/>
        <v>6.2780269058295965E-2</v>
      </c>
      <c r="T2917" s="183">
        <f t="shared" si="3550"/>
        <v>8.9686098654708515E-2</v>
      </c>
      <c r="U2917" s="184">
        <f t="shared" si="3551"/>
        <v>0.62331838565022424</v>
      </c>
      <c r="V2917" s="386"/>
    </row>
    <row r="2918" spans="2:22" ht="15.75" hidden="1" x14ac:dyDescent="0.2">
      <c r="B2918" s="711">
        <v>46269</v>
      </c>
      <c r="C2918" s="711" t="s">
        <v>106</v>
      </c>
      <c r="D2918" s="711" t="s">
        <v>189</v>
      </c>
      <c r="E2918" s="711">
        <v>46270</v>
      </c>
      <c r="G2918" s="772"/>
      <c r="H2918" s="497" t="s">
        <v>16</v>
      </c>
      <c r="I2918" s="60" t="s">
        <v>112</v>
      </c>
      <c r="J2918" s="60">
        <v>237</v>
      </c>
      <c r="K2918" s="60">
        <v>0</v>
      </c>
      <c r="L2918" s="60">
        <v>0</v>
      </c>
      <c r="M2918" s="60">
        <v>109</v>
      </c>
      <c r="N2918" s="494">
        <v>101</v>
      </c>
      <c r="O2918" s="60">
        <v>20</v>
      </c>
      <c r="P2918" s="494">
        <v>7</v>
      </c>
      <c r="Q2918" s="182">
        <f t="shared" si="3552"/>
        <v>0</v>
      </c>
      <c r="R2918" s="182">
        <f t="shared" si="3553"/>
        <v>0.42616033755274263</v>
      </c>
      <c r="S2918" s="183">
        <f t="shared" si="3549"/>
        <v>2.9535864978902954E-2</v>
      </c>
      <c r="T2918" s="183">
        <f t="shared" si="3550"/>
        <v>8.4388185654008435E-2</v>
      </c>
      <c r="U2918" s="184">
        <f t="shared" si="3551"/>
        <v>0.54008438818565396</v>
      </c>
      <c r="V2918" s="386"/>
    </row>
    <row r="2919" spans="2:22" ht="15.75" hidden="1" x14ac:dyDescent="0.2">
      <c r="B2919" s="711">
        <v>46269</v>
      </c>
      <c r="C2919" s="711" t="s">
        <v>106</v>
      </c>
      <c r="D2919" s="711" t="s">
        <v>189</v>
      </c>
      <c r="E2919" s="711">
        <v>46269</v>
      </c>
      <c r="G2919" s="775" t="s">
        <v>19</v>
      </c>
      <c r="H2919" s="776"/>
      <c r="I2919" s="777"/>
      <c r="J2919" s="190">
        <f t="shared" ref="J2919:P2919" si="3560">SUM(J2910:J2918)</f>
        <v>859</v>
      </c>
      <c r="K2919" s="190">
        <f t="shared" si="3560"/>
        <v>259</v>
      </c>
      <c r="L2919" s="190">
        <f t="shared" si="3560"/>
        <v>77</v>
      </c>
      <c r="M2919" s="190">
        <f t="shared" si="3560"/>
        <v>212</v>
      </c>
      <c r="N2919" s="190">
        <f t="shared" si="3560"/>
        <v>209</v>
      </c>
      <c r="O2919" s="190">
        <f t="shared" si="3560"/>
        <v>54</v>
      </c>
      <c r="P2919" s="190">
        <f t="shared" si="3560"/>
        <v>42</v>
      </c>
      <c r="Q2919" s="481">
        <f>(K2919+L2919)/J2919</f>
        <v>0.39115250291036091</v>
      </c>
      <c r="R2919" s="481">
        <f>N2919/J2919</f>
        <v>0.24330616996507567</v>
      </c>
      <c r="S2919" s="482">
        <f t="shared" si="3549"/>
        <v>4.8894062863795114E-2</v>
      </c>
      <c r="T2919" s="482">
        <f t="shared" si="3550"/>
        <v>6.2863795110593715E-2</v>
      </c>
      <c r="U2919" s="483">
        <f t="shared" si="3551"/>
        <v>0.74621653084982542</v>
      </c>
      <c r="V2919" s="479"/>
    </row>
    <row r="2920" spans="2:22" ht="15.75" hidden="1" x14ac:dyDescent="0.2">
      <c r="B2920" s="711">
        <v>46269</v>
      </c>
      <c r="C2920" s="711" t="s">
        <v>105</v>
      </c>
      <c r="D2920" s="711" t="s">
        <v>13</v>
      </c>
      <c r="E2920" s="711">
        <v>46269</v>
      </c>
      <c r="G2920" s="778">
        <v>46269</v>
      </c>
      <c r="H2920" s="497" t="s">
        <v>14</v>
      </c>
      <c r="I2920" s="60" t="s">
        <v>105</v>
      </c>
      <c r="J2920" s="60">
        <v>169</v>
      </c>
      <c r="K2920" s="60">
        <v>134</v>
      </c>
      <c r="L2920" s="60">
        <v>25</v>
      </c>
      <c r="M2920" s="60">
        <v>0</v>
      </c>
      <c r="N2920" s="494">
        <v>0</v>
      </c>
      <c r="O2920" s="60">
        <v>8</v>
      </c>
      <c r="P2920" s="494">
        <v>2</v>
      </c>
      <c r="Q2920" s="182">
        <f t="shared" ref="Q2920:Q2923" si="3561">(K2920+L2920)/J2920</f>
        <v>0.94082840236686394</v>
      </c>
      <c r="R2920" s="182">
        <f t="shared" ref="R2920:R2923" si="3562">N2920/J2920</f>
        <v>0</v>
      </c>
      <c r="S2920" s="183">
        <f t="shared" si="3549"/>
        <v>1.1834319526627219E-2</v>
      </c>
      <c r="T2920" s="183">
        <f t="shared" si="3550"/>
        <v>4.7337278106508875E-2</v>
      </c>
      <c r="U2920" s="184">
        <f t="shared" si="3551"/>
        <v>1</v>
      </c>
      <c r="V2920" s="386"/>
    </row>
    <row r="2921" spans="2:22" ht="15.75" hidden="1" x14ac:dyDescent="0.2">
      <c r="B2921" s="711">
        <v>46269</v>
      </c>
      <c r="C2921" s="711" t="s">
        <v>105</v>
      </c>
      <c r="D2921" s="711" t="s">
        <v>13</v>
      </c>
      <c r="E2921" s="711">
        <v>46269</v>
      </c>
      <c r="G2921" s="786"/>
      <c r="H2921" s="497" t="s">
        <v>84</v>
      </c>
      <c r="I2921" s="60" t="s">
        <v>105</v>
      </c>
      <c r="J2921" s="60">
        <v>31</v>
      </c>
      <c r="K2921" s="60">
        <v>26</v>
      </c>
      <c r="L2921" s="60">
        <v>5</v>
      </c>
      <c r="M2921" s="60">
        <v>0</v>
      </c>
      <c r="N2921" s="494">
        <v>0</v>
      </c>
      <c r="O2921" s="60">
        <v>0</v>
      </c>
      <c r="P2921" s="494">
        <v>0</v>
      </c>
      <c r="Q2921" s="182">
        <f t="shared" si="3561"/>
        <v>1</v>
      </c>
      <c r="R2921" s="182">
        <f t="shared" si="3562"/>
        <v>0</v>
      </c>
      <c r="S2921" s="183">
        <f t="shared" si="3549"/>
        <v>0</v>
      </c>
      <c r="T2921" s="183">
        <f t="shared" si="3550"/>
        <v>0</v>
      </c>
      <c r="U2921" s="184">
        <f t="shared" si="3551"/>
        <v>1</v>
      </c>
      <c r="V2921" s="386"/>
    </row>
    <row r="2922" spans="2:22" ht="15.75" hidden="1" x14ac:dyDescent="0.2">
      <c r="B2922" s="711">
        <v>46269</v>
      </c>
      <c r="C2922" s="711" t="s">
        <v>105</v>
      </c>
      <c r="D2922" s="711" t="s">
        <v>13</v>
      </c>
      <c r="E2922" s="711">
        <v>46269</v>
      </c>
      <c r="G2922" s="779"/>
      <c r="H2922" s="497" t="s">
        <v>16</v>
      </c>
      <c r="I2922" s="60" t="s">
        <v>112</v>
      </c>
      <c r="J2922" s="60">
        <v>236</v>
      </c>
      <c r="K2922" s="60">
        <v>133</v>
      </c>
      <c r="L2922" s="60">
        <v>80</v>
      </c>
      <c r="M2922" s="60">
        <v>0</v>
      </c>
      <c r="N2922" s="494">
        <v>0</v>
      </c>
      <c r="O2922" s="60">
        <v>20</v>
      </c>
      <c r="P2922" s="494">
        <v>3</v>
      </c>
      <c r="Q2922" s="182">
        <f t="shared" si="3561"/>
        <v>0.90254237288135597</v>
      </c>
      <c r="R2922" s="182">
        <f t="shared" si="3562"/>
        <v>0</v>
      </c>
      <c r="S2922" s="183">
        <f t="shared" si="3549"/>
        <v>1.2711864406779662E-2</v>
      </c>
      <c r="T2922" s="183">
        <f t="shared" si="3550"/>
        <v>8.4745762711864403E-2</v>
      </c>
      <c r="U2922" s="184">
        <f t="shared" si="3551"/>
        <v>1</v>
      </c>
      <c r="V2922" s="386"/>
    </row>
    <row r="2923" spans="2:22" ht="15.75" hidden="1" x14ac:dyDescent="0.2">
      <c r="B2923" s="711">
        <v>46269</v>
      </c>
      <c r="C2923" s="711" t="s">
        <v>105</v>
      </c>
      <c r="D2923" s="711" t="s">
        <v>13</v>
      </c>
      <c r="E2923" s="711">
        <v>46270</v>
      </c>
      <c r="G2923" s="816">
        <v>46270</v>
      </c>
      <c r="H2923" s="497" t="s">
        <v>25</v>
      </c>
      <c r="I2923" s="60" t="s">
        <v>106</v>
      </c>
      <c r="J2923" s="60">
        <v>223</v>
      </c>
      <c r="K2923" s="60">
        <v>135</v>
      </c>
      <c r="L2923" s="60">
        <v>42</v>
      </c>
      <c r="M2923" s="60">
        <v>15</v>
      </c>
      <c r="N2923" s="494">
        <v>0</v>
      </c>
      <c r="O2923" s="60">
        <v>20</v>
      </c>
      <c r="P2923" s="494">
        <v>11</v>
      </c>
      <c r="Q2923" s="182">
        <f t="shared" si="3561"/>
        <v>0.79372197309417036</v>
      </c>
      <c r="R2923" s="182">
        <f t="shared" si="3562"/>
        <v>0</v>
      </c>
      <c r="S2923" s="183">
        <f t="shared" ref="S2923:S2936" si="3563">P2923/J2923</f>
        <v>4.9327354260089683E-2</v>
      </c>
      <c r="T2923" s="183">
        <f t="shared" ref="T2923:T2936" si="3564">O2923/J2923</f>
        <v>8.9686098654708515E-2</v>
      </c>
      <c r="U2923" s="184">
        <f t="shared" ref="U2923:U2936" si="3565">S2923+R2923+Q2923+T2923</f>
        <v>0.93273542600896864</v>
      </c>
      <c r="V2923" s="386"/>
    </row>
    <row r="2924" spans="2:22" ht="15.75" hidden="1" x14ac:dyDescent="0.2">
      <c r="B2924" s="711">
        <v>46269</v>
      </c>
      <c r="C2924" s="711" t="s">
        <v>105</v>
      </c>
      <c r="D2924" s="711" t="s">
        <v>13</v>
      </c>
      <c r="E2924" s="711">
        <v>46270</v>
      </c>
      <c r="G2924" s="819"/>
      <c r="H2924" s="497" t="s">
        <v>14</v>
      </c>
      <c r="I2924" s="60" t="s">
        <v>105</v>
      </c>
      <c r="J2924" s="60">
        <v>170</v>
      </c>
      <c r="K2924" s="60">
        <v>5</v>
      </c>
      <c r="L2924" s="60">
        <v>0</v>
      </c>
      <c r="M2924" s="60">
        <v>129</v>
      </c>
      <c r="N2924" s="494">
        <v>14</v>
      </c>
      <c r="O2924" s="60">
        <v>11</v>
      </c>
      <c r="P2924" s="494">
        <v>11</v>
      </c>
      <c r="Q2924" s="182">
        <f t="shared" ref="Q2924:Q2926" si="3566">(K2924+L2924)/J2924</f>
        <v>2.9411764705882353E-2</v>
      </c>
      <c r="R2924" s="182">
        <f t="shared" ref="R2924:R2926" si="3567">N2924/J2924</f>
        <v>8.2352941176470587E-2</v>
      </c>
      <c r="S2924" s="183">
        <f t="shared" ref="S2924:S2926" si="3568">P2924/J2924</f>
        <v>6.4705882352941183E-2</v>
      </c>
      <c r="T2924" s="183">
        <f t="shared" ref="T2924:T2926" si="3569">O2924/J2924</f>
        <v>6.4705882352941183E-2</v>
      </c>
      <c r="U2924" s="184">
        <f t="shared" ref="U2924:U2926" si="3570">S2924+R2924+Q2924+T2924</f>
        <v>0.24117647058823533</v>
      </c>
      <c r="V2924" s="386"/>
    </row>
    <row r="2925" spans="2:22" ht="15.75" hidden="1" x14ac:dyDescent="0.2">
      <c r="B2925" s="711">
        <v>46269</v>
      </c>
      <c r="C2925" s="711" t="s">
        <v>105</v>
      </c>
      <c r="D2925" s="711" t="s">
        <v>13</v>
      </c>
      <c r="E2925" s="711">
        <v>46270</v>
      </c>
      <c r="G2925" s="819"/>
      <c r="H2925" s="497" t="s">
        <v>118</v>
      </c>
      <c r="I2925" s="60" t="s">
        <v>106</v>
      </c>
      <c r="J2925" s="60">
        <v>55</v>
      </c>
      <c r="K2925" s="60">
        <v>47</v>
      </c>
      <c r="L2925" s="60">
        <v>0</v>
      </c>
      <c r="M2925" s="60">
        <v>1</v>
      </c>
      <c r="N2925" s="494">
        <v>0</v>
      </c>
      <c r="O2925" s="60">
        <v>1</v>
      </c>
      <c r="P2925" s="494">
        <v>6</v>
      </c>
      <c r="Q2925" s="182">
        <f t="shared" si="3566"/>
        <v>0.8545454545454545</v>
      </c>
      <c r="R2925" s="182">
        <f t="shared" si="3567"/>
        <v>0</v>
      </c>
      <c r="S2925" s="183">
        <f t="shared" si="3568"/>
        <v>0.10909090909090909</v>
      </c>
      <c r="T2925" s="183">
        <f t="shared" si="3569"/>
        <v>1.8181818181818181E-2</v>
      </c>
      <c r="U2925" s="184">
        <f t="shared" si="3570"/>
        <v>0.98181818181818181</v>
      </c>
      <c r="V2925" s="386"/>
    </row>
    <row r="2926" spans="2:22" ht="15.75" hidden="1" x14ac:dyDescent="0.2">
      <c r="B2926" s="711">
        <v>46269</v>
      </c>
      <c r="C2926" s="711" t="s">
        <v>105</v>
      </c>
      <c r="D2926" s="711" t="s">
        <v>13</v>
      </c>
      <c r="E2926" s="711">
        <v>46270</v>
      </c>
      <c r="G2926" s="817"/>
      <c r="H2926" s="497" t="s">
        <v>16</v>
      </c>
      <c r="I2926" s="60" t="s">
        <v>112</v>
      </c>
      <c r="J2926" s="60">
        <v>237</v>
      </c>
      <c r="K2926" s="60">
        <v>91</v>
      </c>
      <c r="L2926" s="60">
        <v>89</v>
      </c>
      <c r="M2926" s="60">
        <v>4</v>
      </c>
      <c r="N2926" s="494">
        <v>26</v>
      </c>
      <c r="O2926" s="60">
        <v>20</v>
      </c>
      <c r="P2926" s="494">
        <v>7</v>
      </c>
      <c r="Q2926" s="182">
        <f t="shared" si="3566"/>
        <v>0.759493670886076</v>
      </c>
      <c r="R2926" s="182">
        <f t="shared" si="3567"/>
        <v>0.10970464135021098</v>
      </c>
      <c r="S2926" s="183">
        <f t="shared" si="3568"/>
        <v>2.9535864978902954E-2</v>
      </c>
      <c r="T2926" s="183">
        <f t="shared" si="3569"/>
        <v>8.4388185654008435E-2</v>
      </c>
      <c r="U2926" s="184">
        <f t="shared" si="3570"/>
        <v>0.98312236286919841</v>
      </c>
      <c r="V2926" s="386"/>
    </row>
    <row r="2927" spans="2:22" ht="15.75" hidden="1" x14ac:dyDescent="0.2">
      <c r="B2927" s="711">
        <v>46269</v>
      </c>
      <c r="C2927" s="711" t="s">
        <v>105</v>
      </c>
      <c r="D2927" s="711" t="s">
        <v>13</v>
      </c>
      <c r="E2927" s="711">
        <v>46270</v>
      </c>
      <c r="G2927" s="775" t="s">
        <v>19</v>
      </c>
      <c r="H2927" s="776"/>
      <c r="I2927" s="777"/>
      <c r="J2927" s="190">
        <f t="shared" ref="J2927:P2927" si="3571">SUM(J2918:J2926)</f>
        <v>2217</v>
      </c>
      <c r="K2927" s="190">
        <f t="shared" si="3571"/>
        <v>830</v>
      </c>
      <c r="L2927" s="190">
        <f t="shared" si="3571"/>
        <v>318</v>
      </c>
      <c r="M2927" s="190">
        <f t="shared" si="3571"/>
        <v>470</v>
      </c>
      <c r="N2927" s="190">
        <f t="shared" si="3571"/>
        <v>350</v>
      </c>
      <c r="O2927" s="190">
        <f t="shared" si="3571"/>
        <v>154</v>
      </c>
      <c r="P2927" s="190">
        <f t="shared" si="3571"/>
        <v>89</v>
      </c>
      <c r="Q2927" s="481">
        <f>(K2927+L2927)/J2927</f>
        <v>0.51781686964366258</v>
      </c>
      <c r="R2927" s="481">
        <f>N2927/J2927</f>
        <v>0.15787099684258007</v>
      </c>
      <c r="S2927" s="482">
        <f t="shared" si="3563"/>
        <v>4.0144339197113216E-2</v>
      </c>
      <c r="T2927" s="482">
        <f t="shared" si="3564"/>
        <v>6.9463238610735223E-2</v>
      </c>
      <c r="U2927" s="483">
        <f t="shared" si="3565"/>
        <v>0.78529544429409115</v>
      </c>
      <c r="V2927" s="479"/>
    </row>
    <row r="2928" spans="2:22" ht="15.75" hidden="1" x14ac:dyDescent="0.2">
      <c r="B2928" s="711">
        <v>46270</v>
      </c>
      <c r="C2928" s="711" t="s">
        <v>106</v>
      </c>
      <c r="D2928" s="711" t="s">
        <v>189</v>
      </c>
      <c r="E2928" s="711">
        <v>46270</v>
      </c>
      <c r="G2928" s="778">
        <v>46270</v>
      </c>
      <c r="H2928" s="497" t="s">
        <v>16</v>
      </c>
      <c r="I2928" s="60" t="s">
        <v>112</v>
      </c>
      <c r="J2928" s="60">
        <f>SUM(K2928:P2928)</f>
        <v>82</v>
      </c>
      <c r="K2928" s="60">
        <v>24</v>
      </c>
      <c r="L2928" s="60">
        <v>30</v>
      </c>
      <c r="M2928" s="60">
        <v>5</v>
      </c>
      <c r="N2928" s="494">
        <v>0</v>
      </c>
      <c r="O2928" s="60">
        <v>20</v>
      </c>
      <c r="P2928" s="494">
        <v>3</v>
      </c>
      <c r="Q2928" s="182">
        <f t="shared" ref="Q2928:Q2935" si="3572">(K2928+L2928)/J2928</f>
        <v>0.65853658536585369</v>
      </c>
      <c r="R2928" s="182">
        <f t="shared" ref="R2928:R2935" si="3573">N2928/J2928</f>
        <v>0</v>
      </c>
      <c r="S2928" s="183">
        <f t="shared" si="3563"/>
        <v>3.6585365853658534E-2</v>
      </c>
      <c r="T2928" s="183">
        <f t="shared" si="3564"/>
        <v>0.24390243902439024</v>
      </c>
      <c r="U2928" s="184">
        <f t="shared" si="3565"/>
        <v>0.9390243902439025</v>
      </c>
      <c r="V2928" s="386"/>
    </row>
    <row r="2929" spans="2:22" ht="15.75" hidden="1" x14ac:dyDescent="0.2">
      <c r="B2929" s="711">
        <v>46270</v>
      </c>
      <c r="C2929" s="711" t="s">
        <v>106</v>
      </c>
      <c r="D2929" s="711" t="s">
        <v>189</v>
      </c>
      <c r="E2929" s="711">
        <v>46270</v>
      </c>
      <c r="G2929" s="786"/>
      <c r="H2929" s="497" t="s">
        <v>25</v>
      </c>
      <c r="I2929" s="60" t="s">
        <v>106</v>
      </c>
      <c r="J2929" s="60">
        <f t="shared" ref="J2929:J2930" si="3574">SUM(K2929:P2929)</f>
        <v>51</v>
      </c>
      <c r="K2929" s="60">
        <v>27</v>
      </c>
      <c r="L2929" s="60">
        <v>16</v>
      </c>
      <c r="M2929" s="60">
        <v>0</v>
      </c>
      <c r="N2929" s="494">
        <v>0</v>
      </c>
      <c r="O2929" s="60">
        <v>0</v>
      </c>
      <c r="P2929" s="494">
        <v>8</v>
      </c>
      <c r="Q2929" s="182">
        <f t="shared" si="3572"/>
        <v>0.84313725490196079</v>
      </c>
      <c r="R2929" s="182">
        <f t="shared" si="3573"/>
        <v>0</v>
      </c>
      <c r="S2929" s="183">
        <f t="shared" si="3563"/>
        <v>0.15686274509803921</v>
      </c>
      <c r="T2929" s="183">
        <f t="shared" si="3564"/>
        <v>0</v>
      </c>
      <c r="U2929" s="184">
        <f t="shared" si="3565"/>
        <v>1</v>
      </c>
      <c r="V2929" s="386"/>
    </row>
    <row r="2930" spans="2:22" ht="15.75" hidden="1" x14ac:dyDescent="0.2">
      <c r="B2930" s="711">
        <v>46270</v>
      </c>
      <c r="C2930" s="711" t="s">
        <v>106</v>
      </c>
      <c r="D2930" s="711" t="s">
        <v>189</v>
      </c>
      <c r="E2930" s="711">
        <v>46270</v>
      </c>
      <c r="G2930" s="786"/>
      <c r="H2930" s="497" t="s">
        <v>118</v>
      </c>
      <c r="I2930" s="60" t="s">
        <v>106</v>
      </c>
      <c r="J2930" s="60">
        <f t="shared" si="3574"/>
        <v>2</v>
      </c>
      <c r="K2930" s="60">
        <v>2</v>
      </c>
      <c r="L2930" s="60">
        <v>0</v>
      </c>
      <c r="M2930" s="60">
        <v>0</v>
      </c>
      <c r="N2930" s="494">
        <v>0</v>
      </c>
      <c r="O2930" s="60">
        <v>0</v>
      </c>
      <c r="P2930" s="494">
        <v>0</v>
      </c>
      <c r="Q2930" s="182">
        <f t="shared" si="3572"/>
        <v>1</v>
      </c>
      <c r="R2930" s="182">
        <f t="shared" si="3573"/>
        <v>0</v>
      </c>
      <c r="S2930" s="183">
        <f t="shared" si="3563"/>
        <v>0</v>
      </c>
      <c r="T2930" s="183">
        <f t="shared" si="3564"/>
        <v>0</v>
      </c>
      <c r="U2930" s="184">
        <f t="shared" si="3565"/>
        <v>1</v>
      </c>
      <c r="V2930" s="386"/>
    </row>
    <row r="2931" spans="2:22" ht="15.75" hidden="1" x14ac:dyDescent="0.2">
      <c r="B2931" s="711">
        <v>46270</v>
      </c>
      <c r="C2931" s="711" t="s">
        <v>106</v>
      </c>
      <c r="D2931" s="711" t="s">
        <v>189</v>
      </c>
      <c r="E2931" s="711">
        <v>46270</v>
      </c>
      <c r="G2931" s="786"/>
      <c r="H2931" s="497" t="s">
        <v>17</v>
      </c>
      <c r="I2931" s="60" t="s">
        <v>106</v>
      </c>
      <c r="J2931" s="60">
        <f t="shared" ref="J2931" si="3575">SUM(K2931:P2931)</f>
        <v>3</v>
      </c>
      <c r="K2931" s="60">
        <v>2</v>
      </c>
      <c r="L2931" s="60">
        <v>1</v>
      </c>
      <c r="M2931" s="60">
        <v>0</v>
      </c>
      <c r="N2931" s="494">
        <v>0</v>
      </c>
      <c r="O2931" s="60">
        <v>0</v>
      </c>
      <c r="P2931" s="494">
        <v>0</v>
      </c>
      <c r="Q2931" s="182">
        <f t="shared" si="3572"/>
        <v>1</v>
      </c>
      <c r="R2931" s="182">
        <f t="shared" si="3573"/>
        <v>0</v>
      </c>
      <c r="S2931" s="183">
        <f t="shared" si="3563"/>
        <v>0</v>
      </c>
      <c r="T2931" s="183">
        <f t="shared" si="3564"/>
        <v>0</v>
      </c>
      <c r="U2931" s="184">
        <f t="shared" si="3565"/>
        <v>1</v>
      </c>
      <c r="V2931" s="386"/>
    </row>
    <row r="2932" spans="2:22" ht="15.75" hidden="1" x14ac:dyDescent="0.2">
      <c r="B2932" s="711">
        <v>46270</v>
      </c>
      <c r="C2932" s="711" t="s">
        <v>106</v>
      </c>
      <c r="D2932" s="711" t="s">
        <v>189</v>
      </c>
      <c r="E2932" s="711">
        <v>46270</v>
      </c>
      <c r="G2932" s="779"/>
      <c r="H2932" s="497" t="s">
        <v>14</v>
      </c>
      <c r="I2932" s="60" t="s">
        <v>105</v>
      </c>
      <c r="J2932" s="60">
        <v>170</v>
      </c>
      <c r="K2932" s="60">
        <v>105</v>
      </c>
      <c r="L2932" s="60">
        <v>33</v>
      </c>
      <c r="M2932" s="60">
        <v>3</v>
      </c>
      <c r="N2932" s="494">
        <v>2</v>
      </c>
      <c r="O2932" s="60">
        <v>11</v>
      </c>
      <c r="P2932" s="494">
        <v>12</v>
      </c>
      <c r="Q2932" s="182">
        <f t="shared" si="3572"/>
        <v>0.81176470588235294</v>
      </c>
      <c r="R2932" s="182">
        <f t="shared" si="3573"/>
        <v>1.1764705882352941E-2</v>
      </c>
      <c r="S2932" s="183">
        <f t="shared" si="3563"/>
        <v>7.0588235294117646E-2</v>
      </c>
      <c r="T2932" s="183">
        <f t="shared" si="3564"/>
        <v>6.4705882352941183E-2</v>
      </c>
      <c r="U2932" s="184">
        <f t="shared" si="3565"/>
        <v>0.95882352941176474</v>
      </c>
      <c r="V2932" s="386"/>
    </row>
    <row r="2933" spans="2:22" ht="15.75" hidden="1" x14ac:dyDescent="0.2">
      <c r="B2933" s="711">
        <v>46270</v>
      </c>
      <c r="C2933" s="711" t="s">
        <v>106</v>
      </c>
      <c r="D2933" s="711" t="s">
        <v>189</v>
      </c>
      <c r="E2933" s="711">
        <v>46271</v>
      </c>
      <c r="G2933" s="770">
        <v>46271</v>
      </c>
      <c r="H2933" s="497" t="s">
        <v>17</v>
      </c>
      <c r="I2933" s="60" t="s">
        <v>106</v>
      </c>
      <c r="J2933" s="60">
        <v>201</v>
      </c>
      <c r="K2933" s="60">
        <v>10</v>
      </c>
      <c r="L2933" s="60">
        <v>1</v>
      </c>
      <c r="M2933" s="60">
        <v>17</v>
      </c>
      <c r="N2933" s="494">
        <v>136</v>
      </c>
      <c r="O2933" s="60">
        <f>41-12</f>
        <v>29</v>
      </c>
      <c r="P2933" s="494">
        <v>7</v>
      </c>
      <c r="Q2933" s="182">
        <f t="shared" si="3572"/>
        <v>5.4726368159203981E-2</v>
      </c>
      <c r="R2933" s="182">
        <f t="shared" si="3573"/>
        <v>0.6766169154228856</v>
      </c>
      <c r="S2933" s="183">
        <f t="shared" si="3563"/>
        <v>3.482587064676617E-2</v>
      </c>
      <c r="T2933" s="183">
        <f t="shared" si="3564"/>
        <v>0.14427860696517414</v>
      </c>
      <c r="U2933" s="184">
        <f t="shared" si="3565"/>
        <v>0.91044776119402981</v>
      </c>
      <c r="V2933" s="386"/>
    </row>
    <row r="2934" spans="2:22" ht="15.75" hidden="1" x14ac:dyDescent="0.2">
      <c r="B2934" s="711">
        <v>46270</v>
      </c>
      <c r="C2934" s="711" t="s">
        <v>106</v>
      </c>
      <c r="D2934" s="711" t="s">
        <v>189</v>
      </c>
      <c r="E2934" s="711">
        <v>46271</v>
      </c>
      <c r="G2934" s="772"/>
      <c r="H2934" s="497" t="s">
        <v>180</v>
      </c>
      <c r="I2934" s="60" t="s">
        <v>106</v>
      </c>
      <c r="J2934" s="60">
        <v>94</v>
      </c>
      <c r="K2934" s="60">
        <v>89</v>
      </c>
      <c r="L2934" s="60">
        <v>3</v>
      </c>
      <c r="M2934" s="60">
        <v>2</v>
      </c>
      <c r="N2934" s="494">
        <v>0</v>
      </c>
      <c r="O2934" s="60">
        <v>0</v>
      </c>
      <c r="P2934" s="494">
        <v>0</v>
      </c>
      <c r="Q2934" s="182">
        <f t="shared" ref="Q2934" si="3576">(K2934+L2934)/J2934</f>
        <v>0.97872340425531912</v>
      </c>
      <c r="R2934" s="182">
        <f t="shared" ref="R2934" si="3577">N2934/J2934</f>
        <v>0</v>
      </c>
      <c r="S2934" s="183">
        <f t="shared" ref="S2934" si="3578">P2934/J2934</f>
        <v>0</v>
      </c>
      <c r="T2934" s="183">
        <f t="shared" ref="T2934" si="3579">O2934/J2934</f>
        <v>0</v>
      </c>
      <c r="U2934" s="184">
        <f t="shared" ref="U2934" si="3580">S2934+R2934+Q2934+T2934</f>
        <v>0.97872340425531912</v>
      </c>
      <c r="V2934" s="386"/>
    </row>
    <row r="2935" spans="2:22" ht="15.75" hidden="1" x14ac:dyDescent="0.2">
      <c r="B2935" s="711">
        <v>46270</v>
      </c>
      <c r="C2935" s="711" t="s">
        <v>106</v>
      </c>
      <c r="D2935" s="711" t="s">
        <v>189</v>
      </c>
      <c r="E2935" s="711">
        <v>46272</v>
      </c>
      <c r="G2935" s="700">
        <v>46272</v>
      </c>
      <c r="H2935" s="497" t="s">
        <v>16</v>
      </c>
      <c r="I2935" s="60" t="s">
        <v>112</v>
      </c>
      <c r="J2935" s="60">
        <v>254</v>
      </c>
      <c r="K2935" s="60">
        <v>0</v>
      </c>
      <c r="L2935" s="60">
        <v>0</v>
      </c>
      <c r="M2935" s="60">
        <v>203</v>
      </c>
      <c r="N2935" s="494">
        <v>29</v>
      </c>
      <c r="O2935" s="60">
        <v>20</v>
      </c>
      <c r="P2935" s="494">
        <v>2</v>
      </c>
      <c r="Q2935" s="182">
        <f t="shared" si="3572"/>
        <v>0</v>
      </c>
      <c r="R2935" s="182">
        <f t="shared" si="3573"/>
        <v>0.1141732283464567</v>
      </c>
      <c r="S2935" s="183">
        <f t="shared" si="3563"/>
        <v>7.874015748031496E-3</v>
      </c>
      <c r="T2935" s="183">
        <f t="shared" si="3564"/>
        <v>7.874015748031496E-2</v>
      </c>
      <c r="U2935" s="184">
        <f t="shared" si="3565"/>
        <v>0.20078740157480315</v>
      </c>
      <c r="V2935" s="386"/>
    </row>
    <row r="2936" spans="2:22" ht="15.75" hidden="1" x14ac:dyDescent="0.2">
      <c r="B2936" s="711">
        <v>46270</v>
      </c>
      <c r="C2936" s="711" t="s">
        <v>106</v>
      </c>
      <c r="D2936" s="711" t="s">
        <v>189</v>
      </c>
      <c r="E2936" s="711">
        <v>46270</v>
      </c>
      <c r="G2936" s="775" t="s">
        <v>19</v>
      </c>
      <c r="H2936" s="776"/>
      <c r="I2936" s="777"/>
      <c r="J2936" s="190">
        <f t="shared" ref="J2936:P2936" si="3581">SUM(J2928:J2935)</f>
        <v>857</v>
      </c>
      <c r="K2936" s="190">
        <f t="shared" si="3581"/>
        <v>259</v>
      </c>
      <c r="L2936" s="190">
        <f t="shared" si="3581"/>
        <v>84</v>
      </c>
      <c r="M2936" s="190">
        <f t="shared" si="3581"/>
        <v>230</v>
      </c>
      <c r="N2936" s="190">
        <f t="shared" si="3581"/>
        <v>167</v>
      </c>
      <c r="O2936" s="190">
        <f t="shared" si="3581"/>
        <v>80</v>
      </c>
      <c r="P2936" s="190">
        <f t="shared" si="3581"/>
        <v>32</v>
      </c>
      <c r="Q2936" s="481">
        <f>(K2936+L2936)/J2936</f>
        <v>0.40023337222870481</v>
      </c>
      <c r="R2936" s="481">
        <f>N2936/J2936</f>
        <v>0.19486581096849476</v>
      </c>
      <c r="S2936" s="482">
        <f t="shared" si="3563"/>
        <v>3.7339556592765458E-2</v>
      </c>
      <c r="T2936" s="482">
        <f t="shared" si="3564"/>
        <v>9.3348891481913651E-2</v>
      </c>
      <c r="U2936" s="483">
        <f t="shared" si="3565"/>
        <v>0.72578763127187862</v>
      </c>
      <c r="V2936" s="479"/>
    </row>
    <row r="2937" spans="2:22" ht="15.75" hidden="1" x14ac:dyDescent="0.2">
      <c r="B2937" s="711">
        <v>46270</v>
      </c>
      <c r="C2937" s="711" t="s">
        <v>105</v>
      </c>
      <c r="D2937" s="711" t="s">
        <v>13</v>
      </c>
      <c r="E2937" s="711">
        <v>46270</v>
      </c>
      <c r="G2937" s="778">
        <v>46270</v>
      </c>
      <c r="H2937" s="497" t="s">
        <v>14</v>
      </c>
      <c r="I2937" s="60" t="s">
        <v>105</v>
      </c>
      <c r="J2937" s="60">
        <v>170</v>
      </c>
      <c r="K2937" s="60">
        <v>120</v>
      </c>
      <c r="L2937" s="60">
        <v>34</v>
      </c>
      <c r="M2937" s="60">
        <v>0</v>
      </c>
      <c r="N2937" s="494">
        <v>0</v>
      </c>
      <c r="O2937" s="60">
        <v>11</v>
      </c>
      <c r="P2937" s="494">
        <v>5</v>
      </c>
      <c r="Q2937" s="182">
        <f t="shared" ref="Q2937" si="3582">(K2937+L2937)/J2937</f>
        <v>0.90588235294117647</v>
      </c>
      <c r="R2937" s="182">
        <f t="shared" ref="R2937" si="3583">N2937/J2937</f>
        <v>0</v>
      </c>
      <c r="S2937" s="183">
        <f t="shared" ref="S2937:S2952" si="3584">P2937/J2937</f>
        <v>2.9411764705882353E-2</v>
      </c>
      <c r="T2937" s="183">
        <f t="shared" ref="T2937:T2952" si="3585">O2937/J2937</f>
        <v>6.4705882352941183E-2</v>
      </c>
      <c r="U2937" s="184">
        <f t="shared" ref="U2937:U2952" si="3586">S2937+R2937+Q2937+T2937</f>
        <v>1</v>
      </c>
      <c r="V2937" s="386"/>
    </row>
    <row r="2938" spans="2:22" ht="15.75" hidden="1" x14ac:dyDescent="0.2">
      <c r="B2938" s="711">
        <v>46270</v>
      </c>
      <c r="C2938" s="711" t="s">
        <v>105</v>
      </c>
      <c r="D2938" s="711" t="s">
        <v>13</v>
      </c>
      <c r="E2938" s="711">
        <v>46270</v>
      </c>
      <c r="G2938" s="779"/>
      <c r="H2938" s="497" t="s">
        <v>16</v>
      </c>
      <c r="I2938" s="60" t="s">
        <v>112</v>
      </c>
      <c r="J2938" s="60">
        <v>237</v>
      </c>
      <c r="K2938" s="60">
        <v>119</v>
      </c>
      <c r="L2938" s="60">
        <v>96</v>
      </c>
      <c r="M2938" s="60">
        <v>0</v>
      </c>
      <c r="N2938" s="494">
        <v>0</v>
      </c>
      <c r="O2938" s="60">
        <v>20</v>
      </c>
      <c r="P2938" s="494">
        <v>2</v>
      </c>
      <c r="Q2938" s="182">
        <f t="shared" ref="Q2938:Q2944" si="3587">(K2938+L2938)/J2938</f>
        <v>0.90717299578059074</v>
      </c>
      <c r="R2938" s="182">
        <f t="shared" ref="R2938:R2944" si="3588">N2938/J2938</f>
        <v>0</v>
      </c>
      <c r="S2938" s="183">
        <f t="shared" ref="S2938:S2944" si="3589">P2938/J2938</f>
        <v>8.4388185654008432E-3</v>
      </c>
      <c r="T2938" s="183">
        <f t="shared" ref="T2938:T2944" si="3590">O2938/J2938</f>
        <v>8.4388185654008435E-2</v>
      </c>
      <c r="U2938" s="184">
        <f t="shared" ref="U2938:U2944" si="3591">S2938+R2938+Q2938+T2938</f>
        <v>1</v>
      </c>
      <c r="V2938" s="386"/>
    </row>
    <row r="2939" spans="2:22" ht="15.75" hidden="1" x14ac:dyDescent="0.2">
      <c r="B2939" s="711">
        <v>46270</v>
      </c>
      <c r="C2939" s="711" t="s">
        <v>105</v>
      </c>
      <c r="D2939" s="711" t="s">
        <v>13</v>
      </c>
      <c r="E2939" s="711">
        <v>46271</v>
      </c>
      <c r="G2939" s="695">
        <v>46271</v>
      </c>
      <c r="H2939" s="497" t="s">
        <v>17</v>
      </c>
      <c r="I2939" s="60" t="s">
        <v>106</v>
      </c>
      <c r="J2939" s="60">
        <v>202</v>
      </c>
      <c r="K2939" s="60">
        <v>119</v>
      </c>
      <c r="L2939" s="60">
        <v>38</v>
      </c>
      <c r="M2939" s="60">
        <v>9</v>
      </c>
      <c r="N2939" s="494">
        <v>0</v>
      </c>
      <c r="O2939" s="60">
        <v>30</v>
      </c>
      <c r="P2939" s="494">
        <v>6</v>
      </c>
      <c r="Q2939" s="182">
        <f t="shared" si="3587"/>
        <v>0.77722772277227725</v>
      </c>
      <c r="R2939" s="182">
        <f t="shared" si="3588"/>
        <v>0</v>
      </c>
      <c r="S2939" s="183">
        <f t="shared" si="3589"/>
        <v>2.9702970297029702E-2</v>
      </c>
      <c r="T2939" s="183">
        <f t="shared" si="3590"/>
        <v>0.14851485148514851</v>
      </c>
      <c r="U2939" s="184">
        <f t="shared" si="3591"/>
        <v>0.95544554455445552</v>
      </c>
      <c r="V2939" s="386"/>
    </row>
    <row r="2940" spans="2:22" ht="15.75" hidden="1" x14ac:dyDescent="0.2">
      <c r="B2940" s="711">
        <v>46270</v>
      </c>
      <c r="C2940" s="711" t="s">
        <v>105</v>
      </c>
      <c r="D2940" s="711" t="s">
        <v>13</v>
      </c>
      <c r="E2940" s="711">
        <v>46272</v>
      </c>
      <c r="G2940" s="773">
        <v>46272</v>
      </c>
      <c r="H2940" s="497" t="s">
        <v>16</v>
      </c>
      <c r="I2940" s="60" t="s">
        <v>112</v>
      </c>
      <c r="J2940" s="60">
        <v>254</v>
      </c>
      <c r="K2940" s="60">
        <f>254-125</f>
        <v>129</v>
      </c>
      <c r="L2940" s="60">
        <v>95</v>
      </c>
      <c r="M2940" s="60">
        <v>10</v>
      </c>
      <c r="N2940" s="494">
        <v>0</v>
      </c>
      <c r="O2940" s="60">
        <v>20</v>
      </c>
      <c r="P2940" s="494">
        <v>0</v>
      </c>
      <c r="Q2940" s="182">
        <f t="shared" si="3587"/>
        <v>0.88188976377952755</v>
      </c>
      <c r="R2940" s="182">
        <f t="shared" si="3588"/>
        <v>0</v>
      </c>
      <c r="S2940" s="183">
        <f t="shared" si="3589"/>
        <v>0</v>
      </c>
      <c r="T2940" s="183">
        <f t="shared" si="3590"/>
        <v>7.874015748031496E-2</v>
      </c>
      <c r="U2940" s="184">
        <f t="shared" si="3591"/>
        <v>0.96062992125984248</v>
      </c>
      <c r="V2940" s="386"/>
    </row>
    <row r="2941" spans="2:22" ht="15.75" hidden="1" x14ac:dyDescent="0.2">
      <c r="B2941" s="711">
        <v>46270</v>
      </c>
      <c r="C2941" s="711" t="s">
        <v>105</v>
      </c>
      <c r="D2941" s="711" t="s">
        <v>13</v>
      </c>
      <c r="E2941" s="711">
        <v>46272</v>
      </c>
      <c r="G2941" s="780"/>
      <c r="H2941" s="497" t="s">
        <v>17</v>
      </c>
      <c r="I2941" s="60" t="s">
        <v>106</v>
      </c>
      <c r="J2941" s="60">
        <v>215</v>
      </c>
      <c r="K2941" s="60">
        <v>0</v>
      </c>
      <c r="L2941" s="60">
        <v>0</v>
      </c>
      <c r="M2941" s="60">
        <v>173</v>
      </c>
      <c r="N2941" s="494">
        <v>0</v>
      </c>
      <c r="O2941" s="60">
        <v>33</v>
      </c>
      <c r="P2941" s="494">
        <v>9</v>
      </c>
      <c r="Q2941" s="182">
        <f t="shared" ref="Q2941:Q2943" si="3592">(K2941+L2941)/J2941</f>
        <v>0</v>
      </c>
      <c r="R2941" s="182">
        <f t="shared" ref="R2941:R2943" si="3593">N2941/J2941</f>
        <v>0</v>
      </c>
      <c r="S2941" s="183">
        <f t="shared" ref="S2941:S2943" si="3594">P2941/J2941</f>
        <v>4.1860465116279069E-2</v>
      </c>
      <c r="T2941" s="183">
        <f t="shared" ref="T2941:T2943" si="3595">O2941/J2941</f>
        <v>0.15348837209302327</v>
      </c>
      <c r="U2941" s="184">
        <f t="shared" ref="U2941:U2943" si="3596">S2941+R2941+Q2941+T2941</f>
        <v>0.19534883720930235</v>
      </c>
      <c r="V2941" s="386"/>
    </row>
    <row r="2942" spans="2:22" ht="15.75" hidden="1" x14ac:dyDescent="0.2">
      <c r="B2942" s="711">
        <v>46270</v>
      </c>
      <c r="C2942" s="711" t="s">
        <v>105</v>
      </c>
      <c r="D2942" s="711" t="s">
        <v>13</v>
      </c>
      <c r="E2942" s="711">
        <v>46272</v>
      </c>
      <c r="G2942" s="780"/>
      <c r="H2942" s="497" t="s">
        <v>118</v>
      </c>
      <c r="I2942" s="60" t="s">
        <v>105</v>
      </c>
      <c r="J2942" s="60">
        <v>230</v>
      </c>
      <c r="K2942" s="60">
        <v>0</v>
      </c>
      <c r="L2942" s="60">
        <v>0</v>
      </c>
      <c r="M2942" s="60">
        <v>208</v>
      </c>
      <c r="N2942" s="494">
        <v>0</v>
      </c>
      <c r="O2942" s="60">
        <v>15</v>
      </c>
      <c r="P2942" s="494">
        <v>7</v>
      </c>
      <c r="Q2942" s="182">
        <f t="shared" si="3592"/>
        <v>0</v>
      </c>
      <c r="R2942" s="182">
        <f t="shared" si="3593"/>
        <v>0</v>
      </c>
      <c r="S2942" s="183">
        <f t="shared" si="3594"/>
        <v>3.0434782608695653E-2</v>
      </c>
      <c r="T2942" s="183">
        <f t="shared" si="3595"/>
        <v>6.5217391304347824E-2</v>
      </c>
      <c r="U2942" s="184">
        <f t="shared" si="3596"/>
        <v>9.5652173913043481E-2</v>
      </c>
      <c r="V2942" s="386"/>
    </row>
    <row r="2943" spans="2:22" ht="15.75" hidden="1" x14ac:dyDescent="0.2">
      <c r="B2943" s="711">
        <v>46270</v>
      </c>
      <c r="C2943" s="711" t="s">
        <v>105</v>
      </c>
      <c r="D2943" s="711" t="s">
        <v>13</v>
      </c>
      <c r="E2943" s="711">
        <v>46272</v>
      </c>
      <c r="G2943" s="780"/>
      <c r="H2943" s="497" t="s">
        <v>180</v>
      </c>
      <c r="I2943" s="60" t="s">
        <v>106</v>
      </c>
      <c r="J2943" s="60">
        <v>14</v>
      </c>
      <c r="K2943" s="60">
        <v>0</v>
      </c>
      <c r="L2943" s="60">
        <v>0</v>
      </c>
      <c r="M2943" s="60">
        <v>14</v>
      </c>
      <c r="N2943" s="494">
        <v>0</v>
      </c>
      <c r="O2943" s="60">
        <v>0</v>
      </c>
      <c r="P2943" s="494">
        <v>0</v>
      </c>
      <c r="Q2943" s="182">
        <f t="shared" si="3592"/>
        <v>0</v>
      </c>
      <c r="R2943" s="182">
        <f t="shared" si="3593"/>
        <v>0</v>
      </c>
      <c r="S2943" s="183">
        <f t="shared" si="3594"/>
        <v>0</v>
      </c>
      <c r="T2943" s="183">
        <f t="shared" si="3595"/>
        <v>0</v>
      </c>
      <c r="U2943" s="184">
        <f t="shared" si="3596"/>
        <v>0</v>
      </c>
      <c r="V2943" s="386"/>
    </row>
    <row r="2944" spans="2:22" ht="15.75" hidden="1" x14ac:dyDescent="0.2">
      <c r="B2944" s="711">
        <v>46270</v>
      </c>
      <c r="C2944" s="711" t="s">
        <v>105</v>
      </c>
      <c r="D2944" s="711" t="s">
        <v>13</v>
      </c>
      <c r="E2944" s="711">
        <v>46272</v>
      </c>
      <c r="G2944" s="774"/>
      <c r="H2944" s="497" t="s">
        <v>32</v>
      </c>
      <c r="I2944" s="60" t="s">
        <v>105</v>
      </c>
      <c r="J2944" s="60">
        <v>318</v>
      </c>
      <c r="K2944" s="60">
        <v>93</v>
      </c>
      <c r="L2944" s="60">
        <v>29</v>
      </c>
      <c r="M2944" s="60">
        <v>164</v>
      </c>
      <c r="N2944" s="494">
        <v>0</v>
      </c>
      <c r="O2944" s="60">
        <v>21</v>
      </c>
      <c r="P2944" s="494">
        <v>11</v>
      </c>
      <c r="Q2944" s="182">
        <f t="shared" si="3587"/>
        <v>0.38364779874213839</v>
      </c>
      <c r="R2944" s="182">
        <f t="shared" si="3588"/>
        <v>0</v>
      </c>
      <c r="S2944" s="183">
        <f t="shared" si="3589"/>
        <v>3.4591194968553458E-2</v>
      </c>
      <c r="T2944" s="183">
        <f t="shared" si="3590"/>
        <v>6.6037735849056603E-2</v>
      </c>
      <c r="U2944" s="184">
        <f t="shared" si="3591"/>
        <v>0.48427672955974843</v>
      </c>
      <c r="V2944" s="386"/>
    </row>
    <row r="2945" spans="2:22" ht="15.75" hidden="1" x14ac:dyDescent="0.2">
      <c r="B2945" s="711">
        <v>46270</v>
      </c>
      <c r="C2945" s="711" t="s">
        <v>105</v>
      </c>
      <c r="D2945" s="711" t="s">
        <v>13</v>
      </c>
      <c r="E2945" s="711">
        <v>46272</v>
      </c>
      <c r="G2945" s="775" t="s">
        <v>19</v>
      </c>
      <c r="H2945" s="776"/>
      <c r="I2945" s="777"/>
      <c r="J2945" s="190">
        <f>SUM(J2937:J2944)</f>
        <v>1640</v>
      </c>
      <c r="K2945" s="190">
        <f t="shared" ref="K2945:P2945" si="3597">SUM(K2937:K2944)</f>
        <v>580</v>
      </c>
      <c r="L2945" s="190">
        <f t="shared" si="3597"/>
        <v>292</v>
      </c>
      <c r="M2945" s="190">
        <f t="shared" si="3597"/>
        <v>578</v>
      </c>
      <c r="N2945" s="190">
        <f t="shared" si="3597"/>
        <v>0</v>
      </c>
      <c r="O2945" s="190">
        <f t="shared" si="3597"/>
        <v>150</v>
      </c>
      <c r="P2945" s="190">
        <f t="shared" si="3597"/>
        <v>40</v>
      </c>
      <c r="Q2945" s="481">
        <f>(K2945+L2945)/J2945</f>
        <v>0.53170731707317076</v>
      </c>
      <c r="R2945" s="481">
        <f>N2945/J2945</f>
        <v>0</v>
      </c>
      <c r="S2945" s="482">
        <f t="shared" si="3584"/>
        <v>2.4390243902439025E-2</v>
      </c>
      <c r="T2945" s="482">
        <f t="shared" si="3585"/>
        <v>9.1463414634146339E-2</v>
      </c>
      <c r="U2945" s="483">
        <f t="shared" si="3586"/>
        <v>0.64756097560975612</v>
      </c>
      <c r="V2945" s="479"/>
    </row>
    <row r="2946" spans="2:22" ht="15.75" hidden="1" x14ac:dyDescent="0.2">
      <c r="B2946" s="711">
        <v>46271</v>
      </c>
      <c r="C2946" s="711" t="s">
        <v>106</v>
      </c>
      <c r="D2946" s="711" t="s">
        <v>189</v>
      </c>
      <c r="E2946" s="711">
        <v>46271</v>
      </c>
      <c r="G2946" s="778">
        <v>46271</v>
      </c>
      <c r="H2946" s="497" t="s">
        <v>17</v>
      </c>
      <c r="I2946" s="60" t="s">
        <v>112</v>
      </c>
      <c r="J2946" s="60">
        <f>SUM(K2946:P2946)</f>
        <v>47</v>
      </c>
      <c r="K2946" s="60">
        <f>124-97</f>
        <v>27</v>
      </c>
      <c r="L2946" s="60">
        <f>65-51</f>
        <v>14</v>
      </c>
      <c r="M2946" s="60">
        <v>0</v>
      </c>
      <c r="N2946" s="494">
        <v>0</v>
      </c>
      <c r="O2946" s="60">
        <v>0</v>
      </c>
      <c r="P2946" s="494">
        <v>6</v>
      </c>
      <c r="Q2946" s="182">
        <f t="shared" ref="Q2946:Q2951" si="3598">(K2946+L2946)/J2946</f>
        <v>0.87234042553191493</v>
      </c>
      <c r="R2946" s="182">
        <f t="shared" ref="R2946:R2951" si="3599">N2946/J2946</f>
        <v>0</v>
      </c>
      <c r="S2946" s="183">
        <f t="shared" si="3584"/>
        <v>0.1276595744680851</v>
      </c>
      <c r="T2946" s="183">
        <f t="shared" si="3585"/>
        <v>0</v>
      </c>
      <c r="U2946" s="184">
        <f t="shared" si="3586"/>
        <v>1</v>
      </c>
      <c r="V2946" s="386"/>
    </row>
    <row r="2947" spans="2:22" ht="15.75" hidden="1" x14ac:dyDescent="0.2">
      <c r="B2947" s="711">
        <v>46271</v>
      </c>
      <c r="C2947" s="711" t="s">
        <v>106</v>
      </c>
      <c r="D2947" s="711" t="s">
        <v>189</v>
      </c>
      <c r="E2947" s="711">
        <v>46271</v>
      </c>
      <c r="G2947" s="779"/>
      <c r="H2947" s="497" t="s">
        <v>118</v>
      </c>
      <c r="I2947" s="60" t="s">
        <v>106</v>
      </c>
      <c r="J2947" s="60">
        <f t="shared" ref="J2947" si="3600">SUM(K2947:P2947)</f>
        <v>22</v>
      </c>
      <c r="K2947" s="60">
        <f>23-2</f>
        <v>21</v>
      </c>
      <c r="L2947" s="60">
        <v>1</v>
      </c>
      <c r="M2947" s="60">
        <v>0</v>
      </c>
      <c r="N2947" s="494">
        <v>0</v>
      </c>
      <c r="O2947" s="60">
        <v>0</v>
      </c>
      <c r="P2947" s="494">
        <v>0</v>
      </c>
      <c r="Q2947" s="182">
        <f t="shared" si="3598"/>
        <v>1</v>
      </c>
      <c r="R2947" s="182">
        <f t="shared" si="3599"/>
        <v>0</v>
      </c>
      <c r="S2947" s="183">
        <f t="shared" si="3584"/>
        <v>0</v>
      </c>
      <c r="T2947" s="183">
        <f t="shared" si="3585"/>
        <v>0</v>
      </c>
      <c r="U2947" s="184">
        <f t="shared" si="3586"/>
        <v>1</v>
      </c>
      <c r="V2947" s="386"/>
    </row>
    <row r="2948" spans="2:22" ht="15.75" hidden="1" x14ac:dyDescent="0.2">
      <c r="B2948" s="711">
        <v>46271</v>
      </c>
      <c r="C2948" s="711" t="s">
        <v>106</v>
      </c>
      <c r="D2948" s="711" t="s">
        <v>189</v>
      </c>
      <c r="E2948" s="711">
        <v>46272</v>
      </c>
      <c r="G2948" s="770">
        <v>46272</v>
      </c>
      <c r="H2948" s="497" t="s">
        <v>17</v>
      </c>
      <c r="I2948" s="60" t="s">
        <v>106</v>
      </c>
      <c r="J2948" s="60">
        <f>98+50+90</f>
        <v>238</v>
      </c>
      <c r="K2948" s="60">
        <v>97</v>
      </c>
      <c r="L2948" s="60">
        <v>51</v>
      </c>
      <c r="M2948" s="60">
        <v>2</v>
      </c>
      <c r="N2948" s="494">
        <v>23</v>
      </c>
      <c r="O2948" s="60">
        <v>32</v>
      </c>
      <c r="P2948" s="494">
        <v>10</v>
      </c>
      <c r="Q2948" s="182">
        <f t="shared" si="3598"/>
        <v>0.62184873949579833</v>
      </c>
      <c r="R2948" s="182">
        <f t="shared" si="3599"/>
        <v>9.6638655462184878E-2</v>
      </c>
      <c r="S2948" s="183">
        <f t="shared" si="3584"/>
        <v>4.2016806722689079E-2</v>
      </c>
      <c r="T2948" s="183">
        <f t="shared" si="3585"/>
        <v>0.13445378151260504</v>
      </c>
      <c r="U2948" s="184">
        <f t="shared" si="3586"/>
        <v>0.89495798319327724</v>
      </c>
      <c r="V2948" s="386"/>
    </row>
    <row r="2949" spans="2:22" ht="15.75" hidden="1" x14ac:dyDescent="0.2">
      <c r="B2949" s="711">
        <v>46271</v>
      </c>
      <c r="C2949" s="711" t="s">
        <v>106</v>
      </c>
      <c r="D2949" s="711" t="s">
        <v>189</v>
      </c>
      <c r="E2949" s="711">
        <v>46272</v>
      </c>
      <c r="G2949" s="771"/>
      <c r="H2949" s="497" t="s">
        <v>180</v>
      </c>
      <c r="I2949" s="60" t="s">
        <v>106</v>
      </c>
      <c r="J2949" s="60">
        <v>14</v>
      </c>
      <c r="K2949" s="60">
        <v>13</v>
      </c>
      <c r="L2949" s="60">
        <v>1</v>
      </c>
      <c r="M2949" s="60">
        <v>0</v>
      </c>
      <c r="N2949" s="494">
        <v>0</v>
      </c>
      <c r="O2949" s="60">
        <v>0</v>
      </c>
      <c r="P2949" s="494">
        <v>0</v>
      </c>
      <c r="Q2949" s="182">
        <f t="shared" ref="Q2949" si="3601">(K2949+L2949)/J2949</f>
        <v>1</v>
      </c>
      <c r="R2949" s="182">
        <f t="shared" ref="R2949" si="3602">N2949/J2949</f>
        <v>0</v>
      </c>
      <c r="S2949" s="183">
        <f t="shared" ref="S2949" si="3603">P2949/J2949</f>
        <v>0</v>
      </c>
      <c r="T2949" s="183">
        <f t="shared" ref="T2949" si="3604">O2949/J2949</f>
        <v>0</v>
      </c>
      <c r="U2949" s="184">
        <f t="shared" ref="U2949" si="3605">S2949+R2949+Q2949+T2949</f>
        <v>1</v>
      </c>
      <c r="V2949" s="386"/>
    </row>
    <row r="2950" spans="2:22" ht="15.75" hidden="1" x14ac:dyDescent="0.2">
      <c r="B2950" s="711">
        <v>46271</v>
      </c>
      <c r="C2950" s="711" t="s">
        <v>106</v>
      </c>
      <c r="D2950" s="711" t="s">
        <v>189</v>
      </c>
      <c r="E2950" s="711">
        <v>46271</v>
      </c>
      <c r="G2950" s="771"/>
      <c r="H2950" s="497" t="s">
        <v>118</v>
      </c>
      <c r="I2950" s="60" t="s">
        <v>105</v>
      </c>
      <c r="J2950" s="60">
        <v>229</v>
      </c>
      <c r="K2950" s="60">
        <v>2</v>
      </c>
      <c r="L2950" s="60">
        <v>1</v>
      </c>
      <c r="M2950" s="60">
        <v>142</v>
      </c>
      <c r="N2950" s="494">
        <v>64</v>
      </c>
      <c r="O2950" s="60">
        <v>18</v>
      </c>
      <c r="P2950" s="494">
        <v>7</v>
      </c>
      <c r="Q2950" s="182">
        <f t="shared" si="3598"/>
        <v>1.3100436681222707E-2</v>
      </c>
      <c r="R2950" s="182">
        <f t="shared" si="3599"/>
        <v>0.27947598253275108</v>
      </c>
      <c r="S2950" s="183">
        <f t="shared" si="3584"/>
        <v>3.0567685589519649E-2</v>
      </c>
      <c r="T2950" s="183">
        <f t="shared" si="3585"/>
        <v>7.8602620087336247E-2</v>
      </c>
      <c r="U2950" s="184">
        <f t="shared" si="3586"/>
        <v>0.40174672489082969</v>
      </c>
      <c r="V2950" s="386"/>
    </row>
    <row r="2951" spans="2:22" ht="15.75" hidden="1" x14ac:dyDescent="0.2">
      <c r="B2951" s="711">
        <v>46271</v>
      </c>
      <c r="C2951" s="711" t="s">
        <v>106</v>
      </c>
      <c r="D2951" s="711" t="s">
        <v>189</v>
      </c>
      <c r="E2951" s="711">
        <v>46271</v>
      </c>
      <c r="G2951" s="772"/>
      <c r="H2951" s="497" t="s">
        <v>32</v>
      </c>
      <c r="I2951" s="60" t="s">
        <v>105</v>
      </c>
      <c r="J2951" s="60">
        <v>196</v>
      </c>
      <c r="K2951" s="60">
        <v>0</v>
      </c>
      <c r="L2951" s="60">
        <v>0</v>
      </c>
      <c r="M2951" s="60">
        <v>33</v>
      </c>
      <c r="N2951" s="494">
        <v>124</v>
      </c>
      <c r="O2951" s="60">
        <v>25</v>
      </c>
      <c r="P2951" s="494">
        <v>11</v>
      </c>
      <c r="Q2951" s="182">
        <f t="shared" si="3598"/>
        <v>0</v>
      </c>
      <c r="R2951" s="182">
        <f t="shared" si="3599"/>
        <v>0.63265306122448983</v>
      </c>
      <c r="S2951" s="183">
        <f t="shared" si="3584"/>
        <v>5.6122448979591837E-2</v>
      </c>
      <c r="T2951" s="183">
        <f t="shared" si="3585"/>
        <v>0.12755102040816327</v>
      </c>
      <c r="U2951" s="184">
        <f t="shared" si="3586"/>
        <v>0.81632653061224492</v>
      </c>
      <c r="V2951" s="386"/>
    </row>
    <row r="2952" spans="2:22" ht="15.75" hidden="1" x14ac:dyDescent="0.2">
      <c r="B2952" s="711">
        <v>46271</v>
      </c>
      <c r="C2952" s="711" t="s">
        <v>106</v>
      </c>
      <c r="D2952" s="711" t="s">
        <v>189</v>
      </c>
      <c r="E2952" s="711">
        <v>46271</v>
      </c>
      <c r="G2952" s="775" t="s">
        <v>19</v>
      </c>
      <c r="H2952" s="776"/>
      <c r="I2952" s="777"/>
      <c r="J2952" s="190">
        <f t="shared" ref="J2952:P2952" si="3606">SUM(J2946:J2951)</f>
        <v>746</v>
      </c>
      <c r="K2952" s="190">
        <f t="shared" si="3606"/>
        <v>160</v>
      </c>
      <c r="L2952" s="190">
        <f t="shared" si="3606"/>
        <v>68</v>
      </c>
      <c r="M2952" s="190">
        <f t="shared" si="3606"/>
        <v>177</v>
      </c>
      <c r="N2952" s="190">
        <f t="shared" si="3606"/>
        <v>211</v>
      </c>
      <c r="O2952" s="190">
        <f t="shared" si="3606"/>
        <v>75</v>
      </c>
      <c r="P2952" s="190">
        <f t="shared" si="3606"/>
        <v>34</v>
      </c>
      <c r="Q2952" s="481">
        <f>(K2952+L2952)/J2952</f>
        <v>0.30563002680965146</v>
      </c>
      <c r="R2952" s="481">
        <f>N2952/J2952</f>
        <v>0.28284182305630029</v>
      </c>
      <c r="S2952" s="482">
        <f t="shared" si="3584"/>
        <v>4.5576407506702415E-2</v>
      </c>
      <c r="T2952" s="482">
        <f t="shared" si="3585"/>
        <v>0.10053619302949061</v>
      </c>
      <c r="U2952" s="483">
        <f t="shared" si="3586"/>
        <v>0.73458445040214471</v>
      </c>
      <c r="V2952" s="479"/>
    </row>
    <row r="2953" spans="2:22" ht="15.75" hidden="1" x14ac:dyDescent="0.2">
      <c r="B2953" s="711">
        <v>46272</v>
      </c>
      <c r="C2953" s="711" t="s">
        <v>106</v>
      </c>
      <c r="D2953" s="711" t="s">
        <v>189</v>
      </c>
      <c r="E2953" s="711">
        <v>46272</v>
      </c>
      <c r="G2953" s="778">
        <v>46272</v>
      </c>
      <c r="H2953" s="497" t="s">
        <v>16</v>
      </c>
      <c r="I2953" s="60" t="s">
        <v>112</v>
      </c>
      <c r="J2953" s="60">
        <f>SUM(K2953:P2953)</f>
        <v>74</v>
      </c>
      <c r="K2953" s="60">
        <v>38</v>
      </c>
      <c r="L2953" s="60">
        <v>36</v>
      </c>
      <c r="M2953" s="60">
        <v>0</v>
      </c>
      <c r="N2953" s="494">
        <v>0</v>
      </c>
      <c r="O2953" s="60">
        <v>0</v>
      </c>
      <c r="P2953" s="494">
        <v>0</v>
      </c>
      <c r="Q2953" s="182">
        <f t="shared" ref="Q2953:Q2961" si="3607">(K2953+L2953)/J2953</f>
        <v>1</v>
      </c>
      <c r="R2953" s="182">
        <f t="shared" ref="R2953:R2961" si="3608">N2953/J2953</f>
        <v>0</v>
      </c>
      <c r="S2953" s="183">
        <f t="shared" ref="S2953:S2968" si="3609">P2953/J2953</f>
        <v>0</v>
      </c>
      <c r="T2953" s="183">
        <f t="shared" ref="T2953:T2968" si="3610">O2953/J2953</f>
        <v>0</v>
      </c>
      <c r="U2953" s="184">
        <f t="shared" ref="U2953:U2968" si="3611">S2953+R2953+Q2953+T2953</f>
        <v>1</v>
      </c>
      <c r="V2953" s="386"/>
    </row>
    <row r="2954" spans="2:22" ht="15.75" hidden="1" x14ac:dyDescent="0.2">
      <c r="B2954" s="711">
        <v>46272</v>
      </c>
      <c r="C2954" s="711" t="s">
        <v>106</v>
      </c>
      <c r="D2954" s="711" t="s">
        <v>189</v>
      </c>
      <c r="E2954" s="711">
        <v>46272</v>
      </c>
      <c r="G2954" s="786"/>
      <c r="H2954" s="497" t="s">
        <v>17</v>
      </c>
      <c r="I2954" s="60" t="s">
        <v>106</v>
      </c>
      <c r="J2954" s="60">
        <f t="shared" ref="J2954:J2957" si="3612">SUM(K2954:P2954)</f>
        <v>64</v>
      </c>
      <c r="K2954" s="60">
        <v>32</v>
      </c>
      <c r="L2954" s="60">
        <v>25</v>
      </c>
      <c r="M2954" s="60">
        <v>0</v>
      </c>
      <c r="N2954" s="494">
        <v>0</v>
      </c>
      <c r="O2954" s="60">
        <v>0</v>
      </c>
      <c r="P2954" s="494">
        <v>7</v>
      </c>
      <c r="Q2954" s="182">
        <f t="shared" si="3607"/>
        <v>0.890625</v>
      </c>
      <c r="R2954" s="182">
        <f t="shared" si="3608"/>
        <v>0</v>
      </c>
      <c r="S2954" s="183">
        <f t="shared" si="3609"/>
        <v>0.109375</v>
      </c>
      <c r="T2954" s="183">
        <f t="shared" si="3610"/>
        <v>0</v>
      </c>
      <c r="U2954" s="184">
        <f t="shared" si="3611"/>
        <v>1</v>
      </c>
      <c r="V2954" s="386"/>
    </row>
    <row r="2955" spans="2:22" ht="15.75" hidden="1" x14ac:dyDescent="0.2">
      <c r="B2955" s="711">
        <v>46272</v>
      </c>
      <c r="C2955" s="711" t="s">
        <v>106</v>
      </c>
      <c r="D2955" s="711" t="s">
        <v>189</v>
      </c>
      <c r="E2955" s="711">
        <v>46272</v>
      </c>
      <c r="G2955" s="786"/>
      <c r="H2955" s="497" t="s">
        <v>120</v>
      </c>
      <c r="I2955" s="60" t="s">
        <v>106</v>
      </c>
      <c r="J2955" s="60">
        <f t="shared" si="3612"/>
        <v>3</v>
      </c>
      <c r="K2955" s="60">
        <v>3</v>
      </c>
      <c r="L2955" s="60">
        <v>0</v>
      </c>
      <c r="M2955" s="60">
        <v>0</v>
      </c>
      <c r="N2955" s="494">
        <v>0</v>
      </c>
      <c r="O2955" s="60">
        <v>0</v>
      </c>
      <c r="P2955" s="494">
        <v>0</v>
      </c>
      <c r="Q2955" s="182">
        <f t="shared" si="3607"/>
        <v>1</v>
      </c>
      <c r="R2955" s="182">
        <f t="shared" si="3608"/>
        <v>0</v>
      </c>
      <c r="S2955" s="183">
        <f t="shared" si="3609"/>
        <v>0</v>
      </c>
      <c r="T2955" s="183">
        <f t="shared" si="3610"/>
        <v>0</v>
      </c>
      <c r="U2955" s="184">
        <f t="shared" si="3611"/>
        <v>1</v>
      </c>
      <c r="V2955" s="386"/>
    </row>
    <row r="2956" spans="2:22" ht="15.75" hidden="1" x14ac:dyDescent="0.2">
      <c r="B2956" s="711">
        <v>46272</v>
      </c>
      <c r="C2956" s="711" t="s">
        <v>106</v>
      </c>
      <c r="D2956" s="711" t="s">
        <v>189</v>
      </c>
      <c r="E2956" s="711">
        <v>46272</v>
      </c>
      <c r="G2956" s="786"/>
      <c r="H2956" s="497" t="s">
        <v>180</v>
      </c>
      <c r="I2956" s="60" t="s">
        <v>106</v>
      </c>
      <c r="J2956" s="60">
        <f t="shared" si="3612"/>
        <v>3</v>
      </c>
      <c r="K2956" s="60">
        <v>3</v>
      </c>
      <c r="L2956" s="60">
        <v>0</v>
      </c>
      <c r="M2956" s="60">
        <v>0</v>
      </c>
      <c r="N2956" s="494">
        <v>0</v>
      </c>
      <c r="O2956" s="60">
        <v>0</v>
      </c>
      <c r="P2956" s="494">
        <v>0</v>
      </c>
      <c r="Q2956" s="182">
        <f t="shared" si="3607"/>
        <v>1</v>
      </c>
      <c r="R2956" s="182">
        <f t="shared" si="3608"/>
        <v>0</v>
      </c>
      <c r="S2956" s="183">
        <f t="shared" si="3609"/>
        <v>0</v>
      </c>
      <c r="T2956" s="183">
        <f t="shared" si="3610"/>
        <v>0</v>
      </c>
      <c r="U2956" s="184">
        <f t="shared" si="3611"/>
        <v>1</v>
      </c>
      <c r="V2956" s="386"/>
    </row>
    <row r="2957" spans="2:22" ht="15.75" hidden="1" x14ac:dyDescent="0.2">
      <c r="B2957" s="711">
        <v>46272</v>
      </c>
      <c r="C2957" s="711" t="s">
        <v>106</v>
      </c>
      <c r="D2957" s="711" t="s">
        <v>189</v>
      </c>
      <c r="E2957" s="711">
        <v>46272</v>
      </c>
      <c r="G2957" s="786"/>
      <c r="H2957" s="497" t="s">
        <v>25</v>
      </c>
      <c r="I2957" s="60" t="s">
        <v>106</v>
      </c>
      <c r="J2957" s="60">
        <f t="shared" si="3612"/>
        <v>1</v>
      </c>
      <c r="K2957" s="60">
        <v>1</v>
      </c>
      <c r="L2957" s="60">
        <v>0</v>
      </c>
      <c r="M2957" s="60">
        <v>0</v>
      </c>
      <c r="N2957" s="494">
        <v>0</v>
      </c>
      <c r="O2957" s="60">
        <v>0</v>
      </c>
      <c r="P2957" s="494">
        <v>0</v>
      </c>
      <c r="Q2957" s="182">
        <f t="shared" si="3607"/>
        <v>1</v>
      </c>
      <c r="R2957" s="182">
        <f t="shared" si="3608"/>
        <v>0</v>
      </c>
      <c r="S2957" s="183">
        <f t="shared" si="3609"/>
        <v>0</v>
      </c>
      <c r="T2957" s="183">
        <f t="shared" si="3610"/>
        <v>0</v>
      </c>
      <c r="U2957" s="184">
        <f t="shared" si="3611"/>
        <v>1</v>
      </c>
      <c r="V2957" s="386"/>
    </row>
    <row r="2958" spans="2:22" ht="15.75" hidden="1" x14ac:dyDescent="0.2">
      <c r="B2958" s="711">
        <v>46272</v>
      </c>
      <c r="C2958" s="711" t="s">
        <v>106</v>
      </c>
      <c r="D2958" s="711" t="s">
        <v>189</v>
      </c>
      <c r="E2958" s="711">
        <v>46272</v>
      </c>
      <c r="G2958" s="786"/>
      <c r="H2958" s="497" t="s">
        <v>118</v>
      </c>
      <c r="I2958" s="60" t="s">
        <v>105</v>
      </c>
      <c r="J2958" s="60">
        <v>229</v>
      </c>
      <c r="K2958" s="60">
        <v>157</v>
      </c>
      <c r="L2958" s="60">
        <v>57</v>
      </c>
      <c r="M2958" s="60">
        <v>8</v>
      </c>
      <c r="N2958" s="494">
        <v>0</v>
      </c>
      <c r="O2958" s="60">
        <v>15</v>
      </c>
      <c r="P2958" s="494">
        <v>5</v>
      </c>
      <c r="Q2958" s="182">
        <f t="shared" ref="Q2958:Q2959" si="3613">(K2958+L2958)/J2958</f>
        <v>0.93449781659388642</v>
      </c>
      <c r="R2958" s="182">
        <f t="shared" ref="R2958:R2959" si="3614">N2958/J2958</f>
        <v>0</v>
      </c>
      <c r="S2958" s="183">
        <f t="shared" ref="S2958:S2959" si="3615">P2958/J2958</f>
        <v>2.1834061135371178E-2</v>
      </c>
      <c r="T2958" s="183">
        <f t="shared" ref="T2958:T2959" si="3616">O2958/J2958</f>
        <v>6.5502183406113537E-2</v>
      </c>
      <c r="U2958" s="184">
        <f t="shared" ref="U2958:U2959" si="3617">S2958+R2958+Q2958+T2958</f>
        <v>1.0218340611353711</v>
      </c>
      <c r="V2958" s="386"/>
    </row>
    <row r="2959" spans="2:22" ht="15.75" hidden="1" x14ac:dyDescent="0.2">
      <c r="B2959" s="711">
        <v>46272</v>
      </c>
      <c r="C2959" s="711" t="s">
        <v>106</v>
      </c>
      <c r="D2959" s="711" t="s">
        <v>189</v>
      </c>
      <c r="E2959" s="711">
        <v>46272</v>
      </c>
      <c r="G2959" s="779"/>
      <c r="H2959" s="497" t="s">
        <v>32</v>
      </c>
      <c r="I2959" s="60" t="s">
        <v>105</v>
      </c>
      <c r="J2959" s="60">
        <v>196</v>
      </c>
      <c r="K2959" s="60">
        <v>108</v>
      </c>
      <c r="L2959" s="60">
        <v>45</v>
      </c>
      <c r="M2959" s="60">
        <v>11</v>
      </c>
      <c r="N2959" s="494">
        <v>0</v>
      </c>
      <c r="O2959" s="60">
        <v>21</v>
      </c>
      <c r="P2959" s="494">
        <v>11</v>
      </c>
      <c r="Q2959" s="182">
        <f t="shared" si="3613"/>
        <v>0.78061224489795922</v>
      </c>
      <c r="R2959" s="182">
        <f t="shared" si="3614"/>
        <v>0</v>
      </c>
      <c r="S2959" s="183">
        <f t="shared" si="3615"/>
        <v>5.6122448979591837E-2</v>
      </c>
      <c r="T2959" s="183">
        <f t="shared" si="3616"/>
        <v>0.10714285714285714</v>
      </c>
      <c r="U2959" s="184">
        <f t="shared" si="3617"/>
        <v>0.94387755102040816</v>
      </c>
      <c r="V2959" s="386"/>
    </row>
    <row r="2960" spans="2:22" ht="15.75" hidden="1" x14ac:dyDescent="0.2">
      <c r="B2960" s="711">
        <v>46272</v>
      </c>
      <c r="C2960" s="711" t="s">
        <v>106</v>
      </c>
      <c r="D2960" s="711" t="s">
        <v>189</v>
      </c>
      <c r="E2960" s="711">
        <v>46273</v>
      </c>
      <c r="G2960" s="770">
        <v>46273</v>
      </c>
      <c r="H2960" s="497" t="s">
        <v>14</v>
      </c>
      <c r="I2960" s="60" t="s">
        <v>106</v>
      </c>
      <c r="J2960" s="60">
        <v>198</v>
      </c>
      <c r="K2960" s="60">
        <v>0</v>
      </c>
      <c r="L2960" s="60">
        <v>0</v>
      </c>
      <c r="M2960" s="60">
        <v>125</v>
      </c>
      <c r="N2960" s="494">
        <v>42</v>
      </c>
      <c r="O2960" s="60">
        <v>13</v>
      </c>
      <c r="P2960" s="494">
        <v>18</v>
      </c>
      <c r="Q2960" s="182">
        <f t="shared" ref="Q2960" si="3618">(K2960+L2960)/J2960</f>
        <v>0</v>
      </c>
      <c r="R2960" s="182">
        <f t="shared" ref="R2960" si="3619">N2960/J2960</f>
        <v>0.21212121212121213</v>
      </c>
      <c r="S2960" s="183">
        <f t="shared" ref="S2960" si="3620">P2960/J2960</f>
        <v>9.0909090909090912E-2</v>
      </c>
      <c r="T2960" s="183">
        <f t="shared" ref="T2960" si="3621">O2960/J2960</f>
        <v>6.5656565656565663E-2</v>
      </c>
      <c r="U2960" s="184">
        <f t="shared" ref="U2960" si="3622">S2960+R2960+Q2960+T2960</f>
        <v>0.36868686868686873</v>
      </c>
      <c r="V2960" s="386"/>
    </row>
    <row r="2961" spans="2:22" ht="15.75" hidden="1" x14ac:dyDescent="0.2">
      <c r="B2961" s="711">
        <v>46272</v>
      </c>
      <c r="C2961" s="711" t="s">
        <v>106</v>
      </c>
      <c r="D2961" s="711" t="s">
        <v>189</v>
      </c>
      <c r="E2961" s="711">
        <v>46273</v>
      </c>
      <c r="G2961" s="772"/>
      <c r="H2961" s="497" t="s">
        <v>16</v>
      </c>
      <c r="I2961" s="60" t="s">
        <v>100</v>
      </c>
      <c r="J2961" s="60">
        <v>251</v>
      </c>
      <c r="K2961" s="60">
        <v>0</v>
      </c>
      <c r="L2961" s="60">
        <v>0</v>
      </c>
      <c r="M2961" s="60">
        <v>159</v>
      </c>
      <c r="N2961" s="494">
        <v>69</v>
      </c>
      <c r="O2961" s="60">
        <v>20</v>
      </c>
      <c r="P2961" s="494">
        <v>3</v>
      </c>
      <c r="Q2961" s="182">
        <f t="shared" si="3607"/>
        <v>0</v>
      </c>
      <c r="R2961" s="182">
        <f t="shared" si="3608"/>
        <v>0.27490039840637448</v>
      </c>
      <c r="S2961" s="183">
        <f t="shared" si="3609"/>
        <v>1.1952191235059761E-2</v>
      </c>
      <c r="T2961" s="183">
        <f t="shared" si="3610"/>
        <v>7.9681274900398405E-2</v>
      </c>
      <c r="U2961" s="184">
        <f t="shared" si="3611"/>
        <v>0.36653386454183262</v>
      </c>
      <c r="V2961" s="386"/>
    </row>
    <row r="2962" spans="2:22" ht="15.75" hidden="1" x14ac:dyDescent="0.2">
      <c r="B2962" s="711">
        <v>46272</v>
      </c>
      <c r="C2962" s="711" t="s">
        <v>106</v>
      </c>
      <c r="D2962" s="711" t="s">
        <v>189</v>
      </c>
      <c r="E2962" s="711">
        <v>46272</v>
      </c>
      <c r="G2962" s="775" t="s">
        <v>19</v>
      </c>
      <c r="H2962" s="776"/>
      <c r="I2962" s="777"/>
      <c r="J2962" s="190">
        <f t="shared" ref="J2962:P2962" si="3623">SUM(J2953:J2961)</f>
        <v>1019</v>
      </c>
      <c r="K2962" s="190">
        <f t="shared" si="3623"/>
        <v>342</v>
      </c>
      <c r="L2962" s="190">
        <f t="shared" si="3623"/>
        <v>163</v>
      </c>
      <c r="M2962" s="190">
        <f t="shared" si="3623"/>
        <v>303</v>
      </c>
      <c r="N2962" s="190">
        <f t="shared" si="3623"/>
        <v>111</v>
      </c>
      <c r="O2962" s="190">
        <f t="shared" si="3623"/>
        <v>69</v>
      </c>
      <c r="P2962" s="190">
        <f t="shared" si="3623"/>
        <v>44</v>
      </c>
      <c r="Q2962" s="481">
        <f>(K2962+L2962)/J2962</f>
        <v>0.49558390578999018</v>
      </c>
      <c r="R2962" s="481">
        <f>N2962/J2962</f>
        <v>0.10893032384690873</v>
      </c>
      <c r="S2962" s="482">
        <f t="shared" si="3609"/>
        <v>4.3179587831207067E-2</v>
      </c>
      <c r="T2962" s="482">
        <f t="shared" si="3610"/>
        <v>6.7713444553483812E-2</v>
      </c>
      <c r="U2962" s="483">
        <f t="shared" si="3611"/>
        <v>0.71540726202158977</v>
      </c>
      <c r="V2962" s="479"/>
    </row>
    <row r="2963" spans="2:22" ht="15.75" hidden="1" x14ac:dyDescent="0.2">
      <c r="B2963" s="711">
        <v>46272</v>
      </c>
      <c r="C2963" s="711" t="s">
        <v>105</v>
      </c>
      <c r="D2963" s="711" t="s">
        <v>13</v>
      </c>
      <c r="E2963" s="711">
        <v>46272</v>
      </c>
      <c r="G2963" s="782">
        <v>46272</v>
      </c>
      <c r="H2963" s="497" t="s">
        <v>16</v>
      </c>
      <c r="I2963" s="60" t="s">
        <v>112</v>
      </c>
      <c r="J2963" s="60">
        <v>254</v>
      </c>
      <c r="K2963" s="60">
        <f>254-108</f>
        <v>146</v>
      </c>
      <c r="L2963" s="60">
        <v>88</v>
      </c>
      <c r="M2963" s="60">
        <v>0</v>
      </c>
      <c r="N2963" s="494">
        <v>0</v>
      </c>
      <c r="O2963" s="60">
        <v>20</v>
      </c>
      <c r="P2963" s="494">
        <v>0</v>
      </c>
      <c r="Q2963" s="182">
        <f t="shared" ref="Q2963:Q2969" si="3624">(K2963+L2963)/J2963</f>
        <v>0.92125984251968507</v>
      </c>
      <c r="R2963" s="182">
        <f t="shared" ref="R2963:R2969" si="3625">N2963/J2963</f>
        <v>0</v>
      </c>
      <c r="S2963" s="183">
        <f t="shared" si="3609"/>
        <v>0</v>
      </c>
      <c r="T2963" s="183">
        <f t="shared" si="3610"/>
        <v>7.874015748031496E-2</v>
      </c>
      <c r="U2963" s="184">
        <f t="shared" si="3611"/>
        <v>1</v>
      </c>
      <c r="V2963" s="386"/>
    </row>
    <row r="2964" spans="2:22" ht="15.75" hidden="1" x14ac:dyDescent="0.2">
      <c r="B2964" s="711">
        <v>46272</v>
      </c>
      <c r="C2964" s="711" t="s">
        <v>105</v>
      </c>
      <c r="D2964" s="711" t="s">
        <v>13</v>
      </c>
      <c r="E2964" s="711">
        <v>46272</v>
      </c>
      <c r="G2964" s="783"/>
      <c r="H2964" s="497" t="s">
        <v>118</v>
      </c>
      <c r="I2964" s="60" t="s">
        <v>105</v>
      </c>
      <c r="J2964" s="60">
        <v>230</v>
      </c>
      <c r="K2964" s="60">
        <v>142</v>
      </c>
      <c r="L2964" s="60">
        <v>66</v>
      </c>
      <c r="M2964" s="60">
        <v>0</v>
      </c>
      <c r="N2964" s="494">
        <v>0</v>
      </c>
      <c r="O2964" s="60">
        <v>15</v>
      </c>
      <c r="P2964" s="494">
        <v>7</v>
      </c>
      <c r="Q2964" s="182">
        <f t="shared" si="3624"/>
        <v>0.90434782608695652</v>
      </c>
      <c r="R2964" s="182">
        <f t="shared" si="3625"/>
        <v>0</v>
      </c>
      <c r="S2964" s="183">
        <f t="shared" si="3609"/>
        <v>3.0434782608695653E-2</v>
      </c>
      <c r="T2964" s="183">
        <f t="shared" si="3610"/>
        <v>6.5217391304347824E-2</v>
      </c>
      <c r="U2964" s="184">
        <f t="shared" si="3611"/>
        <v>1</v>
      </c>
      <c r="V2964" s="386"/>
    </row>
    <row r="2965" spans="2:22" ht="15.75" hidden="1" x14ac:dyDescent="0.2">
      <c r="B2965" s="711">
        <v>46272</v>
      </c>
      <c r="C2965" s="711" t="s">
        <v>105</v>
      </c>
      <c r="D2965" s="711" t="s">
        <v>13</v>
      </c>
      <c r="E2965" s="711">
        <v>46272</v>
      </c>
      <c r="G2965" s="818"/>
      <c r="H2965" s="497" t="s">
        <v>32</v>
      </c>
      <c r="I2965" s="60" t="s">
        <v>105</v>
      </c>
      <c r="J2965" s="60">
        <v>318</v>
      </c>
      <c r="K2965" s="60">
        <v>204</v>
      </c>
      <c r="L2965" s="60">
        <v>73</v>
      </c>
      <c r="M2965" s="60">
        <v>6</v>
      </c>
      <c r="N2965" s="494">
        <v>0</v>
      </c>
      <c r="O2965" s="60">
        <v>24</v>
      </c>
      <c r="P2965" s="494">
        <v>11</v>
      </c>
      <c r="Q2965" s="182">
        <f t="shared" si="3624"/>
        <v>0.87106918238993714</v>
      </c>
      <c r="R2965" s="182">
        <f t="shared" si="3625"/>
        <v>0</v>
      </c>
      <c r="S2965" s="183">
        <f t="shared" si="3609"/>
        <v>3.4591194968553458E-2</v>
      </c>
      <c r="T2965" s="183">
        <f t="shared" si="3610"/>
        <v>7.5471698113207544E-2</v>
      </c>
      <c r="U2965" s="184">
        <f t="shared" si="3611"/>
        <v>0.98113207547169812</v>
      </c>
      <c r="V2965" s="386"/>
    </row>
    <row r="2966" spans="2:22" ht="15.75" hidden="1" x14ac:dyDescent="0.2">
      <c r="B2966" s="711">
        <v>46272</v>
      </c>
      <c r="C2966" s="711" t="s">
        <v>105</v>
      </c>
      <c r="D2966" s="711" t="s">
        <v>13</v>
      </c>
      <c r="E2966" s="711">
        <v>46273</v>
      </c>
      <c r="G2966" s="773">
        <v>46273</v>
      </c>
      <c r="H2966" s="497" t="s">
        <v>14</v>
      </c>
      <c r="I2966" s="60" t="s">
        <v>106</v>
      </c>
      <c r="J2966" s="60">
        <v>198</v>
      </c>
      <c r="K2966" s="60">
        <v>127</v>
      </c>
      <c r="L2966" s="60">
        <v>37</v>
      </c>
      <c r="M2966" s="60">
        <v>3</v>
      </c>
      <c r="N2966" s="494">
        <v>0</v>
      </c>
      <c r="O2966" s="60">
        <v>13</v>
      </c>
      <c r="P2966" s="494">
        <v>18</v>
      </c>
      <c r="Q2966" s="182">
        <f t="shared" si="3624"/>
        <v>0.82828282828282829</v>
      </c>
      <c r="R2966" s="182">
        <f t="shared" si="3625"/>
        <v>0</v>
      </c>
      <c r="S2966" s="183">
        <f t="shared" si="3609"/>
        <v>9.0909090909090912E-2</v>
      </c>
      <c r="T2966" s="183">
        <f t="shared" si="3610"/>
        <v>6.5656565656565663E-2</v>
      </c>
      <c r="U2966" s="184">
        <f t="shared" si="3611"/>
        <v>0.98484848484848486</v>
      </c>
      <c r="V2966" s="386"/>
    </row>
    <row r="2967" spans="2:22" ht="15.75" hidden="1" x14ac:dyDescent="0.2">
      <c r="B2967" s="711">
        <v>46272</v>
      </c>
      <c r="C2967" s="711" t="s">
        <v>105</v>
      </c>
      <c r="D2967" s="711" t="s">
        <v>13</v>
      </c>
      <c r="E2967" s="711">
        <v>46273</v>
      </c>
      <c r="G2967" s="780"/>
      <c r="H2967" s="497" t="s">
        <v>25</v>
      </c>
      <c r="I2967" s="60" t="s">
        <v>105</v>
      </c>
      <c r="J2967" s="60">
        <v>210</v>
      </c>
      <c r="K2967" s="60">
        <v>0</v>
      </c>
      <c r="L2967" s="60">
        <v>0</v>
      </c>
      <c r="M2967" s="60">
        <v>173</v>
      </c>
      <c r="N2967" s="494">
        <v>0</v>
      </c>
      <c r="O2967" s="60">
        <v>22</v>
      </c>
      <c r="P2967" s="494">
        <v>15</v>
      </c>
      <c r="Q2967" s="182">
        <f t="shared" si="3624"/>
        <v>0</v>
      </c>
      <c r="R2967" s="182">
        <f t="shared" si="3625"/>
        <v>0</v>
      </c>
      <c r="S2967" s="183">
        <f t="shared" si="3609"/>
        <v>7.1428571428571425E-2</v>
      </c>
      <c r="T2967" s="183">
        <f t="shared" si="3610"/>
        <v>0.10476190476190476</v>
      </c>
      <c r="U2967" s="184">
        <f t="shared" si="3611"/>
        <v>0.17619047619047618</v>
      </c>
      <c r="V2967" s="386"/>
    </row>
    <row r="2968" spans="2:22" ht="15.75" hidden="1" x14ac:dyDescent="0.2">
      <c r="B2968" s="711">
        <v>46272</v>
      </c>
      <c r="C2968" s="711" t="s">
        <v>105</v>
      </c>
      <c r="D2968" s="711" t="s">
        <v>13</v>
      </c>
      <c r="E2968" s="711">
        <v>46273</v>
      </c>
      <c r="G2968" s="780"/>
      <c r="H2968" s="497" t="s">
        <v>32</v>
      </c>
      <c r="I2968" s="60" t="s">
        <v>105</v>
      </c>
      <c r="J2968" s="60">
        <v>31</v>
      </c>
      <c r="K2968" s="60">
        <v>0</v>
      </c>
      <c r="L2968" s="60">
        <v>0</v>
      </c>
      <c r="M2968" s="60">
        <v>31</v>
      </c>
      <c r="N2968" s="494">
        <v>0</v>
      </c>
      <c r="O2968" s="60">
        <v>0</v>
      </c>
      <c r="P2968" s="494">
        <v>0</v>
      </c>
      <c r="Q2968" s="182">
        <f t="shared" si="3624"/>
        <v>0</v>
      </c>
      <c r="R2968" s="182">
        <f t="shared" si="3625"/>
        <v>0</v>
      </c>
      <c r="S2968" s="183">
        <f t="shared" si="3609"/>
        <v>0</v>
      </c>
      <c r="T2968" s="183">
        <f t="shared" si="3610"/>
        <v>0</v>
      </c>
      <c r="U2968" s="184">
        <f t="shared" si="3611"/>
        <v>0</v>
      </c>
      <c r="V2968" s="386"/>
    </row>
    <row r="2969" spans="2:22" ht="15.75" hidden="1" x14ac:dyDescent="0.2">
      <c r="B2969" s="711">
        <v>46272</v>
      </c>
      <c r="C2969" s="711" t="s">
        <v>105</v>
      </c>
      <c r="D2969" s="711" t="s">
        <v>13</v>
      </c>
      <c r="E2969" s="711">
        <v>46273</v>
      </c>
      <c r="G2969" s="774"/>
      <c r="H2969" s="497" t="s">
        <v>16</v>
      </c>
      <c r="I2969" s="60" t="s">
        <v>100</v>
      </c>
      <c r="J2969" s="60">
        <v>251</v>
      </c>
      <c r="K2969" s="60">
        <v>111</v>
      </c>
      <c r="L2969" s="60">
        <v>102</v>
      </c>
      <c r="M2969" s="60">
        <v>15</v>
      </c>
      <c r="N2969" s="494">
        <v>0</v>
      </c>
      <c r="O2969" s="60">
        <v>20</v>
      </c>
      <c r="P2969" s="494">
        <v>3</v>
      </c>
      <c r="Q2969" s="182">
        <f t="shared" si="3624"/>
        <v>0.84860557768924305</v>
      </c>
      <c r="R2969" s="182">
        <f t="shared" si="3625"/>
        <v>0</v>
      </c>
      <c r="S2969" s="183">
        <f t="shared" ref="S2969:S2982" si="3626">P2969/J2969</f>
        <v>1.1952191235059761E-2</v>
      </c>
      <c r="T2969" s="183">
        <f t="shared" ref="T2969:T2982" si="3627">O2969/J2969</f>
        <v>7.9681274900398405E-2</v>
      </c>
      <c r="U2969" s="184">
        <f t="shared" ref="U2969:U2982" si="3628">S2969+R2969+Q2969+T2969</f>
        <v>0.94023904382470125</v>
      </c>
      <c r="V2969" s="386"/>
    </row>
    <row r="2970" spans="2:22" ht="15.75" hidden="1" x14ac:dyDescent="0.2">
      <c r="B2970" s="711">
        <v>46272</v>
      </c>
      <c r="C2970" s="711" t="s">
        <v>105</v>
      </c>
      <c r="D2970" s="711" t="s">
        <v>13</v>
      </c>
      <c r="E2970" s="711">
        <v>46273</v>
      </c>
      <c r="G2970" s="775" t="s">
        <v>19</v>
      </c>
      <c r="H2970" s="776"/>
      <c r="I2970" s="777"/>
      <c r="J2970" s="190">
        <f t="shared" ref="J2970:P2970" si="3629">SUM(J2961:J2969)</f>
        <v>2762</v>
      </c>
      <c r="K2970" s="190">
        <f t="shared" si="3629"/>
        <v>1072</v>
      </c>
      <c r="L2970" s="190">
        <f t="shared" si="3629"/>
        <v>529</v>
      </c>
      <c r="M2970" s="190">
        <f t="shared" si="3629"/>
        <v>690</v>
      </c>
      <c r="N2970" s="190">
        <f t="shared" si="3629"/>
        <v>180</v>
      </c>
      <c r="O2970" s="190">
        <f t="shared" si="3629"/>
        <v>203</v>
      </c>
      <c r="P2970" s="190">
        <f t="shared" si="3629"/>
        <v>101</v>
      </c>
      <c r="Q2970" s="481">
        <f>(K2970+L2970)/J2970</f>
        <v>0.57965242577842147</v>
      </c>
      <c r="R2970" s="481">
        <f>N2970/J2970</f>
        <v>6.5170166545981179E-2</v>
      </c>
      <c r="S2970" s="482">
        <f t="shared" si="3626"/>
        <v>3.6567704561911656E-2</v>
      </c>
      <c r="T2970" s="482">
        <f t="shared" si="3627"/>
        <v>7.3497465604634327E-2</v>
      </c>
      <c r="U2970" s="483">
        <f t="shared" si="3628"/>
        <v>0.75488776249094869</v>
      </c>
      <c r="V2970" s="479"/>
    </row>
    <row r="2971" spans="2:22" ht="15.75" hidden="1" x14ac:dyDescent="0.2">
      <c r="B2971" s="711">
        <v>46273</v>
      </c>
      <c r="C2971" s="711" t="s">
        <v>106</v>
      </c>
      <c r="D2971" s="711" t="s">
        <v>189</v>
      </c>
      <c r="E2971" s="711">
        <v>46273</v>
      </c>
      <c r="G2971" s="778">
        <v>46273</v>
      </c>
      <c r="H2971" s="497" t="s">
        <v>16</v>
      </c>
      <c r="I2971" s="60" t="s">
        <v>112</v>
      </c>
      <c r="J2971" s="60">
        <f>SUM(K2971:P2971)</f>
        <v>28</v>
      </c>
      <c r="K2971" s="60">
        <v>8</v>
      </c>
      <c r="L2971" s="60">
        <v>17</v>
      </c>
      <c r="M2971" s="60">
        <v>0</v>
      </c>
      <c r="N2971" s="494">
        <v>0</v>
      </c>
      <c r="O2971" s="60">
        <v>0</v>
      </c>
      <c r="P2971" s="494">
        <v>3</v>
      </c>
      <c r="Q2971" s="182">
        <f t="shared" ref="Q2971:Q2979" si="3630">(K2971+L2971)/J2971</f>
        <v>0.8928571428571429</v>
      </c>
      <c r="R2971" s="182">
        <f t="shared" ref="R2971:R2979" si="3631">N2971/J2971</f>
        <v>0</v>
      </c>
      <c r="S2971" s="183">
        <f t="shared" si="3626"/>
        <v>0.10714285714285714</v>
      </c>
      <c r="T2971" s="183">
        <f t="shared" si="3627"/>
        <v>0</v>
      </c>
      <c r="U2971" s="184">
        <f t="shared" si="3628"/>
        <v>1</v>
      </c>
      <c r="V2971" s="386"/>
    </row>
    <row r="2972" spans="2:22" ht="15.75" hidden="1" x14ac:dyDescent="0.2">
      <c r="B2972" s="711">
        <v>46273</v>
      </c>
      <c r="C2972" s="711" t="s">
        <v>106</v>
      </c>
      <c r="D2972" s="711" t="s">
        <v>189</v>
      </c>
      <c r="E2972" s="711">
        <v>46273</v>
      </c>
      <c r="G2972" s="786"/>
      <c r="H2972" s="497" t="s">
        <v>14</v>
      </c>
      <c r="I2972" s="60" t="s">
        <v>106</v>
      </c>
      <c r="J2972" s="60">
        <f t="shared" ref="J2972:J2973" si="3632">SUM(K2972:P2972)</f>
        <v>59</v>
      </c>
      <c r="K2972" s="60">
        <v>39</v>
      </c>
      <c r="L2972" s="60">
        <v>6</v>
      </c>
      <c r="M2972" s="60">
        <v>0</v>
      </c>
      <c r="N2972" s="494">
        <v>0</v>
      </c>
      <c r="O2972" s="60">
        <v>0</v>
      </c>
      <c r="P2972" s="494">
        <v>14</v>
      </c>
      <c r="Q2972" s="182">
        <f t="shared" si="3630"/>
        <v>0.76271186440677963</v>
      </c>
      <c r="R2972" s="182">
        <f t="shared" si="3631"/>
        <v>0</v>
      </c>
      <c r="S2972" s="183">
        <f t="shared" si="3626"/>
        <v>0.23728813559322035</v>
      </c>
      <c r="T2972" s="183">
        <f t="shared" si="3627"/>
        <v>0</v>
      </c>
      <c r="U2972" s="184">
        <f t="shared" si="3628"/>
        <v>1</v>
      </c>
      <c r="V2972" s="386"/>
    </row>
    <row r="2973" spans="2:22" ht="15.75" hidden="1" x14ac:dyDescent="0.2">
      <c r="B2973" s="711">
        <v>46273</v>
      </c>
      <c r="C2973" s="711" t="s">
        <v>106</v>
      </c>
      <c r="D2973" s="711" t="s">
        <v>189</v>
      </c>
      <c r="E2973" s="711">
        <v>46273</v>
      </c>
      <c r="G2973" s="786"/>
      <c r="H2973" s="497" t="s">
        <v>17</v>
      </c>
      <c r="I2973" s="60" t="s">
        <v>106</v>
      </c>
      <c r="J2973" s="60">
        <f t="shared" si="3632"/>
        <v>1</v>
      </c>
      <c r="K2973" s="60">
        <v>1</v>
      </c>
      <c r="L2973" s="60">
        <v>0</v>
      </c>
      <c r="M2973" s="60">
        <v>0</v>
      </c>
      <c r="N2973" s="494">
        <v>0</v>
      </c>
      <c r="O2973" s="60">
        <v>0</v>
      </c>
      <c r="P2973" s="494">
        <v>0</v>
      </c>
      <c r="Q2973" s="182">
        <f t="shared" si="3630"/>
        <v>1</v>
      </c>
      <c r="R2973" s="182">
        <f t="shared" si="3631"/>
        <v>0</v>
      </c>
      <c r="S2973" s="183">
        <f t="shared" si="3626"/>
        <v>0</v>
      </c>
      <c r="T2973" s="183">
        <f t="shared" si="3627"/>
        <v>0</v>
      </c>
      <c r="U2973" s="184">
        <f t="shared" si="3628"/>
        <v>1</v>
      </c>
      <c r="V2973" s="386"/>
    </row>
    <row r="2974" spans="2:22" ht="15.75" hidden="1" x14ac:dyDescent="0.2">
      <c r="B2974" s="711">
        <v>46273</v>
      </c>
      <c r="C2974" s="711" t="s">
        <v>106</v>
      </c>
      <c r="D2974" s="711" t="s">
        <v>189</v>
      </c>
      <c r="E2974" s="711">
        <v>46273</v>
      </c>
      <c r="G2974" s="786"/>
      <c r="H2974" s="497" t="s">
        <v>25</v>
      </c>
      <c r="I2974" s="60" t="s">
        <v>105</v>
      </c>
      <c r="J2974" s="60">
        <v>210</v>
      </c>
      <c r="K2974" s="60">
        <v>103</v>
      </c>
      <c r="L2974" s="60">
        <v>36</v>
      </c>
      <c r="M2974" s="60">
        <v>8</v>
      </c>
      <c r="N2974" s="494">
        <v>25</v>
      </c>
      <c r="O2974" s="60">
        <v>19</v>
      </c>
      <c r="P2974" s="494">
        <v>19</v>
      </c>
      <c r="Q2974" s="182">
        <f t="shared" si="3630"/>
        <v>0.66190476190476188</v>
      </c>
      <c r="R2974" s="182">
        <f t="shared" si="3631"/>
        <v>0.11904761904761904</v>
      </c>
      <c r="S2974" s="183">
        <f t="shared" si="3626"/>
        <v>9.0476190476190474E-2</v>
      </c>
      <c r="T2974" s="183">
        <f t="shared" si="3627"/>
        <v>9.0476190476190474E-2</v>
      </c>
      <c r="U2974" s="184">
        <f t="shared" si="3628"/>
        <v>0.96190476190476193</v>
      </c>
      <c r="V2974" s="386"/>
    </row>
    <row r="2975" spans="2:22" ht="15.75" hidden="1" x14ac:dyDescent="0.2">
      <c r="B2975" s="711">
        <v>46273</v>
      </c>
      <c r="C2975" s="711" t="s">
        <v>106</v>
      </c>
      <c r="D2975" s="711" t="s">
        <v>189</v>
      </c>
      <c r="E2975" s="711">
        <v>46273</v>
      </c>
      <c r="G2975" s="779"/>
      <c r="H2975" s="497" t="s">
        <v>32</v>
      </c>
      <c r="I2975" s="60" t="s">
        <v>105</v>
      </c>
      <c r="J2975" s="60">
        <v>31</v>
      </c>
      <c r="K2975" s="60">
        <v>27</v>
      </c>
      <c r="L2975" s="60">
        <v>7</v>
      </c>
      <c r="M2975" s="60">
        <v>10</v>
      </c>
      <c r="N2975" s="494">
        <v>0</v>
      </c>
      <c r="O2975" s="60">
        <v>0</v>
      </c>
      <c r="P2975" s="494">
        <v>0</v>
      </c>
      <c r="Q2975" s="182">
        <f t="shared" si="3630"/>
        <v>1.096774193548387</v>
      </c>
      <c r="R2975" s="182">
        <f t="shared" si="3631"/>
        <v>0</v>
      </c>
      <c r="S2975" s="183">
        <f t="shared" si="3626"/>
        <v>0</v>
      </c>
      <c r="T2975" s="183">
        <f t="shared" si="3627"/>
        <v>0</v>
      </c>
      <c r="U2975" s="184">
        <f t="shared" si="3628"/>
        <v>1.096774193548387</v>
      </c>
      <c r="V2975" s="386"/>
    </row>
    <row r="2976" spans="2:22" ht="15.75" hidden="1" x14ac:dyDescent="0.2">
      <c r="B2976" s="711">
        <v>46273</v>
      </c>
      <c r="C2976" s="711" t="s">
        <v>106</v>
      </c>
      <c r="D2976" s="711" t="s">
        <v>189</v>
      </c>
      <c r="E2976" s="711">
        <v>46273</v>
      </c>
      <c r="G2976" s="770">
        <v>46274</v>
      </c>
      <c r="H2976" s="497" t="s">
        <v>16</v>
      </c>
      <c r="I2976" s="60" t="s">
        <v>112</v>
      </c>
      <c r="J2976" s="60">
        <v>237</v>
      </c>
      <c r="K2976" s="60">
        <v>0</v>
      </c>
      <c r="L2976" s="60">
        <v>0</v>
      </c>
      <c r="M2976" s="60">
        <v>176</v>
      </c>
      <c r="N2976" s="494">
        <v>38</v>
      </c>
      <c r="O2976" s="60">
        <v>20</v>
      </c>
      <c r="P2976" s="494">
        <v>3</v>
      </c>
      <c r="Q2976" s="182">
        <f t="shared" si="3630"/>
        <v>0</v>
      </c>
      <c r="R2976" s="182">
        <f t="shared" si="3631"/>
        <v>0.16033755274261605</v>
      </c>
      <c r="S2976" s="183">
        <f t="shared" si="3626"/>
        <v>1.2658227848101266E-2</v>
      </c>
      <c r="T2976" s="183">
        <f t="shared" si="3627"/>
        <v>8.4388185654008435E-2</v>
      </c>
      <c r="U2976" s="184">
        <f t="shared" si="3628"/>
        <v>0.25738396624472576</v>
      </c>
      <c r="V2976" s="386"/>
    </row>
    <row r="2977" spans="2:22" ht="15.75" hidden="1" x14ac:dyDescent="0.2">
      <c r="B2977" s="711">
        <v>46273</v>
      </c>
      <c r="C2977" s="711" t="s">
        <v>106</v>
      </c>
      <c r="D2977" s="711" t="s">
        <v>189</v>
      </c>
      <c r="E2977" s="711">
        <v>46273</v>
      </c>
      <c r="G2977" s="771"/>
      <c r="H2977" s="497" t="s">
        <v>120</v>
      </c>
      <c r="I2977" s="60"/>
      <c r="J2977" s="60">
        <v>67</v>
      </c>
      <c r="K2977" s="60">
        <v>1</v>
      </c>
      <c r="L2977" s="60">
        <v>0</v>
      </c>
      <c r="M2977" s="60">
        <v>0</v>
      </c>
      <c r="N2977" s="494">
        <v>64</v>
      </c>
      <c r="O2977" s="60">
        <v>0</v>
      </c>
      <c r="P2977" s="494">
        <v>2</v>
      </c>
      <c r="Q2977" s="182">
        <f t="shared" si="3630"/>
        <v>1.4925373134328358E-2</v>
      </c>
      <c r="R2977" s="182">
        <f t="shared" si="3631"/>
        <v>0.95522388059701491</v>
      </c>
      <c r="S2977" s="183">
        <f t="shared" si="3626"/>
        <v>2.9850746268656716E-2</v>
      </c>
      <c r="T2977" s="183">
        <f t="shared" si="3627"/>
        <v>0</v>
      </c>
      <c r="U2977" s="184">
        <f t="shared" si="3628"/>
        <v>1</v>
      </c>
      <c r="V2977" s="386"/>
    </row>
    <row r="2978" spans="2:22" ht="15.75" hidden="1" x14ac:dyDescent="0.2">
      <c r="B2978" s="711">
        <v>46273</v>
      </c>
      <c r="C2978" s="711" t="s">
        <v>106</v>
      </c>
      <c r="D2978" s="711" t="s">
        <v>189</v>
      </c>
      <c r="E2978" s="711">
        <v>46273</v>
      </c>
      <c r="G2978" s="771"/>
      <c r="H2978" s="497" t="s">
        <v>180</v>
      </c>
      <c r="I2978" s="60" t="s">
        <v>106</v>
      </c>
      <c r="J2978" s="60">
        <v>37</v>
      </c>
      <c r="K2978" s="60">
        <v>29</v>
      </c>
      <c r="L2978" s="60">
        <v>4</v>
      </c>
      <c r="M2978" s="60">
        <v>0</v>
      </c>
      <c r="N2978" s="494">
        <v>0</v>
      </c>
      <c r="O2978" s="60">
        <v>0</v>
      </c>
      <c r="P2978" s="494">
        <v>0</v>
      </c>
      <c r="Q2978" s="182">
        <f t="shared" ref="Q2978" si="3633">(K2978+L2978)/J2978</f>
        <v>0.89189189189189189</v>
      </c>
      <c r="R2978" s="182">
        <f t="shared" ref="R2978" si="3634">N2978/J2978</f>
        <v>0</v>
      </c>
      <c r="S2978" s="183">
        <f t="shared" ref="S2978" si="3635">P2978/J2978</f>
        <v>0</v>
      </c>
      <c r="T2978" s="183">
        <f t="shared" ref="T2978" si="3636">O2978/J2978</f>
        <v>0</v>
      </c>
      <c r="U2978" s="184">
        <f t="shared" si="3628"/>
        <v>0.89189189189189189</v>
      </c>
      <c r="V2978" s="386"/>
    </row>
    <row r="2979" spans="2:22" ht="15.75" hidden="1" x14ac:dyDescent="0.2">
      <c r="B2979" s="711">
        <v>46273</v>
      </c>
      <c r="C2979" s="711" t="s">
        <v>106</v>
      </c>
      <c r="D2979" s="711" t="s">
        <v>189</v>
      </c>
      <c r="E2979" s="711">
        <v>46273</v>
      </c>
      <c r="G2979" s="772"/>
      <c r="H2979" s="497" t="s">
        <v>14</v>
      </c>
      <c r="I2979" s="60" t="s">
        <v>106</v>
      </c>
      <c r="J2979" s="60">
        <v>200</v>
      </c>
      <c r="K2979" s="60">
        <v>0</v>
      </c>
      <c r="L2979" s="60">
        <v>0</v>
      </c>
      <c r="M2979" s="60">
        <v>43</v>
      </c>
      <c r="N2979" s="494">
        <v>131</v>
      </c>
      <c r="O2979" s="60">
        <v>13</v>
      </c>
      <c r="P2979" s="494">
        <v>13</v>
      </c>
      <c r="Q2979" s="182">
        <f t="shared" si="3630"/>
        <v>0</v>
      </c>
      <c r="R2979" s="182">
        <f t="shared" si="3631"/>
        <v>0.65500000000000003</v>
      </c>
      <c r="S2979" s="183">
        <f t="shared" si="3626"/>
        <v>6.5000000000000002E-2</v>
      </c>
      <c r="T2979" s="183">
        <f t="shared" si="3627"/>
        <v>6.5000000000000002E-2</v>
      </c>
      <c r="U2979" s="184">
        <f t="shared" si="3628"/>
        <v>0.78499999999999992</v>
      </c>
      <c r="V2979" s="386"/>
    </row>
    <row r="2980" spans="2:22" ht="15.75" hidden="1" x14ac:dyDescent="0.2">
      <c r="B2980" s="711">
        <v>46273</v>
      </c>
      <c r="C2980" s="711" t="s">
        <v>106</v>
      </c>
      <c r="D2980" s="711" t="s">
        <v>189</v>
      </c>
      <c r="E2980" s="711">
        <v>46272</v>
      </c>
      <c r="G2980" s="775" t="s">
        <v>19</v>
      </c>
      <c r="H2980" s="776"/>
      <c r="I2980" s="777"/>
      <c r="J2980" s="190">
        <f t="shared" ref="J2980:P2980" si="3637">SUM(J2971:J2979)</f>
        <v>870</v>
      </c>
      <c r="K2980" s="190">
        <f t="shared" si="3637"/>
        <v>208</v>
      </c>
      <c r="L2980" s="190">
        <f t="shared" si="3637"/>
        <v>70</v>
      </c>
      <c r="M2980" s="190">
        <f t="shared" si="3637"/>
        <v>237</v>
      </c>
      <c r="N2980" s="190">
        <f t="shared" si="3637"/>
        <v>258</v>
      </c>
      <c r="O2980" s="190">
        <f t="shared" si="3637"/>
        <v>52</v>
      </c>
      <c r="P2980" s="190">
        <f t="shared" si="3637"/>
        <v>54</v>
      </c>
      <c r="Q2980" s="481">
        <f>(K2980+L2980)/J2980</f>
        <v>0.31954022988505748</v>
      </c>
      <c r="R2980" s="481">
        <f>N2980/J2980</f>
        <v>0.29655172413793102</v>
      </c>
      <c r="S2980" s="482">
        <f t="shared" si="3626"/>
        <v>6.2068965517241378E-2</v>
      </c>
      <c r="T2980" s="482">
        <f t="shared" si="3627"/>
        <v>5.9770114942528735E-2</v>
      </c>
      <c r="U2980" s="483">
        <f t="shared" si="3628"/>
        <v>0.73793103448275854</v>
      </c>
      <c r="V2980" s="479"/>
    </row>
    <row r="2981" spans="2:22" ht="15.75" hidden="1" x14ac:dyDescent="0.2">
      <c r="B2981" s="711">
        <v>46273</v>
      </c>
      <c r="C2981" s="711" t="s">
        <v>105</v>
      </c>
      <c r="D2981" s="711" t="s">
        <v>13</v>
      </c>
      <c r="E2981" s="711">
        <v>46273</v>
      </c>
      <c r="G2981" s="809">
        <v>46273</v>
      </c>
      <c r="H2981" s="497" t="s">
        <v>25</v>
      </c>
      <c r="I2981" s="60" t="s">
        <v>105</v>
      </c>
      <c r="J2981" s="60">
        <v>210</v>
      </c>
      <c r="K2981" s="60">
        <v>130</v>
      </c>
      <c r="L2981" s="60">
        <v>51</v>
      </c>
      <c r="M2981" s="60">
        <v>0</v>
      </c>
      <c r="N2981" s="494">
        <v>0</v>
      </c>
      <c r="O2981" s="60">
        <v>22</v>
      </c>
      <c r="P2981" s="494">
        <v>7</v>
      </c>
      <c r="Q2981" s="182">
        <f t="shared" ref="Q2981:Q2989" si="3638">(K2981+L2981)/J2981</f>
        <v>0.86190476190476195</v>
      </c>
      <c r="R2981" s="182">
        <f t="shared" ref="R2981:R2989" si="3639">N2981/J2981</f>
        <v>0</v>
      </c>
      <c r="S2981" s="183">
        <f t="shared" si="3626"/>
        <v>3.3333333333333333E-2</v>
      </c>
      <c r="T2981" s="183">
        <f t="shared" si="3627"/>
        <v>0.10476190476190476</v>
      </c>
      <c r="U2981" s="184">
        <f t="shared" si="3628"/>
        <v>1</v>
      </c>
      <c r="V2981" s="386"/>
    </row>
    <row r="2982" spans="2:22" ht="15.75" hidden="1" x14ac:dyDescent="0.2">
      <c r="B2982" s="711">
        <v>46273</v>
      </c>
      <c r="C2982" s="711" t="s">
        <v>105</v>
      </c>
      <c r="D2982" s="711" t="s">
        <v>13</v>
      </c>
      <c r="E2982" s="711">
        <v>46273</v>
      </c>
      <c r="G2982" s="810"/>
      <c r="H2982" s="497" t="s">
        <v>32</v>
      </c>
      <c r="I2982" s="60" t="s">
        <v>105</v>
      </c>
      <c r="J2982" s="60">
        <v>31</v>
      </c>
      <c r="K2982" s="60">
        <v>18</v>
      </c>
      <c r="L2982" s="60">
        <v>13</v>
      </c>
      <c r="M2982" s="60">
        <v>0</v>
      </c>
      <c r="N2982" s="494">
        <v>0</v>
      </c>
      <c r="O2982" s="60">
        <v>0</v>
      </c>
      <c r="P2982" s="494">
        <v>0</v>
      </c>
      <c r="Q2982" s="182">
        <f t="shared" si="3638"/>
        <v>1</v>
      </c>
      <c r="R2982" s="182">
        <f t="shared" si="3639"/>
        <v>0</v>
      </c>
      <c r="S2982" s="183">
        <f t="shared" si="3626"/>
        <v>0</v>
      </c>
      <c r="T2982" s="183">
        <f t="shared" si="3627"/>
        <v>0</v>
      </c>
      <c r="U2982" s="184">
        <f t="shared" si="3628"/>
        <v>1</v>
      </c>
      <c r="V2982" s="386"/>
    </row>
    <row r="2983" spans="2:22" ht="15.75" hidden="1" x14ac:dyDescent="0.2">
      <c r="B2983" s="711">
        <v>46273</v>
      </c>
      <c r="C2983" s="711" t="s">
        <v>105</v>
      </c>
      <c r="D2983" s="711" t="s">
        <v>13</v>
      </c>
      <c r="E2983" s="711">
        <v>46273</v>
      </c>
      <c r="G2983" s="811"/>
      <c r="H2983" s="497" t="s">
        <v>16</v>
      </c>
      <c r="I2983" s="60" t="s">
        <v>100</v>
      </c>
      <c r="J2983" s="60">
        <v>251</v>
      </c>
      <c r="K2983" s="60">
        <v>128</v>
      </c>
      <c r="L2983" s="60">
        <v>100</v>
      </c>
      <c r="M2983" s="60">
        <v>0</v>
      </c>
      <c r="N2983" s="494">
        <v>0</v>
      </c>
      <c r="O2983" s="60">
        <v>20</v>
      </c>
      <c r="P2983" s="494">
        <v>3</v>
      </c>
      <c r="Q2983" s="182">
        <f t="shared" si="3638"/>
        <v>0.9083665338645418</v>
      </c>
      <c r="R2983" s="182">
        <f t="shared" si="3639"/>
        <v>0</v>
      </c>
      <c r="S2983" s="183">
        <f t="shared" ref="S2983:S3000" si="3640">P2983/J2983</f>
        <v>1.1952191235059761E-2</v>
      </c>
      <c r="T2983" s="183">
        <f t="shared" ref="T2983:T3000" si="3641">O2983/J2983</f>
        <v>7.9681274900398405E-2</v>
      </c>
      <c r="U2983" s="184">
        <f t="shared" ref="U2983:U3000" si="3642">S2983+R2983+Q2983+T2983</f>
        <v>1</v>
      </c>
      <c r="V2983" s="386"/>
    </row>
    <row r="2984" spans="2:22" ht="15.75" hidden="1" x14ac:dyDescent="0.2">
      <c r="B2984" s="711">
        <v>46273</v>
      </c>
      <c r="C2984" s="711" t="s">
        <v>105</v>
      </c>
      <c r="D2984" s="711" t="s">
        <v>13</v>
      </c>
      <c r="E2984" s="711">
        <v>46274</v>
      </c>
      <c r="G2984" s="816">
        <v>46274</v>
      </c>
      <c r="H2984" s="497" t="s">
        <v>16</v>
      </c>
      <c r="I2984" s="60" t="s">
        <v>112</v>
      </c>
      <c r="J2984" s="60">
        <v>237</v>
      </c>
      <c r="K2984" s="60">
        <v>125</v>
      </c>
      <c r="L2984" s="60">
        <v>82</v>
      </c>
      <c r="M2984" s="60">
        <v>7</v>
      </c>
      <c r="N2984" s="494">
        <v>0</v>
      </c>
      <c r="O2984" s="60">
        <v>20</v>
      </c>
      <c r="P2984" s="494">
        <v>3</v>
      </c>
      <c r="Q2984" s="182">
        <f t="shared" si="3638"/>
        <v>0.87341772151898733</v>
      </c>
      <c r="R2984" s="182">
        <f t="shared" si="3639"/>
        <v>0</v>
      </c>
      <c r="S2984" s="183">
        <f t="shared" si="3640"/>
        <v>1.2658227848101266E-2</v>
      </c>
      <c r="T2984" s="183">
        <f t="shared" si="3641"/>
        <v>8.4388185654008435E-2</v>
      </c>
      <c r="U2984" s="184">
        <f t="shared" si="3642"/>
        <v>0.97046413502109696</v>
      </c>
      <c r="V2984" s="386"/>
    </row>
    <row r="2985" spans="2:22" ht="15.75" hidden="1" x14ac:dyDescent="0.2">
      <c r="B2985" s="711">
        <v>46273</v>
      </c>
      <c r="C2985" s="711" t="s">
        <v>105</v>
      </c>
      <c r="D2985" s="711" t="s">
        <v>13</v>
      </c>
      <c r="E2985" s="711">
        <v>46274</v>
      </c>
      <c r="G2985" s="819"/>
      <c r="H2985" s="497" t="s">
        <v>120</v>
      </c>
      <c r="I2985" s="60" t="s">
        <v>106</v>
      </c>
      <c r="J2985" s="60">
        <v>67</v>
      </c>
      <c r="K2985" s="60">
        <v>1</v>
      </c>
      <c r="L2985" s="60">
        <v>0</v>
      </c>
      <c r="M2985" s="60">
        <v>0</v>
      </c>
      <c r="N2985" s="494">
        <v>64</v>
      </c>
      <c r="O2985" s="60">
        <v>0</v>
      </c>
      <c r="P2985" s="494">
        <v>2</v>
      </c>
      <c r="Q2985" s="182">
        <f t="shared" si="3638"/>
        <v>1.4925373134328358E-2</v>
      </c>
      <c r="R2985" s="182">
        <f t="shared" si="3639"/>
        <v>0.95522388059701491</v>
      </c>
      <c r="S2985" s="183">
        <f t="shared" si="3640"/>
        <v>2.9850746268656716E-2</v>
      </c>
      <c r="T2985" s="183">
        <f t="shared" si="3641"/>
        <v>0</v>
      </c>
      <c r="U2985" s="184">
        <f t="shared" si="3642"/>
        <v>1</v>
      </c>
      <c r="V2985" s="386"/>
    </row>
    <row r="2986" spans="2:22" ht="15.75" hidden="1" x14ac:dyDescent="0.2">
      <c r="B2986" s="711">
        <v>46273</v>
      </c>
      <c r="C2986" s="711" t="s">
        <v>105</v>
      </c>
      <c r="D2986" s="711" t="s">
        <v>13</v>
      </c>
      <c r="E2986" s="711">
        <v>46274</v>
      </c>
      <c r="G2986" s="819"/>
      <c r="H2986" s="497" t="s">
        <v>17</v>
      </c>
      <c r="I2986" s="60" t="s">
        <v>105</v>
      </c>
      <c r="J2986" s="60">
        <v>141</v>
      </c>
      <c r="K2986" s="60">
        <v>0</v>
      </c>
      <c r="L2986" s="60">
        <v>0</v>
      </c>
      <c r="M2986" s="60">
        <v>92</v>
      </c>
      <c r="N2986" s="494">
        <v>19</v>
      </c>
      <c r="O2986" s="60">
        <v>27</v>
      </c>
      <c r="P2986" s="494">
        <v>3</v>
      </c>
      <c r="Q2986" s="182">
        <f t="shared" si="3638"/>
        <v>0</v>
      </c>
      <c r="R2986" s="182">
        <f t="shared" si="3639"/>
        <v>0.13475177304964539</v>
      </c>
      <c r="S2986" s="183">
        <f t="shared" si="3640"/>
        <v>2.1276595744680851E-2</v>
      </c>
      <c r="T2986" s="183">
        <f t="shared" si="3641"/>
        <v>0.19148936170212766</v>
      </c>
      <c r="U2986" s="184">
        <f t="shared" si="3642"/>
        <v>0.3475177304964539</v>
      </c>
      <c r="V2986" s="386"/>
    </row>
    <row r="2987" spans="2:22" ht="15.75" hidden="1" x14ac:dyDescent="0.2">
      <c r="B2987" s="711">
        <v>46273</v>
      </c>
      <c r="C2987" s="711" t="s">
        <v>105</v>
      </c>
      <c r="D2987" s="711" t="s">
        <v>13</v>
      </c>
      <c r="E2987" s="711">
        <v>46274</v>
      </c>
      <c r="G2987" s="819"/>
      <c r="H2987" s="497" t="s">
        <v>32</v>
      </c>
      <c r="I2987" s="60" t="s">
        <v>106</v>
      </c>
      <c r="J2987" s="60">
        <v>80</v>
      </c>
      <c r="K2987" s="60">
        <v>61</v>
      </c>
      <c r="L2987" s="60">
        <v>17</v>
      </c>
      <c r="M2987" s="60">
        <v>0</v>
      </c>
      <c r="N2987" s="494">
        <v>0</v>
      </c>
      <c r="O2987" s="60">
        <v>2</v>
      </c>
      <c r="P2987" s="494">
        <v>0</v>
      </c>
      <c r="Q2987" s="182">
        <f t="shared" si="3638"/>
        <v>0.97499999999999998</v>
      </c>
      <c r="R2987" s="182">
        <f t="shared" si="3639"/>
        <v>0</v>
      </c>
      <c r="S2987" s="183">
        <f t="shared" si="3640"/>
        <v>0</v>
      </c>
      <c r="T2987" s="183">
        <f t="shared" si="3641"/>
        <v>2.5000000000000001E-2</v>
      </c>
      <c r="U2987" s="184">
        <f t="shared" si="3642"/>
        <v>1</v>
      </c>
      <c r="V2987" s="386"/>
    </row>
    <row r="2988" spans="2:22" ht="15.75" hidden="1" x14ac:dyDescent="0.2">
      <c r="B2988" s="711">
        <v>46273</v>
      </c>
      <c r="C2988" s="711" t="s">
        <v>105</v>
      </c>
      <c r="D2988" s="711" t="s">
        <v>13</v>
      </c>
      <c r="E2988" s="711">
        <v>46274</v>
      </c>
      <c r="G2988" s="819"/>
      <c r="H2988" s="497" t="s">
        <v>118</v>
      </c>
      <c r="I2988" s="60" t="s">
        <v>105</v>
      </c>
      <c r="J2988" s="60">
        <v>225</v>
      </c>
      <c r="K2988" s="60">
        <v>0</v>
      </c>
      <c r="L2988" s="60">
        <v>0</v>
      </c>
      <c r="M2988" s="60">
        <v>189</v>
      </c>
      <c r="N2988" s="494">
        <v>0</v>
      </c>
      <c r="O2988" s="60">
        <v>17</v>
      </c>
      <c r="P2988" s="494">
        <v>19</v>
      </c>
      <c r="Q2988" s="182">
        <f t="shared" si="3638"/>
        <v>0</v>
      </c>
      <c r="R2988" s="182">
        <f t="shared" si="3639"/>
        <v>0</v>
      </c>
      <c r="S2988" s="183">
        <f t="shared" si="3640"/>
        <v>8.4444444444444447E-2</v>
      </c>
      <c r="T2988" s="183">
        <f t="shared" si="3641"/>
        <v>7.5555555555555556E-2</v>
      </c>
      <c r="U2988" s="184">
        <f t="shared" si="3642"/>
        <v>0.16</v>
      </c>
      <c r="V2988" s="386"/>
    </row>
    <row r="2989" spans="2:22" ht="15.75" hidden="1" x14ac:dyDescent="0.2">
      <c r="B2989" s="711">
        <v>46273</v>
      </c>
      <c r="C2989" s="711" t="s">
        <v>105</v>
      </c>
      <c r="D2989" s="711" t="s">
        <v>13</v>
      </c>
      <c r="E2989" s="711">
        <v>46274</v>
      </c>
      <c r="G2989" s="817"/>
      <c r="H2989" s="497" t="s">
        <v>14</v>
      </c>
      <c r="I2989" s="60" t="s">
        <v>106</v>
      </c>
      <c r="J2989" s="60">
        <v>200</v>
      </c>
      <c r="K2989" s="60">
        <f>200-74</f>
        <v>126</v>
      </c>
      <c r="L2989" s="60">
        <v>37</v>
      </c>
      <c r="M2989" s="60">
        <v>1</v>
      </c>
      <c r="N2989" s="494">
        <v>10</v>
      </c>
      <c r="O2989" s="60">
        <v>13</v>
      </c>
      <c r="P2989" s="494">
        <v>13</v>
      </c>
      <c r="Q2989" s="182">
        <f t="shared" si="3638"/>
        <v>0.81499999999999995</v>
      </c>
      <c r="R2989" s="182">
        <f t="shared" si="3639"/>
        <v>0.05</v>
      </c>
      <c r="S2989" s="183">
        <f t="shared" si="3640"/>
        <v>6.5000000000000002E-2</v>
      </c>
      <c r="T2989" s="183">
        <f t="shared" si="3641"/>
        <v>6.5000000000000002E-2</v>
      </c>
      <c r="U2989" s="184">
        <f t="shared" si="3642"/>
        <v>0.99499999999999988</v>
      </c>
      <c r="V2989" s="386"/>
    </row>
    <row r="2990" spans="2:22" ht="15.75" hidden="1" x14ac:dyDescent="0.2">
      <c r="B2990" s="711">
        <v>46273</v>
      </c>
      <c r="C2990" s="711" t="s">
        <v>105</v>
      </c>
      <c r="D2990" s="711" t="s">
        <v>13</v>
      </c>
      <c r="E2990" s="711">
        <v>46274</v>
      </c>
      <c r="G2990" s="775" t="s">
        <v>19</v>
      </c>
      <c r="H2990" s="776"/>
      <c r="I2990" s="777"/>
      <c r="J2990" s="190">
        <f t="shared" ref="J2990" si="3643">SUM(J2979:J2989)</f>
        <v>2512</v>
      </c>
      <c r="K2990" s="190">
        <f t="shared" ref="K2990" si="3644">SUM(K2979:K2989)</f>
        <v>797</v>
      </c>
      <c r="L2990" s="190">
        <f t="shared" ref="L2990" si="3645">SUM(L2979:L2989)</f>
        <v>370</v>
      </c>
      <c r="M2990" s="190">
        <f t="shared" ref="M2990" si="3646">SUM(M2979:M2989)</f>
        <v>569</v>
      </c>
      <c r="N2990" s="190">
        <f t="shared" ref="N2990" si="3647">SUM(N2979:N2989)</f>
        <v>482</v>
      </c>
      <c r="O2990" s="190">
        <f t="shared" ref="O2990" si="3648">SUM(O2979:O2989)</f>
        <v>186</v>
      </c>
      <c r="P2990" s="190">
        <f t="shared" ref="P2990" si="3649">SUM(P2979:P2989)</f>
        <v>117</v>
      </c>
      <c r="Q2990" s="481">
        <f>(K2990+L2990)/J2990</f>
        <v>0.46457006369426751</v>
      </c>
      <c r="R2990" s="481">
        <f>N2990/J2990</f>
        <v>0.19187898089171976</v>
      </c>
      <c r="S2990" s="482">
        <f t="shared" si="3640"/>
        <v>4.6576433121019105E-2</v>
      </c>
      <c r="T2990" s="482">
        <f t="shared" si="3641"/>
        <v>7.4044585987261144E-2</v>
      </c>
      <c r="U2990" s="483">
        <f t="shared" si="3642"/>
        <v>0.77707006369426757</v>
      </c>
      <c r="V2990" s="479"/>
    </row>
    <row r="2991" spans="2:22" ht="15.75" hidden="1" x14ac:dyDescent="0.2">
      <c r="B2991" s="711">
        <v>46274</v>
      </c>
      <c r="C2991" s="711" t="s">
        <v>106</v>
      </c>
      <c r="D2991" s="711" t="s">
        <v>189</v>
      </c>
      <c r="E2991" s="711">
        <v>46274</v>
      </c>
      <c r="G2991" s="778">
        <v>46274</v>
      </c>
      <c r="H2991" s="497" t="s">
        <v>16</v>
      </c>
      <c r="I2991" s="60" t="s">
        <v>112</v>
      </c>
      <c r="J2991" s="60">
        <f>SUM(K2991:P2991)</f>
        <v>91</v>
      </c>
      <c r="K2991" s="60">
        <v>48</v>
      </c>
      <c r="L2991" s="60">
        <v>21</v>
      </c>
      <c r="M2991" s="60">
        <v>0</v>
      </c>
      <c r="N2991" s="494">
        <v>0</v>
      </c>
      <c r="O2991" s="60">
        <v>20</v>
      </c>
      <c r="P2991" s="494">
        <v>2</v>
      </c>
      <c r="Q2991" s="182">
        <f t="shared" ref="Q2991:Q2999" si="3650">(K2991+L2991)/J2991</f>
        <v>0.75824175824175821</v>
      </c>
      <c r="R2991" s="182">
        <f t="shared" ref="R2991:R2999" si="3651">N2991/J2991</f>
        <v>0</v>
      </c>
      <c r="S2991" s="183">
        <f t="shared" si="3640"/>
        <v>2.197802197802198E-2</v>
      </c>
      <c r="T2991" s="183">
        <f t="shared" si="3641"/>
        <v>0.21978021978021978</v>
      </c>
      <c r="U2991" s="184">
        <f t="shared" si="3642"/>
        <v>1</v>
      </c>
      <c r="V2991" s="386"/>
    </row>
    <row r="2992" spans="2:22" ht="15.75" hidden="1" x14ac:dyDescent="0.2">
      <c r="B2992" s="711">
        <v>46274</v>
      </c>
      <c r="C2992" s="711" t="s">
        <v>106</v>
      </c>
      <c r="D2992" s="711" t="s">
        <v>189</v>
      </c>
      <c r="E2992" s="711">
        <v>46274</v>
      </c>
      <c r="G2992" s="786"/>
      <c r="H2992" s="497" t="s">
        <v>14</v>
      </c>
      <c r="I2992" s="60" t="s">
        <v>106</v>
      </c>
      <c r="J2992" s="60">
        <f t="shared" ref="J2992:J2995" si="3652">SUM(K2992:P2992)</f>
        <v>63</v>
      </c>
      <c r="K2992" s="60">
        <v>43</v>
      </c>
      <c r="L2992" s="60">
        <v>16</v>
      </c>
      <c r="M2992" s="60">
        <v>0</v>
      </c>
      <c r="N2992" s="494">
        <v>0</v>
      </c>
      <c r="O2992" s="60">
        <v>0</v>
      </c>
      <c r="P2992" s="494">
        <v>4</v>
      </c>
      <c r="Q2992" s="182">
        <f t="shared" si="3650"/>
        <v>0.93650793650793651</v>
      </c>
      <c r="R2992" s="182">
        <f t="shared" si="3651"/>
        <v>0</v>
      </c>
      <c r="S2992" s="183">
        <f t="shared" si="3640"/>
        <v>6.3492063492063489E-2</v>
      </c>
      <c r="T2992" s="183">
        <f t="shared" si="3641"/>
        <v>0</v>
      </c>
      <c r="U2992" s="184">
        <f t="shared" si="3642"/>
        <v>1</v>
      </c>
      <c r="V2992" s="386"/>
    </row>
    <row r="2993" spans="2:22" ht="15.75" hidden="1" x14ac:dyDescent="0.2">
      <c r="B2993" s="711">
        <v>46274</v>
      </c>
      <c r="C2993" s="711" t="s">
        <v>106</v>
      </c>
      <c r="D2993" s="711" t="s">
        <v>189</v>
      </c>
      <c r="E2993" s="711">
        <v>46274</v>
      </c>
      <c r="G2993" s="786"/>
      <c r="H2993" s="497" t="s">
        <v>17</v>
      </c>
      <c r="I2993" s="60" t="s">
        <v>105</v>
      </c>
      <c r="J2993" s="60">
        <v>143</v>
      </c>
      <c r="K2993" s="60">
        <v>97</v>
      </c>
      <c r="L2993" s="60">
        <v>15</v>
      </c>
      <c r="M2993" s="60">
        <v>0</v>
      </c>
      <c r="N2993" s="494">
        <v>0</v>
      </c>
      <c r="O2993" s="60">
        <v>27</v>
      </c>
      <c r="P2993" s="494">
        <v>3</v>
      </c>
      <c r="Q2993" s="182">
        <f t="shared" si="3650"/>
        <v>0.78321678321678323</v>
      </c>
      <c r="R2993" s="182">
        <f t="shared" si="3651"/>
        <v>0</v>
      </c>
      <c r="S2993" s="183">
        <f t="shared" si="3640"/>
        <v>2.097902097902098E-2</v>
      </c>
      <c r="T2993" s="183">
        <f t="shared" si="3641"/>
        <v>0.1888111888111888</v>
      </c>
      <c r="U2993" s="184">
        <f t="shared" si="3642"/>
        <v>0.99300699300699291</v>
      </c>
      <c r="V2993" s="386"/>
    </row>
    <row r="2994" spans="2:22" ht="15.75" hidden="1" x14ac:dyDescent="0.2">
      <c r="B2994" s="711">
        <v>46274</v>
      </c>
      <c r="C2994" s="711" t="s">
        <v>106</v>
      </c>
      <c r="D2994" s="711" t="s">
        <v>189</v>
      </c>
      <c r="E2994" s="711">
        <v>46274</v>
      </c>
      <c r="G2994" s="786"/>
      <c r="H2994" s="497" t="s">
        <v>120</v>
      </c>
      <c r="I2994" s="60" t="s">
        <v>106</v>
      </c>
      <c r="J2994" s="60">
        <v>66</v>
      </c>
      <c r="K2994" s="60">
        <v>64</v>
      </c>
      <c r="L2994" s="60">
        <v>0</v>
      </c>
      <c r="M2994" s="60">
        <v>0</v>
      </c>
      <c r="N2994" s="494">
        <v>0</v>
      </c>
      <c r="O2994" s="60">
        <v>0</v>
      </c>
      <c r="P2994" s="494">
        <v>2</v>
      </c>
      <c r="Q2994" s="182">
        <f t="shared" ref="Q2994" si="3653">(K2994+L2994)/J2994</f>
        <v>0.96969696969696972</v>
      </c>
      <c r="R2994" s="182">
        <f t="shared" ref="R2994" si="3654">N2994/J2994</f>
        <v>0</v>
      </c>
      <c r="S2994" s="183">
        <f t="shared" ref="S2994" si="3655">P2994/J2994</f>
        <v>3.0303030303030304E-2</v>
      </c>
      <c r="T2994" s="183">
        <f t="shared" ref="T2994" si="3656">O2994/J2994</f>
        <v>0</v>
      </c>
      <c r="U2994" s="184">
        <f t="shared" ref="U2994" si="3657">S2994+R2994+Q2994+T2994</f>
        <v>1</v>
      </c>
      <c r="V2994" s="386"/>
    </row>
    <row r="2995" spans="2:22" ht="15.75" hidden="1" x14ac:dyDescent="0.2">
      <c r="B2995" s="711">
        <v>46274</v>
      </c>
      <c r="C2995" s="711" t="s">
        <v>106</v>
      </c>
      <c r="D2995" s="711" t="s">
        <v>189</v>
      </c>
      <c r="E2995" s="711">
        <v>46274</v>
      </c>
      <c r="G2995" s="786"/>
      <c r="H2995" s="497" t="s">
        <v>25</v>
      </c>
      <c r="I2995" s="60" t="s">
        <v>106</v>
      </c>
      <c r="J2995" s="60">
        <f t="shared" si="3652"/>
        <v>5</v>
      </c>
      <c r="K2995" s="60">
        <v>3</v>
      </c>
      <c r="L2995" s="60">
        <v>2</v>
      </c>
      <c r="M2995" s="60">
        <v>0</v>
      </c>
      <c r="N2995" s="494">
        <v>0</v>
      </c>
      <c r="O2995" s="60">
        <v>0</v>
      </c>
      <c r="P2995" s="494">
        <v>0</v>
      </c>
      <c r="Q2995" s="182">
        <f t="shared" si="3650"/>
        <v>1</v>
      </c>
      <c r="R2995" s="182">
        <f t="shared" si="3651"/>
        <v>0</v>
      </c>
      <c r="S2995" s="183">
        <f t="shared" si="3640"/>
        <v>0</v>
      </c>
      <c r="T2995" s="183">
        <f t="shared" si="3641"/>
        <v>0</v>
      </c>
      <c r="U2995" s="184">
        <f t="shared" si="3642"/>
        <v>1</v>
      </c>
      <c r="V2995" s="386"/>
    </row>
    <row r="2996" spans="2:22" ht="15.75" hidden="1" x14ac:dyDescent="0.2">
      <c r="B2996" s="711">
        <v>46274</v>
      </c>
      <c r="C2996" s="711" t="s">
        <v>106</v>
      </c>
      <c r="D2996" s="711" t="s">
        <v>189</v>
      </c>
      <c r="E2996" s="711">
        <v>46274</v>
      </c>
      <c r="G2996" s="786"/>
      <c r="H2996" s="497" t="s">
        <v>118</v>
      </c>
      <c r="I2996" s="60" t="s">
        <v>105</v>
      </c>
      <c r="J2996" s="60">
        <v>225</v>
      </c>
      <c r="K2996" s="60">
        <v>20</v>
      </c>
      <c r="L2996" s="60">
        <v>1</v>
      </c>
      <c r="M2996" s="60">
        <v>8</v>
      </c>
      <c r="N2996" s="494">
        <v>160</v>
      </c>
      <c r="O2996" s="60">
        <v>17</v>
      </c>
      <c r="P2996" s="494">
        <v>19</v>
      </c>
      <c r="Q2996" s="182">
        <f t="shared" ref="Q2996" si="3658">(K2996+L2996)/J2996</f>
        <v>9.3333333333333338E-2</v>
      </c>
      <c r="R2996" s="182">
        <f t="shared" ref="R2996" si="3659">N2996/J2996</f>
        <v>0.71111111111111114</v>
      </c>
      <c r="S2996" s="183">
        <f t="shared" ref="S2996" si="3660">P2996/J2996</f>
        <v>8.4444444444444447E-2</v>
      </c>
      <c r="T2996" s="183">
        <f t="shared" ref="T2996" si="3661">O2996/J2996</f>
        <v>7.5555555555555556E-2</v>
      </c>
      <c r="U2996" s="184">
        <f t="shared" ref="U2996" si="3662">S2996+R2996+Q2996+T2996</f>
        <v>0.96444444444444455</v>
      </c>
      <c r="V2996" s="386"/>
    </row>
    <row r="2997" spans="2:22" ht="15.75" hidden="1" x14ac:dyDescent="0.2">
      <c r="B2997" s="711">
        <v>46274</v>
      </c>
      <c r="C2997" s="711" t="s">
        <v>106</v>
      </c>
      <c r="D2997" s="711" t="s">
        <v>189</v>
      </c>
      <c r="E2997" s="711">
        <v>46274</v>
      </c>
      <c r="G2997" s="779"/>
      <c r="H2997" s="497" t="s">
        <v>32</v>
      </c>
      <c r="I2997" s="60" t="s">
        <v>105</v>
      </c>
      <c r="J2997" s="60">
        <v>47</v>
      </c>
      <c r="K2997" s="60">
        <v>0</v>
      </c>
      <c r="L2997" s="60">
        <v>0</v>
      </c>
      <c r="M2997" s="60">
        <v>44</v>
      </c>
      <c r="N2997" s="494">
        <v>0</v>
      </c>
      <c r="O2997" s="60">
        <v>2</v>
      </c>
      <c r="P2997" s="494">
        <v>0</v>
      </c>
      <c r="Q2997" s="182">
        <f t="shared" si="3650"/>
        <v>0</v>
      </c>
      <c r="R2997" s="182">
        <f t="shared" si="3651"/>
        <v>0</v>
      </c>
      <c r="S2997" s="183">
        <f t="shared" si="3640"/>
        <v>0</v>
      </c>
      <c r="T2997" s="183">
        <f t="shared" si="3641"/>
        <v>4.2553191489361701E-2</v>
      </c>
      <c r="U2997" s="184">
        <f t="shared" si="3642"/>
        <v>4.2553191489361701E-2</v>
      </c>
      <c r="V2997" s="386"/>
    </row>
    <row r="2998" spans="2:22" ht="15.75" hidden="1" x14ac:dyDescent="0.2">
      <c r="B2998" s="711">
        <v>46274</v>
      </c>
      <c r="C2998" s="711" t="s">
        <v>106</v>
      </c>
      <c r="D2998" s="711" t="s">
        <v>189</v>
      </c>
      <c r="E2998" s="711">
        <v>46273</v>
      </c>
      <c r="G2998" s="770">
        <v>46275</v>
      </c>
      <c r="H2998" s="497" t="s">
        <v>16</v>
      </c>
      <c r="I2998" s="60" t="s">
        <v>112</v>
      </c>
      <c r="J2998" s="60">
        <v>212</v>
      </c>
      <c r="K2998" s="60">
        <v>0</v>
      </c>
      <c r="L2998" s="60">
        <v>0</v>
      </c>
      <c r="M2998" s="60">
        <v>76</v>
      </c>
      <c r="N2998" s="494">
        <v>116</v>
      </c>
      <c r="O2998" s="60">
        <v>20</v>
      </c>
      <c r="P2998" s="494">
        <v>1</v>
      </c>
      <c r="Q2998" s="182">
        <f t="shared" si="3650"/>
        <v>0</v>
      </c>
      <c r="R2998" s="182">
        <f t="shared" si="3651"/>
        <v>0.54716981132075471</v>
      </c>
      <c r="S2998" s="183">
        <f t="shared" si="3640"/>
        <v>4.7169811320754715E-3</v>
      </c>
      <c r="T2998" s="183">
        <f t="shared" si="3641"/>
        <v>9.4339622641509441E-2</v>
      </c>
      <c r="U2998" s="184">
        <f t="shared" si="3642"/>
        <v>0.64622641509433965</v>
      </c>
      <c r="V2998" s="386"/>
    </row>
    <row r="2999" spans="2:22" ht="15.75" hidden="1" x14ac:dyDescent="0.2">
      <c r="B2999" s="711">
        <v>46274</v>
      </c>
      <c r="C2999" s="711" t="s">
        <v>106</v>
      </c>
      <c r="D2999" s="711" t="s">
        <v>189</v>
      </c>
      <c r="E2999" s="711">
        <v>46273</v>
      </c>
      <c r="G2999" s="772"/>
      <c r="H2999" s="497" t="s">
        <v>180</v>
      </c>
      <c r="I2999" s="60" t="s">
        <v>106</v>
      </c>
      <c r="J2999" s="60">
        <v>54</v>
      </c>
      <c r="K2999" s="60">
        <v>0</v>
      </c>
      <c r="L2999" s="60">
        <v>0</v>
      </c>
      <c r="M2999" s="60">
        <v>0</v>
      </c>
      <c r="N2999" s="494">
        <v>51</v>
      </c>
      <c r="O2999" s="60">
        <v>0</v>
      </c>
      <c r="P2999" s="494">
        <v>3</v>
      </c>
      <c r="Q2999" s="182">
        <f t="shared" si="3650"/>
        <v>0</v>
      </c>
      <c r="R2999" s="182">
        <f t="shared" si="3651"/>
        <v>0.94444444444444442</v>
      </c>
      <c r="S2999" s="183">
        <f t="shared" si="3640"/>
        <v>5.5555555555555552E-2</v>
      </c>
      <c r="T2999" s="183">
        <f t="shared" si="3641"/>
        <v>0</v>
      </c>
      <c r="U2999" s="184">
        <f t="shared" si="3642"/>
        <v>1</v>
      </c>
      <c r="V2999" s="386"/>
    </row>
    <row r="3000" spans="2:22" ht="15.75" hidden="1" x14ac:dyDescent="0.2">
      <c r="B3000" s="711">
        <v>46274</v>
      </c>
      <c r="C3000" s="711" t="s">
        <v>106</v>
      </c>
      <c r="D3000" s="711" t="s">
        <v>189</v>
      </c>
      <c r="E3000" s="711">
        <v>46272</v>
      </c>
      <c r="G3000" s="775" t="s">
        <v>19</v>
      </c>
      <c r="H3000" s="776"/>
      <c r="I3000" s="777"/>
      <c r="J3000" s="190">
        <f t="shared" ref="J3000:P3000" si="3663">SUM(J2991:J2999)</f>
        <v>906</v>
      </c>
      <c r="K3000" s="190">
        <f t="shared" si="3663"/>
        <v>275</v>
      </c>
      <c r="L3000" s="190">
        <f t="shared" si="3663"/>
        <v>55</v>
      </c>
      <c r="M3000" s="190">
        <f t="shared" si="3663"/>
        <v>128</v>
      </c>
      <c r="N3000" s="190">
        <f t="shared" si="3663"/>
        <v>327</v>
      </c>
      <c r="O3000" s="190">
        <f t="shared" si="3663"/>
        <v>86</v>
      </c>
      <c r="P3000" s="190">
        <f t="shared" si="3663"/>
        <v>34</v>
      </c>
      <c r="Q3000" s="481">
        <f>(K3000+L3000)/J3000</f>
        <v>0.36423841059602646</v>
      </c>
      <c r="R3000" s="481">
        <f>N3000/J3000</f>
        <v>0.36092715231788081</v>
      </c>
      <c r="S3000" s="482">
        <f t="shared" si="3640"/>
        <v>3.7527593818984545E-2</v>
      </c>
      <c r="T3000" s="482">
        <f t="shared" si="3641"/>
        <v>9.4922737306843266E-2</v>
      </c>
      <c r="U3000" s="483">
        <f t="shared" si="3642"/>
        <v>0.85761589403973515</v>
      </c>
      <c r="V3000" s="479"/>
    </row>
    <row r="3001" spans="2:22" ht="15.75" hidden="1" x14ac:dyDescent="0.2">
      <c r="B3001" s="711">
        <v>46274</v>
      </c>
      <c r="C3001" s="711" t="s">
        <v>105</v>
      </c>
      <c r="D3001" s="711" t="s">
        <v>13</v>
      </c>
      <c r="E3001" s="711">
        <v>46274</v>
      </c>
      <c r="G3001" s="816">
        <v>46274</v>
      </c>
      <c r="H3001" s="497" t="s">
        <v>16</v>
      </c>
      <c r="I3001" s="60" t="s">
        <v>112</v>
      </c>
      <c r="J3001" s="60">
        <v>237</v>
      </c>
      <c r="K3001" s="60">
        <v>125</v>
      </c>
      <c r="L3001" s="60">
        <v>89</v>
      </c>
      <c r="M3001" s="60">
        <v>0</v>
      </c>
      <c r="N3001" s="494">
        <v>0</v>
      </c>
      <c r="O3001" s="60">
        <v>20</v>
      </c>
      <c r="P3001" s="494">
        <v>3</v>
      </c>
      <c r="Q3001" s="182">
        <f t="shared" ref="Q3001:Q3008" si="3664">(K3001+L3001)/J3001</f>
        <v>0.90295358649789026</v>
      </c>
      <c r="R3001" s="182">
        <f t="shared" ref="R3001:R3008" si="3665">N3001/J3001</f>
        <v>0</v>
      </c>
      <c r="S3001" s="183">
        <f t="shared" ref="S3001:S3017" si="3666">P3001/J3001</f>
        <v>1.2658227848101266E-2</v>
      </c>
      <c r="T3001" s="183">
        <f t="shared" ref="T3001:T3017" si="3667">O3001/J3001</f>
        <v>8.4388185654008435E-2</v>
      </c>
      <c r="U3001" s="184">
        <f t="shared" ref="U3001:U3017" si="3668">S3001+R3001+Q3001+T3001</f>
        <v>0.99999999999999989</v>
      </c>
      <c r="V3001" s="386"/>
    </row>
    <row r="3002" spans="2:22" ht="15.75" hidden="1" x14ac:dyDescent="0.2">
      <c r="B3002" s="711">
        <v>46274</v>
      </c>
      <c r="C3002" s="711" t="s">
        <v>105</v>
      </c>
      <c r="D3002" s="711" t="s">
        <v>13</v>
      </c>
      <c r="E3002" s="711">
        <v>46274</v>
      </c>
      <c r="G3002" s="819"/>
      <c r="H3002" s="497" t="s">
        <v>17</v>
      </c>
      <c r="I3002" s="60" t="s">
        <v>105</v>
      </c>
      <c r="J3002" s="60">
        <v>141</v>
      </c>
      <c r="K3002" s="60">
        <v>97</v>
      </c>
      <c r="L3002" s="60">
        <v>13</v>
      </c>
      <c r="M3002" s="60">
        <v>0</v>
      </c>
      <c r="N3002" s="494">
        <v>0</v>
      </c>
      <c r="O3002" s="60">
        <v>27</v>
      </c>
      <c r="P3002" s="494">
        <v>4</v>
      </c>
      <c r="Q3002" s="182">
        <f t="shared" si="3664"/>
        <v>0.78014184397163122</v>
      </c>
      <c r="R3002" s="182">
        <f t="shared" si="3665"/>
        <v>0</v>
      </c>
      <c r="S3002" s="183">
        <f t="shared" si="3666"/>
        <v>2.8368794326241134E-2</v>
      </c>
      <c r="T3002" s="183">
        <f t="shared" si="3667"/>
        <v>0.19148936170212766</v>
      </c>
      <c r="U3002" s="184">
        <f t="shared" si="3668"/>
        <v>1</v>
      </c>
      <c r="V3002" s="386"/>
    </row>
    <row r="3003" spans="2:22" ht="15.75" hidden="1" x14ac:dyDescent="0.2">
      <c r="B3003" s="711">
        <v>46274</v>
      </c>
      <c r="C3003" s="711" t="s">
        <v>105</v>
      </c>
      <c r="D3003" s="711" t="s">
        <v>13</v>
      </c>
      <c r="E3003" s="711">
        <v>46274</v>
      </c>
      <c r="G3003" s="819"/>
      <c r="H3003" s="497" t="s">
        <v>32</v>
      </c>
      <c r="I3003" s="60" t="s">
        <v>105</v>
      </c>
      <c r="J3003" s="60">
        <v>50</v>
      </c>
      <c r="K3003" s="60">
        <v>24</v>
      </c>
      <c r="L3003" s="60">
        <v>20</v>
      </c>
      <c r="M3003" s="60">
        <v>0</v>
      </c>
      <c r="N3003" s="494">
        <v>0</v>
      </c>
      <c r="O3003" s="60">
        <v>2</v>
      </c>
      <c r="P3003" s="494">
        <v>4</v>
      </c>
      <c r="Q3003" s="182">
        <f t="shared" si="3664"/>
        <v>0.88</v>
      </c>
      <c r="R3003" s="182">
        <f t="shared" si="3665"/>
        <v>0</v>
      </c>
      <c r="S3003" s="183">
        <f t="shared" si="3666"/>
        <v>0.08</v>
      </c>
      <c r="T3003" s="183">
        <f t="shared" si="3667"/>
        <v>0.04</v>
      </c>
      <c r="U3003" s="184">
        <f t="shared" si="3668"/>
        <v>1</v>
      </c>
      <c r="V3003" s="386"/>
    </row>
    <row r="3004" spans="2:22" ht="15.75" hidden="1" x14ac:dyDescent="0.2">
      <c r="B3004" s="711">
        <v>46274</v>
      </c>
      <c r="C3004" s="711" t="s">
        <v>105</v>
      </c>
      <c r="D3004" s="711" t="s">
        <v>13</v>
      </c>
      <c r="E3004" s="711">
        <v>46274</v>
      </c>
      <c r="G3004" s="817"/>
      <c r="H3004" s="497" t="s">
        <v>118</v>
      </c>
      <c r="I3004" s="60" t="s">
        <v>105</v>
      </c>
      <c r="J3004" s="60">
        <v>225</v>
      </c>
      <c r="K3004" s="60">
        <v>179</v>
      </c>
      <c r="L3004" s="60">
        <v>24</v>
      </c>
      <c r="M3004" s="60">
        <v>0</v>
      </c>
      <c r="N3004" s="494">
        <v>0</v>
      </c>
      <c r="O3004" s="60">
        <v>17</v>
      </c>
      <c r="P3004" s="494">
        <v>5</v>
      </c>
      <c r="Q3004" s="182">
        <f t="shared" si="3664"/>
        <v>0.90222222222222226</v>
      </c>
      <c r="R3004" s="182">
        <f t="shared" si="3665"/>
        <v>0</v>
      </c>
      <c r="S3004" s="183">
        <f t="shared" si="3666"/>
        <v>2.2222222222222223E-2</v>
      </c>
      <c r="T3004" s="183">
        <f t="shared" si="3667"/>
        <v>7.5555555555555556E-2</v>
      </c>
      <c r="U3004" s="184">
        <f t="shared" si="3668"/>
        <v>1</v>
      </c>
      <c r="V3004" s="386"/>
    </row>
    <row r="3005" spans="2:22" ht="15.75" hidden="1" x14ac:dyDescent="0.2">
      <c r="B3005" s="711">
        <v>46274</v>
      </c>
      <c r="C3005" s="711" t="s">
        <v>105</v>
      </c>
      <c r="D3005" s="711" t="s">
        <v>13</v>
      </c>
      <c r="E3005" s="711">
        <v>46275</v>
      </c>
      <c r="G3005" s="770">
        <v>46275</v>
      </c>
      <c r="H3005" s="497" t="s">
        <v>16</v>
      </c>
      <c r="I3005" s="60" t="s">
        <v>112</v>
      </c>
      <c r="J3005" s="60">
        <v>212</v>
      </c>
      <c r="K3005" s="60">
        <v>100</v>
      </c>
      <c r="L3005" s="60">
        <v>52</v>
      </c>
      <c r="M3005" s="60">
        <v>11</v>
      </c>
      <c r="N3005" s="494">
        <v>28</v>
      </c>
      <c r="O3005" s="60">
        <v>20</v>
      </c>
      <c r="P3005" s="494">
        <v>1</v>
      </c>
      <c r="Q3005" s="182">
        <f t="shared" si="3664"/>
        <v>0.71698113207547165</v>
      </c>
      <c r="R3005" s="182">
        <f t="shared" si="3665"/>
        <v>0.13207547169811321</v>
      </c>
      <c r="S3005" s="183">
        <f t="shared" si="3666"/>
        <v>4.7169811320754715E-3</v>
      </c>
      <c r="T3005" s="183">
        <f t="shared" si="3667"/>
        <v>9.4339622641509441E-2</v>
      </c>
      <c r="U3005" s="184">
        <f t="shared" si="3668"/>
        <v>0.94811320754716977</v>
      </c>
      <c r="V3005" s="386"/>
    </row>
    <row r="3006" spans="2:22" ht="15.75" hidden="1" x14ac:dyDescent="0.2">
      <c r="B3006" s="711">
        <v>46274</v>
      </c>
      <c r="C3006" s="711" t="s">
        <v>105</v>
      </c>
      <c r="D3006" s="711" t="s">
        <v>13</v>
      </c>
      <c r="E3006" s="711">
        <v>46275</v>
      </c>
      <c r="G3006" s="771"/>
      <c r="H3006" s="497" t="s">
        <v>17</v>
      </c>
      <c r="I3006" s="60" t="s">
        <v>106</v>
      </c>
      <c r="J3006" s="60">
        <v>199</v>
      </c>
      <c r="K3006" s="60">
        <v>124</v>
      </c>
      <c r="L3006" s="60">
        <v>26</v>
      </c>
      <c r="M3006" s="60">
        <v>7</v>
      </c>
      <c r="N3006" s="494">
        <v>0</v>
      </c>
      <c r="O3006" s="60">
        <v>32</v>
      </c>
      <c r="P3006" s="494">
        <v>10</v>
      </c>
      <c r="Q3006" s="182">
        <f t="shared" ref="Q3006:Q3007" si="3669">(K3006+L3006)/J3006</f>
        <v>0.75376884422110557</v>
      </c>
      <c r="R3006" s="182">
        <f t="shared" ref="R3006:R3007" si="3670">N3006/J3006</f>
        <v>0</v>
      </c>
      <c r="S3006" s="183">
        <f t="shared" ref="S3006:S3007" si="3671">P3006/J3006</f>
        <v>5.0251256281407038E-2</v>
      </c>
      <c r="T3006" s="183">
        <f t="shared" ref="T3006:T3007" si="3672">O3006/J3006</f>
        <v>0.16080402010050251</v>
      </c>
      <c r="U3006" s="184">
        <f t="shared" ref="U3006:U3007" si="3673">S3006+R3006+Q3006+T3006</f>
        <v>0.96482412060301515</v>
      </c>
      <c r="V3006" s="386"/>
    </row>
    <row r="3007" spans="2:22" ht="15.75" hidden="1" x14ac:dyDescent="0.2">
      <c r="B3007" s="711">
        <v>46274</v>
      </c>
      <c r="C3007" s="711" t="s">
        <v>105</v>
      </c>
      <c r="D3007" s="711" t="s">
        <v>13</v>
      </c>
      <c r="E3007" s="711">
        <v>46275</v>
      </c>
      <c r="G3007" s="771"/>
      <c r="H3007" s="497" t="s">
        <v>118</v>
      </c>
      <c r="I3007" s="60" t="s">
        <v>105</v>
      </c>
      <c r="J3007" s="60">
        <v>241</v>
      </c>
      <c r="K3007" s="60">
        <v>15</v>
      </c>
      <c r="L3007" s="60">
        <v>6</v>
      </c>
      <c r="M3007" s="60">
        <v>143</v>
      </c>
      <c r="N3007" s="494">
        <v>46</v>
      </c>
      <c r="O3007" s="60">
        <v>18</v>
      </c>
      <c r="P3007" s="494">
        <v>13</v>
      </c>
      <c r="Q3007" s="182">
        <f t="shared" si="3669"/>
        <v>8.7136929460580909E-2</v>
      </c>
      <c r="R3007" s="182">
        <f t="shared" si="3670"/>
        <v>0.1908713692946058</v>
      </c>
      <c r="S3007" s="183">
        <f t="shared" si="3671"/>
        <v>5.3941908713692949E-2</v>
      </c>
      <c r="T3007" s="183">
        <f t="shared" si="3672"/>
        <v>7.4688796680497924E-2</v>
      </c>
      <c r="U3007" s="184">
        <f t="shared" si="3673"/>
        <v>0.40663900414937759</v>
      </c>
      <c r="V3007" s="386"/>
    </row>
    <row r="3008" spans="2:22" ht="15.75" hidden="1" x14ac:dyDescent="0.2">
      <c r="B3008" s="711">
        <v>46274</v>
      </c>
      <c r="C3008" s="711" t="s">
        <v>105</v>
      </c>
      <c r="D3008" s="711" t="s">
        <v>13</v>
      </c>
      <c r="E3008" s="711">
        <v>46275</v>
      </c>
      <c r="G3008" s="772"/>
      <c r="H3008" s="497" t="s">
        <v>180</v>
      </c>
      <c r="I3008" s="60" t="s">
        <v>106</v>
      </c>
      <c r="J3008" s="60">
        <v>54</v>
      </c>
      <c r="K3008" s="60">
        <v>0</v>
      </c>
      <c r="L3008" s="60">
        <v>0</v>
      </c>
      <c r="M3008" s="60">
        <v>0</v>
      </c>
      <c r="N3008" s="494">
        <v>51</v>
      </c>
      <c r="O3008" s="60">
        <v>0</v>
      </c>
      <c r="P3008" s="494">
        <v>3</v>
      </c>
      <c r="Q3008" s="182">
        <f t="shared" si="3664"/>
        <v>0</v>
      </c>
      <c r="R3008" s="182">
        <f t="shared" si="3665"/>
        <v>0.94444444444444442</v>
      </c>
      <c r="S3008" s="183">
        <f t="shared" si="3666"/>
        <v>5.5555555555555552E-2</v>
      </c>
      <c r="T3008" s="183">
        <f t="shared" si="3667"/>
        <v>0</v>
      </c>
      <c r="U3008" s="184">
        <f t="shared" si="3668"/>
        <v>1</v>
      </c>
      <c r="V3008" s="386"/>
    </row>
    <row r="3009" spans="2:22" ht="15.75" hidden="1" x14ac:dyDescent="0.2">
      <c r="B3009" s="711">
        <v>46274</v>
      </c>
      <c r="C3009" s="711" t="s">
        <v>105</v>
      </c>
      <c r="D3009" s="711" t="s">
        <v>13</v>
      </c>
      <c r="E3009" s="711">
        <v>46275</v>
      </c>
      <c r="G3009" s="775" t="s">
        <v>19</v>
      </c>
      <c r="H3009" s="776"/>
      <c r="I3009" s="777"/>
      <c r="J3009" s="190">
        <f t="shared" ref="J3009:P3009" si="3674">SUM(J3000:J3008)</f>
        <v>2265</v>
      </c>
      <c r="K3009" s="190">
        <f t="shared" si="3674"/>
        <v>939</v>
      </c>
      <c r="L3009" s="190">
        <f t="shared" si="3674"/>
        <v>285</v>
      </c>
      <c r="M3009" s="190">
        <f t="shared" si="3674"/>
        <v>289</v>
      </c>
      <c r="N3009" s="190">
        <f t="shared" si="3674"/>
        <v>452</v>
      </c>
      <c r="O3009" s="190">
        <f t="shared" si="3674"/>
        <v>222</v>
      </c>
      <c r="P3009" s="190">
        <f t="shared" si="3674"/>
        <v>77</v>
      </c>
      <c r="Q3009" s="481">
        <f>(K3009+L3009)/J3009</f>
        <v>0.54039735099337749</v>
      </c>
      <c r="R3009" s="481">
        <f>N3009/J3009</f>
        <v>0.19955849889624724</v>
      </c>
      <c r="S3009" s="482">
        <f t="shared" si="3666"/>
        <v>3.399558498896247E-2</v>
      </c>
      <c r="T3009" s="482">
        <f t="shared" si="3667"/>
        <v>9.8013245033112581E-2</v>
      </c>
      <c r="U3009" s="483">
        <f t="shared" si="3668"/>
        <v>0.87196467991169979</v>
      </c>
      <c r="V3009" s="479"/>
    </row>
    <row r="3010" spans="2:22" ht="15.75" hidden="1" x14ac:dyDescent="0.2">
      <c r="B3010" s="711">
        <v>46275</v>
      </c>
      <c r="C3010" s="711" t="s">
        <v>106</v>
      </c>
      <c r="D3010" s="711" t="s">
        <v>189</v>
      </c>
      <c r="E3010" s="711">
        <v>46275</v>
      </c>
      <c r="G3010" s="778">
        <v>46275</v>
      </c>
      <c r="H3010" s="497" t="s">
        <v>16</v>
      </c>
      <c r="I3010" s="60" t="s">
        <v>100</v>
      </c>
      <c r="J3010" s="60">
        <f>SUM(K3010:P3010)</f>
        <v>70</v>
      </c>
      <c r="K3010" s="60">
        <v>22</v>
      </c>
      <c r="L3010" s="60">
        <v>24</v>
      </c>
      <c r="M3010" s="60">
        <v>0</v>
      </c>
      <c r="N3010" s="494">
        <v>3</v>
      </c>
      <c r="O3010" s="60">
        <v>20</v>
      </c>
      <c r="P3010" s="494">
        <v>1</v>
      </c>
      <c r="Q3010" s="182">
        <f t="shared" ref="Q3010:Q3016" si="3675">(K3010+L3010)/J3010</f>
        <v>0.65714285714285714</v>
      </c>
      <c r="R3010" s="182">
        <f t="shared" ref="R3010:R3016" si="3676">N3010/J3010</f>
        <v>4.2857142857142858E-2</v>
      </c>
      <c r="S3010" s="183">
        <f t="shared" si="3666"/>
        <v>1.4285714285714285E-2</v>
      </c>
      <c r="T3010" s="183">
        <f t="shared" si="3667"/>
        <v>0.2857142857142857</v>
      </c>
      <c r="U3010" s="184">
        <f t="shared" si="3668"/>
        <v>1</v>
      </c>
      <c r="V3010" s="386"/>
    </row>
    <row r="3011" spans="2:22" ht="15.75" hidden="1" x14ac:dyDescent="0.2">
      <c r="B3011" s="711">
        <v>46275</v>
      </c>
      <c r="C3011" s="711" t="s">
        <v>106</v>
      </c>
      <c r="D3011" s="711" t="s">
        <v>189</v>
      </c>
      <c r="E3011" s="711">
        <v>46275</v>
      </c>
      <c r="G3011" s="786"/>
      <c r="H3011" s="497" t="s">
        <v>17</v>
      </c>
      <c r="I3011" s="60" t="s">
        <v>106</v>
      </c>
      <c r="J3011" s="60">
        <f t="shared" ref="J3011:J3012" si="3677">SUM(K3011:P3011)</f>
        <v>37</v>
      </c>
      <c r="K3011" s="60">
        <v>15</v>
      </c>
      <c r="L3011" s="60">
        <v>12</v>
      </c>
      <c r="M3011" s="60">
        <v>0</v>
      </c>
      <c r="N3011" s="494">
        <v>2</v>
      </c>
      <c r="O3011" s="60">
        <v>0</v>
      </c>
      <c r="P3011" s="494">
        <v>8</v>
      </c>
      <c r="Q3011" s="182">
        <f t="shared" si="3675"/>
        <v>0.72972972972972971</v>
      </c>
      <c r="R3011" s="182">
        <f t="shared" si="3676"/>
        <v>5.4054054054054057E-2</v>
      </c>
      <c r="S3011" s="183">
        <f t="shared" si="3666"/>
        <v>0.21621621621621623</v>
      </c>
      <c r="T3011" s="183">
        <f t="shared" si="3667"/>
        <v>0</v>
      </c>
      <c r="U3011" s="184">
        <f t="shared" si="3668"/>
        <v>1</v>
      </c>
      <c r="V3011" s="386"/>
    </row>
    <row r="3012" spans="2:22" ht="15.75" hidden="1" x14ac:dyDescent="0.2">
      <c r="B3012" s="711">
        <v>46275</v>
      </c>
      <c r="C3012" s="711" t="s">
        <v>106</v>
      </c>
      <c r="D3012" s="711" t="s">
        <v>189</v>
      </c>
      <c r="E3012" s="711">
        <v>46275</v>
      </c>
      <c r="G3012" s="786"/>
      <c r="H3012" s="497" t="s">
        <v>180</v>
      </c>
      <c r="I3012" s="60" t="s">
        <v>105</v>
      </c>
      <c r="J3012" s="60">
        <f t="shared" si="3677"/>
        <v>56</v>
      </c>
      <c r="K3012" s="60">
        <v>55</v>
      </c>
      <c r="L3012" s="60">
        <v>1</v>
      </c>
      <c r="M3012" s="60">
        <v>0</v>
      </c>
      <c r="N3012" s="494">
        <v>0</v>
      </c>
      <c r="O3012" s="60">
        <v>0</v>
      </c>
      <c r="P3012" s="494">
        <v>0</v>
      </c>
      <c r="Q3012" s="182">
        <f t="shared" si="3675"/>
        <v>1</v>
      </c>
      <c r="R3012" s="182">
        <f t="shared" si="3676"/>
        <v>0</v>
      </c>
      <c r="S3012" s="183">
        <f t="shared" si="3666"/>
        <v>0</v>
      </c>
      <c r="T3012" s="183">
        <f t="shared" si="3667"/>
        <v>0</v>
      </c>
      <c r="U3012" s="184">
        <f t="shared" si="3668"/>
        <v>1</v>
      </c>
      <c r="V3012" s="386"/>
    </row>
    <row r="3013" spans="2:22" ht="15.75" hidden="1" x14ac:dyDescent="0.2">
      <c r="B3013" s="711">
        <v>46275</v>
      </c>
      <c r="C3013" s="711" t="s">
        <v>106</v>
      </c>
      <c r="D3013" s="711" t="s">
        <v>189</v>
      </c>
      <c r="E3013" s="711">
        <v>46275</v>
      </c>
      <c r="G3013" s="786"/>
      <c r="H3013" s="497" t="s">
        <v>118</v>
      </c>
      <c r="I3013" s="60" t="s">
        <v>105</v>
      </c>
      <c r="J3013" s="60">
        <v>220</v>
      </c>
      <c r="K3013" s="60">
        <v>128</v>
      </c>
      <c r="L3013" s="60">
        <v>51</v>
      </c>
      <c r="M3013" s="60">
        <v>9</v>
      </c>
      <c r="N3013" s="494">
        <v>0</v>
      </c>
      <c r="O3013" s="60">
        <v>18</v>
      </c>
      <c r="P3013" s="494">
        <v>13</v>
      </c>
      <c r="Q3013" s="182">
        <f t="shared" si="3675"/>
        <v>0.8136363636363636</v>
      </c>
      <c r="R3013" s="182">
        <f t="shared" si="3676"/>
        <v>0</v>
      </c>
      <c r="S3013" s="183">
        <f t="shared" si="3666"/>
        <v>5.909090909090909E-2</v>
      </c>
      <c r="T3013" s="183">
        <f t="shared" si="3667"/>
        <v>8.1818181818181818E-2</v>
      </c>
      <c r="U3013" s="184">
        <f t="shared" si="3668"/>
        <v>0.95454545454545447</v>
      </c>
      <c r="V3013" s="386"/>
    </row>
    <row r="3014" spans="2:22" ht="15.75" hidden="1" x14ac:dyDescent="0.2">
      <c r="B3014" s="711">
        <v>46275</v>
      </c>
      <c r="C3014" s="711" t="s">
        <v>106</v>
      </c>
      <c r="D3014" s="711" t="s">
        <v>189</v>
      </c>
      <c r="E3014" s="711">
        <v>46275</v>
      </c>
      <c r="G3014" s="779"/>
      <c r="H3014" s="497" t="s">
        <v>32</v>
      </c>
      <c r="I3014" s="60" t="s">
        <v>105</v>
      </c>
      <c r="J3014" s="60">
        <f t="shared" ref="J3014" si="3678">SUM(K3014:P3014)</f>
        <v>9</v>
      </c>
      <c r="K3014" s="60">
        <v>6</v>
      </c>
      <c r="L3014" s="60">
        <v>3</v>
      </c>
      <c r="M3014" s="60">
        <v>0</v>
      </c>
      <c r="N3014" s="494">
        <v>0</v>
      </c>
      <c r="O3014" s="60">
        <v>0</v>
      </c>
      <c r="P3014" s="494">
        <v>0</v>
      </c>
      <c r="Q3014" s="182">
        <f t="shared" si="3675"/>
        <v>1</v>
      </c>
      <c r="R3014" s="182">
        <f t="shared" si="3676"/>
        <v>0</v>
      </c>
      <c r="S3014" s="183">
        <f t="shared" si="3666"/>
        <v>0</v>
      </c>
      <c r="T3014" s="183">
        <f t="shared" si="3667"/>
        <v>0</v>
      </c>
      <c r="U3014" s="184">
        <f t="shared" si="3668"/>
        <v>1</v>
      </c>
      <c r="V3014" s="386"/>
    </row>
    <row r="3015" spans="2:22" ht="15.75" hidden="1" x14ac:dyDescent="0.2">
      <c r="B3015" s="711">
        <v>46275</v>
      </c>
      <c r="C3015" s="711" t="s">
        <v>106</v>
      </c>
      <c r="D3015" s="711" t="s">
        <v>189</v>
      </c>
      <c r="E3015" s="711">
        <v>46276</v>
      </c>
      <c r="G3015" s="770">
        <v>46276</v>
      </c>
      <c r="H3015" s="497" t="s">
        <v>16</v>
      </c>
      <c r="I3015" s="60" t="s">
        <v>100</v>
      </c>
      <c r="J3015" s="60">
        <v>217</v>
      </c>
      <c r="K3015" s="60">
        <v>0</v>
      </c>
      <c r="L3015" s="60">
        <v>0</v>
      </c>
      <c r="M3015" s="60">
        <v>41</v>
      </c>
      <c r="N3015" s="494">
        <v>153</v>
      </c>
      <c r="O3015" s="60">
        <v>20</v>
      </c>
      <c r="P3015" s="494">
        <v>3</v>
      </c>
      <c r="Q3015" s="182">
        <f t="shared" si="3675"/>
        <v>0</v>
      </c>
      <c r="R3015" s="182">
        <f t="shared" si="3676"/>
        <v>0.70506912442396308</v>
      </c>
      <c r="S3015" s="183">
        <f t="shared" si="3666"/>
        <v>1.3824884792626729E-2</v>
      </c>
      <c r="T3015" s="183">
        <f t="shared" si="3667"/>
        <v>9.2165898617511524E-2</v>
      </c>
      <c r="U3015" s="184">
        <f t="shared" si="3668"/>
        <v>0.81105990783410142</v>
      </c>
      <c r="V3015" s="386"/>
    </row>
    <row r="3016" spans="2:22" ht="15.75" hidden="1" x14ac:dyDescent="0.2">
      <c r="B3016" s="711">
        <v>46275</v>
      </c>
      <c r="C3016" s="711" t="s">
        <v>106</v>
      </c>
      <c r="D3016" s="711" t="s">
        <v>189</v>
      </c>
      <c r="E3016" s="711">
        <v>46276</v>
      </c>
      <c r="G3016" s="772"/>
      <c r="H3016" s="497" t="s">
        <v>25</v>
      </c>
      <c r="I3016" s="60" t="s">
        <v>106</v>
      </c>
      <c r="J3016" s="60">
        <v>175</v>
      </c>
      <c r="K3016" s="60">
        <v>1</v>
      </c>
      <c r="L3016" s="60">
        <v>3</v>
      </c>
      <c r="M3016" s="60">
        <v>18</v>
      </c>
      <c r="N3016" s="494">
        <v>130</v>
      </c>
      <c r="O3016" s="60">
        <v>20</v>
      </c>
      <c r="P3016" s="494">
        <v>9</v>
      </c>
      <c r="Q3016" s="182">
        <f t="shared" si="3675"/>
        <v>2.2857142857142857E-2</v>
      </c>
      <c r="R3016" s="182">
        <f t="shared" si="3676"/>
        <v>0.74285714285714288</v>
      </c>
      <c r="S3016" s="183">
        <f t="shared" si="3666"/>
        <v>5.1428571428571428E-2</v>
      </c>
      <c r="T3016" s="183">
        <f t="shared" si="3667"/>
        <v>0.11428571428571428</v>
      </c>
      <c r="U3016" s="184">
        <f t="shared" si="3668"/>
        <v>0.93142857142857149</v>
      </c>
      <c r="V3016" s="386"/>
    </row>
    <row r="3017" spans="2:22" ht="15.75" hidden="1" x14ac:dyDescent="0.2">
      <c r="B3017" s="711">
        <v>46275</v>
      </c>
      <c r="C3017" s="711" t="s">
        <v>106</v>
      </c>
      <c r="D3017" s="711" t="s">
        <v>189</v>
      </c>
      <c r="E3017" s="711">
        <v>46275</v>
      </c>
      <c r="G3017" s="775" t="s">
        <v>19</v>
      </c>
      <c r="H3017" s="776"/>
      <c r="I3017" s="777"/>
      <c r="J3017" s="190">
        <f t="shared" ref="J3017:P3017" si="3679">SUM(J3010:J3016)</f>
        <v>784</v>
      </c>
      <c r="K3017" s="190">
        <f t="shared" si="3679"/>
        <v>227</v>
      </c>
      <c r="L3017" s="190">
        <f t="shared" si="3679"/>
        <v>94</v>
      </c>
      <c r="M3017" s="190">
        <f t="shared" si="3679"/>
        <v>68</v>
      </c>
      <c r="N3017" s="190">
        <f t="shared" si="3679"/>
        <v>288</v>
      </c>
      <c r="O3017" s="190">
        <f t="shared" si="3679"/>
        <v>78</v>
      </c>
      <c r="P3017" s="190">
        <f t="shared" si="3679"/>
        <v>34</v>
      </c>
      <c r="Q3017" s="481">
        <f>(K3017+L3017)/J3017</f>
        <v>0.40943877551020408</v>
      </c>
      <c r="R3017" s="481">
        <f>N3017/J3017</f>
        <v>0.36734693877551022</v>
      </c>
      <c r="S3017" s="482">
        <f t="shared" si="3666"/>
        <v>4.336734693877551E-2</v>
      </c>
      <c r="T3017" s="482">
        <f t="shared" si="3667"/>
        <v>9.9489795918367346E-2</v>
      </c>
      <c r="U3017" s="483">
        <f t="shared" si="3668"/>
        <v>0.91964285714285721</v>
      </c>
      <c r="V3017" s="479"/>
    </row>
    <row r="3018" spans="2:22" ht="15.75" hidden="1" x14ac:dyDescent="0.2">
      <c r="B3018" s="711">
        <v>46275</v>
      </c>
      <c r="C3018" s="711" t="s">
        <v>105</v>
      </c>
      <c r="D3018" s="711" t="s">
        <v>13</v>
      </c>
      <c r="E3018" s="711">
        <v>46275</v>
      </c>
      <c r="G3018" s="809">
        <v>46275</v>
      </c>
      <c r="H3018" s="497" t="s">
        <v>16</v>
      </c>
      <c r="I3018" s="60" t="s">
        <v>112</v>
      </c>
      <c r="J3018" s="60">
        <v>212</v>
      </c>
      <c r="K3018" s="60">
        <v>120</v>
      </c>
      <c r="L3018" s="60">
        <v>72</v>
      </c>
      <c r="M3018" s="60">
        <v>0</v>
      </c>
      <c r="N3018" s="494">
        <v>0</v>
      </c>
      <c r="O3018" s="60">
        <v>20</v>
      </c>
      <c r="P3018" s="494">
        <v>1</v>
      </c>
      <c r="Q3018" s="182">
        <f t="shared" ref="Q3018:Q3023" si="3680">(K3018+L3018)/J3018</f>
        <v>0.90566037735849059</v>
      </c>
      <c r="R3018" s="182">
        <f t="shared" ref="R3018:R3023" si="3681">N3018/J3018</f>
        <v>0</v>
      </c>
      <c r="S3018" s="183">
        <f t="shared" ref="S3018:S3034" si="3682">P3018/J3018</f>
        <v>4.7169811320754715E-3</v>
      </c>
      <c r="T3018" s="183">
        <f t="shared" ref="T3018:T3034" si="3683">O3018/J3018</f>
        <v>9.4339622641509441E-2</v>
      </c>
      <c r="U3018" s="184">
        <f t="shared" ref="U3018:U3034" si="3684">S3018+R3018+Q3018+T3018</f>
        <v>1.0047169811320755</v>
      </c>
      <c r="V3018" s="386"/>
    </row>
    <row r="3019" spans="2:22" ht="15.75" hidden="1" x14ac:dyDescent="0.2">
      <c r="B3019" s="711">
        <v>46275</v>
      </c>
      <c r="C3019" s="711" t="s">
        <v>105</v>
      </c>
      <c r="D3019" s="711" t="s">
        <v>13</v>
      </c>
      <c r="E3019" s="711">
        <v>46275</v>
      </c>
      <c r="G3019" s="811"/>
      <c r="H3019" s="497" t="s">
        <v>118</v>
      </c>
      <c r="I3019" s="60" t="s">
        <v>105</v>
      </c>
      <c r="J3019" s="60">
        <v>241</v>
      </c>
      <c r="K3019" s="60">
        <v>152</v>
      </c>
      <c r="L3019" s="60">
        <v>65</v>
      </c>
      <c r="M3019" s="60">
        <v>0</v>
      </c>
      <c r="N3019" s="494">
        <v>0</v>
      </c>
      <c r="O3019" s="60">
        <v>18</v>
      </c>
      <c r="P3019" s="494">
        <v>6</v>
      </c>
      <c r="Q3019" s="182">
        <f t="shared" si="3680"/>
        <v>0.90041493775933612</v>
      </c>
      <c r="R3019" s="182">
        <f t="shared" si="3681"/>
        <v>0</v>
      </c>
      <c r="S3019" s="183">
        <f t="shared" si="3682"/>
        <v>2.4896265560165973E-2</v>
      </c>
      <c r="T3019" s="183">
        <f t="shared" si="3683"/>
        <v>7.4688796680497924E-2</v>
      </c>
      <c r="U3019" s="184">
        <f t="shared" si="3684"/>
        <v>1</v>
      </c>
      <c r="V3019" s="386"/>
    </row>
    <row r="3020" spans="2:22" ht="15.75" hidden="1" x14ac:dyDescent="0.2">
      <c r="B3020" s="711">
        <v>46275</v>
      </c>
      <c r="C3020" s="711" t="s">
        <v>105</v>
      </c>
      <c r="D3020" s="711" t="s">
        <v>13</v>
      </c>
      <c r="E3020" s="711">
        <v>46276</v>
      </c>
      <c r="G3020" s="782">
        <v>46276</v>
      </c>
      <c r="H3020" s="497" t="s">
        <v>16</v>
      </c>
      <c r="I3020" s="60" t="s">
        <v>100</v>
      </c>
      <c r="J3020" s="60">
        <v>217</v>
      </c>
      <c r="K3020" s="60">
        <v>123</v>
      </c>
      <c r="L3020" s="60">
        <v>67</v>
      </c>
      <c r="M3020" s="60">
        <v>4</v>
      </c>
      <c r="N3020" s="494">
        <v>0</v>
      </c>
      <c r="O3020" s="60">
        <v>20</v>
      </c>
      <c r="P3020" s="494">
        <v>3</v>
      </c>
      <c r="Q3020" s="182">
        <f t="shared" si="3680"/>
        <v>0.87557603686635943</v>
      </c>
      <c r="R3020" s="182">
        <f t="shared" si="3681"/>
        <v>0</v>
      </c>
      <c r="S3020" s="183">
        <f t="shared" si="3682"/>
        <v>1.3824884792626729E-2</v>
      </c>
      <c r="T3020" s="183">
        <f t="shared" si="3683"/>
        <v>9.2165898617511524E-2</v>
      </c>
      <c r="U3020" s="184">
        <f t="shared" si="3684"/>
        <v>0.98156682027649778</v>
      </c>
      <c r="V3020" s="386"/>
    </row>
    <row r="3021" spans="2:22" ht="15.75" hidden="1" x14ac:dyDescent="0.2">
      <c r="B3021" s="711">
        <v>46275</v>
      </c>
      <c r="C3021" s="711" t="s">
        <v>105</v>
      </c>
      <c r="D3021" s="711" t="s">
        <v>13</v>
      </c>
      <c r="E3021" s="711">
        <v>46276</v>
      </c>
      <c r="G3021" s="783"/>
      <c r="H3021" s="497" t="s">
        <v>17</v>
      </c>
      <c r="I3021" s="60" t="s">
        <v>105</v>
      </c>
      <c r="J3021" s="60">
        <v>146</v>
      </c>
      <c r="K3021" s="60">
        <v>77</v>
      </c>
      <c r="L3021" s="60">
        <v>34</v>
      </c>
      <c r="M3021" s="60">
        <v>3</v>
      </c>
      <c r="N3021" s="494">
        <v>0</v>
      </c>
      <c r="O3021" s="60">
        <v>27</v>
      </c>
      <c r="P3021" s="494">
        <v>5</v>
      </c>
      <c r="Q3021" s="182">
        <f t="shared" ref="Q3021" si="3685">(K3021+L3021)/J3021</f>
        <v>0.76027397260273977</v>
      </c>
      <c r="R3021" s="182">
        <f t="shared" ref="R3021" si="3686">N3021/J3021</f>
        <v>0</v>
      </c>
      <c r="S3021" s="183">
        <f t="shared" ref="S3021" si="3687">P3021/J3021</f>
        <v>3.4246575342465752E-2</v>
      </c>
      <c r="T3021" s="183">
        <f t="shared" ref="T3021" si="3688">O3021/J3021</f>
        <v>0.18493150684931506</v>
      </c>
      <c r="U3021" s="184">
        <f t="shared" ref="U3021" si="3689">S3021+R3021+Q3021+T3021</f>
        <v>0.97945205479452058</v>
      </c>
      <c r="V3021" s="386"/>
    </row>
    <row r="3022" spans="2:22" ht="15.75" hidden="1" x14ac:dyDescent="0.2">
      <c r="B3022" s="711">
        <v>46275</v>
      </c>
      <c r="C3022" s="711" t="s">
        <v>105</v>
      </c>
      <c r="D3022" s="711" t="s">
        <v>13</v>
      </c>
      <c r="E3022" s="711">
        <v>46276</v>
      </c>
      <c r="G3022" s="818"/>
      <c r="H3022" s="497" t="s">
        <v>25</v>
      </c>
      <c r="I3022" s="60" t="s">
        <v>106</v>
      </c>
      <c r="J3022" s="60">
        <v>175</v>
      </c>
      <c r="K3022" s="60">
        <v>100</v>
      </c>
      <c r="L3022" s="60">
        <v>37</v>
      </c>
      <c r="M3022" s="60">
        <v>13</v>
      </c>
      <c r="N3022" s="494">
        <v>0</v>
      </c>
      <c r="O3022" s="60">
        <v>20</v>
      </c>
      <c r="P3022" s="494">
        <v>5</v>
      </c>
      <c r="Q3022" s="182">
        <f t="shared" si="3680"/>
        <v>0.78285714285714281</v>
      </c>
      <c r="R3022" s="182">
        <f t="shared" si="3681"/>
        <v>0</v>
      </c>
      <c r="S3022" s="183">
        <f t="shared" si="3682"/>
        <v>2.8571428571428571E-2</v>
      </c>
      <c r="T3022" s="183">
        <f t="shared" si="3683"/>
        <v>0.11428571428571428</v>
      </c>
      <c r="U3022" s="184">
        <f t="shared" si="3684"/>
        <v>0.92571428571428571</v>
      </c>
      <c r="V3022" s="386"/>
    </row>
    <row r="3023" spans="2:22" ht="15.75" hidden="1" x14ac:dyDescent="0.2">
      <c r="B3023" s="711">
        <v>46275</v>
      </c>
      <c r="C3023" s="711" t="s">
        <v>105</v>
      </c>
      <c r="D3023" s="711" t="s">
        <v>13</v>
      </c>
      <c r="E3023" s="711">
        <v>46277</v>
      </c>
      <c r="G3023" s="692">
        <v>46277</v>
      </c>
      <c r="H3023" s="497" t="s">
        <v>14</v>
      </c>
      <c r="I3023" s="60" t="s">
        <v>106</v>
      </c>
      <c r="J3023" s="60">
        <v>202</v>
      </c>
      <c r="K3023" s="60">
        <v>20</v>
      </c>
      <c r="L3023" s="60">
        <v>1</v>
      </c>
      <c r="M3023" s="60">
        <v>64</v>
      </c>
      <c r="N3023" s="494">
        <v>98</v>
      </c>
      <c r="O3023" s="60">
        <v>13</v>
      </c>
      <c r="P3023" s="494">
        <v>6</v>
      </c>
      <c r="Q3023" s="182">
        <f t="shared" si="3680"/>
        <v>0.10396039603960396</v>
      </c>
      <c r="R3023" s="182">
        <f t="shared" si="3681"/>
        <v>0.48514851485148514</v>
      </c>
      <c r="S3023" s="183">
        <f t="shared" si="3682"/>
        <v>2.9702970297029702E-2</v>
      </c>
      <c r="T3023" s="183">
        <f t="shared" si="3683"/>
        <v>6.4356435643564358E-2</v>
      </c>
      <c r="U3023" s="184">
        <f t="shared" si="3684"/>
        <v>0.68316831683168311</v>
      </c>
      <c r="V3023" s="386"/>
    </row>
    <row r="3024" spans="2:22" ht="15.75" hidden="1" x14ac:dyDescent="0.2">
      <c r="B3024" s="711">
        <v>46275</v>
      </c>
      <c r="C3024" s="711" t="s">
        <v>105</v>
      </c>
      <c r="D3024" s="711" t="s">
        <v>13</v>
      </c>
      <c r="E3024" s="711">
        <v>46277</v>
      </c>
      <c r="G3024" s="775" t="s">
        <v>19</v>
      </c>
      <c r="H3024" s="776"/>
      <c r="I3024" s="777"/>
      <c r="J3024" s="190">
        <f t="shared" ref="J3024:P3024" si="3690">SUM(J3018:J3023)</f>
        <v>1193</v>
      </c>
      <c r="K3024" s="190">
        <f t="shared" si="3690"/>
        <v>592</v>
      </c>
      <c r="L3024" s="190">
        <f t="shared" si="3690"/>
        <v>276</v>
      </c>
      <c r="M3024" s="190">
        <f t="shared" si="3690"/>
        <v>84</v>
      </c>
      <c r="N3024" s="190">
        <f t="shared" si="3690"/>
        <v>98</v>
      </c>
      <c r="O3024" s="190">
        <f t="shared" si="3690"/>
        <v>118</v>
      </c>
      <c r="P3024" s="190">
        <f t="shared" si="3690"/>
        <v>26</v>
      </c>
      <c r="Q3024" s="481">
        <f>(K3024+L3024)/J3024</f>
        <v>0.72757753562447613</v>
      </c>
      <c r="R3024" s="481">
        <f>N3024/J3024</f>
        <v>8.2145850796311815E-2</v>
      </c>
      <c r="S3024" s="482">
        <f t="shared" si="3682"/>
        <v>2.179379715004191E-2</v>
      </c>
      <c r="T3024" s="482">
        <f t="shared" si="3683"/>
        <v>9.8910310142497904E-2</v>
      </c>
      <c r="U3024" s="483">
        <f t="shared" si="3684"/>
        <v>0.93042749371332767</v>
      </c>
      <c r="V3024" s="479"/>
    </row>
    <row r="3025" spans="2:22" ht="15.75" hidden="1" x14ac:dyDescent="0.2">
      <c r="B3025" s="711">
        <v>46276</v>
      </c>
      <c r="C3025" s="711" t="s">
        <v>106</v>
      </c>
      <c r="D3025" s="711" t="s">
        <v>189</v>
      </c>
      <c r="E3025" s="711">
        <v>46276</v>
      </c>
      <c r="G3025" s="778">
        <v>46276</v>
      </c>
      <c r="H3025" s="497" t="s">
        <v>16</v>
      </c>
      <c r="I3025" s="60" t="s">
        <v>100</v>
      </c>
      <c r="J3025" s="60">
        <f>SUM(K3025:P3025)</f>
        <v>121</v>
      </c>
      <c r="K3025" s="60">
        <v>51</v>
      </c>
      <c r="L3025" s="60">
        <v>32</v>
      </c>
      <c r="M3025" s="60">
        <v>0</v>
      </c>
      <c r="N3025" s="494">
        <v>15</v>
      </c>
      <c r="O3025" s="60">
        <v>20</v>
      </c>
      <c r="P3025" s="494">
        <v>3</v>
      </c>
      <c r="Q3025" s="182">
        <f t="shared" ref="Q3025:Q3033" si="3691">(K3025+L3025)/J3025</f>
        <v>0.68595041322314054</v>
      </c>
      <c r="R3025" s="182">
        <f t="shared" ref="R3025:R3033" si="3692">N3025/J3025</f>
        <v>0.12396694214876033</v>
      </c>
      <c r="S3025" s="183">
        <f t="shared" si="3682"/>
        <v>2.4793388429752067E-2</v>
      </c>
      <c r="T3025" s="183">
        <f t="shared" si="3683"/>
        <v>0.16528925619834711</v>
      </c>
      <c r="U3025" s="184">
        <f t="shared" si="3684"/>
        <v>1</v>
      </c>
      <c r="V3025" s="386"/>
    </row>
    <row r="3026" spans="2:22" ht="15.75" hidden="1" x14ac:dyDescent="0.2">
      <c r="B3026" s="711">
        <v>46276</v>
      </c>
      <c r="C3026" s="711" t="s">
        <v>106</v>
      </c>
      <c r="D3026" s="711" t="s">
        <v>189</v>
      </c>
      <c r="E3026" s="711">
        <v>46276</v>
      </c>
      <c r="G3026" s="786"/>
      <c r="H3026" s="497" t="s">
        <v>25</v>
      </c>
      <c r="I3026" s="60" t="s">
        <v>106</v>
      </c>
      <c r="J3026" s="60">
        <f t="shared" ref="J3026:J3030" si="3693">SUM(K3026:P3026)</f>
        <v>67</v>
      </c>
      <c r="K3026" s="60">
        <v>53</v>
      </c>
      <c r="L3026" s="60">
        <v>10</v>
      </c>
      <c r="M3026" s="60">
        <v>0</v>
      </c>
      <c r="N3026" s="494">
        <v>0</v>
      </c>
      <c r="O3026" s="60">
        <v>0</v>
      </c>
      <c r="P3026" s="494">
        <v>4</v>
      </c>
      <c r="Q3026" s="182">
        <f t="shared" si="3691"/>
        <v>0.94029850746268662</v>
      </c>
      <c r="R3026" s="182">
        <f t="shared" si="3692"/>
        <v>0</v>
      </c>
      <c r="S3026" s="183">
        <f t="shared" si="3682"/>
        <v>5.9701492537313432E-2</v>
      </c>
      <c r="T3026" s="183">
        <f t="shared" si="3683"/>
        <v>0</v>
      </c>
      <c r="U3026" s="184">
        <f t="shared" si="3684"/>
        <v>1</v>
      </c>
      <c r="V3026" s="386"/>
    </row>
    <row r="3027" spans="2:22" ht="15.75" hidden="1" x14ac:dyDescent="0.2">
      <c r="B3027" s="711">
        <v>46276</v>
      </c>
      <c r="C3027" s="711" t="s">
        <v>106</v>
      </c>
      <c r="D3027" s="711" t="s">
        <v>189</v>
      </c>
      <c r="E3027" s="711">
        <v>46276</v>
      </c>
      <c r="G3027" s="786"/>
      <c r="H3027" s="497" t="s">
        <v>180</v>
      </c>
      <c r="I3027" s="60" t="s">
        <v>106</v>
      </c>
      <c r="J3027" s="60">
        <f t="shared" si="3693"/>
        <v>20</v>
      </c>
      <c r="K3027" s="60">
        <v>20</v>
      </c>
      <c r="L3027" s="60">
        <v>0</v>
      </c>
      <c r="M3027" s="60">
        <v>0</v>
      </c>
      <c r="N3027" s="494">
        <v>0</v>
      </c>
      <c r="O3027" s="60">
        <v>0</v>
      </c>
      <c r="P3027" s="494">
        <v>0</v>
      </c>
      <c r="Q3027" s="182">
        <f t="shared" si="3691"/>
        <v>1</v>
      </c>
      <c r="R3027" s="182">
        <f t="shared" si="3692"/>
        <v>0</v>
      </c>
      <c r="S3027" s="183">
        <f t="shared" si="3682"/>
        <v>0</v>
      </c>
      <c r="T3027" s="183">
        <f t="shared" si="3683"/>
        <v>0</v>
      </c>
      <c r="U3027" s="184">
        <f t="shared" si="3684"/>
        <v>1</v>
      </c>
      <c r="V3027" s="386"/>
    </row>
    <row r="3028" spans="2:22" ht="15.75" hidden="1" x14ac:dyDescent="0.2">
      <c r="B3028" s="711">
        <v>46276</v>
      </c>
      <c r="C3028" s="711" t="s">
        <v>106</v>
      </c>
      <c r="D3028" s="711" t="s">
        <v>189</v>
      </c>
      <c r="E3028" s="711">
        <v>46276</v>
      </c>
      <c r="G3028" s="786"/>
      <c r="H3028" s="497" t="s">
        <v>120</v>
      </c>
      <c r="I3028" s="60" t="s">
        <v>106</v>
      </c>
      <c r="J3028" s="60">
        <f t="shared" si="3693"/>
        <v>3</v>
      </c>
      <c r="K3028" s="60">
        <v>3</v>
      </c>
      <c r="L3028" s="60">
        <v>0</v>
      </c>
      <c r="M3028" s="60">
        <v>0</v>
      </c>
      <c r="N3028" s="494">
        <v>0</v>
      </c>
      <c r="O3028" s="60">
        <v>0</v>
      </c>
      <c r="P3028" s="494">
        <v>0</v>
      </c>
      <c r="Q3028" s="182">
        <f t="shared" si="3691"/>
        <v>1</v>
      </c>
      <c r="R3028" s="182">
        <f t="shared" si="3692"/>
        <v>0</v>
      </c>
      <c r="S3028" s="183">
        <f t="shared" si="3682"/>
        <v>0</v>
      </c>
      <c r="T3028" s="183">
        <f t="shared" si="3683"/>
        <v>0</v>
      </c>
      <c r="U3028" s="184">
        <f t="shared" si="3684"/>
        <v>1</v>
      </c>
      <c r="V3028" s="386"/>
    </row>
    <row r="3029" spans="2:22" ht="15.75" hidden="1" x14ac:dyDescent="0.2">
      <c r="B3029" s="711">
        <v>46276</v>
      </c>
      <c r="C3029" s="711" t="s">
        <v>106</v>
      </c>
      <c r="D3029" s="711" t="s">
        <v>189</v>
      </c>
      <c r="E3029" s="711">
        <v>46276</v>
      </c>
      <c r="G3029" s="786"/>
      <c r="H3029" s="497" t="s">
        <v>17</v>
      </c>
      <c r="I3029" s="60" t="s">
        <v>105</v>
      </c>
      <c r="J3029" s="60">
        <f t="shared" si="3693"/>
        <v>59</v>
      </c>
      <c r="K3029" s="60">
        <v>21</v>
      </c>
      <c r="L3029" s="60">
        <v>7</v>
      </c>
      <c r="M3029" s="60">
        <v>0</v>
      </c>
      <c r="N3029" s="494">
        <v>0</v>
      </c>
      <c r="O3029" s="60">
        <v>27</v>
      </c>
      <c r="P3029" s="494">
        <v>4</v>
      </c>
      <c r="Q3029" s="182">
        <f t="shared" ref="Q3029" si="3694">(K3029+L3029)/J3029</f>
        <v>0.47457627118644069</v>
      </c>
      <c r="R3029" s="182">
        <f t="shared" ref="R3029" si="3695">N3029/J3029</f>
        <v>0</v>
      </c>
      <c r="S3029" s="183">
        <f t="shared" ref="S3029" si="3696">P3029/J3029</f>
        <v>6.7796610169491525E-2</v>
      </c>
      <c r="T3029" s="183">
        <f t="shared" ref="T3029" si="3697">O3029/J3029</f>
        <v>0.4576271186440678</v>
      </c>
      <c r="U3029" s="184">
        <f t="shared" ref="U3029" si="3698">S3029+R3029+Q3029+T3029</f>
        <v>1</v>
      </c>
      <c r="V3029" s="386"/>
    </row>
    <row r="3030" spans="2:22" ht="15.75" hidden="1" x14ac:dyDescent="0.2">
      <c r="B3030" s="711">
        <v>46276</v>
      </c>
      <c r="C3030" s="711" t="s">
        <v>106</v>
      </c>
      <c r="D3030" s="711" t="s">
        <v>189</v>
      </c>
      <c r="E3030" s="711">
        <v>46276</v>
      </c>
      <c r="G3030" s="779"/>
      <c r="H3030" s="497" t="s">
        <v>32</v>
      </c>
      <c r="I3030" s="60" t="s">
        <v>105</v>
      </c>
      <c r="J3030" s="60">
        <f t="shared" si="3693"/>
        <v>3</v>
      </c>
      <c r="K3030" s="60">
        <v>3</v>
      </c>
      <c r="L3030" s="60">
        <v>0</v>
      </c>
      <c r="M3030" s="60">
        <v>0</v>
      </c>
      <c r="N3030" s="494">
        <v>0</v>
      </c>
      <c r="O3030" s="60">
        <v>0</v>
      </c>
      <c r="P3030" s="494">
        <v>0</v>
      </c>
      <c r="Q3030" s="182">
        <f t="shared" si="3691"/>
        <v>1</v>
      </c>
      <c r="R3030" s="182">
        <f t="shared" si="3692"/>
        <v>0</v>
      </c>
      <c r="S3030" s="183">
        <f t="shared" si="3682"/>
        <v>0</v>
      </c>
      <c r="T3030" s="183">
        <f t="shared" si="3683"/>
        <v>0</v>
      </c>
      <c r="U3030" s="184">
        <f t="shared" si="3684"/>
        <v>1</v>
      </c>
      <c r="V3030" s="386"/>
    </row>
    <row r="3031" spans="2:22" ht="15.75" hidden="1" x14ac:dyDescent="0.2">
      <c r="B3031" s="711">
        <v>46276</v>
      </c>
      <c r="C3031" s="711" t="s">
        <v>106</v>
      </c>
      <c r="D3031" s="711" t="s">
        <v>189</v>
      </c>
      <c r="E3031" s="711">
        <v>46277</v>
      </c>
      <c r="G3031" s="770">
        <v>46277</v>
      </c>
      <c r="H3031" s="497" t="s">
        <v>16</v>
      </c>
      <c r="I3031" s="60" t="s">
        <v>100</v>
      </c>
      <c r="J3031" s="60">
        <v>218</v>
      </c>
      <c r="K3031" s="60">
        <v>0</v>
      </c>
      <c r="L3031" s="60">
        <v>0</v>
      </c>
      <c r="M3031" s="60">
        <v>43</v>
      </c>
      <c r="N3031" s="494">
        <v>151</v>
      </c>
      <c r="O3031" s="60">
        <v>20</v>
      </c>
      <c r="P3031" s="494">
        <v>4</v>
      </c>
      <c r="Q3031" s="182">
        <f t="shared" si="3691"/>
        <v>0</v>
      </c>
      <c r="R3031" s="182">
        <f t="shared" si="3692"/>
        <v>0.69266055045871555</v>
      </c>
      <c r="S3031" s="183">
        <f t="shared" si="3682"/>
        <v>1.834862385321101E-2</v>
      </c>
      <c r="T3031" s="183">
        <f t="shared" si="3683"/>
        <v>9.1743119266055051E-2</v>
      </c>
      <c r="U3031" s="184">
        <f t="shared" si="3684"/>
        <v>0.80275229357798161</v>
      </c>
      <c r="V3031" s="386"/>
    </row>
    <row r="3032" spans="2:22" ht="15.75" hidden="1" x14ac:dyDescent="0.2">
      <c r="B3032" s="711">
        <v>46276</v>
      </c>
      <c r="C3032" s="711" t="s">
        <v>106</v>
      </c>
      <c r="D3032" s="711" t="s">
        <v>189</v>
      </c>
      <c r="E3032" s="711">
        <v>46277</v>
      </c>
      <c r="G3032" s="771"/>
      <c r="H3032" s="497" t="s">
        <v>14</v>
      </c>
      <c r="I3032" s="60" t="s">
        <v>106</v>
      </c>
      <c r="J3032" s="60">
        <v>205</v>
      </c>
      <c r="K3032" s="60">
        <v>3</v>
      </c>
      <c r="L3032" s="60">
        <v>0</v>
      </c>
      <c r="M3032" s="60">
        <v>23</v>
      </c>
      <c r="N3032" s="494">
        <v>159</v>
      </c>
      <c r="O3032" s="60">
        <v>14</v>
      </c>
      <c r="P3032" s="494">
        <v>6</v>
      </c>
      <c r="Q3032" s="182">
        <f t="shared" ref="Q3032" si="3699">(K3032+L3032)/J3032</f>
        <v>1.4634146341463415E-2</v>
      </c>
      <c r="R3032" s="182">
        <f t="shared" ref="R3032" si="3700">N3032/J3032</f>
        <v>0.775609756097561</v>
      </c>
      <c r="S3032" s="183">
        <f t="shared" ref="S3032" si="3701">P3032/J3032</f>
        <v>2.9268292682926831E-2</v>
      </c>
      <c r="T3032" s="183">
        <f t="shared" ref="T3032" si="3702">O3032/J3032</f>
        <v>6.8292682926829273E-2</v>
      </c>
      <c r="U3032" s="184">
        <f t="shared" ref="U3032" si="3703">S3032+R3032+Q3032+T3032</f>
        <v>0.88780487804878061</v>
      </c>
      <c r="V3032" s="386"/>
    </row>
    <row r="3033" spans="2:22" ht="15.75" hidden="1" x14ac:dyDescent="0.2">
      <c r="B3033" s="711">
        <v>46276</v>
      </c>
      <c r="C3033" s="711" t="s">
        <v>106</v>
      </c>
      <c r="D3033" s="711" t="s">
        <v>189</v>
      </c>
      <c r="E3033" s="711">
        <v>46277</v>
      </c>
      <c r="G3033" s="772"/>
      <c r="H3033" s="497" t="s">
        <v>17</v>
      </c>
      <c r="I3033" s="60" t="s">
        <v>105</v>
      </c>
      <c r="J3033" s="60">
        <v>165</v>
      </c>
      <c r="K3033" s="60">
        <v>0</v>
      </c>
      <c r="L3033" s="60">
        <v>0</v>
      </c>
      <c r="M3033" s="60">
        <v>82</v>
      </c>
      <c r="N3033" s="494">
        <v>47</v>
      </c>
      <c r="O3033" s="60">
        <v>31</v>
      </c>
      <c r="P3033" s="494">
        <v>5</v>
      </c>
      <c r="Q3033" s="182">
        <f t="shared" si="3691"/>
        <v>0</v>
      </c>
      <c r="R3033" s="182">
        <f t="shared" si="3692"/>
        <v>0.28484848484848485</v>
      </c>
      <c r="S3033" s="183">
        <f t="shared" si="3682"/>
        <v>3.0303030303030304E-2</v>
      </c>
      <c r="T3033" s="183">
        <f t="shared" si="3683"/>
        <v>0.18787878787878787</v>
      </c>
      <c r="U3033" s="184">
        <f t="shared" si="3684"/>
        <v>0.50303030303030305</v>
      </c>
      <c r="V3033" s="386"/>
    </row>
    <row r="3034" spans="2:22" ht="15.75" hidden="1" x14ac:dyDescent="0.2">
      <c r="B3034" s="711">
        <v>46276</v>
      </c>
      <c r="C3034" s="711" t="s">
        <v>106</v>
      </c>
      <c r="D3034" s="711" t="s">
        <v>189</v>
      </c>
      <c r="E3034" s="711">
        <v>46276</v>
      </c>
      <c r="G3034" s="775" t="s">
        <v>19</v>
      </c>
      <c r="H3034" s="776"/>
      <c r="I3034" s="777"/>
      <c r="J3034" s="190">
        <f t="shared" ref="J3034:P3034" si="3704">SUM(J3025:J3033)</f>
        <v>861</v>
      </c>
      <c r="K3034" s="190">
        <f t="shared" si="3704"/>
        <v>154</v>
      </c>
      <c r="L3034" s="190">
        <f t="shared" si="3704"/>
        <v>49</v>
      </c>
      <c r="M3034" s="190">
        <f t="shared" si="3704"/>
        <v>148</v>
      </c>
      <c r="N3034" s="190">
        <f t="shared" si="3704"/>
        <v>372</v>
      </c>
      <c r="O3034" s="190">
        <f t="shared" si="3704"/>
        <v>112</v>
      </c>
      <c r="P3034" s="190">
        <f t="shared" si="3704"/>
        <v>26</v>
      </c>
      <c r="Q3034" s="481">
        <f>(K3034+L3034)/J3034</f>
        <v>0.23577235772357724</v>
      </c>
      <c r="R3034" s="481">
        <f>N3034/J3034</f>
        <v>0.43205574912891986</v>
      </c>
      <c r="S3034" s="482">
        <f t="shared" si="3682"/>
        <v>3.0197444831591175E-2</v>
      </c>
      <c r="T3034" s="482">
        <f t="shared" si="3683"/>
        <v>0.13008130081300814</v>
      </c>
      <c r="U3034" s="483">
        <f t="shared" si="3684"/>
        <v>0.82810685249709648</v>
      </c>
      <c r="V3034" s="479"/>
    </row>
    <row r="3035" spans="2:22" ht="15.75" hidden="1" x14ac:dyDescent="0.2">
      <c r="B3035" s="711">
        <v>46276</v>
      </c>
      <c r="C3035" s="711" t="s">
        <v>105</v>
      </c>
      <c r="D3035" s="711" t="s">
        <v>13</v>
      </c>
      <c r="E3035" s="711">
        <v>46276</v>
      </c>
      <c r="G3035" s="809">
        <v>46276</v>
      </c>
      <c r="H3035" s="497" t="s">
        <v>16</v>
      </c>
      <c r="I3035" s="60" t="s">
        <v>100</v>
      </c>
      <c r="J3035" s="60">
        <v>217</v>
      </c>
      <c r="K3035" s="60">
        <v>123</v>
      </c>
      <c r="L3035" s="60">
        <v>71</v>
      </c>
      <c r="M3035" s="60">
        <v>0</v>
      </c>
      <c r="N3035" s="494">
        <v>0</v>
      </c>
      <c r="O3035" s="60">
        <v>20</v>
      </c>
      <c r="P3035" s="494">
        <v>3</v>
      </c>
      <c r="Q3035" s="182">
        <f t="shared" ref="Q3035:Q3041" si="3705">(K3035+L3035)/J3035</f>
        <v>0.89400921658986177</v>
      </c>
      <c r="R3035" s="182">
        <f t="shared" ref="R3035:R3041" si="3706">N3035/J3035</f>
        <v>0</v>
      </c>
      <c r="S3035" s="183">
        <f t="shared" ref="S3035:S3053" si="3707">P3035/J3035</f>
        <v>1.3824884792626729E-2</v>
      </c>
      <c r="T3035" s="183">
        <f t="shared" ref="T3035:T3053" si="3708">O3035/J3035</f>
        <v>9.2165898617511524E-2</v>
      </c>
      <c r="U3035" s="184">
        <f t="shared" ref="U3035:U3053" si="3709">S3035+R3035+Q3035+T3035</f>
        <v>1</v>
      </c>
      <c r="V3035" s="386"/>
    </row>
    <row r="3036" spans="2:22" ht="15.75" hidden="1" x14ac:dyDescent="0.2">
      <c r="B3036" s="711">
        <v>46276</v>
      </c>
      <c r="C3036" s="711" t="s">
        <v>105</v>
      </c>
      <c r="D3036" s="711" t="s">
        <v>13</v>
      </c>
      <c r="E3036" s="711">
        <v>46276</v>
      </c>
      <c r="G3036" s="811"/>
      <c r="H3036" s="497" t="s">
        <v>17</v>
      </c>
      <c r="I3036" s="60" t="s">
        <v>105</v>
      </c>
      <c r="J3036" s="60">
        <v>146</v>
      </c>
      <c r="K3036" s="60">
        <v>77</v>
      </c>
      <c r="L3036" s="60">
        <v>37</v>
      </c>
      <c r="M3036" s="60">
        <v>0</v>
      </c>
      <c r="N3036" s="494">
        <v>0</v>
      </c>
      <c r="O3036" s="60">
        <v>27</v>
      </c>
      <c r="P3036" s="494">
        <v>5</v>
      </c>
      <c r="Q3036" s="182">
        <f t="shared" si="3705"/>
        <v>0.78082191780821919</v>
      </c>
      <c r="R3036" s="182">
        <f t="shared" si="3706"/>
        <v>0</v>
      </c>
      <c r="S3036" s="183">
        <f t="shared" si="3707"/>
        <v>3.4246575342465752E-2</v>
      </c>
      <c r="T3036" s="183">
        <f t="shared" si="3708"/>
        <v>0.18493150684931506</v>
      </c>
      <c r="U3036" s="184">
        <f t="shared" si="3709"/>
        <v>1</v>
      </c>
      <c r="V3036" s="386"/>
    </row>
    <row r="3037" spans="2:22" ht="15.75" hidden="1" x14ac:dyDescent="0.2">
      <c r="B3037" s="711">
        <v>46276</v>
      </c>
      <c r="C3037" s="711" t="s">
        <v>105</v>
      </c>
      <c r="D3037" s="711" t="s">
        <v>13</v>
      </c>
      <c r="E3037" s="711">
        <v>46277</v>
      </c>
      <c r="G3037" s="816">
        <v>46277</v>
      </c>
      <c r="H3037" s="497" t="s">
        <v>16</v>
      </c>
      <c r="I3037" s="60" t="s">
        <v>100</v>
      </c>
      <c r="J3037" s="60">
        <v>218</v>
      </c>
      <c r="K3037" s="60">
        <f>218-98</f>
        <v>120</v>
      </c>
      <c r="L3037" s="60">
        <v>70</v>
      </c>
      <c r="M3037" s="60">
        <v>7</v>
      </c>
      <c r="N3037" s="494">
        <v>0</v>
      </c>
      <c r="O3037" s="60">
        <v>20</v>
      </c>
      <c r="P3037" s="494">
        <v>1</v>
      </c>
      <c r="Q3037" s="182">
        <f t="shared" si="3705"/>
        <v>0.87155963302752293</v>
      </c>
      <c r="R3037" s="182">
        <f t="shared" si="3706"/>
        <v>0</v>
      </c>
      <c r="S3037" s="183">
        <f t="shared" si="3707"/>
        <v>4.5871559633027525E-3</v>
      </c>
      <c r="T3037" s="183">
        <f t="shared" si="3708"/>
        <v>9.1743119266055051E-2</v>
      </c>
      <c r="U3037" s="184">
        <f t="shared" si="3709"/>
        <v>0.9678899082568807</v>
      </c>
      <c r="V3037" s="386"/>
    </row>
    <row r="3038" spans="2:22" ht="15.75" hidden="1" x14ac:dyDescent="0.2">
      <c r="B3038" s="711">
        <v>46276</v>
      </c>
      <c r="C3038" s="711" t="s">
        <v>105</v>
      </c>
      <c r="D3038" s="711" t="s">
        <v>13</v>
      </c>
      <c r="E3038" s="711">
        <v>46277</v>
      </c>
      <c r="G3038" s="819"/>
      <c r="H3038" s="497" t="s">
        <v>14</v>
      </c>
      <c r="I3038" s="60" t="s">
        <v>106</v>
      </c>
      <c r="J3038" s="60">
        <v>205</v>
      </c>
      <c r="K3038" s="60">
        <v>154</v>
      </c>
      <c r="L3038" s="60">
        <v>35</v>
      </c>
      <c r="M3038" s="60">
        <v>3</v>
      </c>
      <c r="N3038" s="494">
        <v>0</v>
      </c>
      <c r="O3038" s="60">
        <v>12</v>
      </c>
      <c r="P3038" s="494">
        <v>1</v>
      </c>
      <c r="Q3038" s="182">
        <f t="shared" si="3705"/>
        <v>0.92195121951219516</v>
      </c>
      <c r="R3038" s="182">
        <f t="shared" si="3706"/>
        <v>0</v>
      </c>
      <c r="S3038" s="183">
        <f t="shared" si="3707"/>
        <v>4.8780487804878049E-3</v>
      </c>
      <c r="T3038" s="183">
        <f t="shared" si="3708"/>
        <v>5.8536585365853662E-2</v>
      </c>
      <c r="U3038" s="184">
        <f t="shared" si="3709"/>
        <v>0.98536585365853668</v>
      </c>
      <c r="V3038" s="386"/>
    </row>
    <row r="3039" spans="2:22" ht="15.75" hidden="1" x14ac:dyDescent="0.2">
      <c r="B3039" s="711">
        <v>46276</v>
      </c>
      <c r="C3039" s="711" t="s">
        <v>105</v>
      </c>
      <c r="D3039" s="711" t="s">
        <v>13</v>
      </c>
      <c r="E3039" s="711">
        <v>46277</v>
      </c>
      <c r="G3039" s="817"/>
      <c r="H3039" s="497" t="s">
        <v>17</v>
      </c>
      <c r="I3039" s="60" t="s">
        <v>105</v>
      </c>
      <c r="J3039" s="60">
        <v>165</v>
      </c>
      <c r="K3039" s="60">
        <v>64</v>
      </c>
      <c r="L3039" s="60">
        <v>35</v>
      </c>
      <c r="M3039" s="60">
        <v>7</v>
      </c>
      <c r="N3039" s="494">
        <v>31</v>
      </c>
      <c r="O3039" s="60">
        <v>31</v>
      </c>
      <c r="P3039" s="494">
        <v>3</v>
      </c>
      <c r="Q3039" s="182">
        <f t="shared" ref="Q3039" si="3710">(K3039+L3039)/J3039</f>
        <v>0.6</v>
      </c>
      <c r="R3039" s="182">
        <f t="shared" ref="R3039" si="3711">N3039/J3039</f>
        <v>0.18787878787878787</v>
      </c>
      <c r="S3039" s="183">
        <f t="shared" ref="S3039" si="3712">P3039/J3039</f>
        <v>1.8181818181818181E-2</v>
      </c>
      <c r="T3039" s="183">
        <f t="shared" ref="T3039" si="3713">O3039/J3039</f>
        <v>0.18787878787878787</v>
      </c>
      <c r="U3039" s="184">
        <f t="shared" ref="U3039" si="3714">S3039+R3039+Q3039+T3039</f>
        <v>0.9939393939393939</v>
      </c>
      <c r="V3039" s="386"/>
    </row>
    <row r="3040" spans="2:22" ht="15.75" hidden="1" x14ac:dyDescent="0.2">
      <c r="B3040" s="711">
        <v>46276</v>
      </c>
      <c r="C3040" s="711" t="s">
        <v>105</v>
      </c>
      <c r="D3040" s="711" t="s">
        <v>13</v>
      </c>
      <c r="E3040" s="711">
        <v>46278</v>
      </c>
      <c r="G3040" s="698">
        <v>46278</v>
      </c>
      <c r="H3040" s="497" t="s">
        <v>25</v>
      </c>
      <c r="I3040" s="60" t="s">
        <v>105</v>
      </c>
      <c r="J3040" s="60">
        <v>204</v>
      </c>
      <c r="K3040" s="60">
        <v>4</v>
      </c>
      <c r="L3040" s="60">
        <v>2</v>
      </c>
      <c r="M3040" s="60">
        <v>75</v>
      </c>
      <c r="N3040" s="494">
        <v>91</v>
      </c>
      <c r="O3040" s="60">
        <v>25</v>
      </c>
      <c r="P3040" s="494">
        <v>7</v>
      </c>
      <c r="Q3040" s="182">
        <f t="shared" ref="Q3040" si="3715">(K3040+L3040)/J3040</f>
        <v>2.9411764705882353E-2</v>
      </c>
      <c r="R3040" s="182">
        <f t="shared" ref="R3040" si="3716">N3040/J3040</f>
        <v>0.44607843137254904</v>
      </c>
      <c r="S3040" s="183">
        <f t="shared" ref="S3040" si="3717">P3040/J3040</f>
        <v>3.4313725490196081E-2</v>
      </c>
      <c r="T3040" s="183">
        <f t="shared" ref="T3040" si="3718">O3040/J3040</f>
        <v>0.12254901960784313</v>
      </c>
      <c r="U3040" s="184">
        <f t="shared" ref="U3040" si="3719">S3040+R3040+Q3040+T3040</f>
        <v>0.63235294117647056</v>
      </c>
      <c r="V3040" s="386"/>
    </row>
    <row r="3041" spans="2:22" ht="15.75" hidden="1" x14ac:dyDescent="0.2">
      <c r="B3041" s="711">
        <v>46276</v>
      </c>
      <c r="C3041" s="711" t="s">
        <v>105</v>
      </c>
      <c r="D3041" s="711" t="s">
        <v>13</v>
      </c>
      <c r="E3041" s="711">
        <v>46279</v>
      </c>
      <c r="G3041" s="699">
        <v>46279</v>
      </c>
      <c r="H3041" s="497" t="s">
        <v>120</v>
      </c>
      <c r="I3041" s="60" t="s">
        <v>106</v>
      </c>
      <c r="J3041" s="60">
        <v>26</v>
      </c>
      <c r="K3041" s="60">
        <v>0</v>
      </c>
      <c r="L3041" s="60">
        <v>0</v>
      </c>
      <c r="M3041" s="60">
        <v>0</v>
      </c>
      <c r="N3041" s="494">
        <v>26</v>
      </c>
      <c r="O3041" s="60">
        <v>0</v>
      </c>
      <c r="P3041" s="494">
        <v>0</v>
      </c>
      <c r="Q3041" s="182">
        <f t="shared" si="3705"/>
        <v>0</v>
      </c>
      <c r="R3041" s="182">
        <f t="shared" si="3706"/>
        <v>1</v>
      </c>
      <c r="S3041" s="183">
        <f t="shared" si="3707"/>
        <v>0</v>
      </c>
      <c r="T3041" s="183">
        <f t="shared" si="3708"/>
        <v>0</v>
      </c>
      <c r="U3041" s="184">
        <f t="shared" si="3709"/>
        <v>1</v>
      </c>
      <c r="V3041" s="386"/>
    </row>
    <row r="3042" spans="2:22" ht="15.75" hidden="1" x14ac:dyDescent="0.2">
      <c r="B3042" s="711">
        <v>46276</v>
      </c>
      <c r="C3042" s="711" t="s">
        <v>105</v>
      </c>
      <c r="D3042" s="711" t="s">
        <v>13</v>
      </c>
      <c r="E3042" s="711">
        <v>46276</v>
      </c>
      <c r="G3042" s="775" t="s">
        <v>19</v>
      </c>
      <c r="H3042" s="776"/>
      <c r="I3042" s="777"/>
      <c r="J3042" s="190">
        <f t="shared" ref="J3042:P3042" si="3720">SUM(J3031:J3041)</f>
        <v>2630</v>
      </c>
      <c r="K3042" s="190">
        <f t="shared" si="3720"/>
        <v>699</v>
      </c>
      <c r="L3042" s="190">
        <f t="shared" si="3720"/>
        <v>299</v>
      </c>
      <c r="M3042" s="190">
        <f t="shared" si="3720"/>
        <v>388</v>
      </c>
      <c r="N3042" s="190">
        <f t="shared" si="3720"/>
        <v>877</v>
      </c>
      <c r="O3042" s="190">
        <f t="shared" si="3720"/>
        <v>312</v>
      </c>
      <c r="P3042" s="190">
        <f t="shared" si="3720"/>
        <v>61</v>
      </c>
      <c r="Q3042" s="481">
        <f>(K3042+L3042)/J3042</f>
        <v>0.379467680608365</v>
      </c>
      <c r="R3042" s="481">
        <f>N3042/J3042</f>
        <v>0.33346007604562738</v>
      </c>
      <c r="S3042" s="482">
        <f t="shared" si="3707"/>
        <v>2.3193916349809884E-2</v>
      </c>
      <c r="T3042" s="482">
        <f t="shared" si="3708"/>
        <v>0.11863117870722434</v>
      </c>
      <c r="U3042" s="483">
        <f t="shared" si="3709"/>
        <v>0.85475285171102655</v>
      </c>
      <c r="V3042" s="479"/>
    </row>
    <row r="3043" spans="2:22" ht="15.75" hidden="1" x14ac:dyDescent="0.2">
      <c r="B3043" s="711">
        <v>46277</v>
      </c>
      <c r="C3043" s="711" t="s">
        <v>106</v>
      </c>
      <c r="D3043" s="711" t="s">
        <v>189</v>
      </c>
      <c r="E3043" s="711">
        <v>46277</v>
      </c>
      <c r="G3043" s="778">
        <v>46277</v>
      </c>
      <c r="H3043" s="497" t="s">
        <v>16</v>
      </c>
      <c r="I3043" s="60" t="s">
        <v>100</v>
      </c>
      <c r="J3043" s="60">
        <f>SUM(K3043:P3043)</f>
        <v>83</v>
      </c>
      <c r="K3043" s="60">
        <v>38</v>
      </c>
      <c r="L3043" s="60">
        <v>22</v>
      </c>
      <c r="M3043" s="60">
        <v>0</v>
      </c>
      <c r="N3043" s="494">
        <v>3</v>
      </c>
      <c r="O3043" s="60">
        <v>20</v>
      </c>
      <c r="P3043" s="494">
        <v>0</v>
      </c>
      <c r="Q3043" s="182">
        <f t="shared" ref="Q3043:Q3052" si="3721">(K3043+L3043)/J3043</f>
        <v>0.72289156626506024</v>
      </c>
      <c r="R3043" s="182">
        <f t="shared" ref="R3043:R3052" si="3722">N3043/J3043</f>
        <v>3.614457831325301E-2</v>
      </c>
      <c r="S3043" s="183">
        <f t="shared" si="3707"/>
        <v>0</v>
      </c>
      <c r="T3043" s="183">
        <f t="shared" si="3708"/>
        <v>0.24096385542168675</v>
      </c>
      <c r="U3043" s="184">
        <f t="shared" si="3709"/>
        <v>1</v>
      </c>
      <c r="V3043" s="386"/>
    </row>
    <row r="3044" spans="2:22" ht="15.75" hidden="1" x14ac:dyDescent="0.2">
      <c r="B3044" s="711">
        <v>46277</v>
      </c>
      <c r="C3044" s="711" t="s">
        <v>106</v>
      </c>
      <c r="D3044" s="711" t="s">
        <v>189</v>
      </c>
      <c r="E3044" s="711">
        <v>46277</v>
      </c>
      <c r="G3044" s="786"/>
      <c r="H3044" s="497" t="s">
        <v>14</v>
      </c>
      <c r="I3044" s="60" t="s">
        <v>106</v>
      </c>
      <c r="J3044" s="60">
        <f t="shared" ref="J3044:J3049" si="3723">SUM(K3044:P3044)</f>
        <v>53</v>
      </c>
      <c r="K3044" s="60">
        <v>47</v>
      </c>
      <c r="L3044" s="60">
        <v>5</v>
      </c>
      <c r="M3044" s="60">
        <v>0</v>
      </c>
      <c r="N3044" s="494">
        <v>0</v>
      </c>
      <c r="O3044" s="60">
        <v>0</v>
      </c>
      <c r="P3044" s="494">
        <v>1</v>
      </c>
      <c r="Q3044" s="182">
        <f t="shared" si="3721"/>
        <v>0.98113207547169812</v>
      </c>
      <c r="R3044" s="182">
        <f t="shared" si="3722"/>
        <v>0</v>
      </c>
      <c r="S3044" s="183">
        <f t="shared" si="3707"/>
        <v>1.8867924528301886E-2</v>
      </c>
      <c r="T3044" s="183">
        <f t="shared" si="3708"/>
        <v>0</v>
      </c>
      <c r="U3044" s="184">
        <f t="shared" si="3709"/>
        <v>1</v>
      </c>
      <c r="V3044" s="386"/>
    </row>
    <row r="3045" spans="2:22" ht="15.75" hidden="1" x14ac:dyDescent="0.2">
      <c r="B3045" s="711">
        <v>46277</v>
      </c>
      <c r="C3045" s="711" t="s">
        <v>106</v>
      </c>
      <c r="D3045" s="711" t="s">
        <v>189</v>
      </c>
      <c r="E3045" s="711">
        <v>46277</v>
      </c>
      <c r="G3045" s="786"/>
      <c r="H3045" s="497" t="s">
        <v>180</v>
      </c>
      <c r="I3045" s="60" t="s">
        <v>106</v>
      </c>
      <c r="J3045" s="60">
        <f t="shared" si="3723"/>
        <v>25</v>
      </c>
      <c r="K3045" s="60">
        <v>15</v>
      </c>
      <c r="L3045" s="60">
        <v>0</v>
      </c>
      <c r="M3045" s="60">
        <v>10</v>
      </c>
      <c r="N3045" s="494">
        <v>0</v>
      </c>
      <c r="O3045" s="60">
        <v>0</v>
      </c>
      <c r="P3045" s="494">
        <v>0</v>
      </c>
      <c r="Q3045" s="182">
        <f t="shared" si="3721"/>
        <v>0.6</v>
      </c>
      <c r="R3045" s="182">
        <f t="shared" si="3722"/>
        <v>0</v>
      </c>
      <c r="S3045" s="183">
        <f t="shared" si="3707"/>
        <v>0</v>
      </c>
      <c r="T3045" s="183">
        <f t="shared" si="3708"/>
        <v>0</v>
      </c>
      <c r="U3045" s="184">
        <f t="shared" si="3709"/>
        <v>0.6</v>
      </c>
      <c r="V3045" s="386"/>
    </row>
    <row r="3046" spans="2:22" ht="15.75" hidden="1" x14ac:dyDescent="0.2">
      <c r="B3046" s="711">
        <v>46277</v>
      </c>
      <c r="C3046" s="711" t="s">
        <v>106</v>
      </c>
      <c r="D3046" s="711" t="s">
        <v>189</v>
      </c>
      <c r="E3046" s="711">
        <v>46277</v>
      </c>
      <c r="G3046" s="786"/>
      <c r="H3046" s="497" t="s">
        <v>120</v>
      </c>
      <c r="I3046" s="60" t="s">
        <v>106</v>
      </c>
      <c r="J3046" s="60">
        <f t="shared" si="3723"/>
        <v>37</v>
      </c>
      <c r="K3046" s="60">
        <v>37</v>
      </c>
      <c r="L3046" s="60">
        <v>0</v>
      </c>
      <c r="M3046" s="60">
        <v>0</v>
      </c>
      <c r="N3046" s="494">
        <v>0</v>
      </c>
      <c r="O3046" s="60">
        <v>0</v>
      </c>
      <c r="P3046" s="494">
        <v>0</v>
      </c>
      <c r="Q3046" s="182">
        <f t="shared" si="3721"/>
        <v>1</v>
      </c>
      <c r="R3046" s="182">
        <f t="shared" si="3722"/>
        <v>0</v>
      </c>
      <c r="S3046" s="183">
        <f t="shared" si="3707"/>
        <v>0</v>
      </c>
      <c r="T3046" s="183">
        <f t="shared" si="3708"/>
        <v>0</v>
      </c>
      <c r="U3046" s="184">
        <f t="shared" si="3709"/>
        <v>1</v>
      </c>
      <c r="V3046" s="386"/>
    </row>
    <row r="3047" spans="2:22" ht="15.75" hidden="1" x14ac:dyDescent="0.2">
      <c r="B3047" s="711">
        <v>46277</v>
      </c>
      <c r="C3047" s="711" t="s">
        <v>106</v>
      </c>
      <c r="D3047" s="711" t="s">
        <v>189</v>
      </c>
      <c r="E3047" s="711">
        <v>46277</v>
      </c>
      <c r="G3047" s="786"/>
      <c r="H3047" s="497" t="s">
        <v>118</v>
      </c>
      <c r="I3047" s="60" t="s">
        <v>106</v>
      </c>
      <c r="J3047" s="60">
        <f t="shared" si="3723"/>
        <v>5</v>
      </c>
      <c r="K3047" s="60">
        <v>5</v>
      </c>
      <c r="L3047" s="60">
        <v>0</v>
      </c>
      <c r="M3047" s="60">
        <v>0</v>
      </c>
      <c r="N3047" s="494">
        <v>0</v>
      </c>
      <c r="O3047" s="60">
        <v>0</v>
      </c>
      <c r="P3047" s="494">
        <v>0</v>
      </c>
      <c r="Q3047" s="182">
        <f t="shared" ref="Q3047" si="3724">(K3047+L3047)/J3047</f>
        <v>1</v>
      </c>
      <c r="R3047" s="182">
        <f t="shared" ref="R3047" si="3725">N3047/J3047</f>
        <v>0</v>
      </c>
      <c r="S3047" s="183">
        <f t="shared" ref="S3047" si="3726">P3047/J3047</f>
        <v>0</v>
      </c>
      <c r="T3047" s="183">
        <f t="shared" ref="T3047" si="3727">O3047/J3047</f>
        <v>0</v>
      </c>
      <c r="U3047" s="184">
        <f t="shared" ref="U3047" si="3728">S3047+R3047+Q3047+T3047</f>
        <v>1</v>
      </c>
      <c r="V3047" s="386"/>
    </row>
    <row r="3048" spans="2:22" ht="15.75" hidden="1" x14ac:dyDescent="0.2">
      <c r="B3048" s="711">
        <v>46277</v>
      </c>
      <c r="C3048" s="711" t="s">
        <v>106</v>
      </c>
      <c r="D3048" s="711" t="s">
        <v>189</v>
      </c>
      <c r="E3048" s="711">
        <v>46277</v>
      </c>
      <c r="G3048" s="786"/>
      <c r="H3048" s="497" t="s">
        <v>17</v>
      </c>
      <c r="I3048" s="60" t="s">
        <v>105</v>
      </c>
      <c r="J3048" s="60">
        <f t="shared" si="3723"/>
        <v>86</v>
      </c>
      <c r="K3048" s="60">
        <v>36</v>
      </c>
      <c r="L3048" s="60">
        <v>17</v>
      </c>
      <c r="M3048" s="60">
        <v>0</v>
      </c>
      <c r="N3048" s="494">
        <v>0</v>
      </c>
      <c r="O3048" s="60">
        <v>29</v>
      </c>
      <c r="P3048" s="494">
        <v>4</v>
      </c>
      <c r="Q3048" s="182">
        <f t="shared" si="3721"/>
        <v>0.61627906976744184</v>
      </c>
      <c r="R3048" s="182">
        <f t="shared" si="3722"/>
        <v>0</v>
      </c>
      <c r="S3048" s="183">
        <f t="shared" si="3707"/>
        <v>4.6511627906976744E-2</v>
      </c>
      <c r="T3048" s="183">
        <f t="shared" si="3708"/>
        <v>0.33720930232558138</v>
      </c>
      <c r="U3048" s="184">
        <f t="shared" si="3709"/>
        <v>1</v>
      </c>
      <c r="V3048" s="386"/>
    </row>
    <row r="3049" spans="2:22" ht="15.75" hidden="1" x14ac:dyDescent="0.2">
      <c r="B3049" s="711">
        <v>46277</v>
      </c>
      <c r="C3049" s="711" t="s">
        <v>106</v>
      </c>
      <c r="D3049" s="711" t="s">
        <v>189</v>
      </c>
      <c r="E3049" s="711">
        <v>46277</v>
      </c>
      <c r="G3049" s="779"/>
      <c r="H3049" s="497" t="s">
        <v>25</v>
      </c>
      <c r="I3049" s="60" t="s">
        <v>105</v>
      </c>
      <c r="J3049" s="60">
        <f t="shared" si="3723"/>
        <v>18</v>
      </c>
      <c r="K3049" s="60">
        <v>10</v>
      </c>
      <c r="L3049" s="60">
        <v>8</v>
      </c>
      <c r="M3049" s="60">
        <v>0</v>
      </c>
      <c r="N3049" s="494">
        <v>0</v>
      </c>
      <c r="O3049" s="60">
        <v>0</v>
      </c>
      <c r="P3049" s="494">
        <v>0</v>
      </c>
      <c r="Q3049" s="182">
        <f t="shared" si="3721"/>
        <v>1</v>
      </c>
      <c r="R3049" s="182">
        <f t="shared" si="3722"/>
        <v>0</v>
      </c>
      <c r="S3049" s="183">
        <f t="shared" si="3707"/>
        <v>0</v>
      </c>
      <c r="T3049" s="183">
        <f t="shared" si="3708"/>
        <v>0</v>
      </c>
      <c r="U3049" s="184">
        <f t="shared" si="3709"/>
        <v>1</v>
      </c>
      <c r="V3049" s="386"/>
    </row>
    <row r="3050" spans="2:22" ht="15.75" hidden="1" x14ac:dyDescent="0.2">
      <c r="B3050" s="711">
        <v>46277</v>
      </c>
      <c r="C3050" s="711" t="s">
        <v>106</v>
      </c>
      <c r="D3050" s="711" t="s">
        <v>189</v>
      </c>
      <c r="E3050" s="711">
        <v>46278</v>
      </c>
      <c r="G3050" s="700">
        <v>46278</v>
      </c>
      <c r="H3050" s="497" t="s">
        <v>25</v>
      </c>
      <c r="I3050" s="60" t="s">
        <v>105</v>
      </c>
      <c r="J3050" s="60">
        <v>180</v>
      </c>
      <c r="K3050" s="60">
        <v>0</v>
      </c>
      <c r="L3050" s="60">
        <v>0</v>
      </c>
      <c r="M3050" s="60">
        <v>12</v>
      </c>
      <c r="N3050" s="494">
        <v>136</v>
      </c>
      <c r="O3050" s="60">
        <v>25</v>
      </c>
      <c r="P3050" s="494">
        <v>7</v>
      </c>
      <c r="Q3050" s="182">
        <f t="shared" si="3721"/>
        <v>0</v>
      </c>
      <c r="R3050" s="182">
        <f t="shared" si="3722"/>
        <v>0.75555555555555554</v>
      </c>
      <c r="S3050" s="183">
        <f t="shared" si="3707"/>
        <v>3.888888888888889E-2</v>
      </c>
      <c r="T3050" s="183">
        <f t="shared" si="3708"/>
        <v>0.1388888888888889</v>
      </c>
      <c r="U3050" s="184">
        <f t="shared" si="3709"/>
        <v>0.93333333333333335</v>
      </c>
      <c r="V3050" s="386"/>
    </row>
    <row r="3051" spans="2:22" ht="15.75" hidden="1" x14ac:dyDescent="0.2">
      <c r="B3051" s="711">
        <v>46277</v>
      </c>
      <c r="C3051" s="711" t="s">
        <v>106</v>
      </c>
      <c r="D3051" s="711" t="s">
        <v>189</v>
      </c>
      <c r="E3051" s="711">
        <v>46278</v>
      </c>
      <c r="G3051" s="770">
        <v>46279</v>
      </c>
      <c r="H3051" s="497" t="s">
        <v>16</v>
      </c>
      <c r="I3051" s="60" t="s">
        <v>100</v>
      </c>
      <c r="J3051" s="60">
        <v>230</v>
      </c>
      <c r="K3051" s="60">
        <v>0</v>
      </c>
      <c r="L3051" s="60">
        <v>0</v>
      </c>
      <c r="M3051" s="60">
        <v>4</v>
      </c>
      <c r="N3051" s="494">
        <v>203</v>
      </c>
      <c r="O3051" s="60">
        <v>20</v>
      </c>
      <c r="P3051" s="494">
        <v>3</v>
      </c>
      <c r="Q3051" s="182">
        <f t="shared" si="3721"/>
        <v>0</v>
      </c>
      <c r="R3051" s="182">
        <f t="shared" si="3722"/>
        <v>0.88260869565217392</v>
      </c>
      <c r="S3051" s="183">
        <f t="shared" si="3707"/>
        <v>1.3043478260869565E-2</v>
      </c>
      <c r="T3051" s="183">
        <f t="shared" si="3708"/>
        <v>8.6956521739130432E-2</v>
      </c>
      <c r="U3051" s="184">
        <f t="shared" si="3709"/>
        <v>0.98260869565217401</v>
      </c>
      <c r="V3051" s="386"/>
    </row>
    <row r="3052" spans="2:22" ht="15.75" hidden="1" x14ac:dyDescent="0.2">
      <c r="B3052" s="711">
        <v>46277</v>
      </c>
      <c r="C3052" s="711" t="s">
        <v>106</v>
      </c>
      <c r="D3052" s="711" t="s">
        <v>189</v>
      </c>
      <c r="E3052" s="711">
        <v>46278</v>
      </c>
      <c r="G3052" s="772"/>
      <c r="H3052" s="497" t="s">
        <v>32</v>
      </c>
      <c r="I3052" s="60" t="s">
        <v>105</v>
      </c>
      <c r="J3052" s="60">
        <v>255</v>
      </c>
      <c r="K3052" s="60">
        <v>0</v>
      </c>
      <c r="L3052" s="60">
        <v>0</v>
      </c>
      <c r="M3052" s="60">
        <v>176</v>
      </c>
      <c r="N3052" s="494">
        <v>46</v>
      </c>
      <c r="O3052" s="60">
        <v>19</v>
      </c>
      <c r="P3052" s="494">
        <v>20</v>
      </c>
      <c r="Q3052" s="182">
        <f t="shared" si="3721"/>
        <v>0</v>
      </c>
      <c r="R3052" s="182">
        <f t="shared" si="3722"/>
        <v>0.1803921568627451</v>
      </c>
      <c r="S3052" s="183">
        <f t="shared" si="3707"/>
        <v>7.8431372549019607E-2</v>
      </c>
      <c r="T3052" s="183">
        <f t="shared" si="3708"/>
        <v>7.4509803921568626E-2</v>
      </c>
      <c r="U3052" s="184">
        <f t="shared" si="3709"/>
        <v>0.33333333333333331</v>
      </c>
      <c r="V3052" s="386"/>
    </row>
    <row r="3053" spans="2:22" ht="15.75" hidden="1" x14ac:dyDescent="0.2">
      <c r="B3053" s="711">
        <v>46277</v>
      </c>
      <c r="C3053" s="711" t="s">
        <v>106</v>
      </c>
      <c r="D3053" s="711" t="s">
        <v>189</v>
      </c>
      <c r="E3053" s="711">
        <v>46277</v>
      </c>
      <c r="G3053" s="775" t="s">
        <v>19</v>
      </c>
      <c r="H3053" s="776"/>
      <c r="I3053" s="777"/>
      <c r="J3053" s="190">
        <f t="shared" ref="J3053:P3053" si="3729">SUM(J3043:J3052)</f>
        <v>972</v>
      </c>
      <c r="K3053" s="190">
        <f t="shared" si="3729"/>
        <v>188</v>
      </c>
      <c r="L3053" s="190">
        <f t="shared" si="3729"/>
        <v>52</v>
      </c>
      <c r="M3053" s="190">
        <f t="shared" si="3729"/>
        <v>202</v>
      </c>
      <c r="N3053" s="190">
        <f t="shared" si="3729"/>
        <v>388</v>
      </c>
      <c r="O3053" s="190">
        <f t="shared" si="3729"/>
        <v>113</v>
      </c>
      <c r="P3053" s="190">
        <f t="shared" si="3729"/>
        <v>35</v>
      </c>
      <c r="Q3053" s="481">
        <f>(K3053+L3053)/J3053</f>
        <v>0.24691358024691357</v>
      </c>
      <c r="R3053" s="481">
        <f>N3053/J3053</f>
        <v>0.3991769547325103</v>
      </c>
      <c r="S3053" s="482">
        <f t="shared" si="3707"/>
        <v>3.60082304526749E-2</v>
      </c>
      <c r="T3053" s="482">
        <f t="shared" si="3708"/>
        <v>0.11625514403292181</v>
      </c>
      <c r="U3053" s="483">
        <f t="shared" si="3709"/>
        <v>0.79835390946502061</v>
      </c>
      <c r="V3053" s="479"/>
    </row>
    <row r="3054" spans="2:22" ht="15.75" hidden="1" x14ac:dyDescent="0.2">
      <c r="B3054" s="711">
        <v>46277</v>
      </c>
      <c r="C3054" s="711" t="s">
        <v>105</v>
      </c>
      <c r="D3054" s="711" t="s">
        <v>13</v>
      </c>
      <c r="E3054" s="711">
        <v>46277</v>
      </c>
      <c r="G3054" s="816">
        <v>46277</v>
      </c>
      <c r="H3054" s="497" t="s">
        <v>16</v>
      </c>
      <c r="I3054" s="60" t="s">
        <v>100</v>
      </c>
      <c r="J3054" s="60">
        <v>218</v>
      </c>
      <c r="K3054" s="60">
        <f>218-98</f>
        <v>120</v>
      </c>
      <c r="L3054" s="60">
        <v>77</v>
      </c>
      <c r="M3054" s="60">
        <v>0</v>
      </c>
      <c r="N3054" s="494">
        <v>0</v>
      </c>
      <c r="O3054" s="60">
        <v>20</v>
      </c>
      <c r="P3054" s="494">
        <v>1</v>
      </c>
      <c r="Q3054" s="182">
        <f t="shared" ref="Q3054:Q3057" si="3730">(K3054+L3054)/J3054</f>
        <v>0.90366972477064222</v>
      </c>
      <c r="R3054" s="182">
        <f t="shared" ref="R3054:R3057" si="3731">N3054/J3054</f>
        <v>0</v>
      </c>
      <c r="S3054" s="183">
        <f t="shared" ref="S3054:S3062" si="3732">P3054/J3054</f>
        <v>4.5871559633027525E-3</v>
      </c>
      <c r="T3054" s="183">
        <f t="shared" ref="T3054:T3062" si="3733">O3054/J3054</f>
        <v>9.1743119266055051E-2</v>
      </c>
      <c r="U3054" s="184">
        <f t="shared" ref="U3054:U3062" si="3734">S3054+R3054+Q3054+T3054</f>
        <v>1</v>
      </c>
      <c r="V3054" s="386"/>
    </row>
    <row r="3055" spans="2:22" ht="15.75" hidden="1" x14ac:dyDescent="0.2">
      <c r="B3055" s="711">
        <v>46277</v>
      </c>
      <c r="C3055" s="711" t="s">
        <v>105</v>
      </c>
      <c r="D3055" s="711" t="s">
        <v>13</v>
      </c>
      <c r="E3055" s="711">
        <v>46277</v>
      </c>
      <c r="G3055" s="817"/>
      <c r="H3055" s="497" t="s">
        <v>17</v>
      </c>
      <c r="I3055" s="60" t="s">
        <v>105</v>
      </c>
      <c r="J3055" s="60">
        <v>165</v>
      </c>
      <c r="K3055" s="60">
        <v>96</v>
      </c>
      <c r="L3055" s="60">
        <v>35</v>
      </c>
      <c r="M3055" s="60">
        <v>0</v>
      </c>
      <c r="N3055" s="494">
        <v>0</v>
      </c>
      <c r="O3055" s="60">
        <v>31</v>
      </c>
      <c r="P3055" s="494">
        <v>3</v>
      </c>
      <c r="Q3055" s="182">
        <f t="shared" si="3730"/>
        <v>0.79393939393939394</v>
      </c>
      <c r="R3055" s="182">
        <f t="shared" si="3731"/>
        <v>0</v>
      </c>
      <c r="S3055" s="183">
        <f t="shared" si="3732"/>
        <v>1.8181818181818181E-2</v>
      </c>
      <c r="T3055" s="183">
        <f t="shared" si="3733"/>
        <v>0.18787878787878787</v>
      </c>
      <c r="U3055" s="184">
        <f t="shared" si="3734"/>
        <v>1</v>
      </c>
      <c r="V3055" s="386"/>
    </row>
    <row r="3056" spans="2:22" ht="21.75" hidden="1" customHeight="1" x14ac:dyDescent="0.2">
      <c r="B3056" s="711">
        <v>46277</v>
      </c>
      <c r="C3056" s="711" t="s">
        <v>105</v>
      </c>
      <c r="D3056" s="711" t="s">
        <v>13</v>
      </c>
      <c r="E3056" s="711">
        <v>46278</v>
      </c>
      <c r="G3056" s="697">
        <v>46278</v>
      </c>
      <c r="H3056" s="497" t="s">
        <v>25</v>
      </c>
      <c r="I3056" s="60" t="s">
        <v>105</v>
      </c>
      <c r="J3056" s="60">
        <v>204</v>
      </c>
      <c r="K3056" s="60">
        <f>204-72</f>
        <v>132</v>
      </c>
      <c r="L3056" s="60">
        <v>36</v>
      </c>
      <c r="M3056" s="60">
        <v>0</v>
      </c>
      <c r="N3056" s="494">
        <v>0</v>
      </c>
      <c r="O3056" s="60">
        <v>25</v>
      </c>
      <c r="P3056" s="494">
        <v>11</v>
      </c>
      <c r="Q3056" s="182">
        <f t="shared" si="3730"/>
        <v>0.82352941176470584</v>
      </c>
      <c r="R3056" s="182">
        <f t="shared" si="3731"/>
        <v>0</v>
      </c>
      <c r="S3056" s="183">
        <f t="shared" si="3732"/>
        <v>5.3921568627450983E-2</v>
      </c>
      <c r="T3056" s="183">
        <f t="shared" si="3733"/>
        <v>0.12254901960784313</v>
      </c>
      <c r="U3056" s="184">
        <f t="shared" si="3734"/>
        <v>1</v>
      </c>
      <c r="V3056" s="386"/>
    </row>
    <row r="3057" spans="2:22" ht="15.75" hidden="1" x14ac:dyDescent="0.2">
      <c r="B3057" s="711">
        <v>46277</v>
      </c>
      <c r="C3057" s="711" t="s">
        <v>105</v>
      </c>
      <c r="D3057" s="711" t="s">
        <v>13</v>
      </c>
      <c r="E3057" s="711">
        <v>46279</v>
      </c>
      <c r="G3057" s="782">
        <v>46279</v>
      </c>
      <c r="H3057" s="497" t="s">
        <v>16</v>
      </c>
      <c r="I3057" s="60" t="s">
        <v>100</v>
      </c>
      <c r="J3057" s="60">
        <v>230</v>
      </c>
      <c r="K3057" s="60">
        <f>230-116</f>
        <v>114</v>
      </c>
      <c r="L3057" s="60">
        <v>78</v>
      </c>
      <c r="M3057" s="60">
        <v>5</v>
      </c>
      <c r="N3057" s="494">
        <v>11</v>
      </c>
      <c r="O3057" s="60">
        <v>20</v>
      </c>
      <c r="P3057" s="494">
        <v>2</v>
      </c>
      <c r="Q3057" s="182">
        <f t="shared" si="3730"/>
        <v>0.83478260869565213</v>
      </c>
      <c r="R3057" s="182">
        <f t="shared" si="3731"/>
        <v>4.7826086956521741E-2</v>
      </c>
      <c r="S3057" s="183">
        <f t="shared" si="3732"/>
        <v>8.6956521739130436E-3</v>
      </c>
      <c r="T3057" s="183">
        <f t="shared" si="3733"/>
        <v>8.6956521739130432E-2</v>
      </c>
      <c r="U3057" s="184">
        <f t="shared" si="3734"/>
        <v>0.97826086956521729</v>
      </c>
      <c r="V3057" s="386"/>
    </row>
    <row r="3058" spans="2:22" ht="15.75" hidden="1" x14ac:dyDescent="0.2">
      <c r="B3058" s="711">
        <v>46277</v>
      </c>
      <c r="C3058" s="711" t="s">
        <v>105</v>
      </c>
      <c r="D3058" s="711" t="s">
        <v>13</v>
      </c>
      <c r="E3058" s="711">
        <v>46279</v>
      </c>
      <c r="G3058" s="783"/>
      <c r="H3058" s="497" t="s">
        <v>209</v>
      </c>
      <c r="I3058" s="60" t="s">
        <v>106</v>
      </c>
      <c r="J3058" s="194">
        <v>243</v>
      </c>
      <c r="K3058" s="194">
        <v>0</v>
      </c>
      <c r="L3058" s="194">
        <v>0</v>
      </c>
      <c r="M3058" s="194">
        <v>122</v>
      </c>
      <c r="N3058" s="538">
        <v>119</v>
      </c>
      <c r="O3058" s="194">
        <v>0</v>
      </c>
      <c r="P3058" s="538">
        <v>2</v>
      </c>
      <c r="Q3058" s="182">
        <f t="shared" ref="Q3058:Q3061" si="3735">(K3058+L3058)/J3058</f>
        <v>0</v>
      </c>
      <c r="R3058" s="182">
        <f t="shared" ref="R3058:R3061" si="3736">N3058/J3058</f>
        <v>0.48971193415637859</v>
      </c>
      <c r="S3058" s="183">
        <f t="shared" ref="S3058:S3061" si="3737">P3058/J3058</f>
        <v>8.23045267489712E-3</v>
      </c>
      <c r="T3058" s="183">
        <f t="shared" ref="T3058:T3061" si="3738">O3058/J3058</f>
        <v>0</v>
      </c>
      <c r="U3058" s="184">
        <f t="shared" ref="U3058:U3061" si="3739">S3058+R3058+Q3058+T3058</f>
        <v>0.49794238683127573</v>
      </c>
      <c r="V3058" s="386"/>
    </row>
    <row r="3059" spans="2:22" ht="15.75" hidden="1" x14ac:dyDescent="0.2">
      <c r="B3059" s="711">
        <v>46277</v>
      </c>
      <c r="C3059" s="711" t="s">
        <v>105</v>
      </c>
      <c r="D3059" s="711" t="s">
        <v>13</v>
      </c>
      <c r="E3059" s="711">
        <v>46279</v>
      </c>
      <c r="G3059" s="783"/>
      <c r="H3059" s="497" t="s">
        <v>14</v>
      </c>
      <c r="I3059" s="60" t="s">
        <v>106</v>
      </c>
      <c r="J3059" s="194">
        <v>204</v>
      </c>
      <c r="K3059" s="194">
        <v>3</v>
      </c>
      <c r="L3059" s="194">
        <v>1</v>
      </c>
      <c r="M3059" s="194">
        <v>72</v>
      </c>
      <c r="N3059" s="538">
        <v>112</v>
      </c>
      <c r="O3059" s="194">
        <v>12</v>
      </c>
      <c r="P3059" s="538">
        <v>4</v>
      </c>
      <c r="Q3059" s="182">
        <f t="shared" si="3735"/>
        <v>1.9607843137254902E-2</v>
      </c>
      <c r="R3059" s="182">
        <f t="shared" si="3736"/>
        <v>0.5490196078431373</v>
      </c>
      <c r="S3059" s="183">
        <f t="shared" si="3737"/>
        <v>1.9607843137254902E-2</v>
      </c>
      <c r="T3059" s="183">
        <f t="shared" si="3738"/>
        <v>5.8823529411764705E-2</v>
      </c>
      <c r="U3059" s="184">
        <f t="shared" si="3739"/>
        <v>0.64705882352941191</v>
      </c>
      <c r="V3059" s="386"/>
    </row>
    <row r="3060" spans="2:22" ht="15.75" hidden="1" x14ac:dyDescent="0.2">
      <c r="B3060" s="711">
        <v>46277</v>
      </c>
      <c r="C3060" s="711" t="s">
        <v>105</v>
      </c>
      <c r="D3060" s="711" t="s">
        <v>13</v>
      </c>
      <c r="E3060" s="711">
        <v>46279</v>
      </c>
      <c r="G3060" s="783"/>
      <c r="H3060" s="497" t="s">
        <v>32</v>
      </c>
      <c r="I3060" s="60" t="s">
        <v>105</v>
      </c>
      <c r="J3060" s="194">
        <v>255</v>
      </c>
      <c r="K3060" s="194">
        <v>122</v>
      </c>
      <c r="L3060" s="194">
        <v>23</v>
      </c>
      <c r="M3060" s="194">
        <v>67</v>
      </c>
      <c r="N3060" s="538">
        <v>4</v>
      </c>
      <c r="O3060" s="194">
        <v>20</v>
      </c>
      <c r="P3060" s="538">
        <v>19</v>
      </c>
      <c r="Q3060" s="182">
        <f t="shared" si="3735"/>
        <v>0.56862745098039214</v>
      </c>
      <c r="R3060" s="182">
        <f t="shared" si="3736"/>
        <v>1.5686274509803921E-2</v>
      </c>
      <c r="S3060" s="183">
        <f t="shared" si="3737"/>
        <v>7.4509803921568626E-2</v>
      </c>
      <c r="T3060" s="183">
        <f t="shared" si="3738"/>
        <v>7.8431372549019607E-2</v>
      </c>
      <c r="U3060" s="184">
        <f t="shared" si="3739"/>
        <v>0.73725490196078436</v>
      </c>
      <c r="V3060" s="386"/>
    </row>
    <row r="3061" spans="2:22" ht="15.75" hidden="1" x14ac:dyDescent="0.2">
      <c r="B3061" s="711">
        <v>46277</v>
      </c>
      <c r="C3061" s="711" t="s">
        <v>105</v>
      </c>
      <c r="D3061" s="711" t="s">
        <v>13</v>
      </c>
      <c r="E3061" s="711">
        <v>46279</v>
      </c>
      <c r="G3061" s="818"/>
      <c r="H3061" s="497" t="s">
        <v>118</v>
      </c>
      <c r="I3061" s="60" t="s">
        <v>105</v>
      </c>
      <c r="J3061" s="194">
        <v>232</v>
      </c>
      <c r="K3061" s="194">
        <v>0</v>
      </c>
      <c r="L3061" s="194">
        <v>0</v>
      </c>
      <c r="M3061" s="194">
        <v>201</v>
      </c>
      <c r="N3061" s="538">
        <v>0</v>
      </c>
      <c r="O3061" s="194">
        <v>15</v>
      </c>
      <c r="P3061" s="538">
        <v>16</v>
      </c>
      <c r="Q3061" s="182">
        <f t="shared" si="3735"/>
        <v>0</v>
      </c>
      <c r="R3061" s="182">
        <f t="shared" si="3736"/>
        <v>0</v>
      </c>
      <c r="S3061" s="183">
        <f t="shared" si="3737"/>
        <v>6.8965517241379309E-2</v>
      </c>
      <c r="T3061" s="183">
        <f t="shared" si="3738"/>
        <v>6.4655172413793108E-2</v>
      </c>
      <c r="U3061" s="184">
        <f t="shared" si="3739"/>
        <v>0.13362068965517243</v>
      </c>
      <c r="V3061" s="386"/>
    </row>
    <row r="3062" spans="2:22" ht="15.75" hidden="1" x14ac:dyDescent="0.2">
      <c r="B3062" s="711">
        <v>46277</v>
      </c>
      <c r="C3062" s="711" t="s">
        <v>105</v>
      </c>
      <c r="D3062" s="711" t="s">
        <v>13</v>
      </c>
      <c r="E3062" s="711"/>
      <c r="G3062" s="775" t="s">
        <v>19</v>
      </c>
      <c r="H3062" s="776"/>
      <c r="I3062" s="777"/>
      <c r="J3062" s="190">
        <f>SUM(J3054:J3061)</f>
        <v>1751</v>
      </c>
      <c r="K3062" s="190">
        <f t="shared" ref="K3062:P3062" si="3740">SUM(K3054:K3061)</f>
        <v>587</v>
      </c>
      <c r="L3062" s="190">
        <f t="shared" si="3740"/>
        <v>250</v>
      </c>
      <c r="M3062" s="190">
        <f t="shared" si="3740"/>
        <v>467</v>
      </c>
      <c r="N3062" s="190">
        <f t="shared" si="3740"/>
        <v>246</v>
      </c>
      <c r="O3062" s="190">
        <f t="shared" si="3740"/>
        <v>143</v>
      </c>
      <c r="P3062" s="190">
        <f t="shared" si="3740"/>
        <v>58</v>
      </c>
      <c r="Q3062" s="481">
        <f>(K3062+L3062)/J3062</f>
        <v>0.47801256424900057</v>
      </c>
      <c r="R3062" s="481">
        <f>N3062/J3062</f>
        <v>0.14049114791547687</v>
      </c>
      <c r="S3062" s="482">
        <f t="shared" si="3732"/>
        <v>3.3123929183323818E-2</v>
      </c>
      <c r="T3062" s="482">
        <f t="shared" si="3733"/>
        <v>8.1667618503712167E-2</v>
      </c>
      <c r="U3062" s="483">
        <f t="shared" si="3734"/>
        <v>0.73329525985151345</v>
      </c>
      <c r="V3062" s="479"/>
    </row>
    <row r="3063" spans="2:22" ht="18" hidden="1" customHeight="1" x14ac:dyDescent="0.2">
      <c r="B3063" s="711">
        <v>46278</v>
      </c>
      <c r="C3063" s="711" t="s">
        <v>105</v>
      </c>
      <c r="D3063" s="711" t="s">
        <v>13</v>
      </c>
      <c r="E3063" s="711">
        <v>46278</v>
      </c>
      <c r="G3063" s="697">
        <v>46278</v>
      </c>
      <c r="H3063" s="497" t="s">
        <v>25</v>
      </c>
      <c r="I3063" s="60" t="s">
        <v>105</v>
      </c>
      <c r="J3063" s="60">
        <v>204</v>
      </c>
      <c r="K3063" s="60">
        <v>133</v>
      </c>
      <c r="L3063" s="60">
        <v>37</v>
      </c>
      <c r="M3063" s="60">
        <v>0</v>
      </c>
      <c r="N3063" s="494">
        <v>0</v>
      </c>
      <c r="O3063" s="60">
        <v>25</v>
      </c>
      <c r="P3063" s="494">
        <v>9</v>
      </c>
      <c r="Q3063" s="182">
        <f t="shared" ref="Q3063:Q3068" si="3741">(K3063+L3063)/J3063</f>
        <v>0.83333333333333337</v>
      </c>
      <c r="R3063" s="182">
        <f t="shared" ref="R3063:R3068" si="3742">N3063/J3063</f>
        <v>0</v>
      </c>
      <c r="S3063" s="183">
        <f t="shared" ref="S3063:S3080" si="3743">P3063/J3063</f>
        <v>4.4117647058823532E-2</v>
      </c>
      <c r="T3063" s="183">
        <f t="shared" ref="T3063:T3080" si="3744">O3063/J3063</f>
        <v>0.12254901960784313</v>
      </c>
      <c r="U3063" s="184">
        <f t="shared" ref="U3063:U3080" si="3745">S3063+R3063+Q3063+T3063</f>
        <v>1</v>
      </c>
      <c r="V3063" s="386"/>
    </row>
    <row r="3064" spans="2:22" ht="15.75" hidden="1" x14ac:dyDescent="0.2">
      <c r="B3064" s="711">
        <v>46278</v>
      </c>
      <c r="C3064" s="711" t="s">
        <v>105</v>
      </c>
      <c r="D3064" s="711" t="s">
        <v>13</v>
      </c>
      <c r="E3064" s="711">
        <v>46279</v>
      </c>
      <c r="G3064" s="773">
        <v>46279</v>
      </c>
      <c r="H3064" s="497" t="s">
        <v>16</v>
      </c>
      <c r="I3064" s="60" t="s">
        <v>100</v>
      </c>
      <c r="J3064" s="60">
        <v>230</v>
      </c>
      <c r="K3064" s="60">
        <f>230-116</f>
        <v>114</v>
      </c>
      <c r="L3064" s="60">
        <v>78</v>
      </c>
      <c r="M3064" s="60">
        <v>6</v>
      </c>
      <c r="N3064" s="494">
        <v>11</v>
      </c>
      <c r="O3064" s="60">
        <v>20</v>
      </c>
      <c r="P3064" s="494">
        <v>1</v>
      </c>
      <c r="Q3064" s="182">
        <f t="shared" si="3741"/>
        <v>0.83478260869565213</v>
      </c>
      <c r="R3064" s="182">
        <f t="shared" si="3742"/>
        <v>4.7826086956521741E-2</v>
      </c>
      <c r="S3064" s="183">
        <f t="shared" si="3743"/>
        <v>4.3478260869565218E-3</v>
      </c>
      <c r="T3064" s="183">
        <f t="shared" si="3744"/>
        <v>8.6956521739130432E-2</v>
      </c>
      <c r="U3064" s="184">
        <f t="shared" si="3745"/>
        <v>0.9739130434782608</v>
      </c>
      <c r="V3064" s="386"/>
    </row>
    <row r="3065" spans="2:22" ht="15.75" hidden="1" x14ac:dyDescent="0.2">
      <c r="B3065" s="711">
        <v>46278</v>
      </c>
      <c r="C3065" s="711" t="s">
        <v>105</v>
      </c>
      <c r="D3065" s="711" t="s">
        <v>13</v>
      </c>
      <c r="E3065" s="711">
        <v>46279</v>
      </c>
      <c r="G3065" s="780"/>
      <c r="H3065" s="497" t="s">
        <v>209</v>
      </c>
      <c r="I3065" s="60" t="s">
        <v>106</v>
      </c>
      <c r="J3065" s="194">
        <v>243</v>
      </c>
      <c r="K3065" s="194">
        <v>0</v>
      </c>
      <c r="L3065" s="194">
        <v>0</v>
      </c>
      <c r="M3065" s="194">
        <v>1</v>
      </c>
      <c r="N3065" s="538">
        <v>240</v>
      </c>
      <c r="O3065" s="194">
        <v>0</v>
      </c>
      <c r="P3065" s="538">
        <v>2</v>
      </c>
      <c r="Q3065" s="182">
        <f t="shared" si="3741"/>
        <v>0</v>
      </c>
      <c r="R3065" s="182">
        <f t="shared" si="3742"/>
        <v>0.98765432098765427</v>
      </c>
      <c r="S3065" s="183">
        <f t="shared" si="3743"/>
        <v>8.23045267489712E-3</v>
      </c>
      <c r="T3065" s="183">
        <f t="shared" si="3744"/>
        <v>0</v>
      </c>
      <c r="U3065" s="184">
        <f t="shared" si="3745"/>
        <v>0.99588477366255135</v>
      </c>
      <c r="V3065" s="386"/>
    </row>
    <row r="3066" spans="2:22" ht="15.75" hidden="1" x14ac:dyDescent="0.2">
      <c r="B3066" s="711">
        <v>46278</v>
      </c>
      <c r="C3066" s="711" t="s">
        <v>105</v>
      </c>
      <c r="D3066" s="711" t="s">
        <v>13</v>
      </c>
      <c r="E3066" s="711">
        <v>46279</v>
      </c>
      <c r="G3066" s="780"/>
      <c r="H3066" s="497" t="s">
        <v>14</v>
      </c>
      <c r="I3066" s="60" t="s">
        <v>106</v>
      </c>
      <c r="J3066" s="194">
        <v>204</v>
      </c>
      <c r="K3066" s="194">
        <v>142</v>
      </c>
      <c r="L3066" s="194">
        <v>40</v>
      </c>
      <c r="M3066" s="194">
        <v>6</v>
      </c>
      <c r="N3066" s="538">
        <v>0</v>
      </c>
      <c r="O3066" s="194">
        <v>12</v>
      </c>
      <c r="P3066" s="538">
        <v>4</v>
      </c>
      <c r="Q3066" s="182">
        <f t="shared" si="3741"/>
        <v>0.89215686274509809</v>
      </c>
      <c r="R3066" s="182">
        <f t="shared" si="3742"/>
        <v>0</v>
      </c>
      <c r="S3066" s="183">
        <f t="shared" si="3743"/>
        <v>1.9607843137254902E-2</v>
      </c>
      <c r="T3066" s="183">
        <f t="shared" si="3744"/>
        <v>5.8823529411764705E-2</v>
      </c>
      <c r="U3066" s="184">
        <f t="shared" si="3745"/>
        <v>0.97058823529411775</v>
      </c>
      <c r="V3066" s="386"/>
    </row>
    <row r="3067" spans="2:22" ht="15.75" hidden="1" x14ac:dyDescent="0.2">
      <c r="B3067" s="711">
        <v>46278</v>
      </c>
      <c r="C3067" s="711" t="s">
        <v>105</v>
      </c>
      <c r="D3067" s="711" t="s">
        <v>13</v>
      </c>
      <c r="E3067" s="711">
        <v>46279</v>
      </c>
      <c r="G3067" s="780"/>
      <c r="H3067" s="497" t="s">
        <v>32</v>
      </c>
      <c r="I3067" s="60" t="s">
        <v>105</v>
      </c>
      <c r="J3067" s="194">
        <v>255</v>
      </c>
      <c r="K3067" s="194">
        <v>125</v>
      </c>
      <c r="L3067" s="194">
        <v>24</v>
      </c>
      <c r="M3067" s="194">
        <v>70</v>
      </c>
      <c r="N3067" s="538">
        <v>0</v>
      </c>
      <c r="O3067" s="194">
        <v>17</v>
      </c>
      <c r="P3067" s="538">
        <v>19</v>
      </c>
      <c r="Q3067" s="182">
        <f t="shared" si="3741"/>
        <v>0.58431372549019611</v>
      </c>
      <c r="R3067" s="182">
        <f t="shared" si="3742"/>
        <v>0</v>
      </c>
      <c r="S3067" s="183">
        <f t="shared" si="3743"/>
        <v>7.4509803921568626E-2</v>
      </c>
      <c r="T3067" s="183">
        <f t="shared" si="3744"/>
        <v>6.6666666666666666E-2</v>
      </c>
      <c r="U3067" s="184">
        <f t="shared" si="3745"/>
        <v>0.72549019607843135</v>
      </c>
      <c r="V3067" s="386"/>
    </row>
    <row r="3068" spans="2:22" ht="15.75" hidden="1" x14ac:dyDescent="0.2">
      <c r="B3068" s="711">
        <v>46278</v>
      </c>
      <c r="C3068" s="711" t="s">
        <v>105</v>
      </c>
      <c r="D3068" s="711" t="s">
        <v>13</v>
      </c>
      <c r="E3068" s="711">
        <v>46279</v>
      </c>
      <c r="G3068" s="774"/>
      <c r="H3068" s="497" t="s">
        <v>118</v>
      </c>
      <c r="I3068" s="60" t="s">
        <v>105</v>
      </c>
      <c r="J3068" s="194">
        <v>254</v>
      </c>
      <c r="K3068" s="194">
        <v>18</v>
      </c>
      <c r="L3068" s="194">
        <v>9</v>
      </c>
      <c r="M3068" s="194">
        <v>110</v>
      </c>
      <c r="N3068" s="538">
        <v>93</v>
      </c>
      <c r="O3068" s="194">
        <v>15</v>
      </c>
      <c r="P3068" s="538">
        <v>9</v>
      </c>
      <c r="Q3068" s="182">
        <f t="shared" si="3741"/>
        <v>0.1062992125984252</v>
      </c>
      <c r="R3068" s="182">
        <f t="shared" si="3742"/>
        <v>0.36614173228346458</v>
      </c>
      <c r="S3068" s="183">
        <f t="shared" si="3743"/>
        <v>3.5433070866141732E-2</v>
      </c>
      <c r="T3068" s="183">
        <f t="shared" si="3744"/>
        <v>5.905511811023622E-2</v>
      </c>
      <c r="U3068" s="184">
        <f t="shared" si="3745"/>
        <v>0.56692913385826771</v>
      </c>
      <c r="V3068" s="386"/>
    </row>
    <row r="3069" spans="2:22" ht="15.75" hidden="1" x14ac:dyDescent="0.2">
      <c r="B3069" s="711">
        <v>46278</v>
      </c>
      <c r="C3069" s="711" t="s">
        <v>105</v>
      </c>
      <c r="D3069" s="711" t="s">
        <v>13</v>
      </c>
      <c r="E3069" s="711">
        <v>46279</v>
      </c>
      <c r="G3069" s="775" t="s">
        <v>19</v>
      </c>
      <c r="H3069" s="776"/>
      <c r="I3069" s="777"/>
      <c r="J3069" s="190">
        <f>SUM(J3063:J3068)</f>
        <v>1390</v>
      </c>
      <c r="K3069" s="190">
        <f t="shared" ref="K3069:P3069" si="3746">SUM(K3063:K3068)</f>
        <v>532</v>
      </c>
      <c r="L3069" s="190">
        <f t="shared" si="3746"/>
        <v>188</v>
      </c>
      <c r="M3069" s="190">
        <f t="shared" si="3746"/>
        <v>193</v>
      </c>
      <c r="N3069" s="190">
        <f t="shared" si="3746"/>
        <v>344</v>
      </c>
      <c r="O3069" s="190">
        <f t="shared" si="3746"/>
        <v>89</v>
      </c>
      <c r="P3069" s="190">
        <f t="shared" si="3746"/>
        <v>44</v>
      </c>
      <c r="Q3069" s="481">
        <f>(K3069+L3069)/J3069</f>
        <v>0.51798561151079137</v>
      </c>
      <c r="R3069" s="481">
        <f>N3069/J3069</f>
        <v>0.24748201438848921</v>
      </c>
      <c r="S3069" s="482">
        <f t="shared" si="3743"/>
        <v>3.1654676258992806E-2</v>
      </c>
      <c r="T3069" s="482">
        <f t="shared" si="3744"/>
        <v>6.4028776978417259E-2</v>
      </c>
      <c r="U3069" s="483">
        <f t="shared" si="3745"/>
        <v>0.86115107913669064</v>
      </c>
      <c r="V3069" s="479"/>
    </row>
    <row r="3070" spans="2:22" ht="15.75" hidden="1" x14ac:dyDescent="0.2">
      <c r="B3070" s="711">
        <v>46279</v>
      </c>
      <c r="C3070" s="711" t="s">
        <v>106</v>
      </c>
      <c r="D3070" s="711" t="s">
        <v>189</v>
      </c>
      <c r="E3070" s="711">
        <v>46279</v>
      </c>
      <c r="G3070" s="778">
        <v>46279</v>
      </c>
      <c r="H3070" s="497" t="s">
        <v>16</v>
      </c>
      <c r="I3070" s="60" t="s">
        <v>15</v>
      </c>
      <c r="J3070" s="60">
        <f>SUM(K3070:P3070)</f>
        <v>81</v>
      </c>
      <c r="K3070" s="60">
        <f>57-21</f>
        <v>36</v>
      </c>
      <c r="L3070" s="60">
        <v>24</v>
      </c>
      <c r="M3070" s="60">
        <v>0</v>
      </c>
      <c r="N3070" s="494">
        <v>0</v>
      </c>
      <c r="O3070" s="60">
        <v>20</v>
      </c>
      <c r="P3070" s="494">
        <v>1</v>
      </c>
      <c r="Q3070" s="182">
        <f t="shared" ref="Q3070:Q3079" si="3747">(K3070+L3070)/J3070</f>
        <v>0.7407407407407407</v>
      </c>
      <c r="R3070" s="182">
        <f t="shared" ref="R3070:R3079" si="3748">N3070/J3070</f>
        <v>0</v>
      </c>
      <c r="S3070" s="183">
        <f t="shared" si="3743"/>
        <v>1.2345679012345678E-2</v>
      </c>
      <c r="T3070" s="183">
        <f t="shared" si="3744"/>
        <v>0.24691358024691357</v>
      </c>
      <c r="U3070" s="184">
        <f t="shared" si="3745"/>
        <v>1</v>
      </c>
      <c r="V3070" s="386"/>
    </row>
    <row r="3071" spans="2:22" ht="15.75" hidden="1" x14ac:dyDescent="0.2">
      <c r="B3071" s="711">
        <v>46279</v>
      </c>
      <c r="C3071" s="711" t="s">
        <v>106</v>
      </c>
      <c r="D3071" s="711" t="s">
        <v>189</v>
      </c>
      <c r="E3071" s="711">
        <v>46279</v>
      </c>
      <c r="G3071" s="786"/>
      <c r="H3071" s="497" t="s">
        <v>14</v>
      </c>
      <c r="I3071" s="60" t="s">
        <v>106</v>
      </c>
      <c r="J3071" s="60">
        <f t="shared" ref="J3071:J3075" si="3749">SUM(K3071:P3071)</f>
        <v>33</v>
      </c>
      <c r="K3071" s="60">
        <v>26</v>
      </c>
      <c r="L3071" s="60">
        <v>3</v>
      </c>
      <c r="M3071" s="60">
        <v>0</v>
      </c>
      <c r="N3071" s="494">
        <v>0</v>
      </c>
      <c r="O3071" s="60">
        <v>0</v>
      </c>
      <c r="P3071" s="494">
        <v>4</v>
      </c>
      <c r="Q3071" s="182">
        <f t="shared" si="3747"/>
        <v>0.87878787878787878</v>
      </c>
      <c r="R3071" s="182">
        <f t="shared" si="3748"/>
        <v>0</v>
      </c>
      <c r="S3071" s="183">
        <f t="shared" si="3743"/>
        <v>0.12121212121212122</v>
      </c>
      <c r="T3071" s="183">
        <f t="shared" si="3744"/>
        <v>0</v>
      </c>
      <c r="U3071" s="184">
        <f t="shared" si="3745"/>
        <v>1</v>
      </c>
      <c r="V3071" s="386"/>
    </row>
    <row r="3072" spans="2:22" ht="15.75" hidden="1" x14ac:dyDescent="0.2">
      <c r="B3072" s="711">
        <v>46279</v>
      </c>
      <c r="C3072" s="711" t="s">
        <v>106</v>
      </c>
      <c r="D3072" s="711" t="s">
        <v>189</v>
      </c>
      <c r="E3072" s="711">
        <v>46279</v>
      </c>
      <c r="G3072" s="786"/>
      <c r="H3072" s="497" t="s">
        <v>17</v>
      </c>
      <c r="I3072" s="60" t="s">
        <v>106</v>
      </c>
      <c r="J3072" s="60">
        <f t="shared" si="3749"/>
        <v>1</v>
      </c>
      <c r="K3072" s="60">
        <v>1</v>
      </c>
      <c r="L3072" s="60">
        <v>0</v>
      </c>
      <c r="M3072" s="60">
        <v>0</v>
      </c>
      <c r="N3072" s="494">
        <v>0</v>
      </c>
      <c r="O3072" s="60">
        <v>0</v>
      </c>
      <c r="P3072" s="494">
        <v>0</v>
      </c>
      <c r="Q3072" s="182">
        <f t="shared" si="3747"/>
        <v>1</v>
      </c>
      <c r="R3072" s="182">
        <f t="shared" si="3748"/>
        <v>0</v>
      </c>
      <c r="S3072" s="183">
        <f t="shared" si="3743"/>
        <v>0</v>
      </c>
      <c r="T3072" s="183">
        <f t="shared" si="3744"/>
        <v>0</v>
      </c>
      <c r="U3072" s="184">
        <f t="shared" si="3745"/>
        <v>1</v>
      </c>
      <c r="V3072" s="386"/>
    </row>
    <row r="3073" spans="2:22" ht="15.75" hidden="1" x14ac:dyDescent="0.2">
      <c r="B3073" s="711">
        <v>46279</v>
      </c>
      <c r="C3073" s="711" t="s">
        <v>106</v>
      </c>
      <c r="D3073" s="711" t="s">
        <v>189</v>
      </c>
      <c r="E3073" s="711">
        <v>46279</v>
      </c>
      <c r="G3073" s="786"/>
      <c r="H3073" s="497" t="s">
        <v>120</v>
      </c>
      <c r="I3073" s="60" t="s">
        <v>106</v>
      </c>
      <c r="J3073" s="60">
        <f t="shared" si="3749"/>
        <v>5</v>
      </c>
      <c r="K3073" s="60">
        <v>5</v>
      </c>
      <c r="L3073" s="60">
        <v>0</v>
      </c>
      <c r="M3073" s="60">
        <v>0</v>
      </c>
      <c r="N3073" s="494">
        <v>0</v>
      </c>
      <c r="O3073" s="60">
        <v>0</v>
      </c>
      <c r="P3073" s="494">
        <v>0</v>
      </c>
      <c r="Q3073" s="182">
        <f t="shared" si="3747"/>
        <v>1</v>
      </c>
      <c r="R3073" s="182">
        <f t="shared" si="3748"/>
        <v>0</v>
      </c>
      <c r="S3073" s="183">
        <f t="shared" si="3743"/>
        <v>0</v>
      </c>
      <c r="T3073" s="183">
        <f t="shared" si="3744"/>
        <v>0</v>
      </c>
      <c r="U3073" s="184">
        <f t="shared" si="3745"/>
        <v>1</v>
      </c>
      <c r="V3073" s="386"/>
    </row>
    <row r="3074" spans="2:22" ht="15.75" hidden="1" x14ac:dyDescent="0.2">
      <c r="B3074" s="711">
        <v>46279</v>
      </c>
      <c r="C3074" s="711" t="s">
        <v>106</v>
      </c>
      <c r="D3074" s="711" t="s">
        <v>189</v>
      </c>
      <c r="E3074" s="711">
        <v>46279</v>
      </c>
      <c r="G3074" s="786"/>
      <c r="H3074" s="497" t="s">
        <v>25</v>
      </c>
      <c r="I3074" s="60" t="s">
        <v>106</v>
      </c>
      <c r="J3074" s="60">
        <f t="shared" si="3749"/>
        <v>31</v>
      </c>
      <c r="K3074" s="60">
        <v>29</v>
      </c>
      <c r="L3074" s="60">
        <v>2</v>
      </c>
      <c r="M3074" s="60">
        <v>0</v>
      </c>
      <c r="N3074" s="494">
        <v>0</v>
      </c>
      <c r="O3074" s="60">
        <v>0</v>
      </c>
      <c r="P3074" s="494">
        <v>0</v>
      </c>
      <c r="Q3074" s="182">
        <f t="shared" si="3747"/>
        <v>1</v>
      </c>
      <c r="R3074" s="182">
        <f t="shared" si="3748"/>
        <v>0</v>
      </c>
      <c r="S3074" s="183">
        <f t="shared" si="3743"/>
        <v>0</v>
      </c>
      <c r="T3074" s="183">
        <f t="shared" si="3744"/>
        <v>0</v>
      </c>
      <c r="U3074" s="184">
        <f t="shared" si="3745"/>
        <v>1</v>
      </c>
      <c r="V3074" s="386"/>
    </row>
    <row r="3075" spans="2:22" ht="15.75" hidden="1" x14ac:dyDescent="0.2">
      <c r="B3075" s="711">
        <v>46279</v>
      </c>
      <c r="C3075" s="711" t="s">
        <v>106</v>
      </c>
      <c r="D3075" s="711" t="s">
        <v>189</v>
      </c>
      <c r="E3075" s="711">
        <v>46279</v>
      </c>
      <c r="G3075" s="786"/>
      <c r="H3075" s="497" t="s">
        <v>180</v>
      </c>
      <c r="I3075" s="60" t="s">
        <v>106</v>
      </c>
      <c r="J3075" s="60">
        <f t="shared" si="3749"/>
        <v>260</v>
      </c>
      <c r="K3075" s="60">
        <v>226</v>
      </c>
      <c r="L3075" s="60">
        <v>24</v>
      </c>
      <c r="M3075" s="60">
        <v>8</v>
      </c>
      <c r="N3075" s="494">
        <v>0</v>
      </c>
      <c r="O3075" s="60">
        <v>0</v>
      </c>
      <c r="P3075" s="494">
        <v>2</v>
      </c>
      <c r="Q3075" s="182">
        <f t="shared" si="3747"/>
        <v>0.96153846153846156</v>
      </c>
      <c r="R3075" s="182">
        <f t="shared" si="3748"/>
        <v>0</v>
      </c>
      <c r="S3075" s="183">
        <f t="shared" si="3743"/>
        <v>7.6923076923076927E-3</v>
      </c>
      <c r="T3075" s="183">
        <f t="shared" si="3744"/>
        <v>0</v>
      </c>
      <c r="U3075" s="184">
        <f t="shared" si="3745"/>
        <v>0.96923076923076923</v>
      </c>
      <c r="V3075" s="386"/>
    </row>
    <row r="3076" spans="2:22" ht="15.75" hidden="1" x14ac:dyDescent="0.2">
      <c r="B3076" s="711">
        <v>46279</v>
      </c>
      <c r="C3076" s="711" t="s">
        <v>106</v>
      </c>
      <c r="D3076" s="711" t="s">
        <v>189</v>
      </c>
      <c r="E3076" s="711">
        <v>46279</v>
      </c>
      <c r="G3076" s="786"/>
      <c r="H3076" s="497" t="s">
        <v>118</v>
      </c>
      <c r="I3076" s="60" t="s">
        <v>105</v>
      </c>
      <c r="J3076" s="60">
        <v>227</v>
      </c>
      <c r="K3076" s="60">
        <v>166</v>
      </c>
      <c r="L3076" s="60">
        <v>29</v>
      </c>
      <c r="M3076" s="60">
        <v>5</v>
      </c>
      <c r="N3076" s="494">
        <v>0</v>
      </c>
      <c r="O3076" s="60">
        <v>18</v>
      </c>
      <c r="P3076" s="494">
        <v>9</v>
      </c>
      <c r="Q3076" s="182">
        <f t="shared" si="3747"/>
        <v>0.8590308370044053</v>
      </c>
      <c r="R3076" s="182">
        <f t="shared" si="3748"/>
        <v>0</v>
      </c>
      <c r="S3076" s="183">
        <f t="shared" si="3743"/>
        <v>3.9647577092511016E-2</v>
      </c>
      <c r="T3076" s="183">
        <f t="shared" si="3744"/>
        <v>7.9295154185022032E-2</v>
      </c>
      <c r="U3076" s="184">
        <f t="shared" si="3745"/>
        <v>0.97797356828193838</v>
      </c>
      <c r="V3076" s="386"/>
    </row>
    <row r="3077" spans="2:22" ht="15.75" hidden="1" x14ac:dyDescent="0.2">
      <c r="B3077" s="711">
        <v>46279</v>
      </c>
      <c r="C3077" s="711" t="s">
        <v>106</v>
      </c>
      <c r="D3077" s="711" t="s">
        <v>189</v>
      </c>
      <c r="E3077" s="711">
        <v>46279</v>
      </c>
      <c r="G3077" s="779"/>
      <c r="H3077" s="497" t="s">
        <v>32</v>
      </c>
      <c r="I3077" s="60" t="s">
        <v>105</v>
      </c>
      <c r="J3077" s="60">
        <v>106</v>
      </c>
      <c r="K3077" s="60">
        <v>12</v>
      </c>
      <c r="L3077" s="60">
        <v>1</v>
      </c>
      <c r="M3077" s="60">
        <v>21</v>
      </c>
      <c r="N3077" s="494">
        <v>28</v>
      </c>
      <c r="O3077" s="60">
        <v>17</v>
      </c>
      <c r="P3077" s="494">
        <v>19</v>
      </c>
      <c r="Q3077" s="182">
        <f t="shared" si="3747"/>
        <v>0.12264150943396226</v>
      </c>
      <c r="R3077" s="182">
        <f t="shared" si="3748"/>
        <v>0.26415094339622641</v>
      </c>
      <c r="S3077" s="183">
        <f t="shared" si="3743"/>
        <v>0.17924528301886791</v>
      </c>
      <c r="T3077" s="183">
        <f t="shared" si="3744"/>
        <v>0.16037735849056603</v>
      </c>
      <c r="U3077" s="184">
        <f t="shared" si="3745"/>
        <v>0.72641509433962259</v>
      </c>
      <c r="V3077" s="386"/>
    </row>
    <row r="3078" spans="2:22" ht="15.75" hidden="1" x14ac:dyDescent="0.2">
      <c r="B3078" s="711">
        <v>46279</v>
      </c>
      <c r="C3078" s="711" t="s">
        <v>106</v>
      </c>
      <c r="D3078" s="711" t="s">
        <v>189</v>
      </c>
      <c r="E3078" s="711">
        <v>46279</v>
      </c>
      <c r="G3078" s="770">
        <v>46280</v>
      </c>
      <c r="H3078" s="497" t="s">
        <v>16</v>
      </c>
      <c r="I3078" s="60" t="s">
        <v>15</v>
      </c>
      <c r="J3078" s="60">
        <v>236</v>
      </c>
      <c r="K3078" s="60">
        <v>21</v>
      </c>
      <c r="L3078" s="60">
        <v>12</v>
      </c>
      <c r="M3078" s="60">
        <v>97</v>
      </c>
      <c r="N3078" s="494">
        <v>94</v>
      </c>
      <c r="O3078" s="60">
        <v>10</v>
      </c>
      <c r="P3078" s="494">
        <v>3</v>
      </c>
      <c r="Q3078" s="182">
        <f t="shared" si="3747"/>
        <v>0.13983050847457626</v>
      </c>
      <c r="R3078" s="182">
        <f t="shared" si="3748"/>
        <v>0.39830508474576271</v>
      </c>
      <c r="S3078" s="183">
        <f t="shared" si="3743"/>
        <v>1.2711864406779662E-2</v>
      </c>
      <c r="T3078" s="183">
        <f t="shared" si="3744"/>
        <v>4.2372881355932202E-2</v>
      </c>
      <c r="U3078" s="184">
        <f t="shared" si="3745"/>
        <v>0.59322033898305082</v>
      </c>
      <c r="V3078" s="386"/>
    </row>
    <row r="3079" spans="2:22" ht="15.75" hidden="1" x14ac:dyDescent="0.2">
      <c r="B3079" s="711">
        <v>46279</v>
      </c>
      <c r="C3079" s="711" t="s">
        <v>106</v>
      </c>
      <c r="D3079" s="711" t="s">
        <v>189</v>
      </c>
      <c r="E3079" s="711">
        <v>46279</v>
      </c>
      <c r="G3079" s="772"/>
      <c r="H3079" s="497" t="s">
        <v>14</v>
      </c>
      <c r="I3079" s="60" t="s">
        <v>106</v>
      </c>
      <c r="J3079" s="60">
        <v>214</v>
      </c>
      <c r="K3079" s="60">
        <v>0</v>
      </c>
      <c r="L3079" s="60">
        <v>0</v>
      </c>
      <c r="M3079" s="60">
        <v>140</v>
      </c>
      <c r="N3079" s="494">
        <v>51</v>
      </c>
      <c r="O3079" s="60">
        <v>15</v>
      </c>
      <c r="P3079" s="494">
        <v>9</v>
      </c>
      <c r="Q3079" s="182">
        <f t="shared" si="3747"/>
        <v>0</v>
      </c>
      <c r="R3079" s="182">
        <f t="shared" si="3748"/>
        <v>0.23831775700934579</v>
      </c>
      <c r="S3079" s="183">
        <f t="shared" si="3743"/>
        <v>4.2056074766355138E-2</v>
      </c>
      <c r="T3079" s="183">
        <f t="shared" si="3744"/>
        <v>7.0093457943925228E-2</v>
      </c>
      <c r="U3079" s="184">
        <f t="shared" si="3745"/>
        <v>0.35046728971962615</v>
      </c>
      <c r="V3079" s="386"/>
    </row>
    <row r="3080" spans="2:22" ht="15.75" hidden="1" x14ac:dyDescent="0.2">
      <c r="B3080" s="711">
        <v>46279</v>
      </c>
      <c r="C3080" s="711" t="s">
        <v>106</v>
      </c>
      <c r="D3080" s="711" t="s">
        <v>189</v>
      </c>
      <c r="E3080" s="711">
        <v>46279</v>
      </c>
      <c r="G3080" s="775" t="s">
        <v>19</v>
      </c>
      <c r="H3080" s="776"/>
      <c r="I3080" s="777"/>
      <c r="J3080" s="190">
        <f t="shared" ref="J3080:P3080" si="3750">SUM(J3070:J3079)</f>
        <v>1194</v>
      </c>
      <c r="K3080" s="190">
        <f t="shared" si="3750"/>
        <v>522</v>
      </c>
      <c r="L3080" s="190">
        <f t="shared" si="3750"/>
        <v>95</v>
      </c>
      <c r="M3080" s="190">
        <f t="shared" si="3750"/>
        <v>271</v>
      </c>
      <c r="N3080" s="190">
        <f t="shared" si="3750"/>
        <v>173</v>
      </c>
      <c r="O3080" s="190">
        <f t="shared" si="3750"/>
        <v>80</v>
      </c>
      <c r="P3080" s="190">
        <f t="shared" si="3750"/>
        <v>47</v>
      </c>
      <c r="Q3080" s="481">
        <f>(K3080+L3080)/J3080</f>
        <v>0.51675041876046901</v>
      </c>
      <c r="R3080" s="481">
        <f>N3080/J3080</f>
        <v>0.14489112227805695</v>
      </c>
      <c r="S3080" s="482">
        <f t="shared" si="3743"/>
        <v>3.9363484087102177E-2</v>
      </c>
      <c r="T3080" s="482">
        <f t="shared" si="3744"/>
        <v>6.7001675041876041E-2</v>
      </c>
      <c r="U3080" s="483">
        <f t="shared" si="3745"/>
        <v>0.76800670016750416</v>
      </c>
      <c r="V3080" s="479"/>
    </row>
    <row r="3081" spans="2:22" ht="15.75" hidden="1" x14ac:dyDescent="0.2">
      <c r="B3081" s="711">
        <v>46279</v>
      </c>
      <c r="C3081" s="711" t="s">
        <v>105</v>
      </c>
      <c r="D3081" s="711" t="s">
        <v>13</v>
      </c>
      <c r="E3081" s="711">
        <v>46279</v>
      </c>
      <c r="G3081" s="773">
        <v>46279</v>
      </c>
      <c r="H3081" s="497" t="s">
        <v>16</v>
      </c>
      <c r="I3081" s="60" t="s">
        <v>100</v>
      </c>
      <c r="J3081" s="60">
        <v>230</v>
      </c>
      <c r="K3081" s="60">
        <v>131</v>
      </c>
      <c r="L3081" s="60">
        <v>78</v>
      </c>
      <c r="M3081" s="60">
        <v>0</v>
      </c>
      <c r="N3081" s="494">
        <v>0</v>
      </c>
      <c r="O3081" s="60">
        <v>20</v>
      </c>
      <c r="P3081" s="494">
        <v>1</v>
      </c>
      <c r="Q3081" s="182">
        <f t="shared" ref="Q3081:Q3089" si="3751">(K3081+L3081)/J3081</f>
        <v>0.90869565217391302</v>
      </c>
      <c r="R3081" s="182">
        <f t="shared" ref="R3081:R3089" si="3752">N3081/J3081</f>
        <v>0</v>
      </c>
      <c r="S3081" s="183">
        <f t="shared" ref="S3081:S3101" si="3753">P3081/J3081</f>
        <v>4.3478260869565218E-3</v>
      </c>
      <c r="T3081" s="183">
        <f t="shared" ref="T3081:T3101" si="3754">O3081/J3081</f>
        <v>8.6956521739130432E-2</v>
      </c>
      <c r="U3081" s="184">
        <f t="shared" ref="U3081:U3101" si="3755">S3081+R3081+Q3081+T3081</f>
        <v>1</v>
      </c>
      <c r="V3081" s="386"/>
    </row>
    <row r="3082" spans="2:22" ht="15.75" hidden="1" x14ac:dyDescent="0.2">
      <c r="B3082" s="711">
        <v>46279</v>
      </c>
      <c r="C3082" s="711" t="s">
        <v>105</v>
      </c>
      <c r="D3082" s="711" t="s">
        <v>13</v>
      </c>
      <c r="E3082" s="711">
        <v>46279</v>
      </c>
      <c r="G3082" s="780"/>
      <c r="H3082" s="497" t="s">
        <v>32</v>
      </c>
      <c r="I3082" s="60" t="s">
        <v>105</v>
      </c>
      <c r="J3082" s="194">
        <v>255</v>
      </c>
      <c r="K3082" s="194">
        <f>255-74</f>
        <v>181</v>
      </c>
      <c r="L3082" s="194">
        <v>29</v>
      </c>
      <c r="M3082" s="194">
        <v>10</v>
      </c>
      <c r="N3082" s="538">
        <v>0</v>
      </c>
      <c r="O3082" s="194">
        <v>17</v>
      </c>
      <c r="P3082" s="538">
        <v>18</v>
      </c>
      <c r="Q3082" s="182">
        <f t="shared" si="3751"/>
        <v>0.82352941176470584</v>
      </c>
      <c r="R3082" s="182">
        <f t="shared" si="3752"/>
        <v>0</v>
      </c>
      <c r="S3082" s="183">
        <f t="shared" si="3753"/>
        <v>7.0588235294117646E-2</v>
      </c>
      <c r="T3082" s="183">
        <f t="shared" si="3754"/>
        <v>6.6666666666666666E-2</v>
      </c>
      <c r="U3082" s="184">
        <f t="shared" si="3755"/>
        <v>0.96078431372549011</v>
      </c>
      <c r="V3082" s="386"/>
    </row>
    <row r="3083" spans="2:22" ht="15.75" hidden="1" x14ac:dyDescent="0.2">
      <c r="B3083" s="711">
        <v>46279</v>
      </c>
      <c r="C3083" s="711" t="s">
        <v>105</v>
      </c>
      <c r="D3083" s="711" t="s">
        <v>13</v>
      </c>
      <c r="E3083" s="711">
        <v>46279</v>
      </c>
      <c r="G3083" s="774"/>
      <c r="H3083" s="497" t="s">
        <v>118</v>
      </c>
      <c r="I3083" s="60" t="s">
        <v>105</v>
      </c>
      <c r="J3083" s="194">
        <v>254</v>
      </c>
      <c r="K3083" s="194">
        <v>195</v>
      </c>
      <c r="L3083" s="194">
        <v>40</v>
      </c>
      <c r="M3083" s="194">
        <v>0</v>
      </c>
      <c r="N3083" s="538">
        <v>0</v>
      </c>
      <c r="O3083" s="194">
        <v>15</v>
      </c>
      <c r="P3083" s="538">
        <v>4</v>
      </c>
      <c r="Q3083" s="182">
        <f t="shared" si="3751"/>
        <v>0.92519685039370081</v>
      </c>
      <c r="R3083" s="182">
        <f t="shared" si="3752"/>
        <v>0</v>
      </c>
      <c r="S3083" s="183">
        <f t="shared" si="3753"/>
        <v>1.5748031496062992E-2</v>
      </c>
      <c r="T3083" s="183">
        <f t="shared" si="3754"/>
        <v>5.905511811023622E-2</v>
      </c>
      <c r="U3083" s="184">
        <f t="shared" si="3755"/>
        <v>1</v>
      </c>
      <c r="V3083" s="386"/>
    </row>
    <row r="3084" spans="2:22" ht="15.75" hidden="1" x14ac:dyDescent="0.2">
      <c r="B3084" s="711">
        <v>46279</v>
      </c>
      <c r="C3084" s="711" t="s">
        <v>105</v>
      </c>
      <c r="D3084" s="711" t="s">
        <v>13</v>
      </c>
      <c r="E3084" s="711">
        <v>46280</v>
      </c>
      <c r="G3084" s="782">
        <v>46280</v>
      </c>
      <c r="H3084" s="497" t="s">
        <v>16</v>
      </c>
      <c r="I3084" s="60" t="s">
        <v>15</v>
      </c>
      <c r="J3084" s="60">
        <v>236</v>
      </c>
      <c r="K3084" s="60">
        <v>134</v>
      </c>
      <c r="L3084" s="60">
        <v>80</v>
      </c>
      <c r="M3084" s="60">
        <v>9</v>
      </c>
      <c r="N3084" s="494">
        <v>0</v>
      </c>
      <c r="O3084" s="60">
        <v>10</v>
      </c>
      <c r="P3084" s="494">
        <v>3</v>
      </c>
      <c r="Q3084" s="182">
        <f t="shared" si="3751"/>
        <v>0.90677966101694918</v>
      </c>
      <c r="R3084" s="182">
        <f t="shared" si="3752"/>
        <v>0</v>
      </c>
      <c r="S3084" s="183">
        <f t="shared" si="3753"/>
        <v>1.2711864406779662E-2</v>
      </c>
      <c r="T3084" s="183">
        <f t="shared" si="3754"/>
        <v>4.2372881355932202E-2</v>
      </c>
      <c r="U3084" s="184">
        <f t="shared" si="3755"/>
        <v>0.96186440677966101</v>
      </c>
      <c r="V3084" s="386"/>
    </row>
    <row r="3085" spans="2:22" ht="15.75" hidden="1" x14ac:dyDescent="0.2">
      <c r="B3085" s="711">
        <v>46279</v>
      </c>
      <c r="C3085" s="711" t="s">
        <v>105</v>
      </c>
      <c r="D3085" s="711" t="s">
        <v>13</v>
      </c>
      <c r="E3085" s="711">
        <v>46280</v>
      </c>
      <c r="G3085" s="783"/>
      <c r="H3085" s="497" t="s">
        <v>194</v>
      </c>
      <c r="I3085" s="60" t="s">
        <v>27</v>
      </c>
      <c r="J3085" s="60">
        <v>50</v>
      </c>
      <c r="K3085" s="60">
        <v>0</v>
      </c>
      <c r="L3085" s="60">
        <v>0</v>
      </c>
      <c r="M3085" s="60">
        <v>49</v>
      </c>
      <c r="N3085" s="494">
        <v>0</v>
      </c>
      <c r="O3085" s="60">
        <v>0</v>
      </c>
      <c r="P3085" s="494">
        <v>1</v>
      </c>
      <c r="Q3085" s="182">
        <f t="shared" si="3751"/>
        <v>0</v>
      </c>
      <c r="R3085" s="182">
        <f t="shared" si="3752"/>
        <v>0</v>
      </c>
      <c r="S3085" s="183">
        <f t="shared" si="3753"/>
        <v>0.02</v>
      </c>
      <c r="T3085" s="183">
        <f t="shared" si="3754"/>
        <v>0</v>
      </c>
      <c r="U3085" s="184">
        <f t="shared" si="3755"/>
        <v>0.02</v>
      </c>
      <c r="V3085" s="386"/>
    </row>
    <row r="3086" spans="2:22" ht="15.75" hidden="1" x14ac:dyDescent="0.2">
      <c r="B3086" s="711">
        <v>46279</v>
      </c>
      <c r="C3086" s="711" t="s">
        <v>105</v>
      </c>
      <c r="D3086" s="711" t="s">
        <v>13</v>
      </c>
      <c r="E3086" s="711">
        <v>46280</v>
      </c>
      <c r="G3086" s="783"/>
      <c r="H3086" s="497" t="s">
        <v>180</v>
      </c>
      <c r="I3086" s="60" t="s">
        <v>106</v>
      </c>
      <c r="J3086" s="60">
        <v>23</v>
      </c>
      <c r="K3086" s="60">
        <v>0</v>
      </c>
      <c r="L3086" s="60">
        <v>0</v>
      </c>
      <c r="M3086" s="60">
        <v>0</v>
      </c>
      <c r="N3086" s="494">
        <v>18</v>
      </c>
      <c r="O3086" s="60">
        <v>0</v>
      </c>
      <c r="P3086" s="494">
        <v>5</v>
      </c>
      <c r="Q3086" s="182">
        <f t="shared" si="3751"/>
        <v>0</v>
      </c>
      <c r="R3086" s="182">
        <f t="shared" si="3752"/>
        <v>0.78260869565217395</v>
      </c>
      <c r="S3086" s="183">
        <f t="shared" si="3753"/>
        <v>0.21739130434782608</v>
      </c>
      <c r="T3086" s="183">
        <f t="shared" si="3754"/>
        <v>0</v>
      </c>
      <c r="U3086" s="184">
        <f t="shared" si="3755"/>
        <v>1</v>
      </c>
      <c r="V3086" s="386"/>
    </row>
    <row r="3087" spans="2:22" ht="15.75" hidden="1" x14ac:dyDescent="0.2">
      <c r="B3087" s="711">
        <v>46279</v>
      </c>
      <c r="C3087" s="711" t="s">
        <v>105</v>
      </c>
      <c r="D3087" s="711" t="s">
        <v>13</v>
      </c>
      <c r="E3087" s="711">
        <v>46280</v>
      </c>
      <c r="G3087" s="783"/>
      <c r="H3087" s="497" t="s">
        <v>17</v>
      </c>
      <c r="I3087" s="60" t="s">
        <v>105</v>
      </c>
      <c r="J3087" s="60">
        <v>170</v>
      </c>
      <c r="K3087" s="60">
        <v>0</v>
      </c>
      <c r="L3087" s="60">
        <v>0</v>
      </c>
      <c r="M3087" s="60">
        <v>55</v>
      </c>
      <c r="N3087" s="494">
        <v>80</v>
      </c>
      <c r="O3087" s="60">
        <v>32</v>
      </c>
      <c r="P3087" s="494">
        <v>3</v>
      </c>
      <c r="Q3087" s="182">
        <f t="shared" si="3751"/>
        <v>0</v>
      </c>
      <c r="R3087" s="182">
        <f t="shared" si="3752"/>
        <v>0.47058823529411764</v>
      </c>
      <c r="S3087" s="183">
        <f t="shared" si="3753"/>
        <v>1.7647058823529412E-2</v>
      </c>
      <c r="T3087" s="183">
        <f t="shared" si="3754"/>
        <v>0.18823529411764706</v>
      </c>
      <c r="U3087" s="184">
        <f t="shared" si="3755"/>
        <v>0.67647058823529416</v>
      </c>
      <c r="V3087" s="386"/>
    </row>
    <row r="3088" spans="2:22" ht="15.75" hidden="1" x14ac:dyDescent="0.2">
      <c r="B3088" s="711">
        <v>46279</v>
      </c>
      <c r="C3088" s="711" t="s">
        <v>105</v>
      </c>
      <c r="D3088" s="711" t="s">
        <v>13</v>
      </c>
      <c r="E3088" s="711">
        <v>46280</v>
      </c>
      <c r="G3088" s="783"/>
      <c r="H3088" s="497" t="s">
        <v>84</v>
      </c>
      <c r="I3088" s="60" t="s">
        <v>105</v>
      </c>
      <c r="J3088" s="60">
        <v>93</v>
      </c>
      <c r="K3088" s="60">
        <v>33</v>
      </c>
      <c r="L3088" s="60">
        <v>10</v>
      </c>
      <c r="M3088" s="60">
        <v>44</v>
      </c>
      <c r="N3088" s="494">
        <v>0</v>
      </c>
      <c r="O3088" s="60">
        <v>1</v>
      </c>
      <c r="P3088" s="494">
        <v>5</v>
      </c>
      <c r="Q3088" s="182">
        <f t="shared" si="3751"/>
        <v>0.46236559139784944</v>
      </c>
      <c r="R3088" s="182">
        <f t="shared" si="3752"/>
        <v>0</v>
      </c>
      <c r="S3088" s="183">
        <f t="shared" si="3753"/>
        <v>5.3763440860215055E-2</v>
      </c>
      <c r="T3088" s="183">
        <f t="shared" si="3754"/>
        <v>1.0752688172043012E-2</v>
      </c>
      <c r="U3088" s="184">
        <f t="shared" si="3755"/>
        <v>0.5268817204301075</v>
      </c>
      <c r="V3088" s="386"/>
    </row>
    <row r="3089" spans="2:22" ht="15.75" hidden="1" x14ac:dyDescent="0.2">
      <c r="B3089" s="711">
        <v>46279</v>
      </c>
      <c r="C3089" s="711" t="s">
        <v>105</v>
      </c>
      <c r="D3089" s="711" t="s">
        <v>13</v>
      </c>
      <c r="E3089" s="711">
        <v>46280</v>
      </c>
      <c r="G3089" s="818"/>
      <c r="H3089" s="497" t="s">
        <v>14</v>
      </c>
      <c r="I3089" s="60" t="s">
        <v>106</v>
      </c>
      <c r="J3089" s="60">
        <v>214</v>
      </c>
      <c r="K3089" s="60">
        <f>214-90</f>
        <v>124</v>
      </c>
      <c r="L3089" s="60">
        <v>61</v>
      </c>
      <c r="M3089" s="60">
        <v>6</v>
      </c>
      <c r="N3089" s="494">
        <v>0</v>
      </c>
      <c r="O3089" s="60">
        <v>14</v>
      </c>
      <c r="P3089" s="494">
        <v>9</v>
      </c>
      <c r="Q3089" s="182">
        <f t="shared" si="3751"/>
        <v>0.86448598130841126</v>
      </c>
      <c r="R3089" s="182">
        <f t="shared" si="3752"/>
        <v>0</v>
      </c>
      <c r="S3089" s="183">
        <f t="shared" si="3753"/>
        <v>4.2056074766355138E-2</v>
      </c>
      <c r="T3089" s="183">
        <f t="shared" si="3754"/>
        <v>6.5420560747663545E-2</v>
      </c>
      <c r="U3089" s="184">
        <f t="shared" si="3755"/>
        <v>0.9719626168224299</v>
      </c>
      <c r="V3089" s="386"/>
    </row>
    <row r="3090" spans="2:22" ht="15.75" hidden="1" x14ac:dyDescent="0.2">
      <c r="B3090" s="711">
        <v>46279</v>
      </c>
      <c r="C3090" s="711" t="s">
        <v>105</v>
      </c>
      <c r="D3090" s="711" t="s">
        <v>13</v>
      </c>
      <c r="E3090" s="711">
        <v>46280</v>
      </c>
      <c r="G3090" s="775" t="s">
        <v>19</v>
      </c>
      <c r="H3090" s="776"/>
      <c r="I3090" s="777"/>
      <c r="J3090" s="190">
        <f t="shared" ref="J3090:P3090" si="3756">SUM(J3078:J3089)</f>
        <v>3169</v>
      </c>
      <c r="K3090" s="190">
        <f t="shared" si="3756"/>
        <v>1341</v>
      </c>
      <c r="L3090" s="190">
        <f t="shared" si="3756"/>
        <v>405</v>
      </c>
      <c r="M3090" s="190">
        <f t="shared" si="3756"/>
        <v>681</v>
      </c>
      <c r="N3090" s="190">
        <f t="shared" si="3756"/>
        <v>416</v>
      </c>
      <c r="O3090" s="190">
        <f t="shared" si="3756"/>
        <v>214</v>
      </c>
      <c r="P3090" s="190">
        <f t="shared" si="3756"/>
        <v>108</v>
      </c>
      <c r="Q3090" s="481">
        <f>(K3090+L3090)/J3090</f>
        <v>0.55096244872199429</v>
      </c>
      <c r="R3090" s="481">
        <f>N3090/J3090</f>
        <v>0.13127169454086463</v>
      </c>
      <c r="S3090" s="482">
        <f t="shared" si="3753"/>
        <v>3.4080151467339857E-2</v>
      </c>
      <c r="T3090" s="482">
        <f t="shared" si="3754"/>
        <v>6.7529189018617861E-2</v>
      </c>
      <c r="U3090" s="483">
        <f t="shared" si="3755"/>
        <v>0.78384348374881663</v>
      </c>
      <c r="V3090" s="479"/>
    </row>
    <row r="3091" spans="2:22" ht="15.75" hidden="1" x14ac:dyDescent="0.2">
      <c r="B3091" s="711">
        <v>46280</v>
      </c>
      <c r="C3091" s="711" t="s">
        <v>106</v>
      </c>
      <c r="D3091" s="711" t="s">
        <v>189</v>
      </c>
      <c r="E3091" s="711">
        <v>46280</v>
      </c>
      <c r="G3091" s="778">
        <v>46280</v>
      </c>
      <c r="H3091" s="497" t="s">
        <v>16</v>
      </c>
      <c r="I3091" s="60" t="s">
        <v>15</v>
      </c>
      <c r="J3091" s="60">
        <f>SUM(K3091:P3091)</f>
        <v>68</v>
      </c>
      <c r="K3091" s="60">
        <f>63-39</f>
        <v>24</v>
      </c>
      <c r="L3091" s="60">
        <f>44-23</f>
        <v>21</v>
      </c>
      <c r="M3091" s="60">
        <v>0</v>
      </c>
      <c r="N3091" s="494">
        <v>0</v>
      </c>
      <c r="O3091" s="60">
        <v>20</v>
      </c>
      <c r="P3091" s="494">
        <v>3</v>
      </c>
      <c r="Q3091" s="182">
        <f t="shared" ref="Q3091:Q3100" si="3757">(K3091+L3091)/J3091</f>
        <v>0.66176470588235292</v>
      </c>
      <c r="R3091" s="182">
        <f t="shared" ref="R3091:R3100" si="3758">N3091/J3091</f>
        <v>0</v>
      </c>
      <c r="S3091" s="183">
        <f t="shared" si="3753"/>
        <v>4.4117647058823532E-2</v>
      </c>
      <c r="T3091" s="183">
        <f t="shared" si="3754"/>
        <v>0.29411764705882354</v>
      </c>
      <c r="U3091" s="184">
        <f t="shared" si="3755"/>
        <v>1</v>
      </c>
      <c r="V3091" s="386"/>
    </row>
    <row r="3092" spans="2:22" ht="15.75" hidden="1" x14ac:dyDescent="0.2">
      <c r="B3092" s="711">
        <v>46280</v>
      </c>
      <c r="C3092" s="711" t="s">
        <v>106</v>
      </c>
      <c r="D3092" s="711" t="s">
        <v>189</v>
      </c>
      <c r="E3092" s="711">
        <v>46280</v>
      </c>
      <c r="G3092" s="786"/>
      <c r="H3092" s="497" t="s">
        <v>14</v>
      </c>
      <c r="I3092" s="60" t="s">
        <v>106</v>
      </c>
      <c r="J3092" s="60">
        <f t="shared" ref="J3092:J3098" si="3759">SUM(K3092:P3092)</f>
        <v>64</v>
      </c>
      <c r="K3092" s="60">
        <v>52</v>
      </c>
      <c r="L3092" s="60">
        <v>6</v>
      </c>
      <c r="M3092" s="60">
        <v>0</v>
      </c>
      <c r="N3092" s="494">
        <v>0</v>
      </c>
      <c r="O3092" s="60">
        <v>0</v>
      </c>
      <c r="P3092" s="494">
        <v>6</v>
      </c>
      <c r="Q3092" s="182">
        <f t="shared" si="3757"/>
        <v>0.90625</v>
      </c>
      <c r="R3092" s="182">
        <f t="shared" si="3758"/>
        <v>0</v>
      </c>
      <c r="S3092" s="183">
        <f t="shared" si="3753"/>
        <v>9.375E-2</v>
      </c>
      <c r="T3092" s="183">
        <f t="shared" si="3754"/>
        <v>0</v>
      </c>
      <c r="U3092" s="184">
        <f t="shared" si="3755"/>
        <v>1</v>
      </c>
      <c r="V3092" s="386"/>
    </row>
    <row r="3093" spans="2:22" ht="15.75" hidden="1" x14ac:dyDescent="0.2">
      <c r="B3093" s="711">
        <v>46280</v>
      </c>
      <c r="C3093" s="711" t="s">
        <v>106</v>
      </c>
      <c r="D3093" s="711" t="s">
        <v>189</v>
      </c>
      <c r="E3093" s="711">
        <v>46280</v>
      </c>
      <c r="G3093" s="786"/>
      <c r="H3093" s="497" t="s">
        <v>120</v>
      </c>
      <c r="I3093" s="60" t="s">
        <v>106</v>
      </c>
      <c r="J3093" s="60">
        <f t="shared" si="3759"/>
        <v>55</v>
      </c>
      <c r="K3093" s="60">
        <v>55</v>
      </c>
      <c r="L3093" s="60">
        <v>0</v>
      </c>
      <c r="M3093" s="60">
        <v>0</v>
      </c>
      <c r="N3093" s="494">
        <v>0</v>
      </c>
      <c r="O3093" s="60">
        <v>0</v>
      </c>
      <c r="P3093" s="494">
        <v>0</v>
      </c>
      <c r="Q3093" s="182">
        <f t="shared" si="3757"/>
        <v>1</v>
      </c>
      <c r="R3093" s="182">
        <f t="shared" si="3758"/>
        <v>0</v>
      </c>
      <c r="S3093" s="183">
        <f t="shared" si="3753"/>
        <v>0</v>
      </c>
      <c r="T3093" s="183">
        <f t="shared" si="3754"/>
        <v>0</v>
      </c>
      <c r="U3093" s="184">
        <f t="shared" si="3755"/>
        <v>1</v>
      </c>
      <c r="V3093" s="386"/>
    </row>
    <row r="3094" spans="2:22" ht="15.75" hidden="1" x14ac:dyDescent="0.2">
      <c r="B3094" s="711">
        <v>46280</v>
      </c>
      <c r="C3094" s="711" t="s">
        <v>106</v>
      </c>
      <c r="D3094" s="711" t="s">
        <v>189</v>
      </c>
      <c r="E3094" s="711">
        <v>46280</v>
      </c>
      <c r="G3094" s="786"/>
      <c r="H3094" s="497" t="s">
        <v>180</v>
      </c>
      <c r="I3094" s="60" t="s">
        <v>106</v>
      </c>
      <c r="J3094" s="60">
        <f t="shared" si="3759"/>
        <v>23</v>
      </c>
      <c r="K3094" s="60">
        <v>18</v>
      </c>
      <c r="L3094" s="60">
        <v>0</v>
      </c>
      <c r="M3094" s="60">
        <v>0</v>
      </c>
      <c r="N3094" s="494">
        <v>0</v>
      </c>
      <c r="O3094" s="60">
        <v>0</v>
      </c>
      <c r="P3094" s="494">
        <v>5</v>
      </c>
      <c r="Q3094" s="182">
        <f t="shared" si="3757"/>
        <v>0.78260869565217395</v>
      </c>
      <c r="R3094" s="182">
        <f t="shared" si="3758"/>
        <v>0</v>
      </c>
      <c r="S3094" s="183">
        <f t="shared" si="3753"/>
        <v>0.21739130434782608</v>
      </c>
      <c r="T3094" s="183">
        <f t="shared" si="3754"/>
        <v>0</v>
      </c>
      <c r="U3094" s="184">
        <f t="shared" si="3755"/>
        <v>1</v>
      </c>
      <c r="V3094" s="386"/>
    </row>
    <row r="3095" spans="2:22" ht="15.75" hidden="1" x14ac:dyDescent="0.2">
      <c r="B3095" s="711">
        <v>46280</v>
      </c>
      <c r="C3095" s="711" t="s">
        <v>106</v>
      </c>
      <c r="D3095" s="711" t="s">
        <v>189</v>
      </c>
      <c r="E3095" s="711">
        <v>46280</v>
      </c>
      <c r="G3095" s="786"/>
      <c r="H3095" s="497" t="s">
        <v>25</v>
      </c>
      <c r="I3095" s="60" t="s">
        <v>106</v>
      </c>
      <c r="J3095" s="60">
        <f t="shared" si="3759"/>
        <v>7</v>
      </c>
      <c r="K3095" s="60">
        <v>4</v>
      </c>
      <c r="L3095" s="60">
        <v>3</v>
      </c>
      <c r="M3095" s="60">
        <v>0</v>
      </c>
      <c r="N3095" s="494">
        <v>0</v>
      </c>
      <c r="O3095" s="60">
        <v>0</v>
      </c>
      <c r="P3095" s="494">
        <v>0</v>
      </c>
      <c r="Q3095" s="182">
        <f t="shared" si="3757"/>
        <v>1</v>
      </c>
      <c r="R3095" s="182">
        <f t="shared" si="3758"/>
        <v>0</v>
      </c>
      <c r="S3095" s="183">
        <f t="shared" si="3753"/>
        <v>0</v>
      </c>
      <c r="T3095" s="183">
        <f t="shared" si="3754"/>
        <v>0</v>
      </c>
      <c r="U3095" s="184">
        <f t="shared" si="3755"/>
        <v>1</v>
      </c>
      <c r="V3095" s="386"/>
    </row>
    <row r="3096" spans="2:22" ht="15.75" hidden="1" x14ac:dyDescent="0.2">
      <c r="B3096" s="711">
        <v>46280</v>
      </c>
      <c r="C3096" s="711" t="s">
        <v>106</v>
      </c>
      <c r="D3096" s="711" t="s">
        <v>189</v>
      </c>
      <c r="E3096" s="711">
        <v>46280</v>
      </c>
      <c r="G3096" s="786"/>
      <c r="H3096" s="497" t="s">
        <v>194</v>
      </c>
      <c r="I3096" s="60" t="s">
        <v>105</v>
      </c>
      <c r="J3096" s="60">
        <f t="shared" si="3759"/>
        <v>50</v>
      </c>
      <c r="K3096" s="60">
        <v>49</v>
      </c>
      <c r="L3096" s="60">
        <v>0</v>
      </c>
      <c r="M3096" s="60">
        <v>0</v>
      </c>
      <c r="N3096" s="494">
        <v>0</v>
      </c>
      <c r="O3096" s="60">
        <v>0</v>
      </c>
      <c r="P3096" s="494">
        <v>1</v>
      </c>
      <c r="Q3096" s="182">
        <f t="shared" si="3757"/>
        <v>0.98</v>
      </c>
      <c r="R3096" s="182">
        <f t="shared" si="3758"/>
        <v>0</v>
      </c>
      <c r="S3096" s="183">
        <f t="shared" si="3753"/>
        <v>0.02</v>
      </c>
      <c r="T3096" s="183">
        <f t="shared" si="3754"/>
        <v>0</v>
      </c>
      <c r="U3096" s="184">
        <f t="shared" si="3755"/>
        <v>1</v>
      </c>
      <c r="V3096" s="386"/>
    </row>
    <row r="3097" spans="2:22" ht="15.75" hidden="1" x14ac:dyDescent="0.2">
      <c r="B3097" s="711">
        <v>46280</v>
      </c>
      <c r="C3097" s="711" t="s">
        <v>106</v>
      </c>
      <c r="D3097" s="711" t="s">
        <v>189</v>
      </c>
      <c r="E3097" s="711">
        <v>46280</v>
      </c>
      <c r="G3097" s="786"/>
      <c r="H3097" s="497" t="s">
        <v>17</v>
      </c>
      <c r="I3097" s="60" t="s">
        <v>105</v>
      </c>
      <c r="J3097" s="60">
        <f t="shared" si="3759"/>
        <v>167</v>
      </c>
      <c r="K3097" s="60">
        <v>98</v>
      </c>
      <c r="L3097" s="60">
        <v>34</v>
      </c>
      <c r="M3097" s="60">
        <v>0</v>
      </c>
      <c r="N3097" s="494">
        <v>0</v>
      </c>
      <c r="O3097" s="60">
        <v>32</v>
      </c>
      <c r="P3097" s="494">
        <v>3</v>
      </c>
      <c r="Q3097" s="182">
        <f t="shared" si="3757"/>
        <v>0.79041916167664672</v>
      </c>
      <c r="R3097" s="182">
        <f t="shared" si="3758"/>
        <v>0</v>
      </c>
      <c r="S3097" s="183">
        <f t="shared" si="3753"/>
        <v>1.7964071856287425E-2</v>
      </c>
      <c r="T3097" s="183">
        <f t="shared" si="3754"/>
        <v>0.19161676646706588</v>
      </c>
      <c r="U3097" s="184">
        <f t="shared" si="3755"/>
        <v>1</v>
      </c>
      <c r="V3097" s="386"/>
    </row>
    <row r="3098" spans="2:22" ht="15.75" hidden="1" x14ac:dyDescent="0.2">
      <c r="B3098" s="711">
        <v>46280</v>
      </c>
      <c r="C3098" s="711" t="s">
        <v>106</v>
      </c>
      <c r="D3098" s="711" t="s">
        <v>189</v>
      </c>
      <c r="E3098" s="711">
        <v>46280</v>
      </c>
      <c r="G3098" s="779"/>
      <c r="H3098" s="497" t="s">
        <v>84</v>
      </c>
      <c r="I3098" s="60" t="s">
        <v>105</v>
      </c>
      <c r="J3098" s="60">
        <f t="shared" si="3759"/>
        <v>50</v>
      </c>
      <c r="K3098" s="60">
        <v>38</v>
      </c>
      <c r="L3098" s="60">
        <v>6</v>
      </c>
      <c r="M3098" s="60">
        <v>0</v>
      </c>
      <c r="N3098" s="494">
        <v>0</v>
      </c>
      <c r="O3098" s="60">
        <v>1</v>
      </c>
      <c r="P3098" s="494">
        <v>5</v>
      </c>
      <c r="Q3098" s="182">
        <f t="shared" si="3757"/>
        <v>0.88</v>
      </c>
      <c r="R3098" s="182">
        <f t="shared" si="3758"/>
        <v>0</v>
      </c>
      <c r="S3098" s="183">
        <f t="shared" si="3753"/>
        <v>0.1</v>
      </c>
      <c r="T3098" s="183">
        <f t="shared" si="3754"/>
        <v>0.02</v>
      </c>
      <c r="U3098" s="184">
        <f t="shared" si="3755"/>
        <v>1</v>
      </c>
      <c r="V3098" s="386"/>
    </row>
    <row r="3099" spans="2:22" ht="15.75" hidden="1" x14ac:dyDescent="0.2">
      <c r="B3099" s="711">
        <v>46280</v>
      </c>
      <c r="C3099" s="711" t="s">
        <v>106</v>
      </c>
      <c r="D3099" s="711" t="s">
        <v>189</v>
      </c>
      <c r="E3099" s="711">
        <v>46280</v>
      </c>
      <c r="G3099" s="770">
        <v>46281</v>
      </c>
      <c r="H3099" s="497" t="s">
        <v>16</v>
      </c>
      <c r="I3099" s="60" t="s">
        <v>15</v>
      </c>
      <c r="J3099" s="60">
        <v>125</v>
      </c>
      <c r="K3099" s="60">
        <v>39</v>
      </c>
      <c r="L3099" s="60">
        <v>23</v>
      </c>
      <c r="M3099" s="60">
        <v>51</v>
      </c>
      <c r="N3099" s="494">
        <v>31</v>
      </c>
      <c r="O3099" s="60">
        <v>11</v>
      </c>
      <c r="P3099" s="494">
        <v>5</v>
      </c>
      <c r="Q3099" s="182">
        <f t="shared" si="3757"/>
        <v>0.496</v>
      </c>
      <c r="R3099" s="182">
        <f t="shared" si="3758"/>
        <v>0.248</v>
      </c>
      <c r="S3099" s="183">
        <f t="shared" si="3753"/>
        <v>0.04</v>
      </c>
      <c r="T3099" s="183">
        <f t="shared" si="3754"/>
        <v>8.7999999999999995E-2</v>
      </c>
      <c r="U3099" s="184">
        <f t="shared" si="3755"/>
        <v>0.872</v>
      </c>
      <c r="V3099" s="386"/>
    </row>
    <row r="3100" spans="2:22" ht="15.75" hidden="1" x14ac:dyDescent="0.2">
      <c r="B3100" s="711">
        <v>46280</v>
      </c>
      <c r="C3100" s="711" t="s">
        <v>106</v>
      </c>
      <c r="D3100" s="711" t="s">
        <v>189</v>
      </c>
      <c r="E3100" s="711">
        <v>46280</v>
      </c>
      <c r="G3100" s="772"/>
      <c r="H3100" s="497" t="s">
        <v>14</v>
      </c>
      <c r="I3100" s="60" t="s">
        <v>106</v>
      </c>
      <c r="J3100" s="60">
        <v>226</v>
      </c>
      <c r="K3100" s="60">
        <v>0</v>
      </c>
      <c r="L3100" s="60">
        <v>0</v>
      </c>
      <c r="M3100" s="60">
        <v>185</v>
      </c>
      <c r="N3100" s="494">
        <v>13</v>
      </c>
      <c r="O3100" s="60">
        <v>13</v>
      </c>
      <c r="P3100" s="494">
        <v>15</v>
      </c>
      <c r="Q3100" s="182">
        <f t="shared" si="3757"/>
        <v>0</v>
      </c>
      <c r="R3100" s="182">
        <f t="shared" si="3758"/>
        <v>5.7522123893805309E-2</v>
      </c>
      <c r="S3100" s="183">
        <f t="shared" si="3753"/>
        <v>6.637168141592921E-2</v>
      </c>
      <c r="T3100" s="183">
        <f t="shared" si="3754"/>
        <v>5.7522123893805309E-2</v>
      </c>
      <c r="U3100" s="184">
        <f t="shared" si="3755"/>
        <v>0.18141592920353983</v>
      </c>
      <c r="V3100" s="386"/>
    </row>
    <row r="3101" spans="2:22" ht="15.75" hidden="1" x14ac:dyDescent="0.2">
      <c r="B3101" s="711">
        <v>46280</v>
      </c>
      <c r="C3101" s="711" t="s">
        <v>106</v>
      </c>
      <c r="D3101" s="711" t="s">
        <v>189</v>
      </c>
      <c r="E3101" s="711">
        <v>46280</v>
      </c>
      <c r="G3101" s="775" t="s">
        <v>19</v>
      </c>
      <c r="H3101" s="776"/>
      <c r="I3101" s="777"/>
      <c r="J3101" s="190">
        <f t="shared" ref="J3101:P3101" si="3760">SUM(J3091:J3100)</f>
        <v>835</v>
      </c>
      <c r="K3101" s="190">
        <f t="shared" si="3760"/>
        <v>377</v>
      </c>
      <c r="L3101" s="190">
        <f t="shared" si="3760"/>
        <v>93</v>
      </c>
      <c r="M3101" s="190">
        <f t="shared" si="3760"/>
        <v>236</v>
      </c>
      <c r="N3101" s="190">
        <f t="shared" si="3760"/>
        <v>44</v>
      </c>
      <c r="O3101" s="190">
        <f t="shared" si="3760"/>
        <v>77</v>
      </c>
      <c r="P3101" s="190">
        <f t="shared" si="3760"/>
        <v>43</v>
      </c>
      <c r="Q3101" s="481">
        <f>(K3101+L3101)/J3101</f>
        <v>0.56287425149700598</v>
      </c>
      <c r="R3101" s="481">
        <f>N3101/J3101</f>
        <v>5.2694610778443111E-2</v>
      </c>
      <c r="S3101" s="482">
        <f t="shared" si="3753"/>
        <v>5.1497005988023953E-2</v>
      </c>
      <c r="T3101" s="482">
        <f t="shared" si="3754"/>
        <v>9.2215568862275443E-2</v>
      </c>
      <c r="U3101" s="483">
        <f t="shared" si="3755"/>
        <v>0.75928143712574847</v>
      </c>
      <c r="V3101" s="479"/>
    </row>
    <row r="3102" spans="2:22" ht="15.75" hidden="1" x14ac:dyDescent="0.2">
      <c r="B3102" s="711">
        <v>46280</v>
      </c>
      <c r="C3102" s="711" t="s">
        <v>105</v>
      </c>
      <c r="D3102" s="711" t="s">
        <v>13</v>
      </c>
      <c r="E3102" s="711">
        <v>46280</v>
      </c>
      <c r="G3102" s="782">
        <v>46280</v>
      </c>
      <c r="H3102" s="497" t="s">
        <v>16</v>
      </c>
      <c r="I3102" s="60" t="s">
        <v>15</v>
      </c>
      <c r="J3102" s="60">
        <v>236</v>
      </c>
      <c r="K3102" s="60">
        <f>236-78</f>
        <v>158</v>
      </c>
      <c r="L3102" s="60">
        <v>66</v>
      </c>
      <c r="M3102" s="60">
        <v>0</v>
      </c>
      <c r="N3102" s="494">
        <v>0</v>
      </c>
      <c r="O3102" s="60">
        <v>10</v>
      </c>
      <c r="P3102" s="494">
        <v>2</v>
      </c>
      <c r="Q3102" s="182">
        <f t="shared" ref="Q3102:Q3105" si="3761">(K3102+L3102)/J3102</f>
        <v>0.94915254237288138</v>
      </c>
      <c r="R3102" s="182">
        <f t="shared" ref="R3102:R3105" si="3762">N3102/J3102</f>
        <v>0</v>
      </c>
      <c r="S3102" s="183">
        <f t="shared" ref="S3102:S3119" si="3763">P3102/J3102</f>
        <v>8.4745762711864406E-3</v>
      </c>
      <c r="T3102" s="183">
        <f t="shared" ref="T3102:T3119" si="3764">O3102/J3102</f>
        <v>4.2372881355932202E-2</v>
      </c>
      <c r="U3102" s="184">
        <f t="shared" ref="U3102:U3119" si="3765">S3102+R3102+Q3102+T3102</f>
        <v>1</v>
      </c>
      <c r="V3102" s="386"/>
    </row>
    <row r="3103" spans="2:22" ht="15.75" hidden="1" x14ac:dyDescent="0.2">
      <c r="B3103" s="711">
        <v>46280</v>
      </c>
      <c r="C3103" s="711" t="s">
        <v>105</v>
      </c>
      <c r="D3103" s="711" t="s">
        <v>13</v>
      </c>
      <c r="E3103" s="711">
        <v>46280</v>
      </c>
      <c r="G3103" s="783"/>
      <c r="H3103" s="497" t="s">
        <v>17</v>
      </c>
      <c r="I3103" s="60" t="s">
        <v>105</v>
      </c>
      <c r="J3103" s="60">
        <v>170</v>
      </c>
      <c r="K3103" s="60">
        <v>109</v>
      </c>
      <c r="L3103" s="60">
        <v>27</v>
      </c>
      <c r="M3103" s="60">
        <v>0</v>
      </c>
      <c r="N3103" s="494">
        <v>0</v>
      </c>
      <c r="O3103" s="60">
        <v>32</v>
      </c>
      <c r="P3103" s="494">
        <v>2</v>
      </c>
      <c r="Q3103" s="182">
        <f t="shared" si="3761"/>
        <v>0.8</v>
      </c>
      <c r="R3103" s="182">
        <f t="shared" si="3762"/>
        <v>0</v>
      </c>
      <c r="S3103" s="183">
        <f t="shared" si="3763"/>
        <v>1.1764705882352941E-2</v>
      </c>
      <c r="T3103" s="183">
        <f t="shared" si="3764"/>
        <v>0.18823529411764706</v>
      </c>
      <c r="U3103" s="184">
        <f t="shared" si="3765"/>
        <v>1</v>
      </c>
      <c r="V3103" s="386"/>
    </row>
    <row r="3104" spans="2:22" ht="15.75" hidden="1" x14ac:dyDescent="0.2">
      <c r="B3104" s="711">
        <v>46280</v>
      </c>
      <c r="C3104" s="711" t="s">
        <v>105</v>
      </c>
      <c r="D3104" s="711" t="s">
        <v>13</v>
      </c>
      <c r="E3104" s="711">
        <v>46280</v>
      </c>
      <c r="G3104" s="818"/>
      <c r="H3104" s="497" t="s">
        <v>84</v>
      </c>
      <c r="I3104" s="60" t="s">
        <v>105</v>
      </c>
      <c r="J3104" s="60">
        <v>93</v>
      </c>
      <c r="K3104" s="60">
        <v>71</v>
      </c>
      <c r="L3104" s="60">
        <v>17</v>
      </c>
      <c r="M3104" s="60">
        <v>0</v>
      </c>
      <c r="N3104" s="494">
        <v>0</v>
      </c>
      <c r="O3104" s="60">
        <v>0</v>
      </c>
      <c r="P3104" s="494">
        <v>5</v>
      </c>
      <c r="Q3104" s="182">
        <f t="shared" si="3761"/>
        <v>0.94623655913978499</v>
      </c>
      <c r="R3104" s="182">
        <f t="shared" si="3762"/>
        <v>0</v>
      </c>
      <c r="S3104" s="183">
        <f t="shared" si="3763"/>
        <v>5.3763440860215055E-2</v>
      </c>
      <c r="T3104" s="183">
        <f t="shared" si="3764"/>
        <v>0</v>
      </c>
      <c r="U3104" s="184">
        <f t="shared" si="3765"/>
        <v>1</v>
      </c>
      <c r="V3104" s="386"/>
    </row>
    <row r="3105" spans="2:22" ht="15.75" hidden="1" x14ac:dyDescent="0.2">
      <c r="B3105" s="711">
        <v>46280</v>
      </c>
      <c r="C3105" s="711" t="s">
        <v>105</v>
      </c>
      <c r="D3105" s="711" t="s">
        <v>13</v>
      </c>
      <c r="E3105" s="711">
        <v>46281</v>
      </c>
      <c r="G3105" s="770">
        <v>46281</v>
      </c>
      <c r="H3105" s="497" t="s">
        <v>16</v>
      </c>
      <c r="I3105" s="60" t="s">
        <v>15</v>
      </c>
      <c r="J3105" s="60">
        <v>159</v>
      </c>
      <c r="K3105" s="60">
        <f>159-78</f>
        <v>81</v>
      </c>
      <c r="L3105" s="60">
        <v>40</v>
      </c>
      <c r="M3105" s="60">
        <v>5</v>
      </c>
      <c r="N3105" s="494">
        <v>17</v>
      </c>
      <c r="O3105" s="60">
        <v>11</v>
      </c>
      <c r="P3105" s="494">
        <v>5</v>
      </c>
      <c r="Q3105" s="182">
        <f t="shared" si="3761"/>
        <v>0.76100628930817615</v>
      </c>
      <c r="R3105" s="182">
        <f t="shared" si="3762"/>
        <v>0.1069182389937107</v>
      </c>
      <c r="S3105" s="183">
        <f t="shared" si="3763"/>
        <v>3.1446540880503145E-2</v>
      </c>
      <c r="T3105" s="183">
        <f t="shared" si="3764"/>
        <v>6.9182389937106917E-2</v>
      </c>
      <c r="U3105" s="184">
        <f t="shared" si="3765"/>
        <v>0.96855345911949686</v>
      </c>
      <c r="V3105" s="386"/>
    </row>
    <row r="3106" spans="2:22" ht="15.75" hidden="1" x14ac:dyDescent="0.2">
      <c r="B3106" s="711">
        <v>46280</v>
      </c>
      <c r="C3106" s="711" t="s">
        <v>105</v>
      </c>
      <c r="D3106" s="711" t="s">
        <v>13</v>
      </c>
      <c r="E3106" s="711">
        <v>46281</v>
      </c>
      <c r="G3106" s="771"/>
      <c r="H3106" s="497" t="s">
        <v>84</v>
      </c>
      <c r="I3106" s="60" t="s">
        <v>105</v>
      </c>
      <c r="J3106" s="60">
        <v>201</v>
      </c>
      <c r="K3106" s="60">
        <v>96</v>
      </c>
      <c r="L3106" s="60">
        <v>26</v>
      </c>
      <c r="M3106" s="60">
        <v>25</v>
      </c>
      <c r="N3106" s="494">
        <v>33</v>
      </c>
      <c r="O3106" s="60">
        <v>12</v>
      </c>
      <c r="P3106" s="494">
        <v>9</v>
      </c>
      <c r="Q3106" s="182">
        <f t="shared" ref="Q3106:Q3108" si="3766">(K3106+L3106)/J3106</f>
        <v>0.60696517412935325</v>
      </c>
      <c r="R3106" s="182">
        <f t="shared" ref="R3106:R3108" si="3767">N3106/J3106</f>
        <v>0.16417910447761194</v>
      </c>
      <c r="S3106" s="183">
        <f t="shared" ref="S3106:S3108" si="3768">P3106/J3106</f>
        <v>4.4776119402985072E-2</v>
      </c>
      <c r="T3106" s="183">
        <f t="shared" ref="T3106:T3108" si="3769">O3106/J3106</f>
        <v>5.9701492537313432E-2</v>
      </c>
      <c r="U3106" s="184">
        <f t="shared" ref="U3106:U3108" si="3770">S3106+R3106+Q3106+T3106</f>
        <v>0.87562189054726369</v>
      </c>
      <c r="V3106" s="386"/>
    </row>
    <row r="3107" spans="2:22" ht="15.75" hidden="1" x14ac:dyDescent="0.2">
      <c r="B3107" s="711">
        <v>46280</v>
      </c>
      <c r="C3107" s="711" t="s">
        <v>105</v>
      </c>
      <c r="D3107" s="711" t="s">
        <v>13</v>
      </c>
      <c r="E3107" s="711">
        <v>46281</v>
      </c>
      <c r="G3107" s="771"/>
      <c r="H3107" s="497" t="s">
        <v>25</v>
      </c>
      <c r="I3107" s="60" t="s">
        <v>105</v>
      </c>
      <c r="J3107" s="60">
        <v>180</v>
      </c>
      <c r="K3107" s="60">
        <v>0</v>
      </c>
      <c r="L3107" s="60">
        <v>0</v>
      </c>
      <c r="M3107" s="60">
        <v>154</v>
      </c>
      <c r="N3107" s="494">
        <v>0</v>
      </c>
      <c r="O3107" s="60">
        <v>23</v>
      </c>
      <c r="P3107" s="494">
        <v>3</v>
      </c>
      <c r="Q3107" s="182">
        <f t="shared" si="3766"/>
        <v>0</v>
      </c>
      <c r="R3107" s="182">
        <f t="shared" si="3767"/>
        <v>0</v>
      </c>
      <c r="S3107" s="183">
        <f t="shared" si="3768"/>
        <v>1.6666666666666666E-2</v>
      </c>
      <c r="T3107" s="183">
        <f t="shared" si="3769"/>
        <v>0.12777777777777777</v>
      </c>
      <c r="U3107" s="184">
        <f t="shared" si="3770"/>
        <v>0.14444444444444443</v>
      </c>
      <c r="V3107" s="386"/>
    </row>
    <row r="3108" spans="2:22" ht="15.75" hidden="1" x14ac:dyDescent="0.2">
      <c r="B3108" s="711">
        <v>46280</v>
      </c>
      <c r="C3108" s="711" t="s">
        <v>105</v>
      </c>
      <c r="D3108" s="711" t="s">
        <v>13</v>
      </c>
      <c r="E3108" s="711">
        <v>46281</v>
      </c>
      <c r="G3108" s="772"/>
      <c r="H3108" s="497" t="s">
        <v>14</v>
      </c>
      <c r="I3108" s="60" t="s">
        <v>106</v>
      </c>
      <c r="J3108" s="60">
        <v>226</v>
      </c>
      <c r="K3108" s="60">
        <f>226-77</f>
        <v>149</v>
      </c>
      <c r="L3108" s="60">
        <v>43</v>
      </c>
      <c r="M3108" s="60">
        <v>10</v>
      </c>
      <c r="N3108" s="494">
        <v>0</v>
      </c>
      <c r="O3108" s="60">
        <v>13</v>
      </c>
      <c r="P3108" s="494">
        <v>11</v>
      </c>
      <c r="Q3108" s="182">
        <f t="shared" si="3766"/>
        <v>0.84955752212389379</v>
      </c>
      <c r="R3108" s="182">
        <f t="shared" si="3767"/>
        <v>0</v>
      </c>
      <c r="S3108" s="183">
        <f t="shared" si="3768"/>
        <v>4.8672566371681415E-2</v>
      </c>
      <c r="T3108" s="183">
        <f t="shared" si="3769"/>
        <v>5.7522123893805309E-2</v>
      </c>
      <c r="U3108" s="184">
        <f t="shared" si="3770"/>
        <v>0.95575221238938046</v>
      </c>
      <c r="V3108" s="386"/>
    </row>
    <row r="3109" spans="2:22" ht="15.75" hidden="1" x14ac:dyDescent="0.2">
      <c r="B3109" s="711">
        <v>46280</v>
      </c>
      <c r="C3109" s="711" t="s">
        <v>105</v>
      </c>
      <c r="D3109" s="711" t="s">
        <v>13</v>
      </c>
      <c r="E3109" s="711">
        <v>46281</v>
      </c>
      <c r="G3109" s="775" t="s">
        <v>19</v>
      </c>
      <c r="H3109" s="776"/>
      <c r="I3109" s="777"/>
      <c r="J3109" s="190">
        <f t="shared" ref="J3109:P3109" si="3771">SUM(J3100:J3108)</f>
        <v>2326</v>
      </c>
      <c r="K3109" s="190">
        <f t="shared" si="3771"/>
        <v>1041</v>
      </c>
      <c r="L3109" s="190">
        <f t="shared" si="3771"/>
        <v>312</v>
      </c>
      <c r="M3109" s="190">
        <f t="shared" si="3771"/>
        <v>615</v>
      </c>
      <c r="N3109" s="190">
        <f t="shared" si="3771"/>
        <v>107</v>
      </c>
      <c r="O3109" s="190">
        <f t="shared" si="3771"/>
        <v>191</v>
      </c>
      <c r="P3109" s="190">
        <f t="shared" si="3771"/>
        <v>95</v>
      </c>
      <c r="Q3109" s="481">
        <f>(K3109+L3109)/J3109</f>
        <v>0.58168529664660362</v>
      </c>
      <c r="R3109" s="481">
        <f>N3109/J3109</f>
        <v>4.6001719690455717E-2</v>
      </c>
      <c r="S3109" s="482">
        <f t="shared" si="3763"/>
        <v>4.0842648323301804E-2</v>
      </c>
      <c r="T3109" s="482">
        <f t="shared" si="3764"/>
        <v>8.2115219260533098E-2</v>
      </c>
      <c r="U3109" s="483">
        <f t="shared" si="3765"/>
        <v>0.75064488392089423</v>
      </c>
      <c r="V3109" s="479"/>
    </row>
    <row r="3110" spans="2:22" ht="15.75" hidden="1" x14ac:dyDescent="0.2">
      <c r="B3110" s="711">
        <v>46281</v>
      </c>
      <c r="C3110" s="711" t="s">
        <v>106</v>
      </c>
      <c r="D3110" s="711" t="s">
        <v>189</v>
      </c>
      <c r="E3110" s="711">
        <v>46281</v>
      </c>
      <c r="G3110" s="778">
        <v>46281</v>
      </c>
      <c r="H3110" s="497" t="s">
        <v>16</v>
      </c>
      <c r="I3110" s="60" t="s">
        <v>15</v>
      </c>
      <c r="J3110" s="60">
        <f>SUM(K3110:P3110)</f>
        <v>72</v>
      </c>
      <c r="K3110" s="60">
        <f>63-27</f>
        <v>36</v>
      </c>
      <c r="L3110" s="60">
        <v>21</v>
      </c>
      <c r="M3110" s="60">
        <v>0</v>
      </c>
      <c r="N3110" s="494">
        <v>0</v>
      </c>
      <c r="O3110" s="60">
        <v>10</v>
      </c>
      <c r="P3110" s="494">
        <v>5</v>
      </c>
      <c r="Q3110" s="182">
        <f t="shared" ref="Q3110:Q3118" si="3772">(K3110+L3110)/J3110</f>
        <v>0.79166666666666663</v>
      </c>
      <c r="R3110" s="182">
        <f t="shared" ref="R3110:R3118" si="3773">N3110/J3110</f>
        <v>0</v>
      </c>
      <c r="S3110" s="183">
        <f t="shared" si="3763"/>
        <v>6.9444444444444448E-2</v>
      </c>
      <c r="T3110" s="183">
        <f t="shared" si="3764"/>
        <v>0.1388888888888889</v>
      </c>
      <c r="U3110" s="184">
        <f t="shared" si="3765"/>
        <v>1</v>
      </c>
      <c r="V3110" s="386"/>
    </row>
    <row r="3111" spans="2:22" ht="15.75" hidden="1" x14ac:dyDescent="0.2">
      <c r="B3111" s="711">
        <v>46281</v>
      </c>
      <c r="C3111" s="711" t="s">
        <v>106</v>
      </c>
      <c r="D3111" s="711" t="s">
        <v>189</v>
      </c>
      <c r="E3111" s="711">
        <v>46281</v>
      </c>
      <c r="G3111" s="786"/>
      <c r="H3111" s="497" t="s">
        <v>14</v>
      </c>
      <c r="I3111" s="60" t="s">
        <v>106</v>
      </c>
      <c r="J3111" s="60">
        <f t="shared" ref="J3111:J3116" si="3774">SUM(K3111:P3111)</f>
        <v>56</v>
      </c>
      <c r="K3111" s="60">
        <v>35</v>
      </c>
      <c r="L3111" s="60">
        <v>13</v>
      </c>
      <c r="M3111" s="60">
        <v>0</v>
      </c>
      <c r="N3111" s="494">
        <v>0</v>
      </c>
      <c r="O3111" s="60">
        <v>0</v>
      </c>
      <c r="P3111" s="494">
        <v>8</v>
      </c>
      <c r="Q3111" s="182">
        <f t="shared" si="3772"/>
        <v>0.8571428571428571</v>
      </c>
      <c r="R3111" s="182">
        <f t="shared" si="3773"/>
        <v>0</v>
      </c>
      <c r="S3111" s="183">
        <f t="shared" si="3763"/>
        <v>0.14285714285714285</v>
      </c>
      <c r="T3111" s="183">
        <f t="shared" si="3764"/>
        <v>0</v>
      </c>
      <c r="U3111" s="184">
        <f t="shared" si="3765"/>
        <v>1</v>
      </c>
      <c r="V3111" s="386"/>
    </row>
    <row r="3112" spans="2:22" ht="15.75" hidden="1" x14ac:dyDescent="0.2">
      <c r="B3112" s="711">
        <v>46281</v>
      </c>
      <c r="C3112" s="711" t="s">
        <v>106</v>
      </c>
      <c r="D3112" s="711" t="s">
        <v>189</v>
      </c>
      <c r="E3112" s="711">
        <v>46281</v>
      </c>
      <c r="G3112" s="786"/>
      <c r="H3112" s="497" t="s">
        <v>120</v>
      </c>
      <c r="I3112" s="60" t="s">
        <v>106</v>
      </c>
      <c r="J3112" s="60">
        <f t="shared" si="3774"/>
        <v>8</v>
      </c>
      <c r="K3112" s="60">
        <v>8</v>
      </c>
      <c r="L3112" s="60">
        <v>0</v>
      </c>
      <c r="M3112" s="60">
        <v>0</v>
      </c>
      <c r="N3112" s="494">
        <v>0</v>
      </c>
      <c r="O3112" s="60">
        <v>0</v>
      </c>
      <c r="P3112" s="494">
        <v>0</v>
      </c>
      <c r="Q3112" s="182">
        <f t="shared" si="3772"/>
        <v>1</v>
      </c>
      <c r="R3112" s="182">
        <f t="shared" si="3773"/>
        <v>0</v>
      </c>
      <c r="S3112" s="183">
        <f t="shared" si="3763"/>
        <v>0</v>
      </c>
      <c r="T3112" s="183">
        <f t="shared" si="3764"/>
        <v>0</v>
      </c>
      <c r="U3112" s="184">
        <f t="shared" si="3765"/>
        <v>1</v>
      </c>
      <c r="V3112" s="386"/>
    </row>
    <row r="3113" spans="2:22" ht="15.75" hidden="1" x14ac:dyDescent="0.2">
      <c r="B3113" s="711">
        <v>46281</v>
      </c>
      <c r="C3113" s="711" t="s">
        <v>106</v>
      </c>
      <c r="D3113" s="711" t="s">
        <v>189</v>
      </c>
      <c r="E3113" s="711">
        <v>46281</v>
      </c>
      <c r="G3113" s="786"/>
      <c r="H3113" s="497" t="s">
        <v>180</v>
      </c>
      <c r="I3113" s="60" t="s">
        <v>106</v>
      </c>
      <c r="J3113" s="60">
        <f t="shared" si="3774"/>
        <v>23</v>
      </c>
      <c r="K3113" s="60">
        <v>22</v>
      </c>
      <c r="L3113" s="60">
        <v>1</v>
      </c>
      <c r="M3113" s="60">
        <v>0</v>
      </c>
      <c r="N3113" s="494">
        <v>0</v>
      </c>
      <c r="O3113" s="60">
        <v>0</v>
      </c>
      <c r="P3113" s="494">
        <v>0</v>
      </c>
      <c r="Q3113" s="182">
        <f t="shared" si="3772"/>
        <v>1</v>
      </c>
      <c r="R3113" s="182">
        <f t="shared" si="3773"/>
        <v>0</v>
      </c>
      <c r="S3113" s="183">
        <f t="shared" si="3763"/>
        <v>0</v>
      </c>
      <c r="T3113" s="183">
        <f t="shared" si="3764"/>
        <v>0</v>
      </c>
      <c r="U3113" s="184">
        <f t="shared" si="3765"/>
        <v>1</v>
      </c>
      <c r="V3113" s="386"/>
    </row>
    <row r="3114" spans="2:22" ht="15.75" hidden="1" x14ac:dyDescent="0.2">
      <c r="B3114" s="711">
        <v>46281</v>
      </c>
      <c r="C3114" s="711" t="s">
        <v>106</v>
      </c>
      <c r="D3114" s="711" t="s">
        <v>189</v>
      </c>
      <c r="E3114" s="711">
        <v>46281</v>
      </c>
      <c r="G3114" s="786"/>
      <c r="H3114" s="497" t="s">
        <v>118</v>
      </c>
      <c r="I3114" s="60" t="s">
        <v>106</v>
      </c>
      <c r="J3114" s="60">
        <f t="shared" si="3774"/>
        <v>1</v>
      </c>
      <c r="K3114" s="60">
        <v>1</v>
      </c>
      <c r="L3114" s="60">
        <v>0</v>
      </c>
      <c r="M3114" s="60">
        <v>0</v>
      </c>
      <c r="N3114" s="494">
        <v>0</v>
      </c>
      <c r="O3114" s="60">
        <v>0</v>
      </c>
      <c r="P3114" s="494">
        <v>0</v>
      </c>
      <c r="Q3114" s="182">
        <f t="shared" si="3772"/>
        <v>1</v>
      </c>
      <c r="R3114" s="182">
        <f t="shared" si="3773"/>
        <v>0</v>
      </c>
      <c r="S3114" s="183">
        <f t="shared" si="3763"/>
        <v>0</v>
      </c>
      <c r="T3114" s="183">
        <f t="shared" si="3764"/>
        <v>0</v>
      </c>
      <c r="U3114" s="184">
        <f t="shared" si="3765"/>
        <v>1</v>
      </c>
      <c r="V3114" s="386"/>
    </row>
    <row r="3115" spans="2:22" ht="15.75" hidden="1" x14ac:dyDescent="0.2">
      <c r="B3115" s="711">
        <v>46281</v>
      </c>
      <c r="C3115" s="711" t="s">
        <v>106</v>
      </c>
      <c r="D3115" s="711" t="s">
        <v>189</v>
      </c>
      <c r="E3115" s="711">
        <v>46281</v>
      </c>
      <c r="G3115" s="786"/>
      <c r="H3115" s="497" t="s">
        <v>25</v>
      </c>
      <c r="I3115" s="60" t="s">
        <v>105</v>
      </c>
      <c r="J3115" s="60">
        <f t="shared" si="3774"/>
        <v>177</v>
      </c>
      <c r="K3115" s="60">
        <v>97</v>
      </c>
      <c r="L3115" s="60">
        <v>42</v>
      </c>
      <c r="M3115" s="60">
        <v>13</v>
      </c>
      <c r="N3115" s="494">
        <v>0</v>
      </c>
      <c r="O3115" s="60">
        <v>22</v>
      </c>
      <c r="P3115" s="494">
        <v>3</v>
      </c>
      <c r="Q3115" s="182">
        <f t="shared" si="3772"/>
        <v>0.78531073446327682</v>
      </c>
      <c r="R3115" s="182">
        <f t="shared" si="3773"/>
        <v>0</v>
      </c>
      <c r="S3115" s="183">
        <f t="shared" si="3763"/>
        <v>1.6949152542372881E-2</v>
      </c>
      <c r="T3115" s="183">
        <f t="shared" si="3764"/>
        <v>0.12429378531073447</v>
      </c>
      <c r="U3115" s="184">
        <f t="shared" si="3765"/>
        <v>0.92655367231638408</v>
      </c>
      <c r="V3115" s="386"/>
    </row>
    <row r="3116" spans="2:22" ht="15.75" hidden="1" x14ac:dyDescent="0.2">
      <c r="B3116" s="711">
        <v>46281</v>
      </c>
      <c r="C3116" s="711" t="s">
        <v>106</v>
      </c>
      <c r="D3116" s="711" t="s">
        <v>189</v>
      </c>
      <c r="E3116" s="711">
        <v>46281</v>
      </c>
      <c r="G3116" s="779"/>
      <c r="H3116" s="497" t="s">
        <v>84</v>
      </c>
      <c r="I3116" s="60" t="s">
        <v>105</v>
      </c>
      <c r="J3116" s="60">
        <f t="shared" si="3774"/>
        <v>79</v>
      </c>
      <c r="K3116" s="60">
        <v>41</v>
      </c>
      <c r="L3116" s="60">
        <v>9</v>
      </c>
      <c r="M3116" s="60">
        <v>8</v>
      </c>
      <c r="N3116" s="494">
        <v>0</v>
      </c>
      <c r="O3116" s="60">
        <v>12</v>
      </c>
      <c r="P3116" s="494">
        <v>9</v>
      </c>
      <c r="Q3116" s="182">
        <f t="shared" si="3772"/>
        <v>0.63291139240506333</v>
      </c>
      <c r="R3116" s="182">
        <f t="shared" si="3773"/>
        <v>0</v>
      </c>
      <c r="S3116" s="183">
        <f t="shared" si="3763"/>
        <v>0.11392405063291139</v>
      </c>
      <c r="T3116" s="183">
        <f t="shared" si="3764"/>
        <v>0.15189873417721519</v>
      </c>
      <c r="U3116" s="184">
        <f t="shared" si="3765"/>
        <v>0.89873417721518989</v>
      </c>
      <c r="V3116" s="386"/>
    </row>
    <row r="3117" spans="2:22" ht="15.75" hidden="1" x14ac:dyDescent="0.2">
      <c r="B3117" s="711">
        <v>46281</v>
      </c>
      <c r="C3117" s="711" t="s">
        <v>106</v>
      </c>
      <c r="D3117" s="711" t="s">
        <v>189</v>
      </c>
      <c r="E3117" s="711">
        <v>46281</v>
      </c>
      <c r="G3117" s="770">
        <v>46282</v>
      </c>
      <c r="H3117" s="497" t="s">
        <v>16</v>
      </c>
      <c r="I3117" s="60" t="s">
        <v>15</v>
      </c>
      <c r="J3117" s="60">
        <v>214</v>
      </c>
      <c r="K3117" s="60">
        <v>27</v>
      </c>
      <c r="L3117" s="60">
        <v>21</v>
      </c>
      <c r="M3117" s="60">
        <v>86</v>
      </c>
      <c r="N3117" s="494">
        <v>54</v>
      </c>
      <c r="O3117" s="60">
        <v>19</v>
      </c>
      <c r="P3117" s="494">
        <v>8</v>
      </c>
      <c r="Q3117" s="182">
        <f t="shared" si="3772"/>
        <v>0.22429906542056074</v>
      </c>
      <c r="R3117" s="182">
        <f t="shared" si="3773"/>
        <v>0.25233644859813081</v>
      </c>
      <c r="S3117" s="183">
        <f t="shared" si="3763"/>
        <v>3.7383177570093455E-2</v>
      </c>
      <c r="T3117" s="183">
        <f t="shared" si="3764"/>
        <v>8.8785046728971959E-2</v>
      </c>
      <c r="U3117" s="184">
        <f t="shared" si="3765"/>
        <v>0.60280373831775691</v>
      </c>
      <c r="V3117" s="386"/>
    </row>
    <row r="3118" spans="2:22" ht="15.75" hidden="1" x14ac:dyDescent="0.2">
      <c r="B3118" s="711">
        <v>46281</v>
      </c>
      <c r="C3118" s="711" t="s">
        <v>106</v>
      </c>
      <c r="D3118" s="711" t="s">
        <v>189</v>
      </c>
      <c r="E3118" s="711">
        <v>46281</v>
      </c>
      <c r="G3118" s="772"/>
      <c r="H3118" s="497" t="s">
        <v>17</v>
      </c>
      <c r="I3118" s="60" t="s">
        <v>105</v>
      </c>
      <c r="J3118" s="60">
        <v>155</v>
      </c>
      <c r="K3118" s="60">
        <v>0</v>
      </c>
      <c r="L3118" s="60">
        <v>0</v>
      </c>
      <c r="M3118" s="60">
        <v>109</v>
      </c>
      <c r="N3118" s="494">
        <v>15</v>
      </c>
      <c r="O3118" s="60">
        <v>25</v>
      </c>
      <c r="P3118" s="494">
        <v>6</v>
      </c>
      <c r="Q3118" s="182">
        <f t="shared" si="3772"/>
        <v>0</v>
      </c>
      <c r="R3118" s="182">
        <f t="shared" si="3773"/>
        <v>9.6774193548387094E-2</v>
      </c>
      <c r="S3118" s="183">
        <f t="shared" si="3763"/>
        <v>3.870967741935484E-2</v>
      </c>
      <c r="T3118" s="183">
        <f t="shared" si="3764"/>
        <v>0.16129032258064516</v>
      </c>
      <c r="U3118" s="184">
        <f t="shared" si="3765"/>
        <v>0.29677419354838708</v>
      </c>
      <c r="V3118" s="386"/>
    </row>
    <row r="3119" spans="2:22" ht="15.75" hidden="1" x14ac:dyDescent="0.2">
      <c r="B3119" s="711">
        <v>46281</v>
      </c>
      <c r="C3119" s="711" t="s">
        <v>106</v>
      </c>
      <c r="D3119" s="711" t="s">
        <v>189</v>
      </c>
      <c r="E3119" s="711">
        <v>46281</v>
      </c>
      <c r="G3119" s="775" t="s">
        <v>19</v>
      </c>
      <c r="H3119" s="776"/>
      <c r="I3119" s="777"/>
      <c r="J3119" s="190">
        <f t="shared" ref="J3119:P3119" si="3775">SUM(J3110:J3118)</f>
        <v>785</v>
      </c>
      <c r="K3119" s="190">
        <f t="shared" si="3775"/>
        <v>267</v>
      </c>
      <c r="L3119" s="190">
        <f t="shared" si="3775"/>
        <v>107</v>
      </c>
      <c r="M3119" s="190">
        <f t="shared" si="3775"/>
        <v>216</v>
      </c>
      <c r="N3119" s="190">
        <f t="shared" si="3775"/>
        <v>69</v>
      </c>
      <c r="O3119" s="190">
        <f t="shared" si="3775"/>
        <v>88</v>
      </c>
      <c r="P3119" s="190">
        <f t="shared" si="3775"/>
        <v>39</v>
      </c>
      <c r="Q3119" s="481">
        <f>(K3119+L3119)/J3119</f>
        <v>0.47643312101910829</v>
      </c>
      <c r="R3119" s="481">
        <f>N3119/J3119</f>
        <v>8.7898089171974517E-2</v>
      </c>
      <c r="S3119" s="482">
        <f t="shared" si="3763"/>
        <v>4.9681528662420385E-2</v>
      </c>
      <c r="T3119" s="482">
        <f t="shared" si="3764"/>
        <v>0.11210191082802548</v>
      </c>
      <c r="U3119" s="483">
        <f t="shared" si="3765"/>
        <v>0.72611464968152861</v>
      </c>
      <c r="V3119" s="479"/>
    </row>
    <row r="3120" spans="2:22" ht="15.75" hidden="1" x14ac:dyDescent="0.2">
      <c r="B3120" s="711">
        <v>46281</v>
      </c>
      <c r="C3120" s="711" t="s">
        <v>105</v>
      </c>
      <c r="D3120" s="711" t="s">
        <v>13</v>
      </c>
      <c r="E3120" s="711">
        <v>46281</v>
      </c>
      <c r="G3120" s="816">
        <v>46281</v>
      </c>
      <c r="H3120" s="497" t="s">
        <v>16</v>
      </c>
      <c r="I3120" s="60" t="s">
        <v>15</v>
      </c>
      <c r="J3120" s="60">
        <v>159</v>
      </c>
      <c r="K3120" s="60">
        <f>159-47</f>
        <v>112</v>
      </c>
      <c r="L3120" s="60">
        <v>32</v>
      </c>
      <c r="M3120" s="60">
        <v>0</v>
      </c>
      <c r="N3120" s="494">
        <v>0</v>
      </c>
      <c r="O3120" s="60">
        <v>11</v>
      </c>
      <c r="P3120" s="494">
        <v>4</v>
      </c>
      <c r="Q3120" s="182">
        <f t="shared" ref="Q3120:Q3128" si="3776">(K3120+L3120)/J3120</f>
        <v>0.90566037735849059</v>
      </c>
      <c r="R3120" s="182">
        <f t="shared" ref="R3120:R3128" si="3777">N3120/J3120</f>
        <v>0</v>
      </c>
      <c r="S3120" s="183">
        <f t="shared" ref="S3120:S3138" si="3778">P3120/J3120</f>
        <v>2.5157232704402517E-2</v>
      </c>
      <c r="T3120" s="183">
        <f t="shared" ref="T3120:T3138" si="3779">O3120/J3120</f>
        <v>6.9182389937106917E-2</v>
      </c>
      <c r="U3120" s="184">
        <f t="shared" ref="U3120:U3138" si="3780">S3120+R3120+Q3120+T3120</f>
        <v>1</v>
      </c>
      <c r="V3120" s="386"/>
    </row>
    <row r="3121" spans="2:22" ht="15.75" hidden="1" x14ac:dyDescent="0.2">
      <c r="B3121" s="711">
        <v>46281</v>
      </c>
      <c r="C3121" s="711" t="s">
        <v>105</v>
      </c>
      <c r="D3121" s="711" t="s">
        <v>13</v>
      </c>
      <c r="E3121" s="711">
        <v>46281</v>
      </c>
      <c r="G3121" s="819"/>
      <c r="H3121" s="497" t="s">
        <v>84</v>
      </c>
      <c r="I3121" s="60" t="s">
        <v>105</v>
      </c>
      <c r="J3121" s="60">
        <v>201</v>
      </c>
      <c r="K3121" s="60">
        <f>201-59</f>
        <v>142</v>
      </c>
      <c r="L3121" s="60">
        <v>41</v>
      </c>
      <c r="M3121" s="60">
        <v>0</v>
      </c>
      <c r="N3121" s="494">
        <v>0</v>
      </c>
      <c r="O3121" s="60">
        <v>12</v>
      </c>
      <c r="P3121" s="494">
        <v>6</v>
      </c>
      <c r="Q3121" s="182">
        <f t="shared" si="3776"/>
        <v>0.91044776119402981</v>
      </c>
      <c r="R3121" s="182">
        <f t="shared" si="3777"/>
        <v>0</v>
      </c>
      <c r="S3121" s="183">
        <f t="shared" si="3778"/>
        <v>2.9850746268656716E-2</v>
      </c>
      <c r="T3121" s="183">
        <f t="shared" si="3779"/>
        <v>5.9701492537313432E-2</v>
      </c>
      <c r="U3121" s="184">
        <f t="shared" si="3780"/>
        <v>0.99999999999999989</v>
      </c>
      <c r="V3121" s="386"/>
    </row>
    <row r="3122" spans="2:22" ht="15.75" hidden="1" x14ac:dyDescent="0.2">
      <c r="B3122" s="711">
        <v>46281</v>
      </c>
      <c r="C3122" s="711" t="s">
        <v>105</v>
      </c>
      <c r="D3122" s="711" t="s">
        <v>13</v>
      </c>
      <c r="E3122" s="711">
        <v>46281</v>
      </c>
      <c r="G3122" s="817"/>
      <c r="H3122" s="497" t="s">
        <v>25</v>
      </c>
      <c r="I3122" s="60" t="s">
        <v>105</v>
      </c>
      <c r="J3122" s="60">
        <v>180</v>
      </c>
      <c r="K3122" s="60">
        <v>114</v>
      </c>
      <c r="L3122" s="60">
        <v>41</v>
      </c>
      <c r="M3122" s="60">
        <v>0</v>
      </c>
      <c r="N3122" s="494">
        <v>0</v>
      </c>
      <c r="O3122" s="60">
        <v>23</v>
      </c>
      <c r="P3122" s="494">
        <v>2</v>
      </c>
      <c r="Q3122" s="182">
        <f t="shared" si="3776"/>
        <v>0.86111111111111116</v>
      </c>
      <c r="R3122" s="182">
        <f t="shared" si="3777"/>
        <v>0</v>
      </c>
      <c r="S3122" s="183">
        <f t="shared" si="3778"/>
        <v>1.1111111111111112E-2</v>
      </c>
      <c r="T3122" s="183">
        <f t="shared" si="3779"/>
        <v>0.12777777777777777</v>
      </c>
      <c r="U3122" s="184">
        <f t="shared" si="3780"/>
        <v>1</v>
      </c>
      <c r="V3122" s="386"/>
    </row>
    <row r="3123" spans="2:22" ht="15.75" hidden="1" x14ac:dyDescent="0.2">
      <c r="B3123" s="711">
        <v>46281</v>
      </c>
      <c r="C3123" s="711" t="s">
        <v>105</v>
      </c>
      <c r="D3123" s="711" t="s">
        <v>13</v>
      </c>
      <c r="E3123" s="711">
        <v>46282</v>
      </c>
      <c r="G3123" s="770">
        <v>46282</v>
      </c>
      <c r="H3123" s="497" t="s">
        <v>16</v>
      </c>
      <c r="I3123" s="60" t="s">
        <v>15</v>
      </c>
      <c r="J3123" s="60">
        <v>214</v>
      </c>
      <c r="K3123" s="60">
        <f>214-125</f>
        <v>89</v>
      </c>
      <c r="L3123" s="60">
        <v>49</v>
      </c>
      <c r="M3123" s="60">
        <v>8</v>
      </c>
      <c r="N3123" s="494">
        <v>40</v>
      </c>
      <c r="O3123" s="60">
        <v>20</v>
      </c>
      <c r="P3123" s="494">
        <v>8</v>
      </c>
      <c r="Q3123" s="182">
        <f t="shared" si="3776"/>
        <v>0.64485981308411211</v>
      </c>
      <c r="R3123" s="182">
        <f t="shared" si="3777"/>
        <v>0.18691588785046728</v>
      </c>
      <c r="S3123" s="183">
        <f t="shared" si="3778"/>
        <v>3.7383177570093455E-2</v>
      </c>
      <c r="T3123" s="183">
        <f t="shared" si="3779"/>
        <v>9.3457943925233641E-2</v>
      </c>
      <c r="U3123" s="184">
        <f t="shared" si="3780"/>
        <v>0.96261682242990654</v>
      </c>
      <c r="V3123" s="386"/>
    </row>
    <row r="3124" spans="2:22" ht="15.75" hidden="1" x14ac:dyDescent="0.2">
      <c r="B3124" s="711">
        <v>46281</v>
      </c>
      <c r="C3124" s="711" t="s">
        <v>105</v>
      </c>
      <c r="D3124" s="711" t="s">
        <v>13</v>
      </c>
      <c r="E3124" s="711">
        <v>46282</v>
      </c>
      <c r="G3124" s="771"/>
      <c r="H3124" s="497" t="s">
        <v>25</v>
      </c>
      <c r="I3124" s="60" t="s">
        <v>106</v>
      </c>
      <c r="J3124" s="60">
        <v>232</v>
      </c>
      <c r="K3124" s="60">
        <v>146</v>
      </c>
      <c r="L3124" s="60">
        <v>42</v>
      </c>
      <c r="M3124" s="60">
        <v>2</v>
      </c>
      <c r="N3124" s="494">
        <v>0</v>
      </c>
      <c r="O3124" s="60">
        <v>27</v>
      </c>
      <c r="P3124" s="494">
        <v>15</v>
      </c>
      <c r="Q3124" s="182">
        <f t="shared" ref="Q3124:Q3127" si="3781">(K3124+L3124)/J3124</f>
        <v>0.81034482758620685</v>
      </c>
      <c r="R3124" s="182">
        <f t="shared" ref="R3124:R3127" si="3782">N3124/J3124</f>
        <v>0</v>
      </c>
      <c r="S3124" s="183">
        <f t="shared" ref="S3124:S3127" si="3783">P3124/J3124</f>
        <v>6.4655172413793108E-2</v>
      </c>
      <c r="T3124" s="183">
        <f t="shared" ref="T3124:T3127" si="3784">O3124/J3124</f>
        <v>0.11637931034482758</v>
      </c>
      <c r="U3124" s="184">
        <f t="shared" ref="U3124:U3127" si="3785">S3124+R3124+Q3124+T3124</f>
        <v>0.99137931034482762</v>
      </c>
      <c r="V3124" s="386"/>
    </row>
    <row r="3125" spans="2:22" ht="15.75" hidden="1" x14ac:dyDescent="0.2">
      <c r="B3125" s="711">
        <v>46281</v>
      </c>
      <c r="C3125" s="711" t="s">
        <v>105</v>
      </c>
      <c r="D3125" s="711" t="s">
        <v>13</v>
      </c>
      <c r="E3125" s="711">
        <v>46282</v>
      </c>
      <c r="G3125" s="771"/>
      <c r="H3125" s="497" t="s">
        <v>120</v>
      </c>
      <c r="I3125" s="60" t="s">
        <v>106</v>
      </c>
      <c r="J3125" s="60">
        <v>30</v>
      </c>
      <c r="K3125" s="60">
        <v>0</v>
      </c>
      <c r="L3125" s="60">
        <v>0</v>
      </c>
      <c r="M3125" s="60">
        <v>12</v>
      </c>
      <c r="N3125" s="494">
        <v>18</v>
      </c>
      <c r="O3125" s="60">
        <v>0</v>
      </c>
      <c r="P3125" s="494">
        <v>0</v>
      </c>
      <c r="Q3125" s="182">
        <f t="shared" si="3781"/>
        <v>0</v>
      </c>
      <c r="R3125" s="182">
        <f t="shared" si="3782"/>
        <v>0.6</v>
      </c>
      <c r="S3125" s="183">
        <f t="shared" si="3783"/>
        <v>0</v>
      </c>
      <c r="T3125" s="183">
        <f t="shared" si="3784"/>
        <v>0</v>
      </c>
      <c r="U3125" s="184">
        <f t="shared" si="3785"/>
        <v>0.6</v>
      </c>
      <c r="V3125" s="386"/>
    </row>
    <row r="3126" spans="2:22" ht="15.75" hidden="1" x14ac:dyDescent="0.2">
      <c r="B3126" s="711">
        <v>46281</v>
      </c>
      <c r="C3126" s="711" t="s">
        <v>105</v>
      </c>
      <c r="D3126" s="711" t="s">
        <v>13</v>
      </c>
      <c r="E3126" s="711">
        <v>46282</v>
      </c>
      <c r="G3126" s="771"/>
      <c r="H3126" s="497" t="s">
        <v>210</v>
      </c>
      <c r="I3126" s="60" t="s">
        <v>106</v>
      </c>
      <c r="J3126" s="60">
        <v>84</v>
      </c>
      <c r="K3126" s="60">
        <v>0</v>
      </c>
      <c r="L3126" s="60">
        <v>0</v>
      </c>
      <c r="M3126" s="60">
        <v>5</v>
      </c>
      <c r="N3126" s="494">
        <v>79</v>
      </c>
      <c r="O3126" s="60">
        <v>0</v>
      </c>
      <c r="P3126" s="494">
        <v>0</v>
      </c>
      <c r="Q3126" s="182">
        <f t="shared" si="3781"/>
        <v>0</v>
      </c>
      <c r="R3126" s="182">
        <f t="shared" si="3782"/>
        <v>0.94047619047619047</v>
      </c>
      <c r="S3126" s="183">
        <f t="shared" si="3783"/>
        <v>0</v>
      </c>
      <c r="T3126" s="183">
        <f t="shared" si="3784"/>
        <v>0</v>
      </c>
      <c r="U3126" s="184">
        <f t="shared" si="3785"/>
        <v>0.94047619047619047</v>
      </c>
      <c r="V3126" s="386"/>
    </row>
    <row r="3127" spans="2:22" ht="15.75" hidden="1" x14ac:dyDescent="0.2">
      <c r="B3127" s="711">
        <v>46281</v>
      </c>
      <c r="C3127" s="711" t="s">
        <v>105</v>
      </c>
      <c r="D3127" s="711" t="s">
        <v>13</v>
      </c>
      <c r="E3127" s="711">
        <v>46282</v>
      </c>
      <c r="G3127" s="771"/>
      <c r="H3127" s="497" t="s">
        <v>84</v>
      </c>
      <c r="I3127" s="60" t="s">
        <v>105</v>
      </c>
      <c r="J3127" s="60">
        <v>86</v>
      </c>
      <c r="K3127" s="60">
        <v>36</v>
      </c>
      <c r="L3127" s="60">
        <v>11</v>
      </c>
      <c r="M3127" s="60">
        <v>37</v>
      </c>
      <c r="N3127" s="494">
        <v>0</v>
      </c>
      <c r="O3127" s="60">
        <v>1</v>
      </c>
      <c r="P3127" s="494">
        <v>1</v>
      </c>
      <c r="Q3127" s="182">
        <f t="shared" si="3781"/>
        <v>0.54651162790697672</v>
      </c>
      <c r="R3127" s="182">
        <f t="shared" si="3782"/>
        <v>0</v>
      </c>
      <c r="S3127" s="183">
        <f t="shared" si="3783"/>
        <v>1.1627906976744186E-2</v>
      </c>
      <c r="T3127" s="183">
        <f t="shared" si="3784"/>
        <v>1.1627906976744186E-2</v>
      </c>
      <c r="U3127" s="184">
        <f t="shared" si="3785"/>
        <v>0.56976744186046513</v>
      </c>
      <c r="V3127" s="386"/>
    </row>
    <row r="3128" spans="2:22" ht="15.75" hidden="1" x14ac:dyDescent="0.2">
      <c r="B3128" s="711">
        <v>46281</v>
      </c>
      <c r="C3128" s="711" t="s">
        <v>105</v>
      </c>
      <c r="D3128" s="711" t="s">
        <v>13</v>
      </c>
      <c r="E3128" s="711">
        <v>46282</v>
      </c>
      <c r="G3128" s="772"/>
      <c r="H3128" s="497" t="s">
        <v>17</v>
      </c>
      <c r="I3128" s="60" t="s">
        <v>105</v>
      </c>
      <c r="J3128" s="60">
        <v>155</v>
      </c>
      <c r="K3128" s="60">
        <v>5</v>
      </c>
      <c r="L3128" s="60">
        <v>9</v>
      </c>
      <c r="M3128" s="60">
        <v>110</v>
      </c>
      <c r="N3128" s="494">
        <v>0</v>
      </c>
      <c r="O3128" s="60">
        <v>25</v>
      </c>
      <c r="P3128" s="494">
        <v>6</v>
      </c>
      <c r="Q3128" s="182">
        <f t="shared" si="3776"/>
        <v>9.0322580645161285E-2</v>
      </c>
      <c r="R3128" s="182">
        <f t="shared" si="3777"/>
        <v>0</v>
      </c>
      <c r="S3128" s="183">
        <f t="shared" si="3778"/>
        <v>3.870967741935484E-2</v>
      </c>
      <c r="T3128" s="183">
        <f t="shared" si="3779"/>
        <v>0.16129032258064516</v>
      </c>
      <c r="U3128" s="184">
        <f t="shared" si="3780"/>
        <v>0.29032258064516125</v>
      </c>
      <c r="V3128" s="386"/>
    </row>
    <row r="3129" spans="2:22" ht="15.75" hidden="1" x14ac:dyDescent="0.2">
      <c r="B3129" s="711">
        <v>46281</v>
      </c>
      <c r="C3129" s="711" t="s">
        <v>105</v>
      </c>
      <c r="D3129" s="711" t="s">
        <v>13</v>
      </c>
      <c r="E3129" s="711">
        <v>46282</v>
      </c>
      <c r="G3129" s="775" t="s">
        <v>19</v>
      </c>
      <c r="H3129" s="776"/>
      <c r="I3129" s="777"/>
      <c r="J3129" s="190">
        <f>SUM(J3120:J3128)</f>
        <v>1341</v>
      </c>
      <c r="K3129" s="190">
        <f t="shared" ref="K3129:P3129" si="3786">SUM(K3120:K3128)</f>
        <v>644</v>
      </c>
      <c r="L3129" s="190">
        <f t="shared" si="3786"/>
        <v>225</v>
      </c>
      <c r="M3129" s="190">
        <f t="shared" si="3786"/>
        <v>174</v>
      </c>
      <c r="N3129" s="190">
        <f t="shared" si="3786"/>
        <v>137</v>
      </c>
      <c r="O3129" s="190">
        <f t="shared" si="3786"/>
        <v>119</v>
      </c>
      <c r="P3129" s="190">
        <f t="shared" si="3786"/>
        <v>42</v>
      </c>
      <c r="Q3129" s="481">
        <f>(K3129+L3129)/J3129</f>
        <v>0.64802386278896351</v>
      </c>
      <c r="R3129" s="481">
        <f>N3129/J3129</f>
        <v>0.10216256524981357</v>
      </c>
      <c r="S3129" s="482">
        <f t="shared" si="3778"/>
        <v>3.1319910514541388E-2</v>
      </c>
      <c r="T3129" s="482">
        <f t="shared" si="3779"/>
        <v>8.8739746457867266E-2</v>
      </c>
      <c r="U3129" s="483">
        <f t="shared" si="3780"/>
        <v>0.87024608501118583</v>
      </c>
      <c r="V3129" s="479"/>
    </row>
    <row r="3130" spans="2:22" ht="15.75" hidden="1" x14ac:dyDescent="0.2">
      <c r="B3130" s="711">
        <v>46282</v>
      </c>
      <c r="C3130" s="711" t="s">
        <v>106</v>
      </c>
      <c r="D3130" s="711" t="s">
        <v>189</v>
      </c>
      <c r="E3130" s="711">
        <v>46282</v>
      </c>
      <c r="G3130" s="778">
        <v>46282</v>
      </c>
      <c r="H3130" s="497" t="s">
        <v>16</v>
      </c>
      <c r="I3130" s="60" t="s">
        <v>15</v>
      </c>
      <c r="J3130" s="60">
        <f>SUM(K3130:P3130)</f>
        <v>132</v>
      </c>
      <c r="K3130" s="60">
        <v>58</v>
      </c>
      <c r="L3130" s="60">
        <v>47</v>
      </c>
      <c r="M3130" s="60">
        <v>0</v>
      </c>
      <c r="N3130" s="494">
        <v>0</v>
      </c>
      <c r="O3130" s="60">
        <v>20</v>
      </c>
      <c r="P3130" s="494">
        <v>7</v>
      </c>
      <c r="Q3130" s="182">
        <f t="shared" ref="Q3130:Q3137" si="3787">(K3130+L3130)/J3130</f>
        <v>0.79545454545454541</v>
      </c>
      <c r="R3130" s="182">
        <f t="shared" ref="R3130:R3137" si="3788">N3130/J3130</f>
        <v>0</v>
      </c>
      <c r="S3130" s="183">
        <f t="shared" si="3778"/>
        <v>5.3030303030303032E-2</v>
      </c>
      <c r="T3130" s="183">
        <f t="shared" si="3779"/>
        <v>0.15151515151515152</v>
      </c>
      <c r="U3130" s="184">
        <f t="shared" si="3780"/>
        <v>0.99999999999999989</v>
      </c>
      <c r="V3130" s="386"/>
    </row>
    <row r="3131" spans="2:22" ht="15.75" hidden="1" x14ac:dyDescent="0.2">
      <c r="B3131" s="711">
        <v>46282</v>
      </c>
      <c r="C3131" s="711" t="s">
        <v>106</v>
      </c>
      <c r="D3131" s="711" t="s">
        <v>189</v>
      </c>
      <c r="E3131" s="711">
        <v>46282</v>
      </c>
      <c r="G3131" s="786"/>
      <c r="H3131" s="497" t="s">
        <v>25</v>
      </c>
      <c r="I3131" s="60" t="s">
        <v>106</v>
      </c>
      <c r="J3131" s="60">
        <f t="shared" ref="J3131:J3135" si="3789">SUM(K3131:P3131)</f>
        <v>38</v>
      </c>
      <c r="K3131" s="60">
        <v>11</v>
      </c>
      <c r="L3131" s="60">
        <v>15</v>
      </c>
      <c r="M3131" s="60">
        <v>0</v>
      </c>
      <c r="N3131" s="494">
        <v>0</v>
      </c>
      <c r="O3131" s="60">
        <v>0</v>
      </c>
      <c r="P3131" s="494">
        <v>12</v>
      </c>
      <c r="Q3131" s="182">
        <f t="shared" si="3787"/>
        <v>0.68421052631578949</v>
      </c>
      <c r="R3131" s="182">
        <f t="shared" si="3788"/>
        <v>0</v>
      </c>
      <c r="S3131" s="183">
        <f t="shared" si="3778"/>
        <v>0.31578947368421051</v>
      </c>
      <c r="T3131" s="183">
        <f t="shared" si="3779"/>
        <v>0</v>
      </c>
      <c r="U3131" s="184">
        <f t="shared" si="3780"/>
        <v>1</v>
      </c>
      <c r="V3131" s="386"/>
    </row>
    <row r="3132" spans="2:22" ht="15.75" hidden="1" x14ac:dyDescent="0.2">
      <c r="B3132" s="711">
        <v>46282</v>
      </c>
      <c r="C3132" s="711" t="s">
        <v>106</v>
      </c>
      <c r="D3132" s="711" t="s">
        <v>189</v>
      </c>
      <c r="E3132" s="711">
        <v>46282</v>
      </c>
      <c r="G3132" s="786"/>
      <c r="H3132" s="497" t="s">
        <v>120</v>
      </c>
      <c r="I3132" s="60" t="s">
        <v>106</v>
      </c>
      <c r="J3132" s="60">
        <f t="shared" si="3789"/>
        <v>25</v>
      </c>
      <c r="K3132" s="60">
        <v>23</v>
      </c>
      <c r="L3132" s="60">
        <v>0</v>
      </c>
      <c r="M3132" s="60">
        <v>2</v>
      </c>
      <c r="N3132" s="494">
        <v>0</v>
      </c>
      <c r="O3132" s="60">
        <v>0</v>
      </c>
      <c r="P3132" s="494">
        <v>0</v>
      </c>
      <c r="Q3132" s="182">
        <f t="shared" si="3787"/>
        <v>0.92</v>
      </c>
      <c r="R3132" s="182">
        <f t="shared" si="3788"/>
        <v>0</v>
      </c>
      <c r="S3132" s="183">
        <f t="shared" si="3778"/>
        <v>0</v>
      </c>
      <c r="T3132" s="183">
        <f t="shared" si="3779"/>
        <v>0</v>
      </c>
      <c r="U3132" s="184">
        <f t="shared" si="3780"/>
        <v>0.92</v>
      </c>
      <c r="V3132" s="386"/>
    </row>
    <row r="3133" spans="2:22" ht="15.75" hidden="1" x14ac:dyDescent="0.2">
      <c r="B3133" s="711">
        <v>46282</v>
      </c>
      <c r="C3133" s="711" t="s">
        <v>106</v>
      </c>
      <c r="D3133" s="711" t="s">
        <v>189</v>
      </c>
      <c r="E3133" s="711">
        <v>46282</v>
      </c>
      <c r="G3133" s="786"/>
      <c r="H3133" s="497" t="s">
        <v>180</v>
      </c>
      <c r="I3133" s="60" t="s">
        <v>106</v>
      </c>
      <c r="J3133" s="60">
        <f t="shared" si="3789"/>
        <v>135</v>
      </c>
      <c r="K3133" s="60">
        <v>127</v>
      </c>
      <c r="L3133" s="60">
        <v>8</v>
      </c>
      <c r="M3133" s="60">
        <v>0</v>
      </c>
      <c r="N3133" s="494">
        <v>0</v>
      </c>
      <c r="O3133" s="60">
        <v>0</v>
      </c>
      <c r="P3133" s="494">
        <v>0</v>
      </c>
      <c r="Q3133" s="182">
        <f t="shared" si="3787"/>
        <v>1</v>
      </c>
      <c r="R3133" s="182">
        <f t="shared" si="3788"/>
        <v>0</v>
      </c>
      <c r="S3133" s="183">
        <f t="shared" si="3778"/>
        <v>0</v>
      </c>
      <c r="T3133" s="183">
        <f t="shared" si="3779"/>
        <v>0</v>
      </c>
      <c r="U3133" s="184">
        <f t="shared" si="3780"/>
        <v>1</v>
      </c>
      <c r="V3133" s="386"/>
    </row>
    <row r="3134" spans="2:22" ht="15.75" hidden="1" x14ac:dyDescent="0.2">
      <c r="B3134" s="711">
        <v>46282</v>
      </c>
      <c r="C3134" s="711" t="s">
        <v>106</v>
      </c>
      <c r="D3134" s="711" t="s">
        <v>189</v>
      </c>
      <c r="E3134" s="711">
        <v>46282</v>
      </c>
      <c r="G3134" s="786"/>
      <c r="H3134" s="497" t="s">
        <v>17</v>
      </c>
      <c r="I3134" s="60" t="s">
        <v>105</v>
      </c>
      <c r="J3134" s="60">
        <f t="shared" si="3789"/>
        <v>141</v>
      </c>
      <c r="K3134" s="60">
        <v>66</v>
      </c>
      <c r="L3134" s="60">
        <v>41</v>
      </c>
      <c r="M3134" s="60">
        <v>4</v>
      </c>
      <c r="N3134" s="494">
        <v>0</v>
      </c>
      <c r="O3134" s="60">
        <v>25</v>
      </c>
      <c r="P3134" s="494">
        <v>5</v>
      </c>
      <c r="Q3134" s="182">
        <f t="shared" si="3787"/>
        <v>0.75886524822695034</v>
      </c>
      <c r="R3134" s="182">
        <f t="shared" si="3788"/>
        <v>0</v>
      </c>
      <c r="S3134" s="183">
        <f t="shared" si="3778"/>
        <v>3.5460992907801421E-2</v>
      </c>
      <c r="T3134" s="183">
        <f t="shared" si="3779"/>
        <v>0.1773049645390071</v>
      </c>
      <c r="U3134" s="184">
        <f t="shared" si="3780"/>
        <v>0.97163120567375894</v>
      </c>
      <c r="V3134" s="386"/>
    </row>
    <row r="3135" spans="2:22" ht="15.75" hidden="1" x14ac:dyDescent="0.2">
      <c r="B3135" s="711">
        <v>46282</v>
      </c>
      <c r="C3135" s="711" t="s">
        <v>106</v>
      </c>
      <c r="D3135" s="711" t="s">
        <v>189</v>
      </c>
      <c r="E3135" s="711">
        <v>46282</v>
      </c>
      <c r="G3135" s="779"/>
      <c r="H3135" s="497" t="s">
        <v>84</v>
      </c>
      <c r="I3135" s="60" t="s">
        <v>105</v>
      </c>
      <c r="J3135" s="60">
        <f t="shared" si="3789"/>
        <v>55</v>
      </c>
      <c r="K3135" s="60">
        <v>44</v>
      </c>
      <c r="L3135" s="60">
        <v>7</v>
      </c>
      <c r="M3135" s="60">
        <v>2</v>
      </c>
      <c r="N3135" s="494">
        <v>0</v>
      </c>
      <c r="O3135" s="60">
        <v>1</v>
      </c>
      <c r="P3135" s="494">
        <v>1</v>
      </c>
      <c r="Q3135" s="182">
        <f t="shared" si="3787"/>
        <v>0.92727272727272725</v>
      </c>
      <c r="R3135" s="182">
        <f t="shared" si="3788"/>
        <v>0</v>
      </c>
      <c r="S3135" s="183">
        <f t="shared" si="3778"/>
        <v>1.8181818181818181E-2</v>
      </c>
      <c r="T3135" s="183">
        <f t="shared" si="3779"/>
        <v>1.8181818181818181E-2</v>
      </c>
      <c r="U3135" s="184">
        <f t="shared" si="3780"/>
        <v>0.96363636363636362</v>
      </c>
      <c r="V3135" s="386"/>
    </row>
    <row r="3136" spans="2:22" ht="15.75" hidden="1" x14ac:dyDescent="0.2">
      <c r="B3136" s="711">
        <v>46282</v>
      </c>
      <c r="C3136" s="711" t="s">
        <v>106</v>
      </c>
      <c r="D3136" s="711" t="s">
        <v>189</v>
      </c>
      <c r="E3136" s="711">
        <v>46282</v>
      </c>
      <c r="G3136" s="770">
        <v>46283</v>
      </c>
      <c r="H3136" s="497" t="s">
        <v>16</v>
      </c>
      <c r="I3136" s="60" t="s">
        <v>15</v>
      </c>
      <c r="J3136" s="60">
        <v>214</v>
      </c>
      <c r="K3136" s="60">
        <v>0</v>
      </c>
      <c r="L3136" s="60">
        <v>0</v>
      </c>
      <c r="M3136" s="60">
        <v>57</v>
      </c>
      <c r="N3136" s="494">
        <v>56</v>
      </c>
      <c r="O3136" s="60">
        <v>19</v>
      </c>
      <c r="P3136" s="494">
        <v>3</v>
      </c>
      <c r="Q3136" s="182">
        <f t="shared" si="3787"/>
        <v>0</v>
      </c>
      <c r="R3136" s="182">
        <f t="shared" si="3788"/>
        <v>0.26168224299065418</v>
      </c>
      <c r="S3136" s="183">
        <f t="shared" si="3778"/>
        <v>1.4018691588785047E-2</v>
      </c>
      <c r="T3136" s="183">
        <f t="shared" si="3779"/>
        <v>8.8785046728971959E-2</v>
      </c>
      <c r="U3136" s="184">
        <f t="shared" si="3780"/>
        <v>0.3644859813084112</v>
      </c>
      <c r="V3136" s="386"/>
    </row>
    <row r="3137" spans="2:22" ht="15.75" hidden="1" x14ac:dyDescent="0.2">
      <c r="B3137" s="711">
        <v>46282</v>
      </c>
      <c r="C3137" s="711" t="s">
        <v>106</v>
      </c>
      <c r="D3137" s="711" t="s">
        <v>189</v>
      </c>
      <c r="E3137" s="711">
        <v>46282</v>
      </c>
      <c r="G3137" s="772"/>
      <c r="H3137" s="497" t="s">
        <v>14</v>
      </c>
      <c r="I3137" s="60" t="s">
        <v>106</v>
      </c>
      <c r="J3137" s="60">
        <v>155</v>
      </c>
      <c r="K3137" s="60">
        <v>3</v>
      </c>
      <c r="L3137" s="60">
        <v>1</v>
      </c>
      <c r="M3137" s="60">
        <v>81</v>
      </c>
      <c r="N3137" s="494">
        <v>59</v>
      </c>
      <c r="O3137" s="60">
        <v>10</v>
      </c>
      <c r="P3137" s="494">
        <v>6</v>
      </c>
      <c r="Q3137" s="182">
        <f t="shared" si="3787"/>
        <v>2.5806451612903226E-2</v>
      </c>
      <c r="R3137" s="182">
        <f t="shared" si="3788"/>
        <v>0.38064516129032255</v>
      </c>
      <c r="S3137" s="183">
        <f t="shared" si="3778"/>
        <v>3.870967741935484E-2</v>
      </c>
      <c r="T3137" s="183">
        <f t="shared" si="3779"/>
        <v>6.4516129032258063E-2</v>
      </c>
      <c r="U3137" s="184">
        <f t="shared" si="3780"/>
        <v>0.50967741935483868</v>
      </c>
      <c r="V3137" s="386"/>
    </row>
    <row r="3138" spans="2:22" ht="15.75" hidden="1" x14ac:dyDescent="0.2">
      <c r="B3138" s="711">
        <v>46282</v>
      </c>
      <c r="C3138" s="711" t="s">
        <v>106</v>
      </c>
      <c r="D3138" s="711" t="s">
        <v>189</v>
      </c>
      <c r="E3138" s="711">
        <v>46282</v>
      </c>
      <c r="G3138" s="775" t="s">
        <v>19</v>
      </c>
      <c r="H3138" s="776"/>
      <c r="I3138" s="777"/>
      <c r="J3138" s="190">
        <f t="shared" ref="J3138:P3138" si="3790">SUM(J3130:J3137)</f>
        <v>895</v>
      </c>
      <c r="K3138" s="190">
        <f t="shared" si="3790"/>
        <v>332</v>
      </c>
      <c r="L3138" s="190">
        <f t="shared" si="3790"/>
        <v>119</v>
      </c>
      <c r="M3138" s="190">
        <f t="shared" si="3790"/>
        <v>146</v>
      </c>
      <c r="N3138" s="190">
        <f t="shared" si="3790"/>
        <v>115</v>
      </c>
      <c r="O3138" s="190">
        <f t="shared" si="3790"/>
        <v>75</v>
      </c>
      <c r="P3138" s="190">
        <f t="shared" si="3790"/>
        <v>34</v>
      </c>
      <c r="Q3138" s="481">
        <f>(K3138+L3138)/J3138</f>
        <v>0.50391061452513963</v>
      </c>
      <c r="R3138" s="481">
        <f>N3138/J3138</f>
        <v>0.12849162011173185</v>
      </c>
      <c r="S3138" s="482">
        <f t="shared" si="3778"/>
        <v>3.798882681564246E-2</v>
      </c>
      <c r="T3138" s="482">
        <f t="shared" si="3779"/>
        <v>8.3798882681564241E-2</v>
      </c>
      <c r="U3138" s="483">
        <f t="shared" si="3780"/>
        <v>0.75418994413407814</v>
      </c>
      <c r="V3138" s="479"/>
    </row>
    <row r="3139" spans="2:22" ht="15.75" hidden="1" x14ac:dyDescent="0.2">
      <c r="B3139" s="711">
        <v>46282</v>
      </c>
      <c r="C3139" s="711" t="s">
        <v>105</v>
      </c>
      <c r="D3139" s="711" t="s">
        <v>13</v>
      </c>
      <c r="E3139" s="711">
        <v>46282</v>
      </c>
      <c r="G3139" s="816">
        <v>46282</v>
      </c>
      <c r="H3139" s="497" t="s">
        <v>16</v>
      </c>
      <c r="I3139" s="60" t="s">
        <v>15</v>
      </c>
      <c r="J3139" s="60">
        <v>214</v>
      </c>
      <c r="K3139" s="60">
        <f>214-98</f>
        <v>116</v>
      </c>
      <c r="L3139" s="60">
        <v>71</v>
      </c>
      <c r="M3139" s="60">
        <v>0</v>
      </c>
      <c r="N3139" s="494">
        <v>0</v>
      </c>
      <c r="O3139" s="60">
        <v>20</v>
      </c>
      <c r="P3139" s="494">
        <v>7</v>
      </c>
      <c r="Q3139" s="182">
        <f t="shared" ref="Q3139:Q3142" si="3791">(K3139+L3139)/J3139</f>
        <v>0.87383177570093462</v>
      </c>
      <c r="R3139" s="182">
        <f t="shared" ref="R3139:R3142" si="3792">N3139/J3139</f>
        <v>0</v>
      </c>
      <c r="S3139" s="183">
        <f t="shared" ref="S3139:S3158" si="3793">P3139/J3139</f>
        <v>3.2710280373831772E-2</v>
      </c>
      <c r="T3139" s="183">
        <f t="shared" ref="T3139:T3158" si="3794">O3139/J3139</f>
        <v>9.3457943925233641E-2</v>
      </c>
      <c r="U3139" s="184">
        <f t="shared" ref="U3139:U3158" si="3795">S3139+R3139+Q3139+T3139</f>
        <v>1</v>
      </c>
      <c r="V3139" s="386"/>
    </row>
    <row r="3140" spans="2:22" ht="15.75" hidden="1" x14ac:dyDescent="0.2">
      <c r="B3140" s="711">
        <v>46282</v>
      </c>
      <c r="C3140" s="711" t="s">
        <v>105</v>
      </c>
      <c r="D3140" s="711" t="s">
        <v>13</v>
      </c>
      <c r="E3140" s="711">
        <v>46282</v>
      </c>
      <c r="G3140" s="819"/>
      <c r="H3140" s="497" t="s">
        <v>84</v>
      </c>
      <c r="I3140" s="60" t="s">
        <v>105</v>
      </c>
      <c r="J3140" s="60">
        <v>86</v>
      </c>
      <c r="K3140" s="60">
        <v>65</v>
      </c>
      <c r="L3140" s="60">
        <v>19</v>
      </c>
      <c r="M3140" s="60">
        <v>0</v>
      </c>
      <c r="N3140" s="494">
        <v>0</v>
      </c>
      <c r="O3140" s="60">
        <v>1</v>
      </c>
      <c r="P3140" s="494">
        <v>1</v>
      </c>
      <c r="Q3140" s="182">
        <f t="shared" si="3791"/>
        <v>0.97674418604651159</v>
      </c>
      <c r="R3140" s="182">
        <f t="shared" si="3792"/>
        <v>0</v>
      </c>
      <c r="S3140" s="183">
        <f t="shared" si="3793"/>
        <v>1.1627906976744186E-2</v>
      </c>
      <c r="T3140" s="183">
        <f t="shared" si="3794"/>
        <v>1.1627906976744186E-2</v>
      </c>
      <c r="U3140" s="184">
        <f t="shared" si="3795"/>
        <v>1</v>
      </c>
      <c r="V3140" s="386"/>
    </row>
    <row r="3141" spans="2:22" ht="15.75" hidden="1" x14ac:dyDescent="0.2">
      <c r="B3141" s="711">
        <v>46282</v>
      </c>
      <c r="C3141" s="711" t="s">
        <v>105</v>
      </c>
      <c r="D3141" s="711" t="s">
        <v>13</v>
      </c>
      <c r="E3141" s="711">
        <v>46282</v>
      </c>
      <c r="G3141" s="817"/>
      <c r="H3141" s="497" t="s">
        <v>17</v>
      </c>
      <c r="I3141" s="60" t="s">
        <v>105</v>
      </c>
      <c r="J3141" s="60">
        <v>155</v>
      </c>
      <c r="K3141" s="60">
        <v>71</v>
      </c>
      <c r="L3141" s="60">
        <v>55</v>
      </c>
      <c r="M3141" s="60">
        <v>0</v>
      </c>
      <c r="N3141" s="494">
        <v>0</v>
      </c>
      <c r="O3141" s="60">
        <v>25</v>
      </c>
      <c r="P3141" s="494">
        <v>4</v>
      </c>
      <c r="Q3141" s="182">
        <f t="shared" si="3791"/>
        <v>0.81290322580645158</v>
      </c>
      <c r="R3141" s="182">
        <f t="shared" si="3792"/>
        <v>0</v>
      </c>
      <c r="S3141" s="183">
        <f t="shared" si="3793"/>
        <v>2.5806451612903226E-2</v>
      </c>
      <c r="T3141" s="183">
        <f t="shared" si="3794"/>
        <v>0.16129032258064516</v>
      </c>
      <c r="U3141" s="184">
        <f t="shared" si="3795"/>
        <v>0.99999999999999989</v>
      </c>
      <c r="V3141" s="386"/>
    </row>
    <row r="3142" spans="2:22" ht="15.75" hidden="1" x14ac:dyDescent="0.2">
      <c r="B3142" s="711">
        <v>46282</v>
      </c>
      <c r="C3142" s="711" t="s">
        <v>105</v>
      </c>
      <c r="D3142" s="711" t="s">
        <v>13</v>
      </c>
      <c r="E3142" s="711">
        <v>46283</v>
      </c>
      <c r="G3142" s="809">
        <v>46283</v>
      </c>
      <c r="H3142" s="497" t="s">
        <v>16</v>
      </c>
      <c r="I3142" s="60" t="s">
        <v>15</v>
      </c>
      <c r="J3142" s="60">
        <v>162</v>
      </c>
      <c r="K3142" s="60">
        <f>162-97</f>
        <v>65</v>
      </c>
      <c r="L3142" s="60">
        <v>41</v>
      </c>
      <c r="M3142" s="60">
        <v>4</v>
      </c>
      <c r="N3142" s="494">
        <v>29</v>
      </c>
      <c r="O3142" s="60">
        <v>20</v>
      </c>
      <c r="P3142" s="494">
        <v>3</v>
      </c>
      <c r="Q3142" s="182">
        <f t="shared" si="3791"/>
        <v>0.65432098765432101</v>
      </c>
      <c r="R3142" s="182">
        <f t="shared" si="3792"/>
        <v>0.17901234567901234</v>
      </c>
      <c r="S3142" s="183">
        <f t="shared" si="3793"/>
        <v>1.8518518518518517E-2</v>
      </c>
      <c r="T3142" s="183">
        <f t="shared" si="3794"/>
        <v>0.12345679012345678</v>
      </c>
      <c r="U3142" s="184">
        <f t="shared" si="3795"/>
        <v>0.97530864197530864</v>
      </c>
      <c r="V3142" s="386"/>
    </row>
    <row r="3143" spans="2:22" ht="15.75" hidden="1" x14ac:dyDescent="0.2">
      <c r="B3143" s="711">
        <v>46282</v>
      </c>
      <c r="C3143" s="711" t="s">
        <v>105</v>
      </c>
      <c r="D3143" s="711" t="s">
        <v>13</v>
      </c>
      <c r="E3143" s="711">
        <v>46283</v>
      </c>
      <c r="G3143" s="810"/>
      <c r="H3143" s="497" t="s">
        <v>14</v>
      </c>
      <c r="I3143" s="60" t="s">
        <v>106</v>
      </c>
      <c r="J3143" s="60">
        <v>156</v>
      </c>
      <c r="K3143" s="60">
        <v>116</v>
      </c>
      <c r="L3143" s="60">
        <v>21</v>
      </c>
      <c r="M3143" s="60">
        <v>3</v>
      </c>
      <c r="N3143" s="494">
        <v>0</v>
      </c>
      <c r="O3143" s="60">
        <v>8</v>
      </c>
      <c r="P3143" s="494">
        <v>8</v>
      </c>
      <c r="Q3143" s="182">
        <f t="shared" ref="Q3143" si="3796">(K3143+L3143)/J3143</f>
        <v>0.87820512820512819</v>
      </c>
      <c r="R3143" s="182">
        <f t="shared" ref="R3143" si="3797">N3143/J3143</f>
        <v>0</v>
      </c>
      <c r="S3143" s="183">
        <f t="shared" ref="S3143" si="3798">P3143/J3143</f>
        <v>5.128205128205128E-2</v>
      </c>
      <c r="T3143" s="183">
        <f t="shared" ref="T3143" si="3799">O3143/J3143</f>
        <v>5.128205128205128E-2</v>
      </c>
      <c r="U3143" s="184">
        <f t="shared" ref="U3143" si="3800">S3143+R3143+Q3143+T3143</f>
        <v>0.98076923076923084</v>
      </c>
      <c r="V3143" s="386"/>
    </row>
    <row r="3144" spans="2:22" ht="15.75" hidden="1" x14ac:dyDescent="0.2">
      <c r="B3144" s="711">
        <v>46282</v>
      </c>
      <c r="C3144" s="711" t="s">
        <v>105</v>
      </c>
      <c r="D3144" s="711" t="s">
        <v>13</v>
      </c>
      <c r="E3144" s="711">
        <v>46283</v>
      </c>
      <c r="G3144" s="810"/>
      <c r="H3144" s="497" t="s">
        <v>17</v>
      </c>
      <c r="I3144" s="60" t="s">
        <v>105</v>
      </c>
      <c r="J3144" s="60">
        <v>178</v>
      </c>
      <c r="K3144" s="60">
        <v>20</v>
      </c>
      <c r="L3144" s="60">
        <v>0</v>
      </c>
      <c r="M3144" s="60">
        <v>26</v>
      </c>
      <c r="N3144" s="494">
        <v>98</v>
      </c>
      <c r="O3144" s="60">
        <v>25</v>
      </c>
      <c r="P3144" s="494">
        <v>9</v>
      </c>
      <c r="Q3144" s="182">
        <f t="shared" ref="Q3144:Q3147" si="3801">(K3144+L3144)/J3144</f>
        <v>0.11235955056179775</v>
      </c>
      <c r="R3144" s="182">
        <f t="shared" ref="R3144:R3147" si="3802">N3144/J3144</f>
        <v>0.550561797752809</v>
      </c>
      <c r="S3144" s="183">
        <f t="shared" ref="S3144:S3147" si="3803">P3144/J3144</f>
        <v>5.0561797752808987E-2</v>
      </c>
      <c r="T3144" s="183">
        <f t="shared" ref="T3144:T3147" si="3804">O3144/J3144</f>
        <v>0.1404494382022472</v>
      </c>
      <c r="U3144" s="184">
        <f t="shared" ref="U3144:U3147" si="3805">S3144+R3144+Q3144+T3144</f>
        <v>0.85393258426966301</v>
      </c>
      <c r="V3144" s="386"/>
    </row>
    <row r="3145" spans="2:22" ht="15.75" hidden="1" x14ac:dyDescent="0.2">
      <c r="B3145" s="711">
        <v>46282</v>
      </c>
      <c r="C3145" s="711" t="s">
        <v>105</v>
      </c>
      <c r="D3145" s="711" t="s">
        <v>13</v>
      </c>
      <c r="E3145" s="711">
        <v>46283</v>
      </c>
      <c r="G3145" s="810"/>
      <c r="H3145" s="497" t="s">
        <v>120</v>
      </c>
      <c r="I3145" s="60" t="s">
        <v>106</v>
      </c>
      <c r="J3145" s="60">
        <v>111</v>
      </c>
      <c r="K3145" s="60">
        <v>3</v>
      </c>
      <c r="L3145" s="60">
        <v>0</v>
      </c>
      <c r="M3145" s="60">
        <v>1</v>
      </c>
      <c r="N3145" s="494">
        <v>102</v>
      </c>
      <c r="O3145" s="60">
        <v>0</v>
      </c>
      <c r="P3145" s="494">
        <v>5</v>
      </c>
      <c r="Q3145" s="182">
        <f t="shared" si="3801"/>
        <v>2.7027027027027029E-2</v>
      </c>
      <c r="R3145" s="182">
        <f t="shared" si="3802"/>
        <v>0.91891891891891897</v>
      </c>
      <c r="S3145" s="183">
        <f t="shared" si="3803"/>
        <v>4.5045045045045043E-2</v>
      </c>
      <c r="T3145" s="183">
        <f t="shared" si="3804"/>
        <v>0</v>
      </c>
      <c r="U3145" s="184">
        <f t="shared" si="3805"/>
        <v>0.99099099099099108</v>
      </c>
      <c r="V3145" s="386"/>
    </row>
    <row r="3146" spans="2:22" ht="15.75" hidden="1" x14ac:dyDescent="0.2">
      <c r="B3146" s="711">
        <v>46282</v>
      </c>
      <c r="C3146" s="711" t="s">
        <v>105</v>
      </c>
      <c r="D3146" s="711" t="s">
        <v>13</v>
      </c>
      <c r="E3146" s="711">
        <v>46283</v>
      </c>
      <c r="G3146" s="810"/>
      <c r="H3146" s="497" t="s">
        <v>84</v>
      </c>
      <c r="I3146" s="60" t="s">
        <v>105</v>
      </c>
      <c r="J3146" s="60">
        <v>20</v>
      </c>
      <c r="K3146" s="60">
        <v>2</v>
      </c>
      <c r="L3146" s="60">
        <v>0</v>
      </c>
      <c r="M3146" s="60">
        <v>16</v>
      </c>
      <c r="N3146" s="494">
        <v>0</v>
      </c>
      <c r="O3146" s="60">
        <v>1</v>
      </c>
      <c r="P3146" s="494">
        <v>1</v>
      </c>
      <c r="Q3146" s="182">
        <f t="shared" si="3801"/>
        <v>0.1</v>
      </c>
      <c r="R3146" s="182">
        <f t="shared" si="3802"/>
        <v>0</v>
      </c>
      <c r="S3146" s="183">
        <f t="shared" si="3803"/>
        <v>0.05</v>
      </c>
      <c r="T3146" s="183">
        <f t="shared" si="3804"/>
        <v>0.05</v>
      </c>
      <c r="U3146" s="184">
        <f t="shared" si="3805"/>
        <v>0.2</v>
      </c>
      <c r="V3146" s="386"/>
    </row>
    <row r="3147" spans="2:22" ht="15.75" hidden="1" x14ac:dyDescent="0.2">
      <c r="B3147" s="711">
        <v>46282</v>
      </c>
      <c r="C3147" s="711" t="s">
        <v>105</v>
      </c>
      <c r="D3147" s="711" t="s">
        <v>13</v>
      </c>
      <c r="E3147" s="711">
        <v>46283</v>
      </c>
      <c r="G3147" s="811"/>
      <c r="H3147" s="497" t="s">
        <v>118</v>
      </c>
      <c r="I3147" s="60" t="s">
        <v>105</v>
      </c>
      <c r="J3147" s="60">
        <v>224</v>
      </c>
      <c r="K3147" s="60">
        <v>0</v>
      </c>
      <c r="L3147" s="60">
        <v>0</v>
      </c>
      <c r="M3147" s="60">
        <v>196</v>
      </c>
      <c r="N3147" s="494">
        <v>0</v>
      </c>
      <c r="O3147" s="60">
        <v>16</v>
      </c>
      <c r="P3147" s="494">
        <v>12</v>
      </c>
      <c r="Q3147" s="182">
        <f t="shared" si="3801"/>
        <v>0</v>
      </c>
      <c r="R3147" s="182">
        <f t="shared" si="3802"/>
        <v>0</v>
      </c>
      <c r="S3147" s="183">
        <f t="shared" si="3803"/>
        <v>5.3571428571428568E-2</v>
      </c>
      <c r="T3147" s="183">
        <f t="shared" si="3804"/>
        <v>7.1428571428571425E-2</v>
      </c>
      <c r="U3147" s="184">
        <f t="shared" si="3805"/>
        <v>0.125</v>
      </c>
      <c r="V3147" s="386"/>
    </row>
    <row r="3148" spans="2:22" ht="15.75" hidden="1" x14ac:dyDescent="0.2">
      <c r="B3148" s="711">
        <v>46282</v>
      </c>
      <c r="C3148" s="711" t="s">
        <v>105</v>
      </c>
      <c r="D3148" s="711" t="s">
        <v>13</v>
      </c>
      <c r="E3148" s="711">
        <v>46283</v>
      </c>
      <c r="G3148" s="775" t="s">
        <v>19</v>
      </c>
      <c r="H3148" s="776"/>
      <c r="I3148" s="777"/>
      <c r="J3148" s="190">
        <f>SUM(J3139:J3147)</f>
        <v>1306</v>
      </c>
      <c r="K3148" s="190">
        <f t="shared" ref="K3148:P3148" si="3806">SUM(K3139:K3147)</f>
        <v>458</v>
      </c>
      <c r="L3148" s="190">
        <f t="shared" si="3806"/>
        <v>207</v>
      </c>
      <c r="M3148" s="190">
        <f t="shared" si="3806"/>
        <v>246</v>
      </c>
      <c r="N3148" s="190">
        <f t="shared" si="3806"/>
        <v>229</v>
      </c>
      <c r="O3148" s="190">
        <f t="shared" si="3806"/>
        <v>116</v>
      </c>
      <c r="P3148" s="190">
        <f t="shared" si="3806"/>
        <v>50</v>
      </c>
      <c r="Q3148" s="481">
        <f>(K3148+L3148)/J3148</f>
        <v>0.50918836140888213</v>
      </c>
      <c r="R3148" s="481">
        <f>N3148/J3148</f>
        <v>0.17534456355283307</v>
      </c>
      <c r="S3148" s="482">
        <f t="shared" si="3793"/>
        <v>3.8284839203675342E-2</v>
      </c>
      <c r="T3148" s="482">
        <f t="shared" si="3794"/>
        <v>8.8820826952526799E-2</v>
      </c>
      <c r="U3148" s="483">
        <f t="shared" si="3795"/>
        <v>0.81163859111791736</v>
      </c>
      <c r="V3148" s="479"/>
    </row>
    <row r="3149" spans="2:22" ht="15.75" hidden="1" x14ac:dyDescent="0.2">
      <c r="B3149" s="711">
        <v>46283</v>
      </c>
      <c r="C3149" s="711" t="s">
        <v>106</v>
      </c>
      <c r="D3149" s="711" t="s">
        <v>189</v>
      </c>
      <c r="E3149" s="711">
        <v>46283</v>
      </c>
      <c r="G3149" s="778">
        <v>46283</v>
      </c>
      <c r="H3149" s="497" t="s">
        <v>16</v>
      </c>
      <c r="I3149" s="60" t="s">
        <v>15</v>
      </c>
      <c r="J3149" s="60">
        <f>SUM(K3149:P3149)</f>
        <v>76</v>
      </c>
      <c r="K3149" s="60">
        <f>85-53</f>
        <v>32</v>
      </c>
      <c r="L3149" s="60">
        <f>45-24</f>
        <v>21</v>
      </c>
      <c r="M3149" s="60">
        <v>0</v>
      </c>
      <c r="N3149" s="494">
        <v>0</v>
      </c>
      <c r="O3149" s="60">
        <v>20</v>
      </c>
      <c r="P3149" s="494">
        <v>3</v>
      </c>
      <c r="Q3149" s="182">
        <f t="shared" ref="Q3149:Q3157" si="3807">(K3149+L3149)/J3149</f>
        <v>0.69736842105263153</v>
      </c>
      <c r="R3149" s="182">
        <f t="shared" ref="R3149:R3157" si="3808">N3149/J3149</f>
        <v>0</v>
      </c>
      <c r="S3149" s="183">
        <f t="shared" si="3793"/>
        <v>3.9473684210526314E-2</v>
      </c>
      <c r="T3149" s="183">
        <f t="shared" si="3794"/>
        <v>0.26315789473684209</v>
      </c>
      <c r="U3149" s="184">
        <f t="shared" si="3795"/>
        <v>1</v>
      </c>
      <c r="V3149" s="386"/>
    </row>
    <row r="3150" spans="2:22" ht="15.75" hidden="1" x14ac:dyDescent="0.2">
      <c r="B3150" s="711">
        <v>46283</v>
      </c>
      <c r="C3150" s="711" t="s">
        <v>106</v>
      </c>
      <c r="D3150" s="711" t="s">
        <v>189</v>
      </c>
      <c r="E3150" s="711">
        <v>46283</v>
      </c>
      <c r="G3150" s="786"/>
      <c r="H3150" s="497" t="s">
        <v>14</v>
      </c>
      <c r="I3150" s="60" t="s">
        <v>106</v>
      </c>
      <c r="J3150" s="60">
        <f t="shared" ref="J3150:J3153" si="3809">SUM(K3150:P3150)</f>
        <v>35</v>
      </c>
      <c r="K3150" s="60">
        <v>20</v>
      </c>
      <c r="L3150" s="60">
        <v>8</v>
      </c>
      <c r="M3150" s="60">
        <v>0</v>
      </c>
      <c r="N3150" s="494">
        <v>0</v>
      </c>
      <c r="O3150" s="60">
        <v>0</v>
      </c>
      <c r="P3150" s="494">
        <v>7</v>
      </c>
      <c r="Q3150" s="182">
        <f t="shared" si="3807"/>
        <v>0.8</v>
      </c>
      <c r="R3150" s="182">
        <f t="shared" si="3808"/>
        <v>0</v>
      </c>
      <c r="S3150" s="183">
        <f t="shared" si="3793"/>
        <v>0.2</v>
      </c>
      <c r="T3150" s="183">
        <f t="shared" si="3794"/>
        <v>0</v>
      </c>
      <c r="U3150" s="184">
        <f t="shared" si="3795"/>
        <v>1</v>
      </c>
      <c r="V3150" s="386"/>
    </row>
    <row r="3151" spans="2:22" ht="15.75" hidden="1" x14ac:dyDescent="0.2">
      <c r="B3151" s="711">
        <v>46283</v>
      </c>
      <c r="C3151" s="711" t="s">
        <v>106</v>
      </c>
      <c r="D3151" s="711" t="s">
        <v>189</v>
      </c>
      <c r="E3151" s="711">
        <v>46283</v>
      </c>
      <c r="G3151" s="786"/>
      <c r="H3151" s="497" t="s">
        <v>120</v>
      </c>
      <c r="I3151" s="60" t="s">
        <v>106</v>
      </c>
      <c r="J3151" s="60">
        <f t="shared" si="3809"/>
        <v>108</v>
      </c>
      <c r="K3151" s="60">
        <v>100</v>
      </c>
      <c r="L3151" s="60">
        <v>3</v>
      </c>
      <c r="M3151" s="60">
        <v>0</v>
      </c>
      <c r="N3151" s="494">
        <v>0</v>
      </c>
      <c r="O3151" s="60">
        <v>0</v>
      </c>
      <c r="P3151" s="494">
        <v>5</v>
      </c>
      <c r="Q3151" s="182">
        <f t="shared" si="3807"/>
        <v>0.95370370370370372</v>
      </c>
      <c r="R3151" s="182">
        <f t="shared" si="3808"/>
        <v>0</v>
      </c>
      <c r="S3151" s="183">
        <f t="shared" si="3793"/>
        <v>4.6296296296296294E-2</v>
      </c>
      <c r="T3151" s="183">
        <f t="shared" si="3794"/>
        <v>0</v>
      </c>
      <c r="U3151" s="184">
        <f t="shared" si="3795"/>
        <v>1</v>
      </c>
      <c r="V3151" s="386"/>
    </row>
    <row r="3152" spans="2:22" ht="15.75" hidden="1" x14ac:dyDescent="0.2">
      <c r="B3152" s="711">
        <v>46283</v>
      </c>
      <c r="C3152" s="711" t="s">
        <v>106</v>
      </c>
      <c r="D3152" s="711" t="s">
        <v>189</v>
      </c>
      <c r="E3152" s="711">
        <v>46283</v>
      </c>
      <c r="G3152" s="786"/>
      <c r="H3152" s="497" t="s">
        <v>180</v>
      </c>
      <c r="I3152" s="60" t="s">
        <v>106</v>
      </c>
      <c r="J3152" s="60">
        <f t="shared" si="3809"/>
        <v>21</v>
      </c>
      <c r="K3152" s="60">
        <v>19</v>
      </c>
      <c r="L3152" s="60">
        <v>1</v>
      </c>
      <c r="M3152" s="60">
        <v>0</v>
      </c>
      <c r="N3152" s="494">
        <v>0</v>
      </c>
      <c r="O3152" s="60">
        <v>0</v>
      </c>
      <c r="P3152" s="494">
        <v>1</v>
      </c>
      <c r="Q3152" s="182">
        <f t="shared" si="3807"/>
        <v>0.95238095238095233</v>
      </c>
      <c r="R3152" s="182">
        <f t="shared" si="3808"/>
        <v>0</v>
      </c>
      <c r="S3152" s="183">
        <f t="shared" si="3793"/>
        <v>4.7619047619047616E-2</v>
      </c>
      <c r="T3152" s="183">
        <f t="shared" si="3794"/>
        <v>0</v>
      </c>
      <c r="U3152" s="184">
        <f t="shared" si="3795"/>
        <v>1</v>
      </c>
      <c r="V3152" s="386"/>
    </row>
    <row r="3153" spans="2:22" ht="15.75" hidden="1" x14ac:dyDescent="0.2">
      <c r="B3153" s="711">
        <v>46283</v>
      </c>
      <c r="C3153" s="711" t="s">
        <v>106</v>
      </c>
      <c r="D3153" s="711" t="s">
        <v>189</v>
      </c>
      <c r="E3153" s="711">
        <v>46283</v>
      </c>
      <c r="G3153" s="786"/>
      <c r="H3153" s="497" t="s">
        <v>17</v>
      </c>
      <c r="I3153" s="60" t="s">
        <v>105</v>
      </c>
      <c r="J3153" s="60">
        <f t="shared" si="3809"/>
        <v>160</v>
      </c>
      <c r="K3153" s="60">
        <v>118</v>
      </c>
      <c r="L3153" s="60">
        <v>9</v>
      </c>
      <c r="M3153" s="60">
        <v>0</v>
      </c>
      <c r="N3153" s="494">
        <v>0</v>
      </c>
      <c r="O3153" s="60">
        <v>24</v>
      </c>
      <c r="P3153" s="494">
        <v>9</v>
      </c>
      <c r="Q3153" s="182">
        <f t="shared" si="3807"/>
        <v>0.79374999999999996</v>
      </c>
      <c r="R3153" s="182">
        <f t="shared" si="3808"/>
        <v>0</v>
      </c>
      <c r="S3153" s="183">
        <f t="shared" si="3793"/>
        <v>5.6250000000000001E-2</v>
      </c>
      <c r="T3153" s="183">
        <f t="shared" si="3794"/>
        <v>0.15</v>
      </c>
      <c r="U3153" s="184">
        <f t="shared" si="3795"/>
        <v>1</v>
      </c>
      <c r="V3153" s="386"/>
    </row>
    <row r="3154" spans="2:22" ht="15.75" hidden="1" x14ac:dyDescent="0.2">
      <c r="B3154" s="711">
        <v>46283</v>
      </c>
      <c r="C3154" s="711" t="s">
        <v>106</v>
      </c>
      <c r="D3154" s="711" t="s">
        <v>189</v>
      </c>
      <c r="E3154" s="711">
        <v>46283</v>
      </c>
      <c r="G3154" s="786"/>
      <c r="H3154" s="497" t="s">
        <v>118</v>
      </c>
      <c r="I3154" s="60" t="s">
        <v>105</v>
      </c>
      <c r="J3154" s="60">
        <v>224</v>
      </c>
      <c r="K3154" s="60">
        <v>0</v>
      </c>
      <c r="L3154" s="60">
        <v>0</v>
      </c>
      <c r="M3154" s="60">
        <v>0</v>
      </c>
      <c r="N3154" s="494">
        <v>196</v>
      </c>
      <c r="O3154" s="60">
        <v>16</v>
      </c>
      <c r="P3154" s="494">
        <v>12</v>
      </c>
      <c r="Q3154" s="182">
        <f t="shared" ref="Q3154" si="3810">(K3154+L3154)/J3154</f>
        <v>0</v>
      </c>
      <c r="R3154" s="182">
        <f t="shared" ref="R3154" si="3811">N3154/J3154</f>
        <v>0.875</v>
      </c>
      <c r="S3154" s="183">
        <f t="shared" ref="S3154" si="3812">P3154/J3154</f>
        <v>5.3571428571428568E-2</v>
      </c>
      <c r="T3154" s="183">
        <f t="shared" ref="T3154" si="3813">O3154/J3154</f>
        <v>7.1428571428571425E-2</v>
      </c>
      <c r="U3154" s="184">
        <f t="shared" ref="U3154" si="3814">S3154+R3154+Q3154+T3154</f>
        <v>1</v>
      </c>
      <c r="V3154" s="386"/>
    </row>
    <row r="3155" spans="2:22" ht="15.75" hidden="1" x14ac:dyDescent="0.2">
      <c r="B3155" s="711">
        <v>46283</v>
      </c>
      <c r="C3155" s="711" t="s">
        <v>106</v>
      </c>
      <c r="D3155" s="711" t="s">
        <v>189</v>
      </c>
      <c r="E3155" s="711">
        <v>46283</v>
      </c>
      <c r="G3155" s="779"/>
      <c r="H3155" s="497" t="s">
        <v>84</v>
      </c>
      <c r="I3155" s="60" t="s">
        <v>105</v>
      </c>
      <c r="J3155" s="60">
        <v>18</v>
      </c>
      <c r="K3155" s="60">
        <v>16</v>
      </c>
      <c r="L3155" s="60">
        <v>2</v>
      </c>
      <c r="M3155" s="60">
        <v>0</v>
      </c>
      <c r="N3155" s="494">
        <v>0</v>
      </c>
      <c r="O3155" s="60">
        <v>0</v>
      </c>
      <c r="P3155" s="494">
        <v>1</v>
      </c>
      <c r="Q3155" s="182">
        <f t="shared" si="3807"/>
        <v>1</v>
      </c>
      <c r="R3155" s="182">
        <f t="shared" si="3808"/>
        <v>0</v>
      </c>
      <c r="S3155" s="183">
        <f t="shared" si="3793"/>
        <v>5.5555555555555552E-2</v>
      </c>
      <c r="T3155" s="183">
        <f t="shared" si="3794"/>
        <v>0</v>
      </c>
      <c r="U3155" s="184">
        <f t="shared" si="3795"/>
        <v>1.0555555555555556</v>
      </c>
      <c r="V3155" s="386"/>
    </row>
    <row r="3156" spans="2:22" ht="15.75" hidden="1" x14ac:dyDescent="0.2">
      <c r="B3156" s="711">
        <v>46283</v>
      </c>
      <c r="C3156" s="711" t="s">
        <v>106</v>
      </c>
      <c r="D3156" s="711" t="s">
        <v>189</v>
      </c>
      <c r="E3156" s="711">
        <v>46283</v>
      </c>
      <c r="G3156" s="770">
        <v>46284</v>
      </c>
      <c r="H3156" s="497" t="s">
        <v>16</v>
      </c>
      <c r="I3156" s="60" t="s">
        <v>15</v>
      </c>
      <c r="J3156" s="60">
        <v>179</v>
      </c>
      <c r="K3156" s="60">
        <v>53</v>
      </c>
      <c r="L3156" s="60">
        <v>24</v>
      </c>
      <c r="M3156" s="60">
        <v>15</v>
      </c>
      <c r="N3156" s="494">
        <v>62</v>
      </c>
      <c r="O3156" s="60">
        <v>19</v>
      </c>
      <c r="P3156" s="494">
        <v>6</v>
      </c>
      <c r="Q3156" s="182">
        <f t="shared" si="3807"/>
        <v>0.43016759776536312</v>
      </c>
      <c r="R3156" s="182">
        <f t="shared" si="3808"/>
        <v>0.34636871508379891</v>
      </c>
      <c r="S3156" s="183">
        <f t="shared" si="3793"/>
        <v>3.3519553072625698E-2</v>
      </c>
      <c r="T3156" s="183">
        <f t="shared" si="3794"/>
        <v>0.10614525139664804</v>
      </c>
      <c r="U3156" s="184">
        <f t="shared" si="3795"/>
        <v>0.9162011173184359</v>
      </c>
      <c r="V3156" s="386"/>
    </row>
    <row r="3157" spans="2:22" ht="15.75" hidden="1" x14ac:dyDescent="0.2">
      <c r="B3157" s="711">
        <v>46283</v>
      </c>
      <c r="C3157" s="711" t="s">
        <v>106</v>
      </c>
      <c r="D3157" s="711" t="s">
        <v>189</v>
      </c>
      <c r="E3157" s="711">
        <v>46283</v>
      </c>
      <c r="G3157" s="772"/>
      <c r="H3157" s="497" t="s">
        <v>17</v>
      </c>
      <c r="I3157" s="60" t="s">
        <v>106</v>
      </c>
      <c r="J3157" s="60">
        <v>204</v>
      </c>
      <c r="K3157" s="60">
        <v>0</v>
      </c>
      <c r="L3157" s="60">
        <v>0</v>
      </c>
      <c r="M3157" s="60">
        <v>106</v>
      </c>
      <c r="N3157" s="494">
        <v>55</v>
      </c>
      <c r="O3157" s="60">
        <v>0</v>
      </c>
      <c r="P3157" s="494">
        <v>0</v>
      </c>
      <c r="Q3157" s="182">
        <f t="shared" si="3807"/>
        <v>0</v>
      </c>
      <c r="R3157" s="182">
        <f t="shared" si="3808"/>
        <v>0.26960784313725489</v>
      </c>
      <c r="S3157" s="183">
        <f t="shared" si="3793"/>
        <v>0</v>
      </c>
      <c r="T3157" s="183">
        <f t="shared" si="3794"/>
        <v>0</v>
      </c>
      <c r="U3157" s="184">
        <f t="shared" si="3795"/>
        <v>0.26960784313725489</v>
      </c>
      <c r="V3157" s="386"/>
    </row>
    <row r="3158" spans="2:22" ht="15.75" hidden="1" x14ac:dyDescent="0.2">
      <c r="B3158" s="711">
        <v>46283</v>
      </c>
      <c r="C3158" s="711" t="s">
        <v>106</v>
      </c>
      <c r="D3158" s="711" t="s">
        <v>189</v>
      </c>
      <c r="E3158" s="711">
        <v>46283</v>
      </c>
      <c r="G3158" s="775" t="s">
        <v>19</v>
      </c>
      <c r="H3158" s="776"/>
      <c r="I3158" s="777"/>
      <c r="J3158" s="190">
        <f>SUM(J3149:J3157)</f>
        <v>1025</v>
      </c>
      <c r="K3158" s="190">
        <f t="shared" ref="K3158:P3158" si="3815">SUM(K3149:K3157)</f>
        <v>358</v>
      </c>
      <c r="L3158" s="190">
        <f t="shared" si="3815"/>
        <v>68</v>
      </c>
      <c r="M3158" s="190">
        <f t="shared" si="3815"/>
        <v>121</v>
      </c>
      <c r="N3158" s="190">
        <f t="shared" si="3815"/>
        <v>313</v>
      </c>
      <c r="O3158" s="190">
        <f t="shared" si="3815"/>
        <v>79</v>
      </c>
      <c r="P3158" s="190">
        <f t="shared" si="3815"/>
        <v>44</v>
      </c>
      <c r="Q3158" s="481">
        <f>(K3158+L3158)/J3158</f>
        <v>0.41560975609756096</v>
      </c>
      <c r="R3158" s="481">
        <f>N3158/J3158</f>
        <v>0.30536585365853658</v>
      </c>
      <c r="S3158" s="482">
        <f t="shared" si="3793"/>
        <v>4.2926829268292686E-2</v>
      </c>
      <c r="T3158" s="482">
        <f t="shared" si="3794"/>
        <v>7.7073170731707316E-2</v>
      </c>
      <c r="U3158" s="483">
        <f t="shared" si="3795"/>
        <v>0.84097560975609753</v>
      </c>
      <c r="V3158" s="479"/>
    </row>
    <row r="3159" spans="2:22" ht="15.75" hidden="1" x14ac:dyDescent="0.2">
      <c r="B3159" s="711">
        <v>46283</v>
      </c>
      <c r="C3159" s="711" t="s">
        <v>105</v>
      </c>
      <c r="D3159" s="711" t="s">
        <v>13</v>
      </c>
      <c r="E3159" s="711">
        <v>46283</v>
      </c>
      <c r="G3159" s="809">
        <v>46283</v>
      </c>
      <c r="H3159" s="497" t="s">
        <v>16</v>
      </c>
      <c r="I3159" s="60" t="s">
        <v>15</v>
      </c>
      <c r="J3159" s="60">
        <v>162</v>
      </c>
      <c r="K3159" s="60">
        <v>89</v>
      </c>
      <c r="L3159" s="60">
        <v>50</v>
      </c>
      <c r="M3159" s="60">
        <v>0</v>
      </c>
      <c r="N3159" s="494">
        <v>0</v>
      </c>
      <c r="O3159" s="60">
        <v>20</v>
      </c>
      <c r="P3159" s="494">
        <v>3</v>
      </c>
      <c r="Q3159" s="182">
        <f t="shared" ref="Q3159:Q3162" si="3816">(K3159+L3159)/J3159</f>
        <v>0.85802469135802473</v>
      </c>
      <c r="R3159" s="182">
        <f t="shared" ref="R3159:R3162" si="3817">N3159/J3159</f>
        <v>0</v>
      </c>
      <c r="S3159" s="183">
        <f t="shared" ref="S3159:S3176" si="3818">P3159/J3159</f>
        <v>1.8518518518518517E-2</v>
      </c>
      <c r="T3159" s="183">
        <f t="shared" ref="T3159:T3176" si="3819">O3159/J3159</f>
        <v>0.12345679012345678</v>
      </c>
      <c r="U3159" s="184">
        <f t="shared" ref="U3159:U3176" si="3820">S3159+R3159+Q3159+T3159</f>
        <v>1</v>
      </c>
      <c r="V3159" s="386"/>
    </row>
    <row r="3160" spans="2:22" ht="15.75" hidden="1" x14ac:dyDescent="0.2">
      <c r="B3160" s="711">
        <v>46283</v>
      </c>
      <c r="C3160" s="711" t="s">
        <v>105</v>
      </c>
      <c r="D3160" s="711" t="s">
        <v>13</v>
      </c>
      <c r="E3160" s="711">
        <v>46283</v>
      </c>
      <c r="G3160" s="810"/>
      <c r="H3160" s="497" t="s">
        <v>17</v>
      </c>
      <c r="I3160" s="60" t="s">
        <v>105</v>
      </c>
      <c r="J3160" s="60">
        <v>178</v>
      </c>
      <c r="K3160" s="60">
        <v>110</v>
      </c>
      <c r="L3160" s="60">
        <v>34</v>
      </c>
      <c r="M3160" s="60">
        <v>0</v>
      </c>
      <c r="N3160" s="494">
        <v>0</v>
      </c>
      <c r="O3160" s="60">
        <v>25</v>
      </c>
      <c r="P3160" s="494">
        <v>9</v>
      </c>
      <c r="Q3160" s="182">
        <f t="shared" si="3816"/>
        <v>0.8089887640449438</v>
      </c>
      <c r="R3160" s="182">
        <f t="shared" si="3817"/>
        <v>0</v>
      </c>
      <c r="S3160" s="183">
        <f t="shared" si="3818"/>
        <v>5.0561797752808987E-2</v>
      </c>
      <c r="T3160" s="183">
        <f t="shared" si="3819"/>
        <v>0.1404494382022472</v>
      </c>
      <c r="U3160" s="184">
        <f t="shared" si="3820"/>
        <v>1</v>
      </c>
      <c r="V3160" s="386"/>
    </row>
    <row r="3161" spans="2:22" ht="15.75" hidden="1" x14ac:dyDescent="0.2">
      <c r="B3161" s="711">
        <v>46283</v>
      </c>
      <c r="C3161" s="711" t="s">
        <v>105</v>
      </c>
      <c r="D3161" s="711" t="s">
        <v>13</v>
      </c>
      <c r="E3161" s="711">
        <v>46283</v>
      </c>
      <c r="G3161" s="810"/>
      <c r="H3161" s="497" t="s">
        <v>84</v>
      </c>
      <c r="I3161" s="60" t="s">
        <v>105</v>
      </c>
      <c r="J3161" s="60">
        <v>20</v>
      </c>
      <c r="K3161" s="60">
        <v>18</v>
      </c>
      <c r="L3161" s="60">
        <v>0</v>
      </c>
      <c r="M3161" s="60">
        <v>0</v>
      </c>
      <c r="N3161" s="494">
        <v>0</v>
      </c>
      <c r="O3161" s="60">
        <v>1</v>
      </c>
      <c r="P3161" s="494">
        <v>1</v>
      </c>
      <c r="Q3161" s="182">
        <f t="shared" si="3816"/>
        <v>0.9</v>
      </c>
      <c r="R3161" s="182">
        <f t="shared" si="3817"/>
        <v>0</v>
      </c>
      <c r="S3161" s="183">
        <f t="shared" si="3818"/>
        <v>0.05</v>
      </c>
      <c r="T3161" s="183">
        <f t="shared" si="3819"/>
        <v>0.05</v>
      </c>
      <c r="U3161" s="184">
        <f t="shared" si="3820"/>
        <v>1</v>
      </c>
      <c r="V3161" s="386"/>
    </row>
    <row r="3162" spans="2:22" ht="15.75" hidden="1" x14ac:dyDescent="0.2">
      <c r="B3162" s="711">
        <v>46283</v>
      </c>
      <c r="C3162" s="711" t="s">
        <v>105</v>
      </c>
      <c r="D3162" s="711" t="s">
        <v>13</v>
      </c>
      <c r="E3162" s="711">
        <v>46283</v>
      </c>
      <c r="G3162" s="811"/>
      <c r="H3162" s="497" t="s">
        <v>118</v>
      </c>
      <c r="I3162" s="60" t="s">
        <v>105</v>
      </c>
      <c r="J3162" s="60">
        <v>224</v>
      </c>
      <c r="K3162" s="60">
        <v>176</v>
      </c>
      <c r="L3162" s="60">
        <v>28</v>
      </c>
      <c r="M3162" s="60">
        <v>0</v>
      </c>
      <c r="N3162" s="494">
        <v>0</v>
      </c>
      <c r="O3162" s="60">
        <v>16</v>
      </c>
      <c r="P3162" s="494">
        <v>4</v>
      </c>
      <c r="Q3162" s="182">
        <f t="shared" si="3816"/>
        <v>0.9107142857142857</v>
      </c>
      <c r="R3162" s="182">
        <f t="shared" si="3817"/>
        <v>0</v>
      </c>
      <c r="S3162" s="183">
        <f t="shared" si="3818"/>
        <v>1.7857142857142856E-2</v>
      </c>
      <c r="T3162" s="183">
        <f t="shared" si="3819"/>
        <v>7.1428571428571425E-2</v>
      </c>
      <c r="U3162" s="184">
        <f t="shared" si="3820"/>
        <v>1</v>
      </c>
      <c r="V3162" s="386"/>
    </row>
    <row r="3163" spans="2:22" ht="15.75" hidden="1" x14ac:dyDescent="0.2">
      <c r="B3163" s="711">
        <v>46283</v>
      </c>
      <c r="C3163" s="711" t="s">
        <v>105</v>
      </c>
      <c r="D3163" s="711" t="s">
        <v>13</v>
      </c>
      <c r="E3163" s="711">
        <v>46284</v>
      </c>
      <c r="G3163" s="773">
        <v>46284</v>
      </c>
      <c r="H3163" s="497" t="s">
        <v>16</v>
      </c>
      <c r="I3163" s="60" t="s">
        <v>15</v>
      </c>
      <c r="J3163" s="60">
        <v>179</v>
      </c>
      <c r="K3163" s="60">
        <v>72</v>
      </c>
      <c r="L3163" s="60">
        <v>30</v>
      </c>
      <c r="M3163" s="60">
        <v>3</v>
      </c>
      <c r="N3163" s="494">
        <v>50</v>
      </c>
      <c r="O3163" s="60">
        <v>19</v>
      </c>
      <c r="P3163" s="494">
        <v>5</v>
      </c>
      <c r="Q3163" s="182">
        <f t="shared" ref="Q3163:Q3166" si="3821">(K3163+L3163)/J3163</f>
        <v>0.56983240223463683</v>
      </c>
      <c r="R3163" s="182">
        <f t="shared" ref="R3163:R3166" si="3822">N3163/J3163</f>
        <v>0.27932960893854747</v>
      </c>
      <c r="S3163" s="183">
        <f t="shared" si="3818"/>
        <v>2.7932960893854747E-2</v>
      </c>
      <c r="T3163" s="183">
        <f t="shared" si="3819"/>
        <v>0.10614525139664804</v>
      </c>
      <c r="U3163" s="184">
        <f t="shared" si="3820"/>
        <v>0.983240223463687</v>
      </c>
      <c r="V3163" s="386"/>
    </row>
    <row r="3164" spans="2:22" ht="15.75" hidden="1" x14ac:dyDescent="0.2">
      <c r="B3164" s="711">
        <v>46283</v>
      </c>
      <c r="C3164" s="711" t="s">
        <v>105</v>
      </c>
      <c r="D3164" s="711" t="s">
        <v>13</v>
      </c>
      <c r="E3164" s="711">
        <v>46284</v>
      </c>
      <c r="G3164" s="780"/>
      <c r="H3164" s="497" t="s">
        <v>211</v>
      </c>
      <c r="I3164" s="60" t="s">
        <v>106</v>
      </c>
      <c r="J3164" s="60">
        <v>42</v>
      </c>
      <c r="K3164" s="60">
        <v>0</v>
      </c>
      <c r="L3164" s="60">
        <v>0</v>
      </c>
      <c r="M3164" s="60">
        <v>0</v>
      </c>
      <c r="N3164" s="494">
        <v>37</v>
      </c>
      <c r="O3164" s="60">
        <v>0</v>
      </c>
      <c r="P3164" s="494">
        <v>5</v>
      </c>
      <c r="Q3164" s="182">
        <f t="shared" si="3821"/>
        <v>0</v>
      </c>
      <c r="R3164" s="182">
        <f t="shared" si="3822"/>
        <v>0.88095238095238093</v>
      </c>
      <c r="S3164" s="183">
        <f t="shared" si="3818"/>
        <v>0.11904761904761904</v>
      </c>
      <c r="T3164" s="183">
        <f t="shared" si="3819"/>
        <v>0</v>
      </c>
      <c r="U3164" s="184">
        <f t="shared" si="3820"/>
        <v>1</v>
      </c>
      <c r="V3164" s="386"/>
    </row>
    <row r="3165" spans="2:22" ht="15.75" hidden="1" x14ac:dyDescent="0.2">
      <c r="B3165" s="711">
        <v>46283</v>
      </c>
      <c r="C3165" s="711" t="s">
        <v>105</v>
      </c>
      <c r="D3165" s="711" t="s">
        <v>13</v>
      </c>
      <c r="E3165" s="711">
        <v>46284</v>
      </c>
      <c r="G3165" s="780"/>
      <c r="H3165" s="497" t="s">
        <v>25</v>
      </c>
      <c r="I3165" s="60" t="s">
        <v>105</v>
      </c>
      <c r="J3165" s="60">
        <v>169</v>
      </c>
      <c r="K3165" s="60">
        <v>28</v>
      </c>
      <c r="L3165" s="60">
        <v>8</v>
      </c>
      <c r="M3165" s="60">
        <v>7</v>
      </c>
      <c r="N3165" s="494">
        <v>93</v>
      </c>
      <c r="O3165" s="60">
        <v>23</v>
      </c>
      <c r="P3165" s="494">
        <v>10</v>
      </c>
      <c r="Q3165" s="182">
        <f t="shared" si="3821"/>
        <v>0.21301775147928995</v>
      </c>
      <c r="R3165" s="182">
        <f t="shared" si="3822"/>
        <v>0.55029585798816572</v>
      </c>
      <c r="S3165" s="183">
        <f t="shared" si="3818"/>
        <v>5.9171597633136092E-2</v>
      </c>
      <c r="T3165" s="183">
        <f t="shared" si="3819"/>
        <v>0.13609467455621302</v>
      </c>
      <c r="U3165" s="184">
        <f t="shared" si="3820"/>
        <v>0.95857988165680474</v>
      </c>
      <c r="V3165" s="386"/>
    </row>
    <row r="3166" spans="2:22" ht="15.75" hidden="1" x14ac:dyDescent="0.2">
      <c r="B3166" s="711">
        <v>46283</v>
      </c>
      <c r="C3166" s="711" t="s">
        <v>105</v>
      </c>
      <c r="D3166" s="711" t="s">
        <v>13</v>
      </c>
      <c r="E3166" s="711">
        <v>46284</v>
      </c>
      <c r="G3166" s="774"/>
      <c r="H3166" s="497" t="s">
        <v>17</v>
      </c>
      <c r="I3166" s="60" t="s">
        <v>106</v>
      </c>
      <c r="J3166" s="60">
        <v>204</v>
      </c>
      <c r="K3166" s="60">
        <v>132</v>
      </c>
      <c r="L3166" s="60">
        <v>27</v>
      </c>
      <c r="M3166" s="60">
        <v>3</v>
      </c>
      <c r="N3166" s="494">
        <v>0</v>
      </c>
      <c r="O3166" s="60">
        <v>27</v>
      </c>
      <c r="P3166" s="494">
        <v>15</v>
      </c>
      <c r="Q3166" s="182">
        <f t="shared" si="3821"/>
        <v>0.77941176470588236</v>
      </c>
      <c r="R3166" s="182">
        <f t="shared" si="3822"/>
        <v>0</v>
      </c>
      <c r="S3166" s="183">
        <f t="shared" si="3818"/>
        <v>7.3529411764705885E-2</v>
      </c>
      <c r="T3166" s="183">
        <f t="shared" si="3819"/>
        <v>0.13235294117647059</v>
      </c>
      <c r="U3166" s="184">
        <f t="shared" si="3820"/>
        <v>0.98529411764705876</v>
      </c>
      <c r="V3166" s="386"/>
    </row>
    <row r="3167" spans="2:22" ht="15.75" hidden="1" x14ac:dyDescent="0.2">
      <c r="B3167" s="711">
        <v>46283</v>
      </c>
      <c r="C3167" s="711" t="s">
        <v>105</v>
      </c>
      <c r="D3167" s="711" t="s">
        <v>13</v>
      </c>
      <c r="E3167" s="711">
        <v>46283</v>
      </c>
      <c r="G3167" s="775" t="s">
        <v>19</v>
      </c>
      <c r="H3167" s="776"/>
      <c r="I3167" s="777"/>
      <c r="J3167" s="190">
        <f t="shared" ref="J3167:P3167" si="3823">SUM(J3159:J3166)</f>
        <v>1178</v>
      </c>
      <c r="K3167" s="190">
        <f t="shared" si="3823"/>
        <v>625</v>
      </c>
      <c r="L3167" s="190">
        <f t="shared" si="3823"/>
        <v>177</v>
      </c>
      <c r="M3167" s="190">
        <f t="shared" si="3823"/>
        <v>13</v>
      </c>
      <c r="N3167" s="190">
        <f t="shared" si="3823"/>
        <v>180</v>
      </c>
      <c r="O3167" s="190">
        <f t="shared" si="3823"/>
        <v>131</v>
      </c>
      <c r="P3167" s="190">
        <f t="shared" si="3823"/>
        <v>52</v>
      </c>
      <c r="Q3167" s="481">
        <f>(K3167+L3167)/J3167</f>
        <v>0.68081494057724956</v>
      </c>
      <c r="R3167" s="481">
        <f>N3167/J3167</f>
        <v>0.15280135823429541</v>
      </c>
      <c r="S3167" s="482">
        <f t="shared" si="3818"/>
        <v>4.4142614601018676E-2</v>
      </c>
      <c r="T3167" s="482">
        <f t="shared" si="3819"/>
        <v>0.11120543293718166</v>
      </c>
      <c r="U3167" s="483">
        <f t="shared" si="3820"/>
        <v>0.98896434634974528</v>
      </c>
      <c r="V3167" s="479"/>
    </row>
    <row r="3168" spans="2:22" ht="15.75" hidden="1" x14ac:dyDescent="0.2">
      <c r="B3168" s="711">
        <v>46284</v>
      </c>
      <c r="C3168" s="711" t="s">
        <v>106</v>
      </c>
      <c r="D3168" s="711" t="s">
        <v>189</v>
      </c>
      <c r="E3168" s="711">
        <v>46284</v>
      </c>
      <c r="G3168" s="778">
        <v>46284</v>
      </c>
      <c r="H3168" s="497" t="s">
        <v>16</v>
      </c>
      <c r="I3168" s="60" t="s">
        <v>15</v>
      </c>
      <c r="J3168" s="60">
        <f>SUM(K3168:P3168)</f>
        <v>105</v>
      </c>
      <c r="K3168" s="60">
        <f>77-35</f>
        <v>42</v>
      </c>
      <c r="L3168" s="60">
        <f>57-23</f>
        <v>34</v>
      </c>
      <c r="M3168" s="60">
        <v>0</v>
      </c>
      <c r="N3168" s="494">
        <v>5</v>
      </c>
      <c r="O3168" s="60">
        <v>20</v>
      </c>
      <c r="P3168" s="494">
        <v>4</v>
      </c>
      <c r="Q3168" s="182">
        <f t="shared" ref="Q3168:Q3175" si="3824">(K3168+L3168)/J3168</f>
        <v>0.72380952380952379</v>
      </c>
      <c r="R3168" s="182">
        <f t="shared" ref="R3168:R3175" si="3825">N3168/J3168</f>
        <v>4.7619047619047616E-2</v>
      </c>
      <c r="S3168" s="183">
        <f t="shared" si="3818"/>
        <v>3.8095238095238099E-2</v>
      </c>
      <c r="T3168" s="183">
        <f t="shared" si="3819"/>
        <v>0.19047619047619047</v>
      </c>
      <c r="U3168" s="184">
        <f t="shared" si="3820"/>
        <v>1</v>
      </c>
      <c r="V3168" s="386"/>
    </row>
    <row r="3169" spans="2:22" ht="15.75" hidden="1" x14ac:dyDescent="0.2">
      <c r="B3169" s="711">
        <v>46284</v>
      </c>
      <c r="C3169" s="711" t="s">
        <v>106</v>
      </c>
      <c r="D3169" s="711" t="s">
        <v>189</v>
      </c>
      <c r="E3169" s="711">
        <v>46284</v>
      </c>
      <c r="G3169" s="786"/>
      <c r="H3169" s="497" t="s">
        <v>14</v>
      </c>
      <c r="I3169" s="60" t="s">
        <v>106</v>
      </c>
      <c r="J3169" s="60">
        <f t="shared" ref="J3169:J3172" si="3826">SUM(K3169:P3169)</f>
        <v>3</v>
      </c>
      <c r="K3169" s="60">
        <v>3</v>
      </c>
      <c r="L3169" s="60">
        <v>0</v>
      </c>
      <c r="M3169" s="60">
        <v>0</v>
      </c>
      <c r="N3169" s="494">
        <v>0</v>
      </c>
      <c r="O3169" s="60">
        <v>0</v>
      </c>
      <c r="P3169" s="494">
        <v>0</v>
      </c>
      <c r="Q3169" s="182">
        <f t="shared" si="3824"/>
        <v>1</v>
      </c>
      <c r="R3169" s="182">
        <f t="shared" si="3825"/>
        <v>0</v>
      </c>
      <c r="S3169" s="183">
        <f t="shared" si="3818"/>
        <v>0</v>
      </c>
      <c r="T3169" s="183">
        <f t="shared" si="3819"/>
        <v>0</v>
      </c>
      <c r="U3169" s="184">
        <f t="shared" si="3820"/>
        <v>1</v>
      </c>
      <c r="V3169" s="386"/>
    </row>
    <row r="3170" spans="2:22" ht="15.75" hidden="1" x14ac:dyDescent="0.2">
      <c r="B3170" s="711">
        <v>46284</v>
      </c>
      <c r="C3170" s="711" t="s">
        <v>106</v>
      </c>
      <c r="D3170" s="711" t="s">
        <v>189</v>
      </c>
      <c r="E3170" s="711">
        <v>46284</v>
      </c>
      <c r="G3170" s="786"/>
      <c r="H3170" s="497" t="s">
        <v>180</v>
      </c>
      <c r="I3170" s="60" t="s">
        <v>106</v>
      </c>
      <c r="J3170" s="60">
        <f t="shared" si="3826"/>
        <v>74</v>
      </c>
      <c r="K3170" s="60">
        <v>68</v>
      </c>
      <c r="L3170" s="60">
        <v>1</v>
      </c>
      <c r="M3170" s="60">
        <v>0</v>
      </c>
      <c r="N3170" s="494">
        <v>0</v>
      </c>
      <c r="O3170" s="60">
        <v>0</v>
      </c>
      <c r="P3170" s="494">
        <v>5</v>
      </c>
      <c r="Q3170" s="182">
        <f t="shared" si="3824"/>
        <v>0.93243243243243246</v>
      </c>
      <c r="R3170" s="182">
        <f t="shared" si="3825"/>
        <v>0</v>
      </c>
      <c r="S3170" s="183">
        <f t="shared" si="3818"/>
        <v>6.7567567567567571E-2</v>
      </c>
      <c r="T3170" s="183">
        <f t="shared" si="3819"/>
        <v>0</v>
      </c>
      <c r="U3170" s="184">
        <f t="shared" si="3820"/>
        <v>1</v>
      </c>
      <c r="V3170" s="386"/>
    </row>
    <row r="3171" spans="2:22" ht="15.75" hidden="1" x14ac:dyDescent="0.2">
      <c r="B3171" s="711">
        <v>46284</v>
      </c>
      <c r="C3171" s="711" t="s">
        <v>106</v>
      </c>
      <c r="D3171" s="711" t="s">
        <v>189</v>
      </c>
      <c r="E3171" s="711">
        <v>46284</v>
      </c>
      <c r="G3171" s="786"/>
      <c r="H3171" s="497" t="s">
        <v>17</v>
      </c>
      <c r="I3171" s="60" t="s">
        <v>106</v>
      </c>
      <c r="J3171" s="60">
        <f t="shared" si="3826"/>
        <v>49</v>
      </c>
      <c r="K3171" s="60">
        <v>16</v>
      </c>
      <c r="L3171" s="60">
        <v>19</v>
      </c>
      <c r="M3171" s="60">
        <v>0</v>
      </c>
      <c r="N3171" s="494">
        <v>0</v>
      </c>
      <c r="O3171" s="60">
        <v>0</v>
      </c>
      <c r="P3171" s="494">
        <v>14</v>
      </c>
      <c r="Q3171" s="182">
        <f t="shared" si="3824"/>
        <v>0.7142857142857143</v>
      </c>
      <c r="R3171" s="182">
        <f t="shared" si="3825"/>
        <v>0</v>
      </c>
      <c r="S3171" s="183">
        <f t="shared" si="3818"/>
        <v>0.2857142857142857</v>
      </c>
      <c r="T3171" s="183">
        <f t="shared" si="3819"/>
        <v>0</v>
      </c>
      <c r="U3171" s="184">
        <f t="shared" si="3820"/>
        <v>1</v>
      </c>
      <c r="V3171" s="386"/>
    </row>
    <row r="3172" spans="2:22" ht="15.75" hidden="1" x14ac:dyDescent="0.2">
      <c r="B3172" s="711">
        <v>46284</v>
      </c>
      <c r="C3172" s="711" t="s">
        <v>106</v>
      </c>
      <c r="D3172" s="711" t="s">
        <v>189</v>
      </c>
      <c r="E3172" s="711">
        <v>46284</v>
      </c>
      <c r="G3172" s="779"/>
      <c r="H3172" s="497" t="s">
        <v>25</v>
      </c>
      <c r="I3172" s="60" t="s">
        <v>105</v>
      </c>
      <c r="J3172" s="60">
        <f t="shared" si="3826"/>
        <v>139</v>
      </c>
      <c r="K3172" s="60">
        <v>83</v>
      </c>
      <c r="L3172" s="60">
        <v>20</v>
      </c>
      <c r="M3172" s="60">
        <v>0</v>
      </c>
      <c r="N3172" s="494">
        <v>3</v>
      </c>
      <c r="O3172" s="60">
        <v>23</v>
      </c>
      <c r="P3172" s="494">
        <v>10</v>
      </c>
      <c r="Q3172" s="182">
        <f t="shared" si="3824"/>
        <v>0.74100719424460426</v>
      </c>
      <c r="R3172" s="182">
        <f t="shared" si="3825"/>
        <v>2.1582733812949641E-2</v>
      </c>
      <c r="S3172" s="183">
        <f t="shared" si="3818"/>
        <v>7.1942446043165464E-2</v>
      </c>
      <c r="T3172" s="183">
        <f t="shared" si="3819"/>
        <v>0.16546762589928057</v>
      </c>
      <c r="U3172" s="184">
        <f t="shared" si="3820"/>
        <v>0.99999999999999989</v>
      </c>
      <c r="V3172" s="386"/>
    </row>
    <row r="3173" spans="2:22" ht="15.75" hidden="1" x14ac:dyDescent="0.2">
      <c r="B3173" s="711">
        <v>46284</v>
      </c>
      <c r="C3173" s="711" t="s">
        <v>106</v>
      </c>
      <c r="D3173" s="711" t="s">
        <v>189</v>
      </c>
      <c r="E3173" s="711">
        <v>46284</v>
      </c>
      <c r="G3173" s="692">
        <v>46285</v>
      </c>
      <c r="H3173" s="497" t="s">
        <v>25</v>
      </c>
      <c r="I3173" s="60" t="s">
        <v>105</v>
      </c>
      <c r="J3173" s="60">
        <v>224</v>
      </c>
      <c r="K3173" s="60">
        <v>0</v>
      </c>
      <c r="L3173" s="60">
        <v>0</v>
      </c>
      <c r="M3173" s="60">
        <v>55</v>
      </c>
      <c r="N3173" s="494">
        <v>113</v>
      </c>
      <c r="O3173" s="60">
        <v>23</v>
      </c>
      <c r="P3173" s="494">
        <v>13</v>
      </c>
      <c r="Q3173" s="182">
        <f t="shared" si="3824"/>
        <v>0</v>
      </c>
      <c r="R3173" s="182">
        <f t="shared" si="3825"/>
        <v>0.5044642857142857</v>
      </c>
      <c r="S3173" s="183">
        <f t="shared" si="3818"/>
        <v>5.8035714285714288E-2</v>
      </c>
      <c r="T3173" s="183">
        <f t="shared" si="3819"/>
        <v>0.10267857142857142</v>
      </c>
      <c r="U3173" s="184">
        <f t="shared" si="3820"/>
        <v>0.6651785714285714</v>
      </c>
      <c r="V3173" s="386"/>
    </row>
    <row r="3174" spans="2:22" ht="15.75" hidden="1" x14ac:dyDescent="0.2">
      <c r="B3174" s="711">
        <v>46284</v>
      </c>
      <c r="C3174" s="711" t="s">
        <v>106</v>
      </c>
      <c r="D3174" s="711" t="s">
        <v>189</v>
      </c>
      <c r="E3174" s="711">
        <v>46284</v>
      </c>
      <c r="G3174" s="770">
        <v>46286</v>
      </c>
      <c r="H3174" s="497" t="s">
        <v>16</v>
      </c>
      <c r="I3174" s="60" t="s">
        <v>27</v>
      </c>
      <c r="J3174" s="60">
        <v>179</v>
      </c>
      <c r="K3174" s="60">
        <v>35</v>
      </c>
      <c r="L3174" s="60">
        <v>23</v>
      </c>
      <c r="M3174" s="60">
        <v>0</v>
      </c>
      <c r="N3174" s="494">
        <v>89</v>
      </c>
      <c r="O3174" s="60">
        <v>19</v>
      </c>
      <c r="P3174" s="494">
        <v>2</v>
      </c>
      <c r="Q3174" s="182">
        <f t="shared" si="3824"/>
        <v>0.32402234636871508</v>
      </c>
      <c r="R3174" s="182">
        <f t="shared" si="3825"/>
        <v>0.4972067039106145</v>
      </c>
      <c r="S3174" s="183">
        <f t="shared" si="3818"/>
        <v>1.11731843575419E-2</v>
      </c>
      <c r="T3174" s="183">
        <f t="shared" si="3819"/>
        <v>0.10614525139664804</v>
      </c>
      <c r="U3174" s="184">
        <f t="shared" si="3820"/>
        <v>0.93854748603351945</v>
      </c>
      <c r="V3174" s="386"/>
    </row>
    <row r="3175" spans="2:22" ht="15.75" hidden="1" x14ac:dyDescent="0.2">
      <c r="B3175" s="711">
        <v>46284</v>
      </c>
      <c r="C3175" s="711" t="s">
        <v>106</v>
      </c>
      <c r="D3175" s="711" t="s">
        <v>189</v>
      </c>
      <c r="E3175" s="711">
        <v>46284</v>
      </c>
      <c r="G3175" s="772"/>
      <c r="H3175" s="497" t="s">
        <v>84</v>
      </c>
      <c r="I3175" s="60" t="s">
        <v>15</v>
      </c>
      <c r="J3175" s="60">
        <v>204</v>
      </c>
      <c r="K3175" s="60">
        <v>23</v>
      </c>
      <c r="L3175" s="60">
        <v>3</v>
      </c>
      <c r="M3175" s="60">
        <v>177</v>
      </c>
      <c r="N3175" s="494">
        <v>42</v>
      </c>
      <c r="O3175" s="60">
        <v>12</v>
      </c>
      <c r="P3175" s="494">
        <v>27</v>
      </c>
      <c r="Q3175" s="182">
        <f t="shared" si="3824"/>
        <v>0.12745098039215685</v>
      </c>
      <c r="R3175" s="182">
        <f t="shared" si="3825"/>
        <v>0.20588235294117646</v>
      </c>
      <c r="S3175" s="183">
        <f t="shared" si="3818"/>
        <v>0.13235294117647059</v>
      </c>
      <c r="T3175" s="183">
        <f t="shared" si="3819"/>
        <v>5.8823529411764705E-2</v>
      </c>
      <c r="U3175" s="184">
        <f t="shared" si="3820"/>
        <v>0.52450980392156865</v>
      </c>
      <c r="V3175" s="386"/>
    </row>
    <row r="3176" spans="2:22" ht="15.75" hidden="1" x14ac:dyDescent="0.2">
      <c r="B3176" s="711">
        <v>46284</v>
      </c>
      <c r="C3176" s="711" t="s">
        <v>106</v>
      </c>
      <c r="D3176" s="711" t="s">
        <v>189</v>
      </c>
      <c r="E3176" s="711">
        <v>46284</v>
      </c>
      <c r="G3176" s="775" t="s">
        <v>19</v>
      </c>
      <c r="H3176" s="776"/>
      <c r="I3176" s="777"/>
      <c r="J3176" s="190">
        <f t="shared" ref="J3176:P3176" si="3827">SUM(J3168:J3175)</f>
        <v>977</v>
      </c>
      <c r="K3176" s="190">
        <f t="shared" si="3827"/>
        <v>270</v>
      </c>
      <c r="L3176" s="190">
        <f t="shared" si="3827"/>
        <v>100</v>
      </c>
      <c r="M3176" s="190">
        <f t="shared" si="3827"/>
        <v>232</v>
      </c>
      <c r="N3176" s="190">
        <f t="shared" si="3827"/>
        <v>252</v>
      </c>
      <c r="O3176" s="190">
        <f t="shared" si="3827"/>
        <v>97</v>
      </c>
      <c r="P3176" s="190">
        <f t="shared" si="3827"/>
        <v>75</v>
      </c>
      <c r="Q3176" s="481">
        <f>(K3176+L3176)/J3176</f>
        <v>0.37871033776867963</v>
      </c>
      <c r="R3176" s="481">
        <f>N3176/J3176</f>
        <v>0.25793244626407369</v>
      </c>
      <c r="S3176" s="482">
        <f t="shared" si="3818"/>
        <v>7.6765609007164795E-2</v>
      </c>
      <c r="T3176" s="482">
        <f t="shared" si="3819"/>
        <v>9.9283520982599793E-2</v>
      </c>
      <c r="U3176" s="483">
        <f t="shared" si="3820"/>
        <v>0.81269191402251795</v>
      </c>
      <c r="V3176" s="479"/>
    </row>
    <row r="3177" spans="2:22" ht="15.75" hidden="1" x14ac:dyDescent="0.2">
      <c r="B3177" s="711">
        <v>46284</v>
      </c>
      <c r="C3177" s="711" t="s">
        <v>105</v>
      </c>
      <c r="D3177" s="711" t="s">
        <v>13</v>
      </c>
      <c r="E3177" s="711">
        <v>46284</v>
      </c>
      <c r="G3177" s="816">
        <v>46284</v>
      </c>
      <c r="H3177" s="497" t="s">
        <v>16</v>
      </c>
      <c r="I3177" s="60" t="s">
        <v>15</v>
      </c>
      <c r="J3177" s="60">
        <v>179</v>
      </c>
      <c r="K3177" s="60">
        <v>101</v>
      </c>
      <c r="L3177" s="60">
        <v>52</v>
      </c>
      <c r="M3177" s="60">
        <v>0</v>
      </c>
      <c r="N3177" s="494">
        <v>4</v>
      </c>
      <c r="O3177" s="60">
        <v>19</v>
      </c>
      <c r="P3177" s="494">
        <v>3</v>
      </c>
      <c r="Q3177" s="182">
        <f t="shared" ref="Q3177:Q3183" si="3828">(K3177+L3177)/J3177</f>
        <v>0.85474860335195535</v>
      </c>
      <c r="R3177" s="182">
        <f t="shared" ref="R3177:R3183" si="3829">N3177/J3177</f>
        <v>2.23463687150838E-2</v>
      </c>
      <c r="S3177" s="183">
        <f t="shared" ref="S3177:S3191" si="3830">P3177/J3177</f>
        <v>1.6759776536312849E-2</v>
      </c>
      <c r="T3177" s="183">
        <f t="shared" ref="T3177:T3191" si="3831">O3177/J3177</f>
        <v>0.10614525139664804</v>
      </c>
      <c r="U3177" s="184">
        <f t="shared" ref="U3177:U3191" si="3832">S3177+R3177+Q3177+T3177</f>
        <v>1</v>
      </c>
      <c r="V3177" s="386"/>
    </row>
    <row r="3178" spans="2:22" ht="15.75" hidden="1" x14ac:dyDescent="0.2">
      <c r="B3178" s="711">
        <v>46284</v>
      </c>
      <c r="C3178" s="711" t="s">
        <v>105</v>
      </c>
      <c r="D3178" s="711" t="s">
        <v>13</v>
      </c>
      <c r="E3178" s="711">
        <v>46284</v>
      </c>
      <c r="G3178" s="817"/>
      <c r="H3178" s="497" t="s">
        <v>25</v>
      </c>
      <c r="I3178" s="60" t="s">
        <v>105</v>
      </c>
      <c r="J3178" s="60">
        <v>169</v>
      </c>
      <c r="K3178" s="60">
        <v>104</v>
      </c>
      <c r="L3178" s="60">
        <v>35</v>
      </c>
      <c r="M3178" s="60">
        <v>0</v>
      </c>
      <c r="N3178" s="494">
        <v>0</v>
      </c>
      <c r="O3178" s="60">
        <v>23</v>
      </c>
      <c r="P3178" s="494">
        <v>7</v>
      </c>
      <c r="Q3178" s="182">
        <f t="shared" si="3828"/>
        <v>0.8224852071005917</v>
      </c>
      <c r="R3178" s="182">
        <f t="shared" si="3829"/>
        <v>0</v>
      </c>
      <c r="S3178" s="183">
        <f t="shared" si="3830"/>
        <v>4.142011834319527E-2</v>
      </c>
      <c r="T3178" s="183">
        <f t="shared" si="3831"/>
        <v>0.13609467455621302</v>
      </c>
      <c r="U3178" s="184">
        <f t="shared" si="3832"/>
        <v>1</v>
      </c>
      <c r="V3178" s="386"/>
    </row>
    <row r="3179" spans="2:22" ht="31.5" hidden="1" customHeight="1" x14ac:dyDescent="0.2">
      <c r="B3179" s="711">
        <v>46284</v>
      </c>
      <c r="C3179" s="711" t="s">
        <v>105</v>
      </c>
      <c r="D3179" s="711" t="s">
        <v>13</v>
      </c>
      <c r="E3179" s="711">
        <v>46285</v>
      </c>
      <c r="G3179" s="692">
        <v>46285</v>
      </c>
      <c r="H3179" s="497" t="s">
        <v>25</v>
      </c>
      <c r="I3179" s="60" t="s">
        <v>105</v>
      </c>
      <c r="J3179" s="60">
        <v>224</v>
      </c>
      <c r="K3179" s="60">
        <v>142</v>
      </c>
      <c r="L3179" s="60">
        <v>35</v>
      </c>
      <c r="M3179" s="60">
        <v>5</v>
      </c>
      <c r="N3179" s="494">
        <v>0</v>
      </c>
      <c r="O3179" s="60">
        <v>23</v>
      </c>
      <c r="P3179" s="494">
        <v>19</v>
      </c>
      <c r="Q3179" s="182">
        <f t="shared" si="3828"/>
        <v>0.7901785714285714</v>
      </c>
      <c r="R3179" s="182">
        <f t="shared" si="3829"/>
        <v>0</v>
      </c>
      <c r="S3179" s="183">
        <f t="shared" si="3830"/>
        <v>8.4821428571428575E-2</v>
      </c>
      <c r="T3179" s="183">
        <f t="shared" si="3831"/>
        <v>0.10267857142857142</v>
      </c>
      <c r="U3179" s="184">
        <f t="shared" si="3832"/>
        <v>0.9776785714285714</v>
      </c>
      <c r="V3179" s="386"/>
    </row>
    <row r="3180" spans="2:22" ht="15.75" hidden="1" x14ac:dyDescent="0.2">
      <c r="B3180" s="711">
        <v>46284</v>
      </c>
      <c r="C3180" s="711" t="s">
        <v>105</v>
      </c>
      <c r="D3180" s="711" t="s">
        <v>13</v>
      </c>
      <c r="E3180" s="711">
        <v>46286</v>
      </c>
      <c r="G3180" s="813">
        <v>46286</v>
      </c>
      <c r="H3180" s="497" t="s">
        <v>16</v>
      </c>
      <c r="I3180" s="60" t="s">
        <v>27</v>
      </c>
      <c r="J3180" s="60">
        <v>179</v>
      </c>
      <c r="K3180" s="60">
        <v>115</v>
      </c>
      <c r="L3180" s="60">
        <v>41</v>
      </c>
      <c r="M3180" s="60">
        <v>2</v>
      </c>
      <c r="N3180" s="494">
        <v>0</v>
      </c>
      <c r="O3180" s="60">
        <v>19</v>
      </c>
      <c r="P3180" s="494">
        <v>2</v>
      </c>
      <c r="Q3180" s="182">
        <f t="shared" si="3828"/>
        <v>0.87150837988826813</v>
      </c>
      <c r="R3180" s="182">
        <f t="shared" si="3829"/>
        <v>0</v>
      </c>
      <c r="S3180" s="183">
        <f t="shared" si="3830"/>
        <v>1.11731843575419E-2</v>
      </c>
      <c r="T3180" s="183">
        <f t="shared" si="3831"/>
        <v>0.10614525139664804</v>
      </c>
      <c r="U3180" s="184">
        <f t="shared" si="3832"/>
        <v>0.988826815642458</v>
      </c>
      <c r="V3180" s="386"/>
    </row>
    <row r="3181" spans="2:22" ht="15.75" hidden="1" x14ac:dyDescent="0.2">
      <c r="B3181" s="711">
        <v>46284</v>
      </c>
      <c r="C3181" s="711" t="s">
        <v>105</v>
      </c>
      <c r="D3181" s="711" t="s">
        <v>13</v>
      </c>
      <c r="E3181" s="711">
        <v>46286</v>
      </c>
      <c r="G3181" s="814"/>
      <c r="H3181" s="497" t="s">
        <v>17</v>
      </c>
      <c r="I3181" s="60" t="s">
        <v>106</v>
      </c>
      <c r="J3181" s="60">
        <v>232</v>
      </c>
      <c r="K3181" s="60">
        <v>0</v>
      </c>
      <c r="L3181" s="60">
        <v>0</v>
      </c>
      <c r="M3181" s="60">
        <v>157</v>
      </c>
      <c r="N3181" s="494">
        <v>27</v>
      </c>
      <c r="O3181" s="60">
        <v>30</v>
      </c>
      <c r="P3181" s="494">
        <v>18</v>
      </c>
      <c r="Q3181" s="182">
        <f t="shared" si="3828"/>
        <v>0</v>
      </c>
      <c r="R3181" s="182">
        <f t="shared" si="3829"/>
        <v>0.11637931034482758</v>
      </c>
      <c r="S3181" s="183">
        <f t="shared" si="3830"/>
        <v>7.7586206896551727E-2</v>
      </c>
      <c r="T3181" s="183">
        <f t="shared" si="3831"/>
        <v>0.12931034482758622</v>
      </c>
      <c r="U3181" s="184">
        <f t="shared" si="3832"/>
        <v>0.32327586206896552</v>
      </c>
      <c r="V3181" s="386"/>
    </row>
    <row r="3182" spans="2:22" ht="15.75" hidden="1" x14ac:dyDescent="0.2">
      <c r="B3182" s="711">
        <v>46284</v>
      </c>
      <c r="C3182" s="711" t="s">
        <v>105</v>
      </c>
      <c r="D3182" s="711" t="s">
        <v>13</v>
      </c>
      <c r="E3182" s="711">
        <v>46286</v>
      </c>
      <c r="G3182" s="814"/>
      <c r="H3182" s="497" t="s">
        <v>14</v>
      </c>
      <c r="I3182" s="60" t="s">
        <v>105</v>
      </c>
      <c r="J3182" s="60">
        <v>155</v>
      </c>
      <c r="K3182" s="60">
        <v>0</v>
      </c>
      <c r="L3182" s="60">
        <v>0</v>
      </c>
      <c r="M3182" s="60">
        <v>144</v>
      </c>
      <c r="N3182" s="494">
        <v>0</v>
      </c>
      <c r="O3182" s="60">
        <v>10</v>
      </c>
      <c r="P3182" s="494">
        <v>1</v>
      </c>
      <c r="Q3182" s="182">
        <f t="shared" si="3828"/>
        <v>0</v>
      </c>
      <c r="R3182" s="182">
        <f t="shared" si="3829"/>
        <v>0</v>
      </c>
      <c r="S3182" s="183">
        <f t="shared" si="3830"/>
        <v>6.4516129032258064E-3</v>
      </c>
      <c r="T3182" s="183">
        <f t="shared" si="3831"/>
        <v>6.4516129032258063E-2</v>
      </c>
      <c r="U3182" s="184">
        <f t="shared" si="3832"/>
        <v>7.0967741935483872E-2</v>
      </c>
      <c r="V3182" s="386"/>
    </row>
    <row r="3183" spans="2:22" ht="15.75" hidden="1" x14ac:dyDescent="0.2">
      <c r="B3183" s="711">
        <v>46284</v>
      </c>
      <c r="C3183" s="711" t="s">
        <v>105</v>
      </c>
      <c r="D3183" s="711" t="s">
        <v>13</v>
      </c>
      <c r="E3183" s="711">
        <v>46286</v>
      </c>
      <c r="G3183" s="815"/>
      <c r="H3183" s="497" t="s">
        <v>84</v>
      </c>
      <c r="I3183" s="60" t="s">
        <v>15</v>
      </c>
      <c r="J3183" s="60">
        <v>284</v>
      </c>
      <c r="K3183" s="60">
        <v>188</v>
      </c>
      <c r="L3183" s="60">
        <v>44</v>
      </c>
      <c r="M3183" s="60">
        <v>14</v>
      </c>
      <c r="N3183" s="494">
        <v>0</v>
      </c>
      <c r="O3183" s="60">
        <v>12</v>
      </c>
      <c r="P3183" s="494">
        <v>26</v>
      </c>
      <c r="Q3183" s="182">
        <f t="shared" si="3828"/>
        <v>0.81690140845070425</v>
      </c>
      <c r="R3183" s="182">
        <f t="shared" si="3829"/>
        <v>0</v>
      </c>
      <c r="S3183" s="183">
        <f t="shared" si="3830"/>
        <v>9.154929577464789E-2</v>
      </c>
      <c r="T3183" s="183">
        <f t="shared" si="3831"/>
        <v>4.2253521126760563E-2</v>
      </c>
      <c r="U3183" s="184">
        <f t="shared" si="3832"/>
        <v>0.95070422535211274</v>
      </c>
      <c r="V3183" s="386"/>
    </row>
    <row r="3184" spans="2:22" ht="15.75" hidden="1" x14ac:dyDescent="0.2">
      <c r="B3184" s="711">
        <v>46284</v>
      </c>
      <c r="C3184" s="711" t="s">
        <v>105</v>
      </c>
      <c r="D3184" s="711" t="s">
        <v>13</v>
      </c>
      <c r="E3184" s="711">
        <v>46286</v>
      </c>
      <c r="G3184" s="775" t="s">
        <v>19</v>
      </c>
      <c r="H3184" s="776"/>
      <c r="I3184" s="777"/>
      <c r="J3184" s="190">
        <f>SUM(J3177:J3183)</f>
        <v>1422</v>
      </c>
      <c r="K3184" s="190">
        <f t="shared" ref="K3184:P3184" si="3833">SUM(K3177:K3183)</f>
        <v>650</v>
      </c>
      <c r="L3184" s="190">
        <f t="shared" si="3833"/>
        <v>207</v>
      </c>
      <c r="M3184" s="190">
        <f t="shared" si="3833"/>
        <v>322</v>
      </c>
      <c r="N3184" s="190">
        <f t="shared" si="3833"/>
        <v>31</v>
      </c>
      <c r="O3184" s="190">
        <f t="shared" si="3833"/>
        <v>136</v>
      </c>
      <c r="P3184" s="190">
        <f t="shared" si="3833"/>
        <v>76</v>
      </c>
      <c r="Q3184" s="481">
        <f>(K3184+L3184)/J3184</f>
        <v>0.60267229254571031</v>
      </c>
      <c r="R3184" s="481">
        <f>N3184/J3184</f>
        <v>2.180028129395218E-2</v>
      </c>
      <c r="S3184" s="482">
        <f t="shared" si="3830"/>
        <v>5.3445850914205346E-2</v>
      </c>
      <c r="T3184" s="482">
        <f t="shared" si="3831"/>
        <v>9.5639943741209557E-2</v>
      </c>
      <c r="U3184" s="483">
        <f t="shared" si="3832"/>
        <v>0.77355836849507742</v>
      </c>
      <c r="V3184" s="479"/>
    </row>
    <row r="3185" spans="2:22" ht="15.75" hidden="1" x14ac:dyDescent="0.2">
      <c r="B3185" s="711">
        <v>46285</v>
      </c>
      <c r="C3185" s="711" t="s">
        <v>106</v>
      </c>
      <c r="D3185" s="711" t="s">
        <v>189</v>
      </c>
      <c r="E3185" s="711">
        <v>46284</v>
      </c>
      <c r="G3185" s="691">
        <v>46285</v>
      </c>
      <c r="H3185" s="497" t="s">
        <v>25</v>
      </c>
      <c r="I3185" s="60" t="s">
        <v>106</v>
      </c>
      <c r="J3185" s="60">
        <f>SUM(K3185:P3185)</f>
        <v>69</v>
      </c>
      <c r="K3185" s="60">
        <v>34</v>
      </c>
      <c r="L3185" s="60">
        <v>17</v>
      </c>
      <c r="M3185" s="60">
        <v>0</v>
      </c>
      <c r="N3185" s="494">
        <v>0</v>
      </c>
      <c r="O3185" s="60">
        <v>0</v>
      </c>
      <c r="P3185" s="494">
        <v>18</v>
      </c>
      <c r="Q3185" s="182">
        <f t="shared" ref="Q3185:Q3190" si="3834">(K3185+L3185)/J3185</f>
        <v>0.73913043478260865</v>
      </c>
      <c r="R3185" s="182">
        <f t="shared" ref="R3185:R3190" si="3835">N3185/J3185</f>
        <v>0</v>
      </c>
      <c r="S3185" s="183">
        <f t="shared" si="3830"/>
        <v>0.2608695652173913</v>
      </c>
      <c r="T3185" s="183">
        <f t="shared" si="3831"/>
        <v>0</v>
      </c>
      <c r="U3185" s="184">
        <f t="shared" si="3832"/>
        <v>1</v>
      </c>
      <c r="V3185" s="386"/>
    </row>
    <row r="3186" spans="2:22" ht="15.75" hidden="1" x14ac:dyDescent="0.2">
      <c r="B3186" s="711">
        <v>46285</v>
      </c>
      <c r="C3186" s="711" t="s">
        <v>106</v>
      </c>
      <c r="D3186" s="711" t="s">
        <v>189</v>
      </c>
      <c r="E3186" s="711">
        <v>46284</v>
      </c>
      <c r="G3186" s="770">
        <v>46286</v>
      </c>
      <c r="H3186" s="497" t="s">
        <v>16</v>
      </c>
      <c r="I3186" s="60" t="s">
        <v>27</v>
      </c>
      <c r="J3186" s="60">
        <f t="shared" ref="J3186:J3188" si="3836">SUM(K3186:P3186)</f>
        <v>36</v>
      </c>
      <c r="K3186" s="60">
        <v>0</v>
      </c>
      <c r="L3186" s="60">
        <v>0</v>
      </c>
      <c r="M3186" s="60">
        <v>0</v>
      </c>
      <c r="N3186" s="494">
        <v>15</v>
      </c>
      <c r="O3186" s="60">
        <v>19</v>
      </c>
      <c r="P3186" s="494">
        <v>2</v>
      </c>
      <c r="Q3186" s="182">
        <f t="shared" si="3834"/>
        <v>0</v>
      </c>
      <c r="R3186" s="182">
        <f t="shared" si="3835"/>
        <v>0.41666666666666669</v>
      </c>
      <c r="S3186" s="183">
        <f t="shared" si="3830"/>
        <v>5.5555555555555552E-2</v>
      </c>
      <c r="T3186" s="183">
        <f t="shared" si="3831"/>
        <v>0.52777777777777779</v>
      </c>
      <c r="U3186" s="184">
        <f t="shared" si="3832"/>
        <v>1</v>
      </c>
      <c r="V3186" s="386"/>
    </row>
    <row r="3187" spans="2:22" ht="15.75" hidden="1" x14ac:dyDescent="0.2">
      <c r="B3187" s="711">
        <v>46285</v>
      </c>
      <c r="C3187" s="711" t="s">
        <v>106</v>
      </c>
      <c r="D3187" s="711" t="s">
        <v>189</v>
      </c>
      <c r="E3187" s="711">
        <v>46284</v>
      </c>
      <c r="G3187" s="771"/>
      <c r="H3187" s="497" t="s">
        <v>14</v>
      </c>
      <c r="I3187" s="60" t="s">
        <v>105</v>
      </c>
      <c r="J3187" s="60">
        <f t="shared" si="3836"/>
        <v>157</v>
      </c>
      <c r="K3187" s="60">
        <v>1</v>
      </c>
      <c r="L3187" s="60">
        <v>2</v>
      </c>
      <c r="M3187" s="60">
        <v>1</v>
      </c>
      <c r="N3187" s="494">
        <v>142</v>
      </c>
      <c r="O3187" s="60">
        <v>10</v>
      </c>
      <c r="P3187" s="494">
        <v>1</v>
      </c>
      <c r="Q3187" s="182">
        <f t="shared" si="3834"/>
        <v>1.9108280254777069E-2</v>
      </c>
      <c r="R3187" s="182">
        <f t="shared" si="3835"/>
        <v>0.90445859872611467</v>
      </c>
      <c r="S3187" s="183">
        <f t="shared" si="3830"/>
        <v>6.369426751592357E-3</v>
      </c>
      <c r="T3187" s="183">
        <f t="shared" si="3831"/>
        <v>6.3694267515923567E-2</v>
      </c>
      <c r="U3187" s="184">
        <f t="shared" si="3832"/>
        <v>0.99363057324840764</v>
      </c>
      <c r="V3187" s="386"/>
    </row>
    <row r="3188" spans="2:22" ht="15.75" hidden="1" x14ac:dyDescent="0.2">
      <c r="B3188" s="711">
        <v>46285</v>
      </c>
      <c r="C3188" s="711" t="s">
        <v>106</v>
      </c>
      <c r="D3188" s="711" t="s">
        <v>189</v>
      </c>
      <c r="E3188" s="711">
        <v>46284</v>
      </c>
      <c r="G3188" s="771"/>
      <c r="H3188" s="497" t="s">
        <v>17</v>
      </c>
      <c r="I3188" s="60" t="s">
        <v>106</v>
      </c>
      <c r="J3188" s="60">
        <f t="shared" si="3836"/>
        <v>234</v>
      </c>
      <c r="K3188" s="60">
        <v>141</v>
      </c>
      <c r="L3188" s="60">
        <v>45</v>
      </c>
      <c r="M3188" s="60">
        <v>0</v>
      </c>
      <c r="N3188" s="494">
        <v>0</v>
      </c>
      <c r="O3188" s="60">
        <v>30</v>
      </c>
      <c r="P3188" s="494">
        <v>18</v>
      </c>
      <c r="Q3188" s="182">
        <f t="shared" si="3834"/>
        <v>0.79487179487179482</v>
      </c>
      <c r="R3188" s="182">
        <f t="shared" si="3835"/>
        <v>0</v>
      </c>
      <c r="S3188" s="183">
        <f t="shared" si="3830"/>
        <v>7.6923076923076927E-2</v>
      </c>
      <c r="T3188" s="183">
        <f t="shared" si="3831"/>
        <v>0.12820512820512819</v>
      </c>
      <c r="U3188" s="184">
        <f t="shared" si="3832"/>
        <v>1</v>
      </c>
      <c r="V3188" s="386"/>
    </row>
    <row r="3189" spans="2:22" ht="15.75" hidden="1" x14ac:dyDescent="0.2">
      <c r="B3189" s="711">
        <v>46285</v>
      </c>
      <c r="C3189" s="711" t="s">
        <v>106</v>
      </c>
      <c r="D3189" s="711" t="s">
        <v>189</v>
      </c>
      <c r="E3189" s="711">
        <v>46284</v>
      </c>
      <c r="G3189" s="772"/>
      <c r="H3189" s="497" t="s">
        <v>84</v>
      </c>
      <c r="I3189" s="60" t="s">
        <v>15</v>
      </c>
      <c r="J3189" s="60">
        <v>52</v>
      </c>
      <c r="K3189" s="60">
        <v>0</v>
      </c>
      <c r="L3189" s="60">
        <v>0</v>
      </c>
      <c r="M3189" s="60">
        <v>0</v>
      </c>
      <c r="N3189" s="494">
        <f>21+8</f>
        <v>29</v>
      </c>
      <c r="O3189" s="60">
        <v>12</v>
      </c>
      <c r="P3189" s="494">
        <v>26</v>
      </c>
      <c r="Q3189" s="182">
        <f t="shared" si="3834"/>
        <v>0</v>
      </c>
      <c r="R3189" s="182">
        <f t="shared" si="3835"/>
        <v>0.55769230769230771</v>
      </c>
      <c r="S3189" s="183">
        <f t="shared" si="3830"/>
        <v>0.5</v>
      </c>
      <c r="T3189" s="183">
        <f t="shared" si="3831"/>
        <v>0.23076923076923078</v>
      </c>
      <c r="U3189" s="184">
        <f t="shared" si="3832"/>
        <v>1.2884615384615385</v>
      </c>
      <c r="V3189" s="386"/>
    </row>
    <row r="3190" spans="2:22" ht="15.75" hidden="1" x14ac:dyDescent="0.2">
      <c r="B3190" s="711">
        <v>46285</v>
      </c>
      <c r="C3190" s="711" t="s">
        <v>106</v>
      </c>
      <c r="D3190" s="711" t="s">
        <v>189</v>
      </c>
      <c r="E3190" s="711">
        <v>46284</v>
      </c>
      <c r="G3190" s="692">
        <v>46287</v>
      </c>
      <c r="H3190" s="497" t="s">
        <v>118</v>
      </c>
      <c r="I3190" s="60" t="s">
        <v>106</v>
      </c>
      <c r="J3190" s="60">
        <v>259</v>
      </c>
      <c r="K3190" s="60">
        <v>0</v>
      </c>
      <c r="L3190" s="60">
        <v>0</v>
      </c>
      <c r="M3190" s="60">
        <v>149</v>
      </c>
      <c r="N3190" s="494">
        <v>85</v>
      </c>
      <c r="O3190" s="60">
        <v>19</v>
      </c>
      <c r="P3190" s="494">
        <v>4</v>
      </c>
      <c r="Q3190" s="182">
        <f t="shared" si="3834"/>
        <v>0</v>
      </c>
      <c r="R3190" s="182">
        <f t="shared" si="3835"/>
        <v>0.3281853281853282</v>
      </c>
      <c r="S3190" s="183">
        <f t="shared" si="3830"/>
        <v>1.5444015444015444E-2</v>
      </c>
      <c r="T3190" s="183">
        <f t="shared" si="3831"/>
        <v>7.3359073359073365E-2</v>
      </c>
      <c r="U3190" s="184">
        <f t="shared" si="3832"/>
        <v>0.41698841698841704</v>
      </c>
      <c r="V3190" s="386"/>
    </row>
    <row r="3191" spans="2:22" ht="15.75" hidden="1" x14ac:dyDescent="0.2">
      <c r="B3191" s="711">
        <v>46285</v>
      </c>
      <c r="C3191" s="711" t="s">
        <v>106</v>
      </c>
      <c r="D3191" s="711" t="s">
        <v>189</v>
      </c>
      <c r="E3191" s="711">
        <v>46284</v>
      </c>
      <c r="G3191" s="775" t="s">
        <v>19</v>
      </c>
      <c r="H3191" s="776"/>
      <c r="I3191" s="777"/>
      <c r="J3191" s="190">
        <f t="shared" ref="J3191:P3191" si="3837">SUM(J3185:J3190)</f>
        <v>807</v>
      </c>
      <c r="K3191" s="190">
        <f t="shared" si="3837"/>
        <v>176</v>
      </c>
      <c r="L3191" s="190">
        <f t="shared" si="3837"/>
        <v>64</v>
      </c>
      <c r="M3191" s="190">
        <f t="shared" si="3837"/>
        <v>150</v>
      </c>
      <c r="N3191" s="190">
        <f t="shared" si="3837"/>
        <v>271</v>
      </c>
      <c r="O3191" s="190">
        <f t="shared" si="3837"/>
        <v>90</v>
      </c>
      <c r="P3191" s="190">
        <f t="shared" si="3837"/>
        <v>69</v>
      </c>
      <c r="Q3191" s="481">
        <f>(K3191+L3191)/J3191</f>
        <v>0.29739776951672864</v>
      </c>
      <c r="R3191" s="481">
        <f>N3191/J3191</f>
        <v>0.33581164807930608</v>
      </c>
      <c r="S3191" s="482">
        <f t="shared" si="3830"/>
        <v>8.5501858736059477E-2</v>
      </c>
      <c r="T3191" s="482">
        <f t="shared" si="3831"/>
        <v>0.11152416356877323</v>
      </c>
      <c r="U3191" s="483">
        <f t="shared" si="3832"/>
        <v>0.83023543990086746</v>
      </c>
      <c r="V3191" s="479"/>
    </row>
    <row r="3192" spans="2:22" ht="15.75" hidden="1" x14ac:dyDescent="0.2">
      <c r="B3192" s="711">
        <v>46286</v>
      </c>
      <c r="C3192" s="711" t="s">
        <v>106</v>
      </c>
      <c r="D3192" s="711" t="s">
        <v>13</v>
      </c>
      <c r="E3192" s="711">
        <v>46286</v>
      </c>
      <c r="G3192" s="813">
        <v>46286</v>
      </c>
      <c r="H3192" s="497" t="s">
        <v>16</v>
      </c>
      <c r="I3192" s="60" t="s">
        <v>27</v>
      </c>
      <c r="J3192" s="60">
        <v>179</v>
      </c>
      <c r="K3192" s="60">
        <v>115</v>
      </c>
      <c r="L3192" s="60">
        <v>43</v>
      </c>
      <c r="M3192" s="60">
        <v>0</v>
      </c>
      <c r="N3192" s="494">
        <v>0</v>
      </c>
      <c r="O3192" s="60">
        <v>19</v>
      </c>
      <c r="P3192" s="494">
        <v>2</v>
      </c>
      <c r="Q3192" s="182">
        <f t="shared" ref="Q3192:Q3197" si="3838">(K3192+L3192)/J3192</f>
        <v>0.88268156424581001</v>
      </c>
      <c r="R3192" s="182">
        <f t="shared" ref="R3192:R3197" si="3839">N3192/J3192</f>
        <v>0</v>
      </c>
      <c r="S3192" s="183">
        <f t="shared" ref="S3192:S3214" si="3840">P3192/J3192</f>
        <v>1.11731843575419E-2</v>
      </c>
      <c r="T3192" s="183">
        <f t="shared" ref="T3192:T3214" si="3841">O3192/J3192</f>
        <v>0.10614525139664804</v>
      </c>
      <c r="U3192" s="184">
        <f t="shared" ref="U3192:U3214" si="3842">S3192+R3192+Q3192+T3192</f>
        <v>1</v>
      </c>
      <c r="V3192" s="386"/>
    </row>
    <row r="3193" spans="2:22" ht="15.75" hidden="1" x14ac:dyDescent="0.2">
      <c r="B3193" s="711">
        <v>46286</v>
      </c>
      <c r="C3193" s="711" t="s">
        <v>106</v>
      </c>
      <c r="D3193" s="711" t="s">
        <v>13</v>
      </c>
      <c r="E3193" s="711">
        <v>46286</v>
      </c>
      <c r="G3193" s="814"/>
      <c r="H3193" s="497" t="s">
        <v>17</v>
      </c>
      <c r="I3193" s="60" t="s">
        <v>106</v>
      </c>
      <c r="J3193" s="60">
        <v>232</v>
      </c>
      <c r="K3193" s="60">
        <v>146</v>
      </c>
      <c r="L3193" s="60">
        <v>44</v>
      </c>
      <c r="M3193" s="60">
        <v>0</v>
      </c>
      <c r="N3193" s="494">
        <v>0</v>
      </c>
      <c r="O3193" s="60">
        <v>28</v>
      </c>
      <c r="P3193" s="494">
        <v>14</v>
      </c>
      <c r="Q3193" s="182">
        <f t="shared" si="3838"/>
        <v>0.81896551724137934</v>
      </c>
      <c r="R3193" s="182">
        <f t="shared" si="3839"/>
        <v>0</v>
      </c>
      <c r="S3193" s="183">
        <f t="shared" si="3840"/>
        <v>6.0344827586206899E-2</v>
      </c>
      <c r="T3193" s="183">
        <f t="shared" si="3841"/>
        <v>0.1206896551724138</v>
      </c>
      <c r="U3193" s="184">
        <f t="shared" si="3842"/>
        <v>1</v>
      </c>
      <c r="V3193" s="386"/>
    </row>
    <row r="3194" spans="2:22" ht="15.75" hidden="1" x14ac:dyDescent="0.2">
      <c r="B3194" s="711">
        <v>46286</v>
      </c>
      <c r="C3194" s="711" t="s">
        <v>106</v>
      </c>
      <c r="D3194" s="711" t="s">
        <v>13</v>
      </c>
      <c r="E3194" s="711">
        <v>46286</v>
      </c>
      <c r="G3194" s="814"/>
      <c r="H3194" s="497" t="s">
        <v>14</v>
      </c>
      <c r="I3194" s="60" t="s">
        <v>105</v>
      </c>
      <c r="J3194" s="60">
        <v>155</v>
      </c>
      <c r="K3194" s="60">
        <v>107</v>
      </c>
      <c r="L3194" s="60">
        <v>36</v>
      </c>
      <c r="M3194" s="60">
        <v>2</v>
      </c>
      <c r="N3194" s="494">
        <v>0</v>
      </c>
      <c r="O3194" s="60">
        <v>10</v>
      </c>
      <c r="P3194" s="494">
        <v>0</v>
      </c>
      <c r="Q3194" s="182">
        <f t="shared" si="3838"/>
        <v>0.92258064516129035</v>
      </c>
      <c r="R3194" s="182">
        <f t="shared" si="3839"/>
        <v>0</v>
      </c>
      <c r="S3194" s="183">
        <f t="shared" si="3840"/>
        <v>0</v>
      </c>
      <c r="T3194" s="183">
        <f t="shared" si="3841"/>
        <v>6.4516129032258063E-2</v>
      </c>
      <c r="U3194" s="184">
        <f t="shared" si="3842"/>
        <v>0.98709677419354835</v>
      </c>
      <c r="V3194" s="386"/>
    </row>
    <row r="3195" spans="2:22" ht="15.75" hidden="1" x14ac:dyDescent="0.2">
      <c r="B3195" s="711">
        <v>46286</v>
      </c>
      <c r="C3195" s="711" t="s">
        <v>106</v>
      </c>
      <c r="D3195" s="711" t="s">
        <v>13</v>
      </c>
      <c r="E3195" s="711">
        <v>46286</v>
      </c>
      <c r="G3195" s="814"/>
      <c r="H3195" s="497" t="s">
        <v>118</v>
      </c>
      <c r="I3195" s="60" t="s">
        <v>106</v>
      </c>
      <c r="J3195" s="60">
        <v>51</v>
      </c>
      <c r="K3195" s="60">
        <v>46</v>
      </c>
      <c r="L3195" s="60">
        <v>2</v>
      </c>
      <c r="M3195" s="60">
        <v>0</v>
      </c>
      <c r="N3195" s="494">
        <v>0</v>
      </c>
      <c r="O3195" s="60">
        <v>0</v>
      </c>
      <c r="P3195" s="494">
        <v>3</v>
      </c>
      <c r="Q3195" s="182">
        <f t="shared" ref="Q3195:Q3196" si="3843">(K3195+L3195)/J3195</f>
        <v>0.94117647058823528</v>
      </c>
      <c r="R3195" s="182">
        <f t="shared" ref="R3195:R3196" si="3844">N3195/J3195</f>
        <v>0</v>
      </c>
      <c r="S3195" s="183">
        <f t="shared" ref="S3195:S3196" si="3845">P3195/J3195</f>
        <v>5.8823529411764705E-2</v>
      </c>
      <c r="T3195" s="183">
        <f t="shared" ref="T3195:T3196" si="3846">O3195/J3195</f>
        <v>0</v>
      </c>
      <c r="U3195" s="184">
        <f t="shared" ref="U3195:U3196" si="3847">S3195+R3195+Q3195+T3195</f>
        <v>1</v>
      </c>
      <c r="V3195" s="386"/>
    </row>
    <row r="3196" spans="2:22" ht="15.75" hidden="1" x14ac:dyDescent="0.2">
      <c r="B3196" s="711">
        <v>46286</v>
      </c>
      <c r="C3196" s="711" t="s">
        <v>106</v>
      </c>
      <c r="D3196" s="711" t="s">
        <v>13</v>
      </c>
      <c r="E3196" s="711">
        <v>46286</v>
      </c>
      <c r="G3196" s="815"/>
      <c r="H3196" s="497" t="s">
        <v>84</v>
      </c>
      <c r="I3196" s="60" t="s">
        <v>15</v>
      </c>
      <c r="J3196" s="60">
        <v>284</v>
      </c>
      <c r="K3196" s="60">
        <v>195</v>
      </c>
      <c r="L3196" s="60">
        <v>47</v>
      </c>
      <c r="M3196" s="60">
        <v>5</v>
      </c>
      <c r="N3196" s="494">
        <v>0</v>
      </c>
      <c r="O3196" s="60">
        <v>12</v>
      </c>
      <c r="P3196" s="494">
        <v>25</v>
      </c>
      <c r="Q3196" s="182">
        <f t="shared" si="3843"/>
        <v>0.852112676056338</v>
      </c>
      <c r="R3196" s="182">
        <f t="shared" si="3844"/>
        <v>0</v>
      </c>
      <c r="S3196" s="183">
        <f t="shared" si="3845"/>
        <v>8.8028169014084501E-2</v>
      </c>
      <c r="T3196" s="183">
        <f t="shared" si="3846"/>
        <v>4.2253521126760563E-2</v>
      </c>
      <c r="U3196" s="184">
        <f t="shared" si="3847"/>
        <v>0.98239436619718301</v>
      </c>
      <c r="V3196" s="386"/>
    </row>
    <row r="3197" spans="2:22" ht="15.75" hidden="1" x14ac:dyDescent="0.2">
      <c r="B3197" s="711">
        <v>46286</v>
      </c>
      <c r="C3197" s="711" t="s">
        <v>106</v>
      </c>
      <c r="D3197" s="711" t="s">
        <v>13</v>
      </c>
      <c r="E3197" s="711">
        <v>46287</v>
      </c>
      <c r="G3197" s="773">
        <v>46287</v>
      </c>
      <c r="H3197" s="497" t="s">
        <v>118</v>
      </c>
      <c r="I3197" s="60" t="s">
        <v>106</v>
      </c>
      <c r="J3197" s="60">
        <v>259</v>
      </c>
      <c r="K3197" s="60">
        <v>18</v>
      </c>
      <c r="L3197" s="60">
        <v>15</v>
      </c>
      <c r="M3197" s="60">
        <v>143</v>
      </c>
      <c r="N3197" s="494">
        <v>59</v>
      </c>
      <c r="O3197" s="60">
        <v>17</v>
      </c>
      <c r="P3197" s="494">
        <v>7</v>
      </c>
      <c r="Q3197" s="182">
        <f t="shared" si="3838"/>
        <v>0.12741312741312741</v>
      </c>
      <c r="R3197" s="182">
        <f t="shared" si="3839"/>
        <v>0.22779922779922779</v>
      </c>
      <c r="S3197" s="183">
        <f t="shared" si="3840"/>
        <v>2.7027027027027029E-2</v>
      </c>
      <c r="T3197" s="183">
        <f t="shared" si="3841"/>
        <v>6.5637065637065631E-2</v>
      </c>
      <c r="U3197" s="184">
        <f t="shared" si="3842"/>
        <v>0.44787644787644787</v>
      </c>
      <c r="V3197" s="386"/>
    </row>
    <row r="3198" spans="2:22" ht="15.75" hidden="1" x14ac:dyDescent="0.2">
      <c r="B3198" s="711">
        <v>46286</v>
      </c>
      <c r="C3198" s="711" t="s">
        <v>106</v>
      </c>
      <c r="D3198" s="711" t="s">
        <v>13</v>
      </c>
      <c r="E3198" s="711">
        <v>46287</v>
      </c>
      <c r="G3198" s="780"/>
      <c r="H3198" s="497" t="s">
        <v>16</v>
      </c>
      <c r="I3198" s="60" t="s">
        <v>27</v>
      </c>
      <c r="J3198" s="194">
        <v>181</v>
      </c>
      <c r="K3198" s="194">
        <v>29</v>
      </c>
      <c r="L3198" s="194">
        <v>3</v>
      </c>
      <c r="M3198" s="194">
        <v>42</v>
      </c>
      <c r="N3198" s="538">
        <v>84</v>
      </c>
      <c r="O3198" s="194">
        <v>19</v>
      </c>
      <c r="P3198" s="538">
        <v>4</v>
      </c>
      <c r="Q3198" s="182">
        <f t="shared" ref="Q3198:Q3199" si="3848">(K3198+L3198)/J3198</f>
        <v>0.17679558011049723</v>
      </c>
      <c r="R3198" s="182">
        <f t="shared" ref="R3198:R3199" si="3849">N3198/J3198</f>
        <v>0.46408839779005523</v>
      </c>
      <c r="S3198" s="183">
        <f t="shared" ref="S3198:S3199" si="3850">P3198/J3198</f>
        <v>2.2099447513812154E-2</v>
      </c>
      <c r="T3198" s="183">
        <f t="shared" ref="T3198:T3199" si="3851">O3198/J3198</f>
        <v>0.10497237569060773</v>
      </c>
      <c r="U3198" s="184">
        <f t="shared" ref="U3198:U3199" si="3852">S3198+R3198+Q3198+T3198</f>
        <v>0.7679558011049723</v>
      </c>
      <c r="V3198" s="386"/>
    </row>
    <row r="3199" spans="2:22" ht="15.75" hidden="1" x14ac:dyDescent="0.2">
      <c r="B3199" s="711">
        <v>46286</v>
      </c>
      <c r="C3199" s="711" t="s">
        <v>106</v>
      </c>
      <c r="D3199" s="711" t="s">
        <v>13</v>
      </c>
      <c r="E3199" s="711">
        <v>46287</v>
      </c>
      <c r="G3199" s="780"/>
      <c r="H3199" s="497" t="s">
        <v>84</v>
      </c>
      <c r="I3199" s="60" t="s">
        <v>106</v>
      </c>
      <c r="J3199" s="194">
        <v>86</v>
      </c>
      <c r="K3199" s="194">
        <v>51</v>
      </c>
      <c r="L3199" s="194">
        <v>14</v>
      </c>
      <c r="M3199" s="194">
        <v>12</v>
      </c>
      <c r="N3199" s="538">
        <v>0</v>
      </c>
      <c r="O3199" s="194">
        <v>4</v>
      </c>
      <c r="P3199" s="538">
        <v>5</v>
      </c>
      <c r="Q3199" s="182">
        <f t="shared" si="3848"/>
        <v>0.7558139534883721</v>
      </c>
      <c r="R3199" s="182">
        <f t="shared" si="3849"/>
        <v>0</v>
      </c>
      <c r="S3199" s="183">
        <f t="shared" si="3850"/>
        <v>5.8139534883720929E-2</v>
      </c>
      <c r="T3199" s="183">
        <f t="shared" si="3851"/>
        <v>4.6511627906976744E-2</v>
      </c>
      <c r="U3199" s="184">
        <f t="shared" si="3852"/>
        <v>0.86046511627906974</v>
      </c>
      <c r="V3199" s="386"/>
    </row>
    <row r="3200" spans="2:22" ht="15.75" hidden="1" x14ac:dyDescent="0.2">
      <c r="B3200" s="711">
        <v>46286</v>
      </c>
      <c r="C3200" s="711" t="s">
        <v>106</v>
      </c>
      <c r="D3200" s="711" t="s">
        <v>13</v>
      </c>
      <c r="E3200" s="711">
        <v>46287</v>
      </c>
      <c r="G3200" s="774"/>
      <c r="H3200" s="497" t="s">
        <v>14</v>
      </c>
      <c r="I3200" s="60" t="s">
        <v>105</v>
      </c>
      <c r="J3200" s="194">
        <v>169</v>
      </c>
      <c r="K3200" s="194">
        <v>0</v>
      </c>
      <c r="L3200" s="194">
        <v>0</v>
      </c>
      <c r="M3200" s="194">
        <v>153</v>
      </c>
      <c r="N3200" s="538">
        <v>0</v>
      </c>
      <c r="O3200" s="194">
        <v>12</v>
      </c>
      <c r="P3200" s="538">
        <v>4</v>
      </c>
      <c r="Q3200" s="182">
        <f t="shared" ref="Q3200" si="3853">(K3200+L3200)/J3200</f>
        <v>0</v>
      </c>
      <c r="R3200" s="182">
        <f t="shared" ref="R3200" si="3854">N3200/J3200</f>
        <v>0</v>
      </c>
      <c r="S3200" s="183">
        <f t="shared" ref="S3200" si="3855">P3200/J3200</f>
        <v>2.3668639053254437E-2</v>
      </c>
      <c r="T3200" s="183">
        <f t="shared" ref="T3200" si="3856">O3200/J3200</f>
        <v>7.1005917159763315E-2</v>
      </c>
      <c r="U3200" s="184">
        <f t="shared" ref="U3200" si="3857">S3200+R3200+Q3200+T3200</f>
        <v>9.4674556213017749E-2</v>
      </c>
      <c r="V3200" s="386"/>
    </row>
    <row r="3201" spans="2:22" ht="15.75" hidden="1" x14ac:dyDescent="0.2">
      <c r="B3201" s="711">
        <v>46286</v>
      </c>
      <c r="C3201" s="711" t="s">
        <v>106</v>
      </c>
      <c r="D3201" s="711" t="s">
        <v>13</v>
      </c>
      <c r="E3201" s="711">
        <v>46287</v>
      </c>
      <c r="G3201" s="775" t="s">
        <v>19</v>
      </c>
      <c r="H3201" s="776"/>
      <c r="I3201" s="777"/>
      <c r="J3201" s="190">
        <f t="shared" ref="J3201:P3201" si="3858">SUM(J3191:J3197)</f>
        <v>1967</v>
      </c>
      <c r="K3201" s="190">
        <f t="shared" si="3858"/>
        <v>803</v>
      </c>
      <c r="L3201" s="190">
        <f t="shared" si="3858"/>
        <v>251</v>
      </c>
      <c r="M3201" s="190">
        <f t="shared" si="3858"/>
        <v>300</v>
      </c>
      <c r="N3201" s="190">
        <f t="shared" si="3858"/>
        <v>330</v>
      </c>
      <c r="O3201" s="190">
        <f t="shared" si="3858"/>
        <v>176</v>
      </c>
      <c r="P3201" s="190">
        <f t="shared" si="3858"/>
        <v>120</v>
      </c>
      <c r="Q3201" s="481">
        <f>(K3201+L3201)/J3201</f>
        <v>0.53584138281647176</v>
      </c>
      <c r="R3201" s="481">
        <f>N3201/J3201</f>
        <v>0.1677681748856126</v>
      </c>
      <c r="S3201" s="482">
        <f t="shared" si="3840"/>
        <v>6.1006609049313675E-2</v>
      </c>
      <c r="T3201" s="482">
        <f t="shared" si="3841"/>
        <v>8.9476359938993388E-2</v>
      </c>
      <c r="U3201" s="483">
        <f t="shared" si="3842"/>
        <v>0.85409252669039137</v>
      </c>
      <c r="V3201" s="479"/>
    </row>
    <row r="3202" spans="2:22" ht="15.75" hidden="1" x14ac:dyDescent="0.2">
      <c r="B3202" s="711">
        <v>46286</v>
      </c>
      <c r="C3202" s="711" t="s">
        <v>105</v>
      </c>
      <c r="D3202" s="711" t="s">
        <v>189</v>
      </c>
      <c r="E3202" s="711">
        <v>46286</v>
      </c>
      <c r="G3202" s="778">
        <v>46286</v>
      </c>
      <c r="H3202" s="497" t="s">
        <v>16</v>
      </c>
      <c r="I3202" s="60" t="s">
        <v>27</v>
      </c>
      <c r="J3202" s="60">
        <f>SUM(K3202:P3202)</f>
        <v>31</v>
      </c>
      <c r="K3202" s="60">
        <f>102-79</f>
        <v>23</v>
      </c>
      <c r="L3202" s="60">
        <v>7</v>
      </c>
      <c r="M3202" s="60">
        <v>0</v>
      </c>
      <c r="N3202" s="494">
        <v>0</v>
      </c>
      <c r="O3202" s="60">
        <v>0</v>
      </c>
      <c r="P3202" s="494">
        <v>1</v>
      </c>
      <c r="Q3202" s="182">
        <f t="shared" ref="Q3202:Q3206" si="3859">(K3202+L3202)/J3202</f>
        <v>0.967741935483871</v>
      </c>
      <c r="R3202" s="182">
        <f t="shared" ref="R3202:R3206" si="3860">N3202/J3202</f>
        <v>0</v>
      </c>
      <c r="S3202" s="183">
        <f t="shared" si="3840"/>
        <v>3.2258064516129031E-2</v>
      </c>
      <c r="T3202" s="183">
        <f t="shared" si="3841"/>
        <v>0</v>
      </c>
      <c r="U3202" s="184">
        <f t="shared" si="3842"/>
        <v>1</v>
      </c>
      <c r="V3202" s="386"/>
    </row>
    <row r="3203" spans="2:22" ht="15.75" hidden="1" x14ac:dyDescent="0.2">
      <c r="B3203" s="711">
        <v>46286</v>
      </c>
      <c r="C3203" s="711" t="s">
        <v>105</v>
      </c>
      <c r="D3203" s="711" t="s">
        <v>189</v>
      </c>
      <c r="E3203" s="711">
        <v>46286</v>
      </c>
      <c r="G3203" s="786"/>
      <c r="H3203" s="497" t="s">
        <v>14</v>
      </c>
      <c r="I3203" s="60" t="s">
        <v>105</v>
      </c>
      <c r="J3203" s="60">
        <f t="shared" ref="J3203:J3209" si="3861">SUM(K3203:P3203)</f>
        <v>35</v>
      </c>
      <c r="K3203" s="60">
        <v>34</v>
      </c>
      <c r="L3203" s="60">
        <v>1</v>
      </c>
      <c r="M3203" s="60">
        <v>0</v>
      </c>
      <c r="N3203" s="494">
        <v>0</v>
      </c>
      <c r="O3203" s="60">
        <v>0</v>
      </c>
      <c r="P3203" s="494">
        <v>0</v>
      </c>
      <c r="Q3203" s="182">
        <f t="shared" si="3859"/>
        <v>1</v>
      </c>
      <c r="R3203" s="182">
        <f t="shared" si="3860"/>
        <v>0</v>
      </c>
      <c r="S3203" s="183">
        <f t="shared" si="3840"/>
        <v>0</v>
      </c>
      <c r="T3203" s="183">
        <f t="shared" si="3841"/>
        <v>0</v>
      </c>
      <c r="U3203" s="184">
        <f t="shared" si="3842"/>
        <v>1</v>
      </c>
      <c r="V3203" s="386"/>
    </row>
    <row r="3204" spans="2:22" ht="15.75" hidden="1" x14ac:dyDescent="0.2">
      <c r="B3204" s="711">
        <v>46286</v>
      </c>
      <c r="C3204" s="711" t="s">
        <v>105</v>
      </c>
      <c r="D3204" s="711" t="s">
        <v>189</v>
      </c>
      <c r="E3204" s="711">
        <v>46286</v>
      </c>
      <c r="G3204" s="786"/>
      <c r="H3204" s="497" t="s">
        <v>17</v>
      </c>
      <c r="I3204" s="60" t="s">
        <v>105</v>
      </c>
      <c r="J3204" s="60">
        <f t="shared" si="3861"/>
        <v>16</v>
      </c>
      <c r="K3204" s="60">
        <v>2</v>
      </c>
      <c r="L3204" s="60">
        <v>0</v>
      </c>
      <c r="M3204" s="60">
        <v>0</v>
      </c>
      <c r="N3204" s="494">
        <v>0</v>
      </c>
      <c r="O3204" s="60">
        <v>0</v>
      </c>
      <c r="P3204" s="494">
        <v>14</v>
      </c>
      <c r="Q3204" s="182">
        <f t="shared" si="3859"/>
        <v>0.125</v>
      </c>
      <c r="R3204" s="182">
        <f t="shared" si="3860"/>
        <v>0</v>
      </c>
      <c r="S3204" s="183">
        <f t="shared" si="3840"/>
        <v>0.875</v>
      </c>
      <c r="T3204" s="183">
        <f t="shared" si="3841"/>
        <v>0</v>
      </c>
      <c r="U3204" s="184">
        <f t="shared" si="3842"/>
        <v>1</v>
      </c>
      <c r="V3204" s="386"/>
    </row>
    <row r="3205" spans="2:22" ht="15.75" hidden="1" x14ac:dyDescent="0.2">
      <c r="B3205" s="711">
        <v>46286</v>
      </c>
      <c r="C3205" s="711" t="s">
        <v>105</v>
      </c>
      <c r="D3205" s="711" t="s">
        <v>189</v>
      </c>
      <c r="E3205" s="711">
        <v>46286</v>
      </c>
      <c r="G3205" s="786"/>
      <c r="H3205" s="497" t="s">
        <v>120</v>
      </c>
      <c r="I3205" s="60" t="s">
        <v>105</v>
      </c>
      <c r="J3205" s="60">
        <f t="shared" si="3861"/>
        <v>4</v>
      </c>
      <c r="K3205" s="60">
        <v>4</v>
      </c>
      <c r="L3205" s="60">
        <v>0</v>
      </c>
      <c r="M3205" s="60">
        <v>0</v>
      </c>
      <c r="N3205" s="494">
        <v>0</v>
      </c>
      <c r="O3205" s="60">
        <v>0</v>
      </c>
      <c r="P3205" s="494">
        <v>0</v>
      </c>
      <c r="Q3205" s="182">
        <f t="shared" si="3859"/>
        <v>1</v>
      </c>
      <c r="R3205" s="182">
        <f t="shared" si="3860"/>
        <v>0</v>
      </c>
      <c r="S3205" s="183">
        <f t="shared" si="3840"/>
        <v>0</v>
      </c>
      <c r="T3205" s="183">
        <f t="shared" si="3841"/>
        <v>0</v>
      </c>
      <c r="U3205" s="184">
        <f t="shared" si="3842"/>
        <v>1</v>
      </c>
      <c r="V3205" s="386"/>
    </row>
    <row r="3206" spans="2:22" ht="15.75" hidden="1" x14ac:dyDescent="0.2">
      <c r="B3206" s="711">
        <v>46286</v>
      </c>
      <c r="C3206" s="711" t="s">
        <v>105</v>
      </c>
      <c r="D3206" s="711" t="s">
        <v>189</v>
      </c>
      <c r="E3206" s="711">
        <v>46286</v>
      </c>
      <c r="G3206" s="786"/>
      <c r="H3206" s="497" t="s">
        <v>84</v>
      </c>
      <c r="I3206" s="60" t="s">
        <v>15</v>
      </c>
      <c r="J3206" s="60">
        <f t="shared" si="3861"/>
        <v>26</v>
      </c>
      <c r="K3206" s="60">
        <v>1</v>
      </c>
      <c r="L3206" s="60">
        <v>0</v>
      </c>
      <c r="M3206" s="60">
        <v>0</v>
      </c>
      <c r="N3206" s="494">
        <v>0</v>
      </c>
      <c r="O3206" s="60">
        <v>0</v>
      </c>
      <c r="P3206" s="494">
        <v>25</v>
      </c>
      <c r="Q3206" s="182">
        <f t="shared" si="3859"/>
        <v>3.8461538461538464E-2</v>
      </c>
      <c r="R3206" s="182">
        <f t="shared" si="3860"/>
        <v>0</v>
      </c>
      <c r="S3206" s="183">
        <f t="shared" si="3840"/>
        <v>0.96153846153846156</v>
      </c>
      <c r="T3206" s="183">
        <f t="shared" si="3841"/>
        <v>0</v>
      </c>
      <c r="U3206" s="184">
        <f t="shared" si="3842"/>
        <v>1</v>
      </c>
      <c r="V3206" s="386"/>
    </row>
    <row r="3207" spans="2:22" ht="15.75" hidden="1" x14ac:dyDescent="0.2">
      <c r="B3207" s="711">
        <v>46286</v>
      </c>
      <c r="C3207" s="711" t="s">
        <v>105</v>
      </c>
      <c r="D3207" s="711" t="s">
        <v>189</v>
      </c>
      <c r="E3207" s="711">
        <v>46286</v>
      </c>
      <c r="G3207" s="786"/>
      <c r="H3207" s="497" t="s">
        <v>180</v>
      </c>
      <c r="I3207" s="60" t="s">
        <v>18</v>
      </c>
      <c r="J3207" s="60">
        <f t="shared" si="3861"/>
        <v>63</v>
      </c>
      <c r="K3207" s="60">
        <v>62</v>
      </c>
      <c r="L3207" s="60">
        <v>1</v>
      </c>
      <c r="M3207" s="60">
        <v>0</v>
      </c>
      <c r="N3207" s="494">
        <v>0</v>
      </c>
      <c r="O3207" s="60">
        <v>0</v>
      </c>
      <c r="P3207" s="494">
        <v>0</v>
      </c>
      <c r="Q3207" s="182">
        <f t="shared" ref="Q3207:Q3213" si="3862">(K3207+L3207)/J3207</f>
        <v>1</v>
      </c>
      <c r="R3207" s="182">
        <f t="shared" ref="R3207:R3213" si="3863">N3207/J3207</f>
        <v>0</v>
      </c>
      <c r="S3207" s="183">
        <f t="shared" ref="S3207:S3213" si="3864">P3207/J3207</f>
        <v>0</v>
      </c>
      <c r="T3207" s="183">
        <f t="shared" ref="T3207:T3213" si="3865">O3207/J3207</f>
        <v>0</v>
      </c>
      <c r="U3207" s="184">
        <f t="shared" ref="U3207:U3213" si="3866">S3207+R3207+Q3207+T3207</f>
        <v>1</v>
      </c>
      <c r="V3207" s="386"/>
    </row>
    <row r="3208" spans="2:22" ht="15.75" hidden="1" x14ac:dyDescent="0.2">
      <c r="B3208" s="711">
        <v>46286</v>
      </c>
      <c r="C3208" s="711" t="s">
        <v>105</v>
      </c>
      <c r="D3208" s="711" t="s">
        <v>189</v>
      </c>
      <c r="E3208" s="711">
        <v>46286</v>
      </c>
      <c r="G3208" s="779"/>
      <c r="H3208" s="497" t="s">
        <v>212</v>
      </c>
      <c r="I3208" s="60" t="s">
        <v>18</v>
      </c>
      <c r="J3208" s="60">
        <f t="shared" si="3861"/>
        <v>14</v>
      </c>
      <c r="K3208" s="60">
        <v>13</v>
      </c>
      <c r="L3208" s="60">
        <v>1</v>
      </c>
      <c r="M3208" s="60">
        <v>0</v>
      </c>
      <c r="N3208" s="494">
        <v>0</v>
      </c>
      <c r="O3208" s="60">
        <v>0</v>
      </c>
      <c r="P3208" s="494">
        <v>0</v>
      </c>
      <c r="Q3208" s="182">
        <f t="shared" si="3862"/>
        <v>1</v>
      </c>
      <c r="R3208" s="182">
        <f t="shared" si="3863"/>
        <v>0</v>
      </c>
      <c r="S3208" s="183">
        <f t="shared" si="3864"/>
        <v>0</v>
      </c>
      <c r="T3208" s="183">
        <f t="shared" si="3865"/>
        <v>0</v>
      </c>
      <c r="U3208" s="184">
        <f t="shared" si="3866"/>
        <v>1</v>
      </c>
      <c r="V3208" s="386"/>
    </row>
    <row r="3209" spans="2:22" ht="15.75" hidden="1" x14ac:dyDescent="0.2">
      <c r="B3209" s="711">
        <v>46286</v>
      </c>
      <c r="C3209" s="711" t="s">
        <v>105</v>
      </c>
      <c r="D3209" s="711" t="s">
        <v>189</v>
      </c>
      <c r="E3209" s="711">
        <v>46287</v>
      </c>
      <c r="G3209" s="773">
        <v>46287</v>
      </c>
      <c r="H3209" s="497" t="s">
        <v>16</v>
      </c>
      <c r="I3209" s="60" t="s">
        <v>27</v>
      </c>
      <c r="J3209" s="60">
        <f t="shared" si="3861"/>
        <v>152</v>
      </c>
      <c r="K3209" s="60">
        <v>79</v>
      </c>
      <c r="L3209" s="60">
        <v>6</v>
      </c>
      <c r="M3209" s="60">
        <v>0</v>
      </c>
      <c r="N3209" s="494">
        <v>43</v>
      </c>
      <c r="O3209" s="60">
        <v>20</v>
      </c>
      <c r="P3209" s="494">
        <v>4</v>
      </c>
      <c r="Q3209" s="182">
        <f t="shared" si="3862"/>
        <v>0.55921052631578949</v>
      </c>
      <c r="R3209" s="182">
        <f t="shared" si="3863"/>
        <v>0.28289473684210525</v>
      </c>
      <c r="S3209" s="183">
        <f t="shared" si="3864"/>
        <v>2.6315789473684209E-2</v>
      </c>
      <c r="T3209" s="183">
        <f t="shared" si="3865"/>
        <v>0.13157894736842105</v>
      </c>
      <c r="U3209" s="184">
        <f t="shared" si="3866"/>
        <v>1</v>
      </c>
      <c r="V3209" s="386"/>
    </row>
    <row r="3210" spans="2:22" ht="15.75" hidden="1" x14ac:dyDescent="0.2">
      <c r="B3210" s="711">
        <v>46286</v>
      </c>
      <c r="C3210" s="711" t="s">
        <v>105</v>
      </c>
      <c r="D3210" s="711" t="s">
        <v>189</v>
      </c>
      <c r="E3210" s="711">
        <v>46287</v>
      </c>
      <c r="G3210" s="780"/>
      <c r="H3210" s="497" t="s">
        <v>84</v>
      </c>
      <c r="I3210" s="60" t="s">
        <v>15</v>
      </c>
      <c r="J3210" s="60">
        <v>21</v>
      </c>
      <c r="K3210" s="60">
        <v>0</v>
      </c>
      <c r="L3210" s="60">
        <v>0</v>
      </c>
      <c r="M3210" s="60">
        <v>1</v>
      </c>
      <c r="N3210" s="494">
        <v>12</v>
      </c>
      <c r="O3210" s="60">
        <v>4</v>
      </c>
      <c r="P3210" s="494">
        <v>5</v>
      </c>
      <c r="Q3210" s="182">
        <f t="shared" si="3862"/>
        <v>0</v>
      </c>
      <c r="R3210" s="182">
        <f t="shared" si="3863"/>
        <v>0.5714285714285714</v>
      </c>
      <c r="S3210" s="183">
        <f t="shared" si="3864"/>
        <v>0.23809523809523808</v>
      </c>
      <c r="T3210" s="183">
        <f t="shared" si="3865"/>
        <v>0.19047619047619047</v>
      </c>
      <c r="U3210" s="184">
        <f t="shared" si="3866"/>
        <v>1</v>
      </c>
      <c r="V3210" s="386"/>
    </row>
    <row r="3211" spans="2:22" ht="15.75" hidden="1" x14ac:dyDescent="0.2">
      <c r="B3211" s="711">
        <v>46286</v>
      </c>
      <c r="C3211" s="711" t="s">
        <v>105</v>
      </c>
      <c r="D3211" s="711" t="s">
        <v>189</v>
      </c>
      <c r="E3211" s="711">
        <v>46287</v>
      </c>
      <c r="G3211" s="780"/>
      <c r="H3211" s="497" t="s">
        <v>118</v>
      </c>
      <c r="I3211" s="60" t="s">
        <v>106</v>
      </c>
      <c r="J3211" s="60">
        <v>227</v>
      </c>
      <c r="K3211" s="60">
        <v>162</v>
      </c>
      <c r="L3211" s="60">
        <v>38</v>
      </c>
      <c r="M3211" s="60">
        <v>6</v>
      </c>
      <c r="N3211" s="494">
        <v>0</v>
      </c>
      <c r="O3211" s="60">
        <v>14</v>
      </c>
      <c r="P3211" s="494">
        <v>7</v>
      </c>
      <c r="Q3211" s="182">
        <f t="shared" si="3862"/>
        <v>0.88105726872246692</v>
      </c>
      <c r="R3211" s="182">
        <f t="shared" si="3863"/>
        <v>0</v>
      </c>
      <c r="S3211" s="183">
        <f t="shared" si="3864"/>
        <v>3.0837004405286344E-2</v>
      </c>
      <c r="T3211" s="183">
        <f t="shared" si="3865"/>
        <v>6.1674008810572688E-2</v>
      </c>
      <c r="U3211" s="184">
        <f t="shared" si="3866"/>
        <v>0.97356828193832601</v>
      </c>
      <c r="V3211" s="386"/>
    </row>
    <row r="3212" spans="2:22" ht="15.75" hidden="1" x14ac:dyDescent="0.2">
      <c r="B3212" s="711">
        <v>46286</v>
      </c>
      <c r="C3212" s="711" t="s">
        <v>105</v>
      </c>
      <c r="D3212" s="711" t="s">
        <v>189</v>
      </c>
      <c r="E3212" s="711">
        <v>46287</v>
      </c>
      <c r="G3212" s="774"/>
      <c r="H3212" s="497" t="s">
        <v>14</v>
      </c>
      <c r="I3212" s="60" t="s">
        <v>105</v>
      </c>
      <c r="J3212" s="60">
        <v>169</v>
      </c>
      <c r="K3212" s="60">
        <v>0</v>
      </c>
      <c r="L3212" s="60">
        <v>0</v>
      </c>
      <c r="M3212" s="60">
        <v>139</v>
      </c>
      <c r="N3212" s="494">
        <v>123</v>
      </c>
      <c r="O3212" s="60">
        <v>12</v>
      </c>
      <c r="P3212" s="494">
        <v>4</v>
      </c>
      <c r="Q3212" s="182">
        <f t="shared" ref="Q3212" si="3867">(K3212+L3212)/J3212</f>
        <v>0</v>
      </c>
      <c r="R3212" s="182">
        <f t="shared" ref="R3212" si="3868">N3212/J3212</f>
        <v>0.72781065088757402</v>
      </c>
      <c r="S3212" s="183">
        <f t="shared" ref="S3212" si="3869">P3212/J3212</f>
        <v>2.3668639053254437E-2</v>
      </c>
      <c r="T3212" s="183">
        <f t="shared" ref="T3212" si="3870">O3212/J3212</f>
        <v>7.1005917159763315E-2</v>
      </c>
      <c r="U3212" s="184">
        <f t="shared" ref="U3212" si="3871">S3212+R3212+Q3212+T3212</f>
        <v>0.82248520710059181</v>
      </c>
      <c r="V3212" s="386"/>
    </row>
    <row r="3213" spans="2:22" ht="15.75" hidden="1" x14ac:dyDescent="0.2">
      <c r="B3213" s="711">
        <v>46286</v>
      </c>
      <c r="C3213" s="711" t="s">
        <v>105</v>
      </c>
      <c r="D3213" s="711" t="s">
        <v>189</v>
      </c>
      <c r="E3213" s="711">
        <v>46287</v>
      </c>
      <c r="G3213" s="692">
        <v>46288</v>
      </c>
      <c r="H3213" s="497" t="s">
        <v>16</v>
      </c>
      <c r="I3213" s="60" t="s">
        <v>15</v>
      </c>
      <c r="J3213" s="60">
        <v>163</v>
      </c>
      <c r="K3213" s="60">
        <v>0</v>
      </c>
      <c r="L3213" s="60">
        <v>0</v>
      </c>
      <c r="M3213" s="60">
        <v>133</v>
      </c>
      <c r="N3213" s="494">
        <v>7</v>
      </c>
      <c r="O3213" s="60">
        <v>12</v>
      </c>
      <c r="P3213" s="494">
        <v>4</v>
      </c>
      <c r="Q3213" s="182">
        <f t="shared" si="3862"/>
        <v>0</v>
      </c>
      <c r="R3213" s="182">
        <f t="shared" si="3863"/>
        <v>4.2944785276073622E-2</v>
      </c>
      <c r="S3213" s="183">
        <f t="shared" si="3864"/>
        <v>2.4539877300613498E-2</v>
      </c>
      <c r="T3213" s="183">
        <f t="shared" si="3865"/>
        <v>7.3619631901840496E-2</v>
      </c>
      <c r="U3213" s="184">
        <f t="shared" si="3866"/>
        <v>0.14110429447852763</v>
      </c>
      <c r="V3213" s="386"/>
    </row>
    <row r="3214" spans="2:22" ht="15.75" hidden="1" x14ac:dyDescent="0.2">
      <c r="B3214" s="711">
        <v>46286</v>
      </c>
      <c r="C3214" s="711" t="s">
        <v>105</v>
      </c>
      <c r="D3214" s="711" t="s">
        <v>189</v>
      </c>
      <c r="E3214" s="711">
        <v>46286</v>
      </c>
      <c r="G3214" s="775" t="s">
        <v>19</v>
      </c>
      <c r="H3214" s="776"/>
      <c r="I3214" s="777"/>
      <c r="J3214" s="190">
        <f t="shared" ref="J3214:P3214" si="3872">SUM(J3202:J3213)</f>
        <v>921</v>
      </c>
      <c r="K3214" s="190">
        <f t="shared" si="3872"/>
        <v>380</v>
      </c>
      <c r="L3214" s="190">
        <f t="shared" si="3872"/>
        <v>54</v>
      </c>
      <c r="M3214" s="190">
        <f t="shared" si="3872"/>
        <v>279</v>
      </c>
      <c r="N3214" s="190">
        <f t="shared" si="3872"/>
        <v>185</v>
      </c>
      <c r="O3214" s="190">
        <f t="shared" si="3872"/>
        <v>62</v>
      </c>
      <c r="P3214" s="190">
        <f t="shared" si="3872"/>
        <v>64</v>
      </c>
      <c r="Q3214" s="481">
        <f>(K3214+L3214)/J3214</f>
        <v>0.47122692725298587</v>
      </c>
      <c r="R3214" s="481">
        <f>N3214/J3214</f>
        <v>0.20086862106406081</v>
      </c>
      <c r="S3214" s="482">
        <f t="shared" si="3840"/>
        <v>6.9489685124864281E-2</v>
      </c>
      <c r="T3214" s="482">
        <f t="shared" si="3841"/>
        <v>6.7318132464712271E-2</v>
      </c>
      <c r="U3214" s="483">
        <f t="shared" si="3842"/>
        <v>0.80890336590662326</v>
      </c>
      <c r="V3214" s="479"/>
    </row>
    <row r="3215" spans="2:22" ht="15.75" hidden="1" x14ac:dyDescent="0.2">
      <c r="B3215" s="711">
        <v>46287</v>
      </c>
      <c r="C3215" s="711" t="s">
        <v>106</v>
      </c>
      <c r="D3215" s="711" t="s">
        <v>13</v>
      </c>
      <c r="E3215" s="711">
        <v>46287</v>
      </c>
      <c r="G3215" s="877">
        <v>46287</v>
      </c>
      <c r="H3215" s="497" t="s">
        <v>118</v>
      </c>
      <c r="I3215" s="60" t="s">
        <v>106</v>
      </c>
      <c r="J3215" s="60">
        <v>259</v>
      </c>
      <c r="K3215" s="60">
        <v>198</v>
      </c>
      <c r="L3215" s="60">
        <v>41</v>
      </c>
      <c r="M3215" s="60">
        <v>0</v>
      </c>
      <c r="N3215" s="494">
        <v>0</v>
      </c>
      <c r="O3215" s="60">
        <v>16</v>
      </c>
      <c r="P3215" s="494">
        <v>4</v>
      </c>
      <c r="Q3215" s="182">
        <f t="shared" ref="Q3215:Q3218" si="3873">(K3215+L3215)/J3215</f>
        <v>0.92277992277992282</v>
      </c>
      <c r="R3215" s="182">
        <f t="shared" ref="R3215:R3218" si="3874">N3215/J3215</f>
        <v>0</v>
      </c>
      <c r="S3215" s="183">
        <f t="shared" ref="S3215:S3236" si="3875">P3215/J3215</f>
        <v>1.5444015444015444E-2</v>
      </c>
      <c r="T3215" s="183">
        <f t="shared" ref="T3215:T3236" si="3876">O3215/J3215</f>
        <v>6.1776061776061778E-2</v>
      </c>
      <c r="U3215" s="184">
        <f t="shared" ref="U3215:U3236" si="3877">S3215+R3215+Q3215+T3215</f>
        <v>1</v>
      </c>
      <c r="V3215" s="386"/>
    </row>
    <row r="3216" spans="2:22" ht="15.75" hidden="1" x14ac:dyDescent="0.2">
      <c r="B3216" s="711">
        <v>46287</v>
      </c>
      <c r="C3216" s="711" t="s">
        <v>106</v>
      </c>
      <c r="D3216" s="711" t="s">
        <v>13</v>
      </c>
      <c r="E3216" s="711">
        <v>46287</v>
      </c>
      <c r="G3216" s="878"/>
      <c r="H3216" s="497" t="s">
        <v>16</v>
      </c>
      <c r="I3216" s="60" t="s">
        <v>27</v>
      </c>
      <c r="J3216" s="194">
        <v>181</v>
      </c>
      <c r="K3216" s="194">
        <v>116</v>
      </c>
      <c r="L3216" s="194">
        <v>40</v>
      </c>
      <c r="M3216" s="194">
        <v>2</v>
      </c>
      <c r="N3216" s="494">
        <v>0</v>
      </c>
      <c r="O3216" s="60">
        <v>19</v>
      </c>
      <c r="P3216" s="494">
        <v>4</v>
      </c>
      <c r="Q3216" s="182">
        <f t="shared" si="3873"/>
        <v>0.86187845303867405</v>
      </c>
      <c r="R3216" s="182">
        <f t="shared" si="3874"/>
        <v>0</v>
      </c>
      <c r="S3216" s="183">
        <f t="shared" si="3875"/>
        <v>2.2099447513812154E-2</v>
      </c>
      <c r="T3216" s="183">
        <f t="shared" si="3876"/>
        <v>0.10497237569060773</v>
      </c>
      <c r="U3216" s="184">
        <f t="shared" si="3877"/>
        <v>0.98895027624309384</v>
      </c>
      <c r="V3216" s="386"/>
    </row>
    <row r="3217" spans="2:22" ht="15.75" hidden="1" x14ac:dyDescent="0.2">
      <c r="B3217" s="711">
        <v>46287</v>
      </c>
      <c r="C3217" s="711" t="s">
        <v>106</v>
      </c>
      <c r="D3217" s="711" t="s">
        <v>13</v>
      </c>
      <c r="E3217" s="711">
        <v>46287</v>
      </c>
      <c r="G3217" s="878"/>
      <c r="H3217" s="497" t="s">
        <v>84</v>
      </c>
      <c r="I3217" s="60" t="s">
        <v>106</v>
      </c>
      <c r="J3217" s="194">
        <v>86</v>
      </c>
      <c r="K3217" s="194">
        <f>86-25</f>
        <v>61</v>
      </c>
      <c r="L3217" s="194">
        <v>17</v>
      </c>
      <c r="M3217" s="194">
        <v>0</v>
      </c>
      <c r="N3217" s="538">
        <v>0</v>
      </c>
      <c r="O3217" s="194">
        <v>4</v>
      </c>
      <c r="P3217" s="538">
        <v>4</v>
      </c>
      <c r="Q3217" s="182">
        <f t="shared" si="3873"/>
        <v>0.90697674418604646</v>
      </c>
      <c r="R3217" s="182">
        <f t="shared" si="3874"/>
        <v>0</v>
      </c>
      <c r="S3217" s="183">
        <f t="shared" si="3875"/>
        <v>4.6511627906976744E-2</v>
      </c>
      <c r="T3217" s="183">
        <f t="shared" si="3876"/>
        <v>4.6511627906976744E-2</v>
      </c>
      <c r="U3217" s="184">
        <f t="shared" si="3877"/>
        <v>0.99999999999999989</v>
      </c>
      <c r="V3217" s="386"/>
    </row>
    <row r="3218" spans="2:22" ht="15.75" hidden="1" x14ac:dyDescent="0.2">
      <c r="B3218" s="711">
        <v>46287</v>
      </c>
      <c r="C3218" s="711" t="s">
        <v>106</v>
      </c>
      <c r="D3218" s="711" t="s">
        <v>13</v>
      </c>
      <c r="E3218" s="711">
        <v>46287</v>
      </c>
      <c r="G3218" s="879"/>
      <c r="H3218" s="497" t="s">
        <v>14</v>
      </c>
      <c r="I3218" s="60" t="s">
        <v>105</v>
      </c>
      <c r="J3218" s="194">
        <v>169</v>
      </c>
      <c r="K3218" s="194">
        <v>105</v>
      </c>
      <c r="L3218" s="194">
        <v>37</v>
      </c>
      <c r="M3218" s="194">
        <v>9</v>
      </c>
      <c r="N3218" s="538">
        <v>0</v>
      </c>
      <c r="O3218" s="194">
        <v>12</v>
      </c>
      <c r="P3218" s="538">
        <v>6</v>
      </c>
      <c r="Q3218" s="182">
        <f t="shared" si="3873"/>
        <v>0.84023668639053251</v>
      </c>
      <c r="R3218" s="182">
        <f t="shared" si="3874"/>
        <v>0</v>
      </c>
      <c r="S3218" s="183">
        <f t="shared" si="3875"/>
        <v>3.5502958579881658E-2</v>
      </c>
      <c r="T3218" s="183">
        <f t="shared" si="3876"/>
        <v>7.1005917159763315E-2</v>
      </c>
      <c r="U3218" s="184">
        <f t="shared" si="3877"/>
        <v>0.94674556213017746</v>
      </c>
      <c r="V3218" s="386"/>
    </row>
    <row r="3219" spans="2:22" ht="15.75" hidden="1" x14ac:dyDescent="0.2">
      <c r="B3219" s="711">
        <v>46287</v>
      </c>
      <c r="C3219" s="711" t="s">
        <v>106</v>
      </c>
      <c r="D3219" s="711" t="s">
        <v>13</v>
      </c>
      <c r="E3219" s="711">
        <v>46288</v>
      </c>
      <c r="G3219" s="773">
        <v>46288</v>
      </c>
      <c r="H3219" s="497" t="s">
        <v>16</v>
      </c>
      <c r="I3219" s="60" t="s">
        <v>15</v>
      </c>
      <c r="J3219" s="60">
        <v>163</v>
      </c>
      <c r="K3219" s="60">
        <v>56</v>
      </c>
      <c r="L3219" s="60">
        <v>8</v>
      </c>
      <c r="M3219" s="60">
        <v>12</v>
      </c>
      <c r="N3219" s="494">
        <v>64</v>
      </c>
      <c r="O3219" s="60">
        <v>19</v>
      </c>
      <c r="P3219" s="494">
        <v>4</v>
      </c>
      <c r="Q3219" s="182">
        <f t="shared" ref="Q3219" si="3878">(K3219+L3219)/J3219</f>
        <v>0.39263803680981596</v>
      </c>
      <c r="R3219" s="182">
        <f t="shared" ref="R3219" si="3879">N3219/J3219</f>
        <v>0.39263803680981596</v>
      </c>
      <c r="S3219" s="183">
        <f t="shared" ref="S3219" si="3880">P3219/J3219</f>
        <v>2.4539877300613498E-2</v>
      </c>
      <c r="T3219" s="183">
        <f t="shared" ref="T3219" si="3881">O3219/J3219</f>
        <v>0.1165644171779141</v>
      </c>
      <c r="U3219" s="184">
        <f t="shared" ref="U3219" si="3882">S3219+R3219+Q3219+T3219</f>
        <v>0.92638036809815949</v>
      </c>
      <c r="V3219" s="386"/>
    </row>
    <row r="3220" spans="2:22" ht="15.75" hidden="1" x14ac:dyDescent="0.2">
      <c r="B3220" s="711">
        <v>46287</v>
      </c>
      <c r="C3220" s="711" t="s">
        <v>106</v>
      </c>
      <c r="D3220" s="711" t="s">
        <v>13</v>
      </c>
      <c r="E3220" s="711">
        <v>46288</v>
      </c>
      <c r="G3220" s="780"/>
      <c r="H3220" s="497" t="s">
        <v>14</v>
      </c>
      <c r="I3220" s="60" t="s">
        <v>105</v>
      </c>
      <c r="J3220" s="194">
        <v>157</v>
      </c>
      <c r="K3220" s="194">
        <v>0</v>
      </c>
      <c r="L3220" s="194">
        <v>0</v>
      </c>
      <c r="M3220" s="194">
        <v>137</v>
      </c>
      <c r="N3220" s="538">
        <v>0</v>
      </c>
      <c r="O3220" s="194">
        <v>10</v>
      </c>
      <c r="P3220" s="538">
        <v>10</v>
      </c>
      <c r="Q3220" s="182">
        <f t="shared" ref="Q3220:Q3221" si="3883">(K3220+L3220)/J3220</f>
        <v>0</v>
      </c>
      <c r="R3220" s="182">
        <f t="shared" ref="R3220:R3221" si="3884">N3220/J3220</f>
        <v>0</v>
      </c>
      <c r="S3220" s="183">
        <f t="shared" ref="S3220:S3221" si="3885">P3220/J3220</f>
        <v>6.3694267515923567E-2</v>
      </c>
      <c r="T3220" s="183">
        <f t="shared" ref="T3220:T3221" si="3886">O3220/J3220</f>
        <v>6.3694267515923567E-2</v>
      </c>
      <c r="U3220" s="184">
        <f t="shared" ref="U3220:U3221" si="3887">S3220+R3220+Q3220+T3220</f>
        <v>0.12738853503184713</v>
      </c>
      <c r="V3220" s="386"/>
    </row>
    <row r="3221" spans="2:22" ht="15.75" hidden="1" x14ac:dyDescent="0.2">
      <c r="B3221" s="711">
        <v>46287</v>
      </c>
      <c r="C3221" s="711" t="s">
        <v>106</v>
      </c>
      <c r="D3221" s="711" t="s">
        <v>13</v>
      </c>
      <c r="E3221" s="711">
        <v>46288</v>
      </c>
      <c r="G3221" s="774"/>
      <c r="H3221" s="497" t="s">
        <v>17</v>
      </c>
      <c r="I3221" s="60" t="s">
        <v>106</v>
      </c>
      <c r="J3221" s="194">
        <v>239</v>
      </c>
      <c r="K3221" s="194">
        <v>49</v>
      </c>
      <c r="L3221" s="194">
        <v>20</v>
      </c>
      <c r="M3221" s="194">
        <v>40</v>
      </c>
      <c r="N3221" s="538">
        <v>73</v>
      </c>
      <c r="O3221" s="194">
        <v>34</v>
      </c>
      <c r="P3221" s="538">
        <v>23</v>
      </c>
      <c r="Q3221" s="182">
        <f t="shared" si="3883"/>
        <v>0.28870292887029286</v>
      </c>
      <c r="R3221" s="182">
        <f t="shared" si="3884"/>
        <v>0.30543933054393307</v>
      </c>
      <c r="S3221" s="183">
        <f t="shared" si="3885"/>
        <v>9.6234309623430964E-2</v>
      </c>
      <c r="T3221" s="183">
        <f t="shared" si="3886"/>
        <v>0.14225941422594143</v>
      </c>
      <c r="U3221" s="184">
        <f t="shared" si="3887"/>
        <v>0.83263598326359833</v>
      </c>
      <c r="V3221" s="386"/>
    </row>
    <row r="3222" spans="2:22" ht="15.75" hidden="1" x14ac:dyDescent="0.2">
      <c r="B3222" s="711">
        <v>46287</v>
      </c>
      <c r="C3222" s="711" t="s">
        <v>106</v>
      </c>
      <c r="D3222" s="711" t="s">
        <v>13</v>
      </c>
      <c r="E3222" s="711">
        <v>46288</v>
      </c>
      <c r="G3222" s="775" t="s">
        <v>19</v>
      </c>
      <c r="H3222" s="776"/>
      <c r="I3222" s="777"/>
      <c r="J3222" s="190">
        <f t="shared" ref="J3222:P3222" si="3888">SUM(J3215:J3221)</f>
        <v>1254</v>
      </c>
      <c r="K3222" s="190">
        <f t="shared" si="3888"/>
        <v>585</v>
      </c>
      <c r="L3222" s="190">
        <f t="shared" si="3888"/>
        <v>163</v>
      </c>
      <c r="M3222" s="190">
        <f t="shared" si="3888"/>
        <v>200</v>
      </c>
      <c r="N3222" s="190">
        <f t="shared" si="3888"/>
        <v>137</v>
      </c>
      <c r="O3222" s="190">
        <f t="shared" si="3888"/>
        <v>114</v>
      </c>
      <c r="P3222" s="190">
        <f t="shared" si="3888"/>
        <v>55</v>
      </c>
      <c r="Q3222" s="481">
        <f>(K3222+L3222)/J3222</f>
        <v>0.59649122807017541</v>
      </c>
      <c r="R3222" s="481">
        <f>N3222/J3222</f>
        <v>0.10925039872408293</v>
      </c>
      <c r="S3222" s="482">
        <f t="shared" si="3875"/>
        <v>4.3859649122807015E-2</v>
      </c>
      <c r="T3222" s="482">
        <f t="shared" si="3876"/>
        <v>9.0909090909090912E-2</v>
      </c>
      <c r="U3222" s="483">
        <f t="shared" si="3877"/>
        <v>0.84051036682615632</v>
      </c>
      <c r="V3222" s="479"/>
    </row>
    <row r="3223" spans="2:22" ht="15.75" hidden="1" x14ac:dyDescent="0.2">
      <c r="B3223" s="711">
        <v>46287</v>
      </c>
      <c r="C3223" s="711" t="s">
        <v>105</v>
      </c>
      <c r="D3223" s="711" t="s">
        <v>189</v>
      </c>
      <c r="E3223" s="711">
        <v>46287</v>
      </c>
      <c r="G3223" s="778">
        <v>46287</v>
      </c>
      <c r="H3223" s="497" t="s">
        <v>16</v>
      </c>
      <c r="I3223" s="60" t="s">
        <v>27</v>
      </c>
      <c r="J3223" s="60">
        <f>SUM(K3223:P3223)</f>
        <v>14</v>
      </c>
      <c r="K3223" s="60">
        <f>62-58</f>
        <v>4</v>
      </c>
      <c r="L3223" s="60">
        <f>20-14</f>
        <v>6</v>
      </c>
      <c r="M3223" s="60">
        <v>0</v>
      </c>
      <c r="N3223" s="494">
        <v>0</v>
      </c>
      <c r="O3223" s="60">
        <v>0</v>
      </c>
      <c r="P3223" s="494">
        <v>4</v>
      </c>
      <c r="Q3223" s="182">
        <f t="shared" ref="Q3223:Q3232" si="3889">(K3223+L3223)/J3223</f>
        <v>0.7142857142857143</v>
      </c>
      <c r="R3223" s="182">
        <f t="shared" ref="R3223:R3232" si="3890">N3223/J3223</f>
        <v>0</v>
      </c>
      <c r="S3223" s="183">
        <f t="shared" si="3875"/>
        <v>0.2857142857142857</v>
      </c>
      <c r="T3223" s="183">
        <f t="shared" si="3876"/>
        <v>0</v>
      </c>
      <c r="U3223" s="184">
        <f t="shared" si="3877"/>
        <v>1</v>
      </c>
      <c r="V3223" s="386"/>
    </row>
    <row r="3224" spans="2:22" ht="15.75" hidden="1" x14ac:dyDescent="0.2">
      <c r="B3224" s="711">
        <v>46287</v>
      </c>
      <c r="C3224" s="711" t="s">
        <v>105</v>
      </c>
      <c r="D3224" s="711" t="s">
        <v>189</v>
      </c>
      <c r="E3224" s="711">
        <v>46287</v>
      </c>
      <c r="G3224" s="786"/>
      <c r="H3224" s="497" t="s">
        <v>14</v>
      </c>
      <c r="I3224" s="60" t="s">
        <v>105</v>
      </c>
      <c r="J3224" s="60">
        <f t="shared" ref="J3224:J3227" si="3891">SUM(K3224:P3224)</f>
        <v>48</v>
      </c>
      <c r="K3224" s="60">
        <f>61-26</f>
        <v>35</v>
      </c>
      <c r="L3224" s="60">
        <v>7</v>
      </c>
      <c r="M3224" s="60">
        <v>0</v>
      </c>
      <c r="N3224" s="494">
        <v>0</v>
      </c>
      <c r="O3224" s="60">
        <v>0</v>
      </c>
      <c r="P3224" s="494">
        <v>6</v>
      </c>
      <c r="Q3224" s="182">
        <f t="shared" si="3889"/>
        <v>0.875</v>
      </c>
      <c r="R3224" s="182">
        <f t="shared" si="3890"/>
        <v>0</v>
      </c>
      <c r="S3224" s="183">
        <f t="shared" si="3875"/>
        <v>0.125</v>
      </c>
      <c r="T3224" s="183">
        <f t="shared" si="3876"/>
        <v>0</v>
      </c>
      <c r="U3224" s="184">
        <f t="shared" si="3877"/>
        <v>1</v>
      </c>
      <c r="V3224" s="386"/>
    </row>
    <row r="3225" spans="2:22" ht="15.75" hidden="1" x14ac:dyDescent="0.2">
      <c r="B3225" s="711">
        <v>46287</v>
      </c>
      <c r="C3225" s="711" t="s">
        <v>105</v>
      </c>
      <c r="D3225" s="711" t="s">
        <v>189</v>
      </c>
      <c r="E3225" s="711">
        <v>46287</v>
      </c>
      <c r="G3225" s="786"/>
      <c r="H3225" s="497" t="s">
        <v>120</v>
      </c>
      <c r="I3225" s="60" t="s">
        <v>105</v>
      </c>
      <c r="J3225" s="60">
        <f t="shared" si="3891"/>
        <v>7</v>
      </c>
      <c r="K3225" s="60">
        <v>7</v>
      </c>
      <c r="L3225" s="60">
        <v>0</v>
      </c>
      <c r="M3225" s="60">
        <v>0</v>
      </c>
      <c r="N3225" s="494">
        <v>0</v>
      </c>
      <c r="O3225" s="60">
        <v>0</v>
      </c>
      <c r="P3225" s="494">
        <v>0</v>
      </c>
      <c r="Q3225" s="182">
        <f t="shared" si="3889"/>
        <v>1</v>
      </c>
      <c r="R3225" s="182">
        <f t="shared" si="3890"/>
        <v>0</v>
      </c>
      <c r="S3225" s="183">
        <f t="shared" si="3875"/>
        <v>0</v>
      </c>
      <c r="T3225" s="183">
        <f t="shared" si="3876"/>
        <v>0</v>
      </c>
      <c r="U3225" s="184">
        <f t="shared" si="3877"/>
        <v>1</v>
      </c>
      <c r="V3225" s="386"/>
    </row>
    <row r="3226" spans="2:22" ht="15.75" hidden="1" x14ac:dyDescent="0.2">
      <c r="B3226" s="711">
        <v>46287</v>
      </c>
      <c r="C3226" s="711" t="s">
        <v>105</v>
      </c>
      <c r="D3226" s="711" t="s">
        <v>189</v>
      </c>
      <c r="E3226" s="711">
        <v>46287</v>
      </c>
      <c r="G3226" s="779"/>
      <c r="H3226" s="497" t="s">
        <v>180</v>
      </c>
      <c r="I3226" s="60" t="s">
        <v>18</v>
      </c>
      <c r="J3226" s="60">
        <f t="shared" si="3891"/>
        <v>9</v>
      </c>
      <c r="K3226" s="60">
        <v>9</v>
      </c>
      <c r="L3226" s="60">
        <v>0</v>
      </c>
      <c r="M3226" s="60">
        <v>0</v>
      </c>
      <c r="N3226" s="494">
        <v>0</v>
      </c>
      <c r="O3226" s="60">
        <v>0</v>
      </c>
      <c r="P3226" s="494">
        <v>0</v>
      </c>
      <c r="Q3226" s="182">
        <f t="shared" si="3889"/>
        <v>1</v>
      </c>
      <c r="R3226" s="182">
        <f t="shared" si="3890"/>
        <v>0</v>
      </c>
      <c r="S3226" s="183">
        <f t="shared" si="3875"/>
        <v>0</v>
      </c>
      <c r="T3226" s="183">
        <f t="shared" si="3876"/>
        <v>0</v>
      </c>
      <c r="U3226" s="184">
        <f t="shared" si="3877"/>
        <v>1</v>
      </c>
      <c r="V3226" s="386"/>
    </row>
    <row r="3227" spans="2:22" ht="15.75" hidden="1" x14ac:dyDescent="0.2">
      <c r="B3227" s="711">
        <v>46287</v>
      </c>
      <c r="C3227" s="711" t="s">
        <v>105</v>
      </c>
      <c r="D3227" s="711" t="s">
        <v>189</v>
      </c>
      <c r="E3227" s="711">
        <v>46288</v>
      </c>
      <c r="G3227" s="773">
        <v>46288</v>
      </c>
      <c r="H3227" s="497" t="s">
        <v>16</v>
      </c>
      <c r="I3227" s="60" t="s">
        <v>27</v>
      </c>
      <c r="J3227" s="60">
        <f t="shared" si="3891"/>
        <v>99</v>
      </c>
      <c r="K3227" s="60">
        <v>58</v>
      </c>
      <c r="L3227" s="60">
        <v>14</v>
      </c>
      <c r="M3227" s="60">
        <v>4</v>
      </c>
      <c r="N3227" s="494">
        <v>0</v>
      </c>
      <c r="O3227" s="60">
        <v>19</v>
      </c>
      <c r="P3227" s="494">
        <v>4</v>
      </c>
      <c r="Q3227" s="182">
        <f t="shared" si="3889"/>
        <v>0.72727272727272729</v>
      </c>
      <c r="R3227" s="182">
        <f t="shared" si="3890"/>
        <v>0</v>
      </c>
      <c r="S3227" s="183">
        <f t="shared" si="3875"/>
        <v>4.0404040404040407E-2</v>
      </c>
      <c r="T3227" s="183">
        <f t="shared" si="3876"/>
        <v>0.19191919191919191</v>
      </c>
      <c r="U3227" s="184">
        <f t="shared" si="3877"/>
        <v>0.95959595959595967</v>
      </c>
      <c r="V3227" s="386"/>
    </row>
    <row r="3228" spans="2:22" ht="15.75" hidden="1" x14ac:dyDescent="0.2">
      <c r="B3228" s="711">
        <v>46287</v>
      </c>
      <c r="C3228" s="711" t="s">
        <v>105</v>
      </c>
      <c r="D3228" s="711" t="s">
        <v>189</v>
      </c>
      <c r="E3228" s="711">
        <v>46288</v>
      </c>
      <c r="G3228" s="780"/>
      <c r="H3228" s="497" t="s">
        <v>17</v>
      </c>
      <c r="I3228" s="60" t="s">
        <v>106</v>
      </c>
      <c r="J3228" s="60">
        <v>21</v>
      </c>
      <c r="K3228" s="60">
        <v>87</v>
      </c>
      <c r="L3228" s="60">
        <v>22</v>
      </c>
      <c r="M3228" s="60">
        <v>2</v>
      </c>
      <c r="N3228" s="494">
        <v>0</v>
      </c>
      <c r="O3228" s="60">
        <v>34</v>
      </c>
      <c r="P3228" s="494">
        <v>23</v>
      </c>
      <c r="Q3228" s="182">
        <f t="shared" si="3889"/>
        <v>5.1904761904761907</v>
      </c>
      <c r="R3228" s="182">
        <f t="shared" si="3890"/>
        <v>0</v>
      </c>
      <c r="S3228" s="183">
        <f t="shared" si="3875"/>
        <v>1.0952380952380953</v>
      </c>
      <c r="T3228" s="183">
        <f t="shared" si="3876"/>
        <v>1.6190476190476191</v>
      </c>
      <c r="U3228" s="184">
        <f t="shared" si="3877"/>
        <v>7.9047619047619051</v>
      </c>
      <c r="V3228" s="386"/>
    </row>
    <row r="3229" spans="2:22" ht="15.75" hidden="1" x14ac:dyDescent="0.2">
      <c r="B3229" s="711">
        <v>46287</v>
      </c>
      <c r="C3229" s="711" t="s">
        <v>105</v>
      </c>
      <c r="D3229" s="711" t="s">
        <v>189</v>
      </c>
      <c r="E3229" s="711">
        <v>46288</v>
      </c>
      <c r="G3229" s="774"/>
      <c r="H3229" s="497" t="s">
        <v>14</v>
      </c>
      <c r="I3229" s="60" t="s">
        <v>105</v>
      </c>
      <c r="J3229" s="60">
        <v>157</v>
      </c>
      <c r="K3229" s="60">
        <v>26</v>
      </c>
      <c r="L3229" s="60">
        <v>2</v>
      </c>
      <c r="M3229" s="60">
        <v>0</v>
      </c>
      <c r="N3229" s="494">
        <v>110</v>
      </c>
      <c r="O3229" s="60">
        <v>1</v>
      </c>
      <c r="P3229" s="494">
        <v>10</v>
      </c>
      <c r="Q3229" s="182">
        <f t="shared" si="3889"/>
        <v>0.17834394904458598</v>
      </c>
      <c r="R3229" s="182">
        <f t="shared" si="3890"/>
        <v>0.70063694267515919</v>
      </c>
      <c r="S3229" s="183">
        <f t="shared" si="3875"/>
        <v>6.3694267515923567E-2</v>
      </c>
      <c r="T3229" s="183">
        <f t="shared" si="3876"/>
        <v>6.369426751592357E-3</v>
      </c>
      <c r="U3229" s="184">
        <f t="shared" si="3877"/>
        <v>0.94904458598726105</v>
      </c>
      <c r="V3229" s="386"/>
    </row>
    <row r="3230" spans="2:22" ht="15.75" hidden="1" x14ac:dyDescent="0.2">
      <c r="B3230" s="711">
        <v>46287</v>
      </c>
      <c r="C3230" s="711" t="s">
        <v>105</v>
      </c>
      <c r="D3230" s="711" t="s">
        <v>189</v>
      </c>
      <c r="E3230" s="711">
        <v>46289</v>
      </c>
      <c r="G3230" s="773">
        <v>46289</v>
      </c>
      <c r="H3230" s="497" t="s">
        <v>16</v>
      </c>
      <c r="I3230" s="60" t="s">
        <v>27</v>
      </c>
      <c r="J3230" s="60">
        <v>169</v>
      </c>
      <c r="K3230" s="60">
        <v>0</v>
      </c>
      <c r="L3230" s="60">
        <v>0</v>
      </c>
      <c r="M3230" s="60">
        <v>51</v>
      </c>
      <c r="N3230" s="494">
        <v>96</v>
      </c>
      <c r="O3230" s="60">
        <v>19</v>
      </c>
      <c r="P3230" s="494">
        <v>3</v>
      </c>
      <c r="Q3230" s="182">
        <f t="shared" si="3889"/>
        <v>0</v>
      </c>
      <c r="R3230" s="182">
        <f t="shared" si="3890"/>
        <v>0.56804733727810652</v>
      </c>
      <c r="S3230" s="183">
        <f t="shared" si="3875"/>
        <v>1.7751479289940829E-2</v>
      </c>
      <c r="T3230" s="183">
        <f t="shared" si="3876"/>
        <v>0.11242603550295859</v>
      </c>
      <c r="U3230" s="184">
        <f t="shared" si="3877"/>
        <v>0.69822485207100593</v>
      </c>
      <c r="V3230" s="386"/>
    </row>
    <row r="3231" spans="2:22" ht="15.75" hidden="1" x14ac:dyDescent="0.2">
      <c r="B3231" s="711">
        <v>46287</v>
      </c>
      <c r="C3231" s="711" t="s">
        <v>105</v>
      </c>
      <c r="D3231" s="711" t="s">
        <v>189</v>
      </c>
      <c r="E3231" s="711">
        <v>46289</v>
      </c>
      <c r="G3231" s="780"/>
      <c r="H3231" s="497" t="s">
        <v>180</v>
      </c>
      <c r="I3231" s="60" t="s">
        <v>18</v>
      </c>
      <c r="J3231" s="60">
        <v>29</v>
      </c>
      <c r="K3231" s="60">
        <v>28</v>
      </c>
      <c r="L3231" s="60">
        <v>1</v>
      </c>
      <c r="M3231" s="60">
        <v>0</v>
      </c>
      <c r="N3231" s="494">
        <v>0</v>
      </c>
      <c r="O3231" s="60">
        <v>0</v>
      </c>
      <c r="P3231" s="494">
        <v>0</v>
      </c>
      <c r="Q3231" s="182">
        <f t="shared" ref="Q3231" si="3892">(K3231+L3231)/J3231</f>
        <v>1</v>
      </c>
      <c r="R3231" s="182">
        <f t="shared" ref="R3231" si="3893">N3231/J3231</f>
        <v>0</v>
      </c>
      <c r="S3231" s="183">
        <f t="shared" ref="S3231" si="3894">P3231/J3231</f>
        <v>0</v>
      </c>
      <c r="T3231" s="183">
        <f t="shared" ref="T3231" si="3895">O3231/J3231</f>
        <v>0</v>
      </c>
      <c r="U3231" s="184">
        <f t="shared" ref="U3231" si="3896">S3231+R3231+Q3231+T3231</f>
        <v>1</v>
      </c>
      <c r="V3231" s="386"/>
    </row>
    <row r="3232" spans="2:22" ht="15.75" hidden="1" x14ac:dyDescent="0.2">
      <c r="B3232" s="711">
        <v>46287</v>
      </c>
      <c r="C3232" s="711" t="s">
        <v>105</v>
      </c>
      <c r="D3232" s="711" t="s">
        <v>189</v>
      </c>
      <c r="E3232" s="711">
        <v>46289</v>
      </c>
      <c r="G3232" s="774"/>
      <c r="H3232" s="497" t="s">
        <v>25</v>
      </c>
      <c r="I3232" s="60" t="s">
        <v>106</v>
      </c>
      <c r="J3232" s="60">
        <v>220</v>
      </c>
      <c r="K3232" s="60">
        <v>1</v>
      </c>
      <c r="L3232" s="60">
        <v>0</v>
      </c>
      <c r="M3232" s="60">
        <v>117</v>
      </c>
      <c r="N3232" s="494">
        <v>70</v>
      </c>
      <c r="O3232" s="60">
        <v>21</v>
      </c>
      <c r="P3232" s="494">
        <v>12</v>
      </c>
      <c r="Q3232" s="182">
        <f t="shared" si="3889"/>
        <v>4.5454545454545452E-3</v>
      </c>
      <c r="R3232" s="182">
        <f t="shared" si="3890"/>
        <v>0.31818181818181818</v>
      </c>
      <c r="S3232" s="183">
        <f t="shared" si="3875"/>
        <v>5.4545454545454543E-2</v>
      </c>
      <c r="T3232" s="183">
        <f t="shared" si="3876"/>
        <v>9.5454545454545459E-2</v>
      </c>
      <c r="U3232" s="184">
        <f t="shared" si="3877"/>
        <v>0.47272727272727272</v>
      </c>
      <c r="V3232" s="386"/>
    </row>
    <row r="3233" spans="2:22" ht="15.75" hidden="1" x14ac:dyDescent="0.2">
      <c r="B3233" s="711">
        <v>46287</v>
      </c>
      <c r="C3233" s="711" t="s">
        <v>105</v>
      </c>
      <c r="D3233" s="711" t="s">
        <v>189</v>
      </c>
      <c r="E3233" s="711">
        <v>46289</v>
      </c>
      <c r="G3233" s="775" t="s">
        <v>19</v>
      </c>
      <c r="H3233" s="776"/>
      <c r="I3233" s="777"/>
      <c r="J3233" s="190">
        <f t="shared" ref="J3233:P3233" si="3897">SUM(J3223:J3232)</f>
        <v>773</v>
      </c>
      <c r="K3233" s="190">
        <f t="shared" si="3897"/>
        <v>255</v>
      </c>
      <c r="L3233" s="190">
        <f t="shared" si="3897"/>
        <v>52</v>
      </c>
      <c r="M3233" s="190">
        <f t="shared" si="3897"/>
        <v>174</v>
      </c>
      <c r="N3233" s="190">
        <f t="shared" si="3897"/>
        <v>276</v>
      </c>
      <c r="O3233" s="190">
        <f t="shared" si="3897"/>
        <v>94</v>
      </c>
      <c r="P3233" s="190">
        <f t="shared" si="3897"/>
        <v>62</v>
      </c>
      <c r="Q3233" s="481">
        <f>(K3233+L3233)/J3233</f>
        <v>0.39715394566623546</v>
      </c>
      <c r="R3233" s="481">
        <f>N3233/J3233</f>
        <v>0.35705045278137126</v>
      </c>
      <c r="S3233" s="482">
        <f t="shared" si="3875"/>
        <v>8.0206985769728331E-2</v>
      </c>
      <c r="T3233" s="482">
        <f t="shared" si="3876"/>
        <v>0.12160413971539456</v>
      </c>
      <c r="U3233" s="483">
        <f t="shared" si="3877"/>
        <v>0.95601552393272959</v>
      </c>
      <c r="V3233" s="479"/>
    </row>
    <row r="3234" spans="2:22" ht="15.75" hidden="1" x14ac:dyDescent="0.2">
      <c r="B3234" s="711">
        <v>46288</v>
      </c>
      <c r="C3234" s="711" t="s">
        <v>106</v>
      </c>
      <c r="D3234" s="711" t="s">
        <v>13</v>
      </c>
      <c r="E3234" s="711">
        <v>46288</v>
      </c>
      <c r="G3234" s="809">
        <v>46288</v>
      </c>
      <c r="H3234" s="497" t="s">
        <v>16</v>
      </c>
      <c r="I3234" s="60" t="s">
        <v>15</v>
      </c>
      <c r="J3234" s="60">
        <v>163</v>
      </c>
      <c r="K3234" s="60">
        <v>101</v>
      </c>
      <c r="L3234" s="60">
        <v>35</v>
      </c>
      <c r="M3234" s="60">
        <v>4</v>
      </c>
      <c r="N3234" s="494">
        <v>0</v>
      </c>
      <c r="O3234" s="60">
        <v>19</v>
      </c>
      <c r="P3234" s="494">
        <v>4</v>
      </c>
      <c r="Q3234" s="182">
        <f t="shared" ref="Q3234:Q3239" si="3898">(K3234+L3234)/J3234</f>
        <v>0.83435582822085885</v>
      </c>
      <c r="R3234" s="182">
        <f t="shared" ref="R3234:R3239" si="3899">N3234/J3234</f>
        <v>0</v>
      </c>
      <c r="S3234" s="183">
        <f t="shared" si="3875"/>
        <v>2.4539877300613498E-2</v>
      </c>
      <c r="T3234" s="183">
        <f t="shared" si="3876"/>
        <v>0.1165644171779141</v>
      </c>
      <c r="U3234" s="184">
        <f t="shared" si="3877"/>
        <v>0.97546012269938642</v>
      </c>
      <c r="V3234" s="386"/>
    </row>
    <row r="3235" spans="2:22" ht="15.75" hidden="1" x14ac:dyDescent="0.2">
      <c r="B3235" s="711">
        <v>46288</v>
      </c>
      <c r="C3235" s="711" t="s">
        <v>106</v>
      </c>
      <c r="D3235" s="711" t="s">
        <v>13</v>
      </c>
      <c r="E3235" s="711">
        <v>46288</v>
      </c>
      <c r="G3235" s="810"/>
      <c r="H3235" s="497" t="s">
        <v>14</v>
      </c>
      <c r="I3235" s="60" t="s">
        <v>105</v>
      </c>
      <c r="J3235" s="194">
        <v>157</v>
      </c>
      <c r="K3235" s="194">
        <v>117</v>
      </c>
      <c r="L3235" s="194">
        <v>20</v>
      </c>
      <c r="M3235" s="194">
        <v>0</v>
      </c>
      <c r="N3235" s="538">
        <v>0</v>
      </c>
      <c r="O3235" s="194">
        <v>10</v>
      </c>
      <c r="P3235" s="538">
        <v>10</v>
      </c>
      <c r="Q3235" s="182">
        <f t="shared" si="3898"/>
        <v>0.87261146496815289</v>
      </c>
      <c r="R3235" s="182">
        <f t="shared" si="3899"/>
        <v>0</v>
      </c>
      <c r="S3235" s="183">
        <f t="shared" si="3875"/>
        <v>6.3694267515923567E-2</v>
      </c>
      <c r="T3235" s="183">
        <f t="shared" si="3876"/>
        <v>6.3694267515923567E-2</v>
      </c>
      <c r="U3235" s="184">
        <f t="shared" si="3877"/>
        <v>1</v>
      </c>
      <c r="V3235" s="386"/>
    </row>
    <row r="3236" spans="2:22" ht="15.75" hidden="1" x14ac:dyDescent="0.2">
      <c r="B3236" s="711">
        <v>46288</v>
      </c>
      <c r="C3236" s="711" t="s">
        <v>106</v>
      </c>
      <c r="D3236" s="711" t="s">
        <v>13</v>
      </c>
      <c r="E3236" s="711">
        <v>46288</v>
      </c>
      <c r="G3236" s="811"/>
      <c r="H3236" s="497" t="s">
        <v>17</v>
      </c>
      <c r="I3236" s="60" t="s">
        <v>106</v>
      </c>
      <c r="J3236" s="194">
        <v>239</v>
      </c>
      <c r="K3236" s="194">
        <v>139</v>
      </c>
      <c r="L3236" s="194">
        <v>44</v>
      </c>
      <c r="M3236" s="194">
        <v>6</v>
      </c>
      <c r="N3236" s="538">
        <v>0</v>
      </c>
      <c r="O3236" s="194">
        <v>32</v>
      </c>
      <c r="P3236" s="538">
        <v>17</v>
      </c>
      <c r="Q3236" s="182">
        <f t="shared" si="3898"/>
        <v>0.76569037656903771</v>
      </c>
      <c r="R3236" s="182">
        <f t="shared" si="3899"/>
        <v>0</v>
      </c>
      <c r="S3236" s="183">
        <f t="shared" si="3875"/>
        <v>7.1129707112970716E-2</v>
      </c>
      <c r="T3236" s="183">
        <f t="shared" si="3876"/>
        <v>0.13389121338912133</v>
      </c>
      <c r="U3236" s="184">
        <f t="shared" si="3877"/>
        <v>0.9707112970711298</v>
      </c>
      <c r="V3236" s="386"/>
    </row>
    <row r="3237" spans="2:22" ht="15.75" hidden="1" x14ac:dyDescent="0.2">
      <c r="B3237" s="711">
        <v>46288</v>
      </c>
      <c r="C3237" s="711" t="s">
        <v>106</v>
      </c>
      <c r="D3237" s="711" t="s">
        <v>13</v>
      </c>
      <c r="E3237" s="711">
        <v>46289</v>
      </c>
      <c r="G3237" s="773">
        <v>46289</v>
      </c>
      <c r="H3237" s="497" t="s">
        <v>16</v>
      </c>
      <c r="I3237" s="60" t="s">
        <v>27</v>
      </c>
      <c r="J3237" s="60">
        <v>169</v>
      </c>
      <c r="K3237" s="60">
        <v>30</v>
      </c>
      <c r="L3237" s="60">
        <v>20</v>
      </c>
      <c r="M3237" s="60">
        <v>0</v>
      </c>
      <c r="N3237" s="494">
        <v>97</v>
      </c>
      <c r="O3237" s="60">
        <v>19</v>
      </c>
      <c r="P3237" s="494">
        <v>3</v>
      </c>
      <c r="Q3237" s="182">
        <f t="shared" si="3898"/>
        <v>0.29585798816568049</v>
      </c>
      <c r="R3237" s="182">
        <f t="shared" si="3899"/>
        <v>0.57396449704142016</v>
      </c>
      <c r="S3237" s="183">
        <f t="shared" ref="S3237:S3250" si="3900">P3237/J3237</f>
        <v>1.7751479289940829E-2</v>
      </c>
      <c r="T3237" s="183">
        <f t="shared" ref="T3237:T3250" si="3901">O3237/J3237</f>
        <v>0.11242603550295859</v>
      </c>
      <c r="U3237" s="184">
        <f t="shared" ref="U3237:U3250" si="3902">S3237+R3237+Q3237+T3237</f>
        <v>1</v>
      </c>
      <c r="V3237" s="386"/>
    </row>
    <row r="3238" spans="2:22" ht="15.75" hidden="1" x14ac:dyDescent="0.2">
      <c r="B3238" s="711">
        <v>46288</v>
      </c>
      <c r="C3238" s="711" t="s">
        <v>106</v>
      </c>
      <c r="D3238" s="711" t="s">
        <v>13</v>
      </c>
      <c r="E3238" s="711">
        <v>46289</v>
      </c>
      <c r="G3238" s="780"/>
      <c r="H3238" s="497" t="s">
        <v>14</v>
      </c>
      <c r="I3238" s="60" t="s">
        <v>105</v>
      </c>
      <c r="J3238" s="60">
        <v>164</v>
      </c>
      <c r="K3238" s="60">
        <v>0</v>
      </c>
      <c r="L3238" s="60">
        <v>0</v>
      </c>
      <c r="M3238" s="60">
        <v>154</v>
      </c>
      <c r="N3238" s="494">
        <v>0</v>
      </c>
      <c r="O3238" s="60">
        <v>10</v>
      </c>
      <c r="P3238" s="494">
        <v>0</v>
      </c>
      <c r="Q3238" s="182">
        <f t="shared" si="3898"/>
        <v>0</v>
      </c>
      <c r="R3238" s="182">
        <f t="shared" si="3899"/>
        <v>0</v>
      </c>
      <c r="S3238" s="183">
        <f t="shared" si="3900"/>
        <v>0</v>
      </c>
      <c r="T3238" s="183">
        <f t="shared" si="3901"/>
        <v>6.097560975609756E-2</v>
      </c>
      <c r="U3238" s="184">
        <f t="shared" si="3902"/>
        <v>6.097560975609756E-2</v>
      </c>
      <c r="V3238" s="386"/>
    </row>
    <row r="3239" spans="2:22" ht="15.75" hidden="1" x14ac:dyDescent="0.2">
      <c r="B3239" s="711">
        <v>46288</v>
      </c>
      <c r="C3239" s="711" t="s">
        <v>106</v>
      </c>
      <c r="D3239" s="711" t="s">
        <v>13</v>
      </c>
      <c r="E3239" s="711">
        <v>46289</v>
      </c>
      <c r="G3239" s="774"/>
      <c r="H3239" s="497" t="s">
        <v>25</v>
      </c>
      <c r="I3239" s="60" t="s">
        <v>106</v>
      </c>
      <c r="J3239" s="60">
        <v>244</v>
      </c>
      <c r="K3239" s="60">
        <v>51</v>
      </c>
      <c r="L3239" s="60">
        <v>24</v>
      </c>
      <c r="M3239" s="60">
        <v>33</v>
      </c>
      <c r="N3239" s="494">
        <v>106</v>
      </c>
      <c r="O3239" s="60">
        <v>21</v>
      </c>
      <c r="P3239" s="494">
        <v>9</v>
      </c>
      <c r="Q3239" s="182">
        <f t="shared" si="3898"/>
        <v>0.30737704918032788</v>
      </c>
      <c r="R3239" s="182">
        <f t="shared" si="3899"/>
        <v>0.4344262295081967</v>
      </c>
      <c r="S3239" s="183">
        <f t="shared" si="3900"/>
        <v>3.6885245901639344E-2</v>
      </c>
      <c r="T3239" s="183">
        <f t="shared" si="3901"/>
        <v>8.6065573770491802E-2</v>
      </c>
      <c r="U3239" s="184">
        <f t="shared" si="3902"/>
        <v>0.86475409836065575</v>
      </c>
      <c r="V3239" s="386"/>
    </row>
    <row r="3240" spans="2:22" ht="15.75" hidden="1" x14ac:dyDescent="0.2">
      <c r="B3240" s="711">
        <v>46288</v>
      </c>
      <c r="C3240" s="711" t="s">
        <v>106</v>
      </c>
      <c r="D3240" s="711" t="s">
        <v>13</v>
      </c>
      <c r="E3240" s="711">
        <v>46289</v>
      </c>
      <c r="G3240" s="775" t="s">
        <v>19</v>
      </c>
      <c r="H3240" s="776"/>
      <c r="I3240" s="777"/>
      <c r="J3240" s="190">
        <f t="shared" ref="J3240:P3240" si="3903">SUM(J3230:J3239)</f>
        <v>2327</v>
      </c>
      <c r="K3240" s="190">
        <f t="shared" si="3903"/>
        <v>722</v>
      </c>
      <c r="L3240" s="190">
        <f t="shared" si="3903"/>
        <v>196</v>
      </c>
      <c r="M3240" s="190">
        <f t="shared" si="3903"/>
        <v>539</v>
      </c>
      <c r="N3240" s="190">
        <f t="shared" si="3903"/>
        <v>645</v>
      </c>
      <c r="O3240" s="190">
        <f t="shared" si="3903"/>
        <v>245</v>
      </c>
      <c r="P3240" s="190">
        <f t="shared" si="3903"/>
        <v>120</v>
      </c>
      <c r="Q3240" s="481">
        <f>(K3240+L3240)/J3240</f>
        <v>0.39449935539321013</v>
      </c>
      <c r="R3240" s="481">
        <f>N3240/J3240</f>
        <v>0.2771809196390202</v>
      </c>
      <c r="S3240" s="482">
        <f t="shared" si="3900"/>
        <v>5.1568543188654919E-2</v>
      </c>
      <c r="T3240" s="482">
        <f t="shared" si="3901"/>
        <v>0.10528577567683713</v>
      </c>
      <c r="U3240" s="483">
        <f t="shared" si="3902"/>
        <v>0.82853459389772244</v>
      </c>
      <c r="V3240" s="479"/>
    </row>
    <row r="3241" spans="2:22" ht="15.75" hidden="1" x14ac:dyDescent="0.2">
      <c r="B3241" s="711">
        <v>46288</v>
      </c>
      <c r="C3241" s="711" t="s">
        <v>105</v>
      </c>
      <c r="D3241" s="711" t="s">
        <v>189</v>
      </c>
      <c r="E3241" s="711">
        <v>46287</v>
      </c>
      <c r="G3241" s="778">
        <v>46288</v>
      </c>
      <c r="H3241" s="497" t="s">
        <v>16</v>
      </c>
      <c r="I3241" s="60" t="s">
        <v>27</v>
      </c>
      <c r="J3241" s="60">
        <f>SUM(K3241:P3241)</f>
        <v>12</v>
      </c>
      <c r="K3241" s="60">
        <v>4</v>
      </c>
      <c r="L3241" s="60">
        <v>4</v>
      </c>
      <c r="M3241" s="60">
        <v>0</v>
      </c>
      <c r="N3241" s="494">
        <v>0</v>
      </c>
      <c r="O3241" s="60">
        <v>0</v>
      </c>
      <c r="P3241" s="494">
        <v>4</v>
      </c>
      <c r="Q3241" s="182">
        <f t="shared" ref="Q3241:Q3249" si="3904">(K3241+L3241)/J3241</f>
        <v>0.66666666666666663</v>
      </c>
      <c r="R3241" s="182">
        <f t="shared" ref="R3241:R3249" si="3905">N3241/J3241</f>
        <v>0</v>
      </c>
      <c r="S3241" s="183">
        <f t="shared" si="3900"/>
        <v>0.33333333333333331</v>
      </c>
      <c r="T3241" s="183">
        <f t="shared" si="3901"/>
        <v>0</v>
      </c>
      <c r="U3241" s="184">
        <f t="shared" si="3902"/>
        <v>1</v>
      </c>
      <c r="V3241" s="386"/>
    </row>
    <row r="3242" spans="2:22" ht="15.75" hidden="1" x14ac:dyDescent="0.2">
      <c r="B3242" s="711">
        <v>46288</v>
      </c>
      <c r="C3242" s="711" t="s">
        <v>105</v>
      </c>
      <c r="D3242" s="711" t="s">
        <v>189</v>
      </c>
      <c r="E3242" s="711">
        <v>46287</v>
      </c>
      <c r="G3242" s="786"/>
      <c r="H3242" s="497" t="s">
        <v>14</v>
      </c>
      <c r="I3242" s="60" t="s">
        <v>105</v>
      </c>
      <c r="J3242" s="60">
        <f t="shared" ref="J3242:J3247" si="3906">SUM(K3242:P3242)</f>
        <v>73</v>
      </c>
      <c r="K3242" s="60">
        <v>61</v>
      </c>
      <c r="L3242" s="60">
        <v>7</v>
      </c>
      <c r="M3242" s="60">
        <v>0</v>
      </c>
      <c r="N3242" s="494">
        <v>0</v>
      </c>
      <c r="O3242" s="60">
        <v>0</v>
      </c>
      <c r="P3242" s="494">
        <v>5</v>
      </c>
      <c r="Q3242" s="182">
        <f t="shared" si="3904"/>
        <v>0.93150684931506844</v>
      </c>
      <c r="R3242" s="182">
        <f t="shared" si="3905"/>
        <v>0</v>
      </c>
      <c r="S3242" s="183">
        <f t="shared" si="3900"/>
        <v>6.8493150684931503E-2</v>
      </c>
      <c r="T3242" s="183">
        <f t="shared" si="3901"/>
        <v>0</v>
      </c>
      <c r="U3242" s="184">
        <f t="shared" si="3902"/>
        <v>1</v>
      </c>
      <c r="V3242" s="386"/>
    </row>
    <row r="3243" spans="2:22" ht="15.75" hidden="1" x14ac:dyDescent="0.2">
      <c r="B3243" s="711">
        <v>46288</v>
      </c>
      <c r="C3243" s="711" t="s">
        <v>105</v>
      </c>
      <c r="D3243" s="711" t="s">
        <v>189</v>
      </c>
      <c r="E3243" s="711">
        <v>46287</v>
      </c>
      <c r="G3243" s="786"/>
      <c r="H3243" s="497" t="s">
        <v>17</v>
      </c>
      <c r="I3243" s="60" t="s">
        <v>105</v>
      </c>
      <c r="J3243" s="60">
        <f t="shared" si="3906"/>
        <v>9</v>
      </c>
      <c r="K3243" s="60">
        <v>8</v>
      </c>
      <c r="L3243" s="60">
        <v>1</v>
      </c>
      <c r="M3243" s="60">
        <v>0</v>
      </c>
      <c r="N3243" s="494">
        <v>0</v>
      </c>
      <c r="O3243" s="60">
        <v>0</v>
      </c>
      <c r="P3243" s="494">
        <v>0</v>
      </c>
      <c r="Q3243" s="182">
        <f t="shared" si="3904"/>
        <v>1</v>
      </c>
      <c r="R3243" s="182">
        <f t="shared" si="3905"/>
        <v>0</v>
      </c>
      <c r="S3243" s="183">
        <f t="shared" si="3900"/>
        <v>0</v>
      </c>
      <c r="T3243" s="183">
        <f t="shared" si="3901"/>
        <v>0</v>
      </c>
      <c r="U3243" s="184">
        <f t="shared" si="3902"/>
        <v>1</v>
      </c>
      <c r="V3243" s="386"/>
    </row>
    <row r="3244" spans="2:22" ht="15.75" hidden="1" x14ac:dyDescent="0.2">
      <c r="B3244" s="711">
        <v>46288</v>
      </c>
      <c r="C3244" s="711" t="s">
        <v>105</v>
      </c>
      <c r="D3244" s="711" t="s">
        <v>189</v>
      </c>
      <c r="E3244" s="711">
        <v>46287</v>
      </c>
      <c r="G3244" s="779"/>
      <c r="H3244" s="497" t="s">
        <v>120</v>
      </c>
      <c r="I3244" s="60" t="s">
        <v>105</v>
      </c>
      <c r="J3244" s="60">
        <f t="shared" si="3906"/>
        <v>2</v>
      </c>
      <c r="K3244" s="60">
        <v>2</v>
      </c>
      <c r="L3244" s="60">
        <v>0</v>
      </c>
      <c r="M3244" s="60">
        <v>0</v>
      </c>
      <c r="N3244" s="494">
        <v>0</v>
      </c>
      <c r="O3244" s="60">
        <v>0</v>
      </c>
      <c r="P3244" s="494">
        <v>0</v>
      </c>
      <c r="Q3244" s="182">
        <f t="shared" si="3904"/>
        <v>1</v>
      </c>
      <c r="R3244" s="182">
        <f t="shared" si="3905"/>
        <v>0</v>
      </c>
      <c r="S3244" s="183">
        <f t="shared" si="3900"/>
        <v>0</v>
      </c>
      <c r="T3244" s="183">
        <f t="shared" si="3901"/>
        <v>0</v>
      </c>
      <c r="U3244" s="184">
        <f t="shared" si="3902"/>
        <v>1</v>
      </c>
      <c r="V3244" s="386"/>
    </row>
    <row r="3245" spans="2:22" ht="15.75" hidden="1" x14ac:dyDescent="0.2">
      <c r="B3245" s="711">
        <v>46288</v>
      </c>
      <c r="C3245" s="711" t="s">
        <v>105</v>
      </c>
      <c r="D3245" s="711" t="s">
        <v>189</v>
      </c>
      <c r="E3245" s="711">
        <v>46288</v>
      </c>
      <c r="G3245" s="773">
        <v>46289</v>
      </c>
      <c r="H3245" s="497" t="s">
        <v>16</v>
      </c>
      <c r="I3245" s="60" t="s">
        <v>27</v>
      </c>
      <c r="J3245" s="60">
        <f t="shared" si="3906"/>
        <v>120</v>
      </c>
      <c r="K3245" s="60">
        <v>71</v>
      </c>
      <c r="L3245" s="60">
        <v>24</v>
      </c>
      <c r="M3245" s="60">
        <v>1</v>
      </c>
      <c r="N3245" s="494">
        <v>0</v>
      </c>
      <c r="O3245" s="60">
        <v>19</v>
      </c>
      <c r="P3245" s="494">
        <v>5</v>
      </c>
      <c r="Q3245" s="182">
        <f t="shared" si="3904"/>
        <v>0.79166666666666663</v>
      </c>
      <c r="R3245" s="182">
        <f t="shared" si="3905"/>
        <v>0</v>
      </c>
      <c r="S3245" s="183">
        <f t="shared" si="3900"/>
        <v>4.1666666666666664E-2</v>
      </c>
      <c r="T3245" s="183">
        <f t="shared" si="3901"/>
        <v>0.15833333333333333</v>
      </c>
      <c r="U3245" s="184">
        <f t="shared" si="3902"/>
        <v>0.99166666666666659</v>
      </c>
      <c r="V3245" s="386"/>
    </row>
    <row r="3246" spans="2:22" ht="15.75" hidden="1" x14ac:dyDescent="0.2">
      <c r="B3246" s="711">
        <v>46288</v>
      </c>
      <c r="C3246" s="711" t="s">
        <v>105</v>
      </c>
      <c r="D3246" s="711" t="s">
        <v>189</v>
      </c>
      <c r="E3246" s="711">
        <v>46288</v>
      </c>
      <c r="G3246" s="780"/>
      <c r="H3246" s="497" t="s">
        <v>25</v>
      </c>
      <c r="I3246" s="60" t="s">
        <v>106</v>
      </c>
      <c r="J3246" s="60">
        <f t="shared" si="3906"/>
        <v>170</v>
      </c>
      <c r="K3246" s="60">
        <v>109</v>
      </c>
      <c r="L3246" s="60">
        <v>28</v>
      </c>
      <c r="M3246" s="60">
        <v>2</v>
      </c>
      <c r="N3246" s="494">
        <v>0</v>
      </c>
      <c r="O3246" s="60">
        <v>22</v>
      </c>
      <c r="P3246" s="494">
        <v>9</v>
      </c>
      <c r="Q3246" s="182">
        <f t="shared" si="3904"/>
        <v>0.80588235294117649</v>
      </c>
      <c r="R3246" s="182">
        <f t="shared" si="3905"/>
        <v>0</v>
      </c>
      <c r="S3246" s="183">
        <f t="shared" si="3900"/>
        <v>5.2941176470588235E-2</v>
      </c>
      <c r="T3246" s="183">
        <f t="shared" si="3901"/>
        <v>0.12941176470588237</v>
      </c>
      <c r="U3246" s="184">
        <f t="shared" si="3902"/>
        <v>0.9882352941176471</v>
      </c>
      <c r="V3246" s="386"/>
    </row>
    <row r="3247" spans="2:22" ht="15.75" hidden="1" x14ac:dyDescent="0.2">
      <c r="B3247" s="711">
        <v>46288</v>
      </c>
      <c r="C3247" s="711" t="s">
        <v>105</v>
      </c>
      <c r="D3247" s="711" t="s">
        <v>189</v>
      </c>
      <c r="E3247" s="711">
        <v>46288</v>
      </c>
      <c r="G3247" s="774"/>
      <c r="H3247" s="497" t="s">
        <v>14</v>
      </c>
      <c r="I3247" s="60" t="s">
        <v>105</v>
      </c>
      <c r="J3247" s="60">
        <f t="shared" si="3906"/>
        <v>166</v>
      </c>
      <c r="K3247" s="60">
        <v>2</v>
      </c>
      <c r="L3247" s="60">
        <v>0</v>
      </c>
      <c r="M3247" s="60">
        <v>1</v>
      </c>
      <c r="N3247" s="494">
        <v>134</v>
      </c>
      <c r="O3247" s="60">
        <v>11</v>
      </c>
      <c r="P3247" s="494">
        <v>18</v>
      </c>
      <c r="Q3247" s="182">
        <f t="shared" si="3904"/>
        <v>1.2048192771084338E-2</v>
      </c>
      <c r="R3247" s="182">
        <f t="shared" si="3905"/>
        <v>0.80722891566265065</v>
      </c>
      <c r="S3247" s="183">
        <f t="shared" si="3900"/>
        <v>0.10843373493975904</v>
      </c>
      <c r="T3247" s="183">
        <f t="shared" si="3901"/>
        <v>6.6265060240963861E-2</v>
      </c>
      <c r="U3247" s="184">
        <f t="shared" si="3902"/>
        <v>0.99397590361445798</v>
      </c>
      <c r="V3247" s="386"/>
    </row>
    <row r="3248" spans="2:22" ht="15.75" hidden="1" x14ac:dyDescent="0.2">
      <c r="B3248" s="711">
        <v>46288</v>
      </c>
      <c r="C3248" s="711" t="s">
        <v>105</v>
      </c>
      <c r="D3248" s="711" t="s">
        <v>189</v>
      </c>
      <c r="E3248" s="711">
        <v>46289</v>
      </c>
      <c r="G3248" s="773">
        <v>46290</v>
      </c>
      <c r="H3248" s="497" t="s">
        <v>118</v>
      </c>
      <c r="I3248" s="60" t="s">
        <v>106</v>
      </c>
      <c r="J3248" s="60">
        <v>235</v>
      </c>
      <c r="K3248" s="60">
        <v>0</v>
      </c>
      <c r="L3248" s="60">
        <v>0</v>
      </c>
      <c r="M3248" s="60">
        <v>50</v>
      </c>
      <c r="N3248" s="494">
        <v>161</v>
      </c>
      <c r="O3248" s="60">
        <v>16</v>
      </c>
      <c r="P3248" s="494">
        <v>8</v>
      </c>
      <c r="Q3248" s="182">
        <f t="shared" si="3904"/>
        <v>0</v>
      </c>
      <c r="R3248" s="182">
        <f t="shared" si="3905"/>
        <v>0.68510638297872339</v>
      </c>
      <c r="S3248" s="183">
        <f t="shared" si="3900"/>
        <v>3.4042553191489362E-2</v>
      </c>
      <c r="T3248" s="183">
        <f t="shared" si="3901"/>
        <v>6.8085106382978725E-2</v>
      </c>
      <c r="U3248" s="184">
        <f t="shared" si="3902"/>
        <v>0.78723404255319152</v>
      </c>
      <c r="V3248" s="386"/>
    </row>
    <row r="3249" spans="2:22" ht="15.75" hidden="1" x14ac:dyDescent="0.2">
      <c r="B3249" s="711">
        <v>46288</v>
      </c>
      <c r="C3249" s="711" t="s">
        <v>105</v>
      </c>
      <c r="D3249" s="711" t="s">
        <v>189</v>
      </c>
      <c r="E3249" s="711">
        <v>46289</v>
      </c>
      <c r="G3249" s="774"/>
      <c r="H3249" s="497" t="s">
        <v>120</v>
      </c>
      <c r="I3249" s="60" t="s">
        <v>105</v>
      </c>
      <c r="J3249" s="60">
        <v>48</v>
      </c>
      <c r="K3249" s="60">
        <v>0</v>
      </c>
      <c r="L3249" s="60">
        <v>0</v>
      </c>
      <c r="M3249" s="60">
        <v>37</v>
      </c>
      <c r="N3249" s="494">
        <v>8</v>
      </c>
      <c r="O3249" s="60">
        <v>0</v>
      </c>
      <c r="P3249" s="494">
        <v>3</v>
      </c>
      <c r="Q3249" s="182">
        <f t="shared" si="3904"/>
        <v>0</v>
      </c>
      <c r="R3249" s="182">
        <f t="shared" si="3905"/>
        <v>0.16666666666666666</v>
      </c>
      <c r="S3249" s="183">
        <f t="shared" si="3900"/>
        <v>6.25E-2</v>
      </c>
      <c r="T3249" s="183">
        <f t="shared" si="3901"/>
        <v>0</v>
      </c>
      <c r="U3249" s="184">
        <f t="shared" si="3902"/>
        <v>0.22916666666666666</v>
      </c>
      <c r="V3249" s="386"/>
    </row>
    <row r="3250" spans="2:22" ht="15.75" hidden="1" x14ac:dyDescent="0.2">
      <c r="B3250" s="711">
        <v>46288</v>
      </c>
      <c r="C3250" s="711" t="s">
        <v>105</v>
      </c>
      <c r="D3250" s="711" t="s">
        <v>189</v>
      </c>
      <c r="E3250" s="711">
        <v>46289</v>
      </c>
      <c r="G3250" s="775" t="s">
        <v>19</v>
      </c>
      <c r="H3250" s="776"/>
      <c r="I3250" s="777"/>
      <c r="J3250" s="190">
        <f t="shared" ref="J3250:P3250" si="3907">SUM(J3241:J3249)</f>
        <v>835</v>
      </c>
      <c r="K3250" s="190">
        <f t="shared" si="3907"/>
        <v>257</v>
      </c>
      <c r="L3250" s="190">
        <f t="shared" si="3907"/>
        <v>64</v>
      </c>
      <c r="M3250" s="190">
        <f t="shared" si="3907"/>
        <v>91</v>
      </c>
      <c r="N3250" s="190">
        <f t="shared" si="3907"/>
        <v>303</v>
      </c>
      <c r="O3250" s="190">
        <f t="shared" si="3907"/>
        <v>68</v>
      </c>
      <c r="P3250" s="190">
        <f t="shared" si="3907"/>
        <v>52</v>
      </c>
      <c r="Q3250" s="481">
        <f>(K3250+L3250)/J3250</f>
        <v>0.3844311377245509</v>
      </c>
      <c r="R3250" s="481">
        <f>N3250/J3250</f>
        <v>0.36287425149700597</v>
      </c>
      <c r="S3250" s="482">
        <f t="shared" si="3900"/>
        <v>6.2275449101796408E-2</v>
      </c>
      <c r="T3250" s="482">
        <f t="shared" si="3901"/>
        <v>8.1437125748502995E-2</v>
      </c>
      <c r="U3250" s="483">
        <f t="shared" si="3902"/>
        <v>0.89101796407185629</v>
      </c>
      <c r="V3250" s="479"/>
    </row>
    <row r="3251" spans="2:22" ht="15.75" hidden="1" x14ac:dyDescent="0.2">
      <c r="B3251" s="711">
        <v>46289</v>
      </c>
      <c r="C3251" s="711" t="s">
        <v>106</v>
      </c>
      <c r="D3251" s="711" t="s">
        <v>13</v>
      </c>
      <c r="E3251" s="711">
        <v>46289</v>
      </c>
      <c r="G3251" s="809">
        <v>46289</v>
      </c>
      <c r="H3251" s="497" t="s">
        <v>16</v>
      </c>
      <c r="I3251" s="60" t="s">
        <v>27</v>
      </c>
      <c r="J3251" s="60">
        <v>169</v>
      </c>
      <c r="K3251" s="60">
        <v>111</v>
      </c>
      <c r="L3251" s="60">
        <v>34</v>
      </c>
      <c r="M3251" s="60">
        <v>0</v>
      </c>
      <c r="N3251" s="494">
        <v>0</v>
      </c>
      <c r="O3251" s="60">
        <v>19</v>
      </c>
      <c r="P3251" s="494">
        <v>5</v>
      </c>
      <c r="Q3251" s="182">
        <f t="shared" ref="Q3251:Q3257" si="3908">(K3251+L3251)/J3251</f>
        <v>0.85798816568047342</v>
      </c>
      <c r="R3251" s="182">
        <f t="shared" ref="R3251:R3257" si="3909">N3251/J3251</f>
        <v>0</v>
      </c>
      <c r="S3251" s="183">
        <f t="shared" ref="S3251:S3270" si="3910">P3251/J3251</f>
        <v>2.9585798816568046E-2</v>
      </c>
      <c r="T3251" s="183">
        <f t="shared" ref="T3251:T3270" si="3911">O3251/J3251</f>
        <v>0.11242603550295859</v>
      </c>
      <c r="U3251" s="184">
        <f t="shared" ref="U3251:U3270" si="3912">S3251+R3251+Q3251+T3251</f>
        <v>1</v>
      </c>
      <c r="V3251" s="386"/>
    </row>
    <row r="3252" spans="2:22" ht="15.75" hidden="1" x14ac:dyDescent="0.2">
      <c r="B3252" s="711">
        <v>46289</v>
      </c>
      <c r="C3252" s="711" t="s">
        <v>106</v>
      </c>
      <c r="D3252" s="711" t="s">
        <v>13</v>
      </c>
      <c r="E3252" s="711">
        <v>46289</v>
      </c>
      <c r="G3252" s="810"/>
      <c r="H3252" s="497" t="s">
        <v>14</v>
      </c>
      <c r="I3252" s="60" t="s">
        <v>105</v>
      </c>
      <c r="J3252" s="60">
        <v>164</v>
      </c>
      <c r="K3252" s="60">
        <v>101</v>
      </c>
      <c r="L3252" s="60">
        <v>31</v>
      </c>
      <c r="M3252" s="60">
        <v>5</v>
      </c>
      <c r="N3252" s="494">
        <v>0</v>
      </c>
      <c r="O3252" s="60">
        <v>10</v>
      </c>
      <c r="P3252" s="494">
        <v>17</v>
      </c>
      <c r="Q3252" s="182">
        <f t="shared" si="3908"/>
        <v>0.80487804878048785</v>
      </c>
      <c r="R3252" s="182">
        <f t="shared" si="3909"/>
        <v>0</v>
      </c>
      <c r="S3252" s="183">
        <f t="shared" si="3910"/>
        <v>0.10365853658536585</v>
      </c>
      <c r="T3252" s="183">
        <f t="shared" si="3911"/>
        <v>6.097560975609756E-2</v>
      </c>
      <c r="U3252" s="184">
        <f t="shared" si="3912"/>
        <v>0.96951219512195119</v>
      </c>
      <c r="V3252" s="386"/>
    </row>
    <row r="3253" spans="2:22" ht="15.75" hidden="1" x14ac:dyDescent="0.2">
      <c r="B3253" s="711">
        <v>46289</v>
      </c>
      <c r="C3253" s="711" t="s">
        <v>106</v>
      </c>
      <c r="D3253" s="711" t="s">
        <v>13</v>
      </c>
      <c r="E3253" s="711">
        <v>46289</v>
      </c>
      <c r="G3253" s="811"/>
      <c r="H3253" s="497" t="s">
        <v>25</v>
      </c>
      <c r="I3253" s="60" t="s">
        <v>106</v>
      </c>
      <c r="J3253" s="60">
        <v>244</v>
      </c>
      <c r="K3253" s="60">
        <f>244-65</f>
        <v>179</v>
      </c>
      <c r="L3253" s="60">
        <v>36</v>
      </c>
      <c r="M3253" s="60">
        <v>0</v>
      </c>
      <c r="N3253" s="494">
        <v>0</v>
      </c>
      <c r="O3253" s="60">
        <v>21</v>
      </c>
      <c r="P3253" s="494">
        <v>8</v>
      </c>
      <c r="Q3253" s="182">
        <f t="shared" si="3908"/>
        <v>0.88114754098360659</v>
      </c>
      <c r="R3253" s="182">
        <f t="shared" si="3909"/>
        <v>0</v>
      </c>
      <c r="S3253" s="183">
        <f t="shared" si="3910"/>
        <v>3.2786885245901641E-2</v>
      </c>
      <c r="T3253" s="183">
        <f t="shared" si="3911"/>
        <v>8.6065573770491802E-2</v>
      </c>
      <c r="U3253" s="184">
        <f t="shared" si="3912"/>
        <v>1</v>
      </c>
      <c r="V3253" s="386"/>
    </row>
    <row r="3254" spans="2:22" ht="15.75" hidden="1" x14ac:dyDescent="0.2">
      <c r="B3254" s="711">
        <v>46289</v>
      </c>
      <c r="C3254" s="711" t="s">
        <v>106</v>
      </c>
      <c r="D3254" s="711" t="s">
        <v>13</v>
      </c>
      <c r="E3254" s="711">
        <v>46290</v>
      </c>
      <c r="G3254" s="773">
        <v>46290</v>
      </c>
      <c r="H3254" s="497" t="s">
        <v>118</v>
      </c>
      <c r="I3254" s="60" t="s">
        <v>106</v>
      </c>
      <c r="J3254" s="60">
        <v>235</v>
      </c>
      <c r="K3254" s="60">
        <v>0</v>
      </c>
      <c r="L3254" s="60">
        <v>0</v>
      </c>
      <c r="M3254" s="60">
        <v>0</v>
      </c>
      <c r="N3254" s="494">
        <v>211</v>
      </c>
      <c r="O3254" s="60">
        <v>16</v>
      </c>
      <c r="P3254" s="494">
        <v>8</v>
      </c>
      <c r="Q3254" s="182">
        <f t="shared" si="3908"/>
        <v>0</v>
      </c>
      <c r="R3254" s="182">
        <f t="shared" si="3909"/>
        <v>0.89787234042553188</v>
      </c>
      <c r="S3254" s="183">
        <f t="shared" si="3910"/>
        <v>3.4042553191489362E-2</v>
      </c>
      <c r="T3254" s="183">
        <f t="shared" si="3911"/>
        <v>6.8085106382978725E-2</v>
      </c>
      <c r="U3254" s="184">
        <f t="shared" si="3912"/>
        <v>1</v>
      </c>
      <c r="V3254" s="386"/>
    </row>
    <row r="3255" spans="2:22" ht="15.75" hidden="1" x14ac:dyDescent="0.2">
      <c r="B3255" s="711">
        <v>46289</v>
      </c>
      <c r="C3255" s="711" t="s">
        <v>106</v>
      </c>
      <c r="D3255" s="711" t="s">
        <v>13</v>
      </c>
      <c r="E3255" s="711">
        <v>46290</v>
      </c>
      <c r="G3255" s="780"/>
      <c r="H3255" s="497" t="s">
        <v>16</v>
      </c>
      <c r="I3255" s="60" t="s">
        <v>27</v>
      </c>
      <c r="J3255" s="60">
        <v>195</v>
      </c>
      <c r="K3255" s="60">
        <f>195-126</f>
        <v>69</v>
      </c>
      <c r="L3255" s="60">
        <v>33</v>
      </c>
      <c r="M3255" s="60">
        <v>11</v>
      </c>
      <c r="N3255" s="494">
        <v>59</v>
      </c>
      <c r="O3255" s="60">
        <v>19</v>
      </c>
      <c r="P3255" s="494">
        <v>4</v>
      </c>
      <c r="Q3255" s="182">
        <f t="shared" si="3908"/>
        <v>0.52307692307692311</v>
      </c>
      <c r="R3255" s="182">
        <f t="shared" si="3909"/>
        <v>0.30256410256410254</v>
      </c>
      <c r="S3255" s="183">
        <f t="shared" si="3910"/>
        <v>2.0512820512820513E-2</v>
      </c>
      <c r="T3255" s="183">
        <f t="shared" si="3911"/>
        <v>9.7435897435897437E-2</v>
      </c>
      <c r="U3255" s="184">
        <f t="shared" si="3912"/>
        <v>0.94358974358974357</v>
      </c>
      <c r="V3255" s="386"/>
    </row>
    <row r="3256" spans="2:22" ht="15.75" hidden="1" x14ac:dyDescent="0.2">
      <c r="B3256" s="711">
        <v>46289</v>
      </c>
      <c r="C3256" s="711" t="s">
        <v>106</v>
      </c>
      <c r="D3256" s="711" t="s">
        <v>13</v>
      </c>
      <c r="E3256" s="711">
        <v>46290</v>
      </c>
      <c r="G3256" s="780"/>
      <c r="H3256" s="497" t="s">
        <v>17</v>
      </c>
      <c r="I3256" s="60" t="s">
        <v>105</v>
      </c>
      <c r="J3256" s="60">
        <v>187</v>
      </c>
      <c r="K3256" s="60">
        <v>10</v>
      </c>
      <c r="L3256" s="60">
        <v>4</v>
      </c>
      <c r="M3256" s="60">
        <v>140</v>
      </c>
      <c r="N3256" s="494">
        <v>0</v>
      </c>
      <c r="O3256" s="60">
        <v>24</v>
      </c>
      <c r="P3256" s="494">
        <v>9</v>
      </c>
      <c r="Q3256" s="182">
        <f t="shared" si="3908"/>
        <v>7.4866310160427801E-2</v>
      </c>
      <c r="R3256" s="182">
        <f t="shared" si="3909"/>
        <v>0</v>
      </c>
      <c r="S3256" s="183">
        <f t="shared" si="3910"/>
        <v>4.8128342245989303E-2</v>
      </c>
      <c r="T3256" s="183">
        <f t="shared" si="3911"/>
        <v>0.12834224598930483</v>
      </c>
      <c r="U3256" s="184">
        <f t="shared" si="3912"/>
        <v>0.25133689839572193</v>
      </c>
      <c r="V3256" s="386"/>
    </row>
    <row r="3257" spans="2:22" ht="15.75" hidden="1" x14ac:dyDescent="0.2">
      <c r="B3257" s="711">
        <v>46289</v>
      </c>
      <c r="C3257" s="711" t="s">
        <v>106</v>
      </c>
      <c r="D3257" s="711" t="s">
        <v>13</v>
      </c>
      <c r="E3257" s="711">
        <v>46290</v>
      </c>
      <c r="G3257" s="774"/>
      <c r="H3257" s="497" t="s">
        <v>120</v>
      </c>
      <c r="I3257" s="60" t="s">
        <v>105</v>
      </c>
      <c r="J3257" s="60">
        <v>48</v>
      </c>
      <c r="K3257" s="60">
        <v>0</v>
      </c>
      <c r="L3257" s="60">
        <v>0</v>
      </c>
      <c r="M3257" s="60">
        <v>0</v>
      </c>
      <c r="N3257" s="494">
        <v>45</v>
      </c>
      <c r="O3257" s="60">
        <v>0</v>
      </c>
      <c r="P3257" s="494">
        <v>3</v>
      </c>
      <c r="Q3257" s="182">
        <f t="shared" si="3908"/>
        <v>0</v>
      </c>
      <c r="R3257" s="182">
        <f t="shared" si="3909"/>
        <v>0.9375</v>
      </c>
      <c r="S3257" s="183">
        <f t="shared" si="3910"/>
        <v>6.25E-2</v>
      </c>
      <c r="T3257" s="183">
        <f t="shared" si="3911"/>
        <v>0</v>
      </c>
      <c r="U3257" s="184">
        <f t="shared" si="3912"/>
        <v>1</v>
      </c>
      <c r="V3257" s="386"/>
    </row>
    <row r="3258" spans="2:22" ht="15.75" hidden="1" x14ac:dyDescent="0.2">
      <c r="B3258" s="711">
        <v>46289</v>
      </c>
      <c r="C3258" s="711" t="s">
        <v>106</v>
      </c>
      <c r="D3258" s="711" t="s">
        <v>13</v>
      </c>
      <c r="E3258" s="711">
        <v>46290</v>
      </c>
      <c r="G3258" s="775" t="s">
        <v>19</v>
      </c>
      <c r="H3258" s="776"/>
      <c r="I3258" s="777"/>
      <c r="J3258" s="190">
        <f t="shared" ref="J3258:P3258" si="3913">SUM(J3247:J3257)</f>
        <v>2526</v>
      </c>
      <c r="K3258" s="190">
        <f t="shared" si="3913"/>
        <v>729</v>
      </c>
      <c r="L3258" s="190">
        <f t="shared" si="3913"/>
        <v>202</v>
      </c>
      <c r="M3258" s="190">
        <f t="shared" si="3913"/>
        <v>335</v>
      </c>
      <c r="N3258" s="190">
        <f t="shared" si="3913"/>
        <v>921</v>
      </c>
      <c r="O3258" s="190">
        <f t="shared" si="3913"/>
        <v>204</v>
      </c>
      <c r="P3258" s="190">
        <f t="shared" si="3913"/>
        <v>135</v>
      </c>
      <c r="Q3258" s="481">
        <f>(K3258+L3258)/J3258</f>
        <v>0.3685669041963579</v>
      </c>
      <c r="R3258" s="481">
        <f>N3258/J3258</f>
        <v>0.36460807600950118</v>
      </c>
      <c r="S3258" s="482">
        <f t="shared" si="3910"/>
        <v>5.3444180522565318E-2</v>
      </c>
      <c r="T3258" s="482">
        <f t="shared" si="3911"/>
        <v>8.076009501187649E-2</v>
      </c>
      <c r="U3258" s="483">
        <f t="shared" si="3912"/>
        <v>0.86737925574030095</v>
      </c>
      <c r="V3258" s="479"/>
    </row>
    <row r="3259" spans="2:22" ht="15.75" hidden="1" x14ac:dyDescent="0.2">
      <c r="B3259" s="711">
        <v>46289</v>
      </c>
      <c r="C3259" s="711" t="s">
        <v>105</v>
      </c>
      <c r="D3259" s="711" t="s">
        <v>189</v>
      </c>
      <c r="E3259" s="711">
        <v>46289</v>
      </c>
      <c r="G3259" s="778">
        <v>46289</v>
      </c>
      <c r="H3259" s="497" t="s">
        <v>16</v>
      </c>
      <c r="I3259" s="60" t="s">
        <v>27</v>
      </c>
      <c r="J3259" s="60">
        <f>SUM(K3259:P3259)</f>
        <v>11</v>
      </c>
      <c r="K3259" s="60">
        <v>5</v>
      </c>
      <c r="L3259" s="60">
        <v>6</v>
      </c>
      <c r="M3259" s="60">
        <v>0</v>
      </c>
      <c r="N3259" s="494">
        <v>0</v>
      </c>
      <c r="O3259" s="60">
        <v>0</v>
      </c>
      <c r="P3259" s="494">
        <v>0</v>
      </c>
      <c r="Q3259" s="182">
        <f t="shared" ref="Q3259:Q3269" si="3914">(K3259+L3259)/J3259</f>
        <v>1</v>
      </c>
      <c r="R3259" s="182">
        <f t="shared" ref="R3259:R3269" si="3915">N3259/J3259</f>
        <v>0</v>
      </c>
      <c r="S3259" s="183">
        <f t="shared" si="3910"/>
        <v>0</v>
      </c>
      <c r="T3259" s="183">
        <f t="shared" si="3911"/>
        <v>0</v>
      </c>
      <c r="U3259" s="184">
        <f t="shared" si="3912"/>
        <v>1</v>
      </c>
      <c r="V3259" s="386"/>
    </row>
    <row r="3260" spans="2:22" ht="15.75" hidden="1" x14ac:dyDescent="0.2">
      <c r="B3260" s="711">
        <v>46289</v>
      </c>
      <c r="C3260" s="711" t="s">
        <v>105</v>
      </c>
      <c r="D3260" s="711" t="s">
        <v>189</v>
      </c>
      <c r="E3260" s="711">
        <v>46289</v>
      </c>
      <c r="G3260" s="786"/>
      <c r="H3260" s="497" t="s">
        <v>14</v>
      </c>
      <c r="I3260" s="60" t="s">
        <v>105</v>
      </c>
      <c r="J3260" s="60">
        <f t="shared" ref="J3260:J3264" si="3916">SUM(K3260:P3260)</f>
        <v>73</v>
      </c>
      <c r="K3260" s="60">
        <v>67</v>
      </c>
      <c r="L3260" s="60">
        <v>6</v>
      </c>
      <c r="M3260" s="60">
        <v>0</v>
      </c>
      <c r="N3260" s="494">
        <v>0</v>
      </c>
      <c r="O3260" s="60">
        <v>0</v>
      </c>
      <c r="P3260" s="494">
        <v>0</v>
      </c>
      <c r="Q3260" s="182">
        <f t="shared" si="3914"/>
        <v>1</v>
      </c>
      <c r="R3260" s="182">
        <f t="shared" si="3915"/>
        <v>0</v>
      </c>
      <c r="S3260" s="183">
        <f t="shared" si="3910"/>
        <v>0</v>
      </c>
      <c r="T3260" s="183">
        <f t="shared" si="3911"/>
        <v>0</v>
      </c>
      <c r="U3260" s="184">
        <f t="shared" si="3912"/>
        <v>1</v>
      </c>
      <c r="V3260" s="386"/>
    </row>
    <row r="3261" spans="2:22" ht="15.75" hidden="1" x14ac:dyDescent="0.2">
      <c r="B3261" s="711">
        <v>46289</v>
      </c>
      <c r="C3261" s="711" t="s">
        <v>105</v>
      </c>
      <c r="D3261" s="711" t="s">
        <v>189</v>
      </c>
      <c r="E3261" s="711">
        <v>46289</v>
      </c>
      <c r="G3261" s="786"/>
      <c r="H3261" s="497" t="s">
        <v>25</v>
      </c>
      <c r="I3261" s="60" t="s">
        <v>105</v>
      </c>
      <c r="J3261" s="60">
        <f t="shared" si="3916"/>
        <v>4</v>
      </c>
      <c r="K3261" s="60">
        <v>4</v>
      </c>
      <c r="L3261" s="60">
        <v>0</v>
      </c>
      <c r="M3261" s="60">
        <v>0</v>
      </c>
      <c r="N3261" s="494">
        <v>0</v>
      </c>
      <c r="O3261" s="60">
        <v>0</v>
      </c>
      <c r="P3261" s="494">
        <v>0</v>
      </c>
      <c r="Q3261" s="182">
        <f t="shared" si="3914"/>
        <v>1</v>
      </c>
      <c r="R3261" s="182">
        <f t="shared" si="3915"/>
        <v>0</v>
      </c>
      <c r="S3261" s="183">
        <f t="shared" si="3910"/>
        <v>0</v>
      </c>
      <c r="T3261" s="183">
        <f t="shared" si="3911"/>
        <v>0</v>
      </c>
      <c r="U3261" s="184">
        <f t="shared" si="3912"/>
        <v>1</v>
      </c>
      <c r="V3261" s="386"/>
    </row>
    <row r="3262" spans="2:22" ht="15.75" hidden="1" x14ac:dyDescent="0.2">
      <c r="B3262" s="711">
        <v>46289</v>
      </c>
      <c r="C3262" s="711" t="s">
        <v>105</v>
      </c>
      <c r="D3262" s="711" t="s">
        <v>189</v>
      </c>
      <c r="E3262" s="711">
        <v>46289</v>
      </c>
      <c r="G3262" s="779"/>
      <c r="H3262" s="497" t="s">
        <v>120</v>
      </c>
      <c r="I3262" s="60" t="s">
        <v>105</v>
      </c>
      <c r="J3262" s="60">
        <f t="shared" si="3916"/>
        <v>2</v>
      </c>
      <c r="K3262" s="60">
        <v>2</v>
      </c>
      <c r="L3262" s="60">
        <v>0</v>
      </c>
      <c r="M3262" s="60">
        <v>0</v>
      </c>
      <c r="N3262" s="494">
        <v>0</v>
      </c>
      <c r="O3262" s="60">
        <v>0</v>
      </c>
      <c r="P3262" s="494">
        <v>0</v>
      </c>
      <c r="Q3262" s="182">
        <f t="shared" si="3914"/>
        <v>1</v>
      </c>
      <c r="R3262" s="182">
        <f t="shared" si="3915"/>
        <v>0</v>
      </c>
      <c r="S3262" s="183">
        <f t="shared" si="3910"/>
        <v>0</v>
      </c>
      <c r="T3262" s="183">
        <f t="shared" si="3911"/>
        <v>0</v>
      </c>
      <c r="U3262" s="184">
        <f t="shared" si="3912"/>
        <v>1</v>
      </c>
      <c r="V3262" s="386"/>
    </row>
    <row r="3263" spans="2:22" ht="15.75" hidden="1" x14ac:dyDescent="0.2">
      <c r="B3263" s="711">
        <v>46289</v>
      </c>
      <c r="C3263" s="711" t="s">
        <v>105</v>
      </c>
      <c r="D3263" s="711" t="s">
        <v>189</v>
      </c>
      <c r="E3263" s="711">
        <v>46290</v>
      </c>
      <c r="G3263" s="773">
        <v>46290</v>
      </c>
      <c r="H3263" s="497" t="s">
        <v>16</v>
      </c>
      <c r="I3263" s="60" t="s">
        <v>27</v>
      </c>
      <c r="J3263" s="60">
        <f t="shared" si="3916"/>
        <v>96</v>
      </c>
      <c r="K3263" s="60">
        <v>55</v>
      </c>
      <c r="L3263" s="60">
        <v>13</v>
      </c>
      <c r="M3263" s="60">
        <v>2</v>
      </c>
      <c r="N3263" s="494">
        <v>3</v>
      </c>
      <c r="O3263" s="60">
        <v>19</v>
      </c>
      <c r="P3263" s="494">
        <v>4</v>
      </c>
      <c r="Q3263" s="182">
        <f t="shared" si="3914"/>
        <v>0.70833333333333337</v>
      </c>
      <c r="R3263" s="182">
        <f t="shared" si="3915"/>
        <v>3.125E-2</v>
      </c>
      <c r="S3263" s="183">
        <f t="shared" si="3910"/>
        <v>4.1666666666666664E-2</v>
      </c>
      <c r="T3263" s="183">
        <f t="shared" si="3911"/>
        <v>0.19791666666666666</v>
      </c>
      <c r="U3263" s="184">
        <f t="shared" si="3912"/>
        <v>0.97916666666666663</v>
      </c>
      <c r="V3263" s="386"/>
    </row>
    <row r="3264" spans="2:22" ht="15.75" hidden="1" x14ac:dyDescent="0.2">
      <c r="B3264" s="711">
        <v>46289</v>
      </c>
      <c r="C3264" s="711" t="s">
        <v>105</v>
      </c>
      <c r="D3264" s="711" t="s">
        <v>189</v>
      </c>
      <c r="E3264" s="711">
        <v>46290</v>
      </c>
      <c r="G3264" s="780"/>
      <c r="H3264" s="497" t="s">
        <v>118</v>
      </c>
      <c r="I3264" s="60" t="s">
        <v>106</v>
      </c>
      <c r="J3264" s="60">
        <f t="shared" si="3916"/>
        <v>235</v>
      </c>
      <c r="K3264" s="60">
        <v>166</v>
      </c>
      <c r="L3264" s="60">
        <v>41</v>
      </c>
      <c r="M3264" s="60">
        <v>4</v>
      </c>
      <c r="N3264" s="494">
        <v>0</v>
      </c>
      <c r="O3264" s="60">
        <v>13</v>
      </c>
      <c r="P3264" s="494">
        <v>11</v>
      </c>
      <c r="Q3264" s="182">
        <f t="shared" si="3914"/>
        <v>0.88085106382978728</v>
      </c>
      <c r="R3264" s="182">
        <f t="shared" si="3915"/>
        <v>0</v>
      </c>
      <c r="S3264" s="183">
        <f t="shared" si="3910"/>
        <v>4.6808510638297871E-2</v>
      </c>
      <c r="T3264" s="183">
        <f t="shared" si="3911"/>
        <v>5.5319148936170209E-2</v>
      </c>
      <c r="U3264" s="184">
        <f t="shared" si="3912"/>
        <v>0.98297872340425529</v>
      </c>
      <c r="V3264" s="386"/>
    </row>
    <row r="3265" spans="2:22" ht="15.75" hidden="1" x14ac:dyDescent="0.2">
      <c r="B3265" s="711">
        <v>46289</v>
      </c>
      <c r="C3265" s="711" t="s">
        <v>105</v>
      </c>
      <c r="D3265" s="711" t="s">
        <v>189</v>
      </c>
      <c r="E3265" s="711">
        <v>46290</v>
      </c>
      <c r="G3265" s="780"/>
      <c r="H3265" s="497" t="s">
        <v>32</v>
      </c>
      <c r="I3265" s="60" t="s">
        <v>106</v>
      </c>
      <c r="J3265" s="60">
        <v>25</v>
      </c>
      <c r="K3265" s="60">
        <v>0</v>
      </c>
      <c r="L3265" s="60">
        <v>0</v>
      </c>
      <c r="M3265" s="60">
        <v>0</v>
      </c>
      <c r="N3265" s="494">
        <v>16</v>
      </c>
      <c r="O3265" s="60">
        <v>0</v>
      </c>
      <c r="P3265" s="494">
        <v>3</v>
      </c>
      <c r="Q3265" s="182">
        <f t="shared" ref="Q3265:Q3268" si="3917">(K3265+L3265)/J3265</f>
        <v>0</v>
      </c>
      <c r="R3265" s="182">
        <f t="shared" ref="R3265:R3268" si="3918">N3265/J3265</f>
        <v>0.64</v>
      </c>
      <c r="S3265" s="183">
        <f t="shared" ref="S3265:S3268" si="3919">P3265/J3265</f>
        <v>0.12</v>
      </c>
      <c r="T3265" s="183">
        <f t="shared" ref="T3265:T3268" si="3920">O3265/J3265</f>
        <v>0</v>
      </c>
      <c r="U3265" s="184">
        <f t="shared" ref="U3265:U3268" si="3921">S3265+R3265+Q3265+T3265</f>
        <v>0.76</v>
      </c>
      <c r="V3265" s="386"/>
    </row>
    <row r="3266" spans="2:22" ht="15.75" hidden="1" x14ac:dyDescent="0.2">
      <c r="B3266" s="711">
        <v>46289</v>
      </c>
      <c r="C3266" s="711" t="s">
        <v>105</v>
      </c>
      <c r="D3266" s="711" t="s">
        <v>189</v>
      </c>
      <c r="E3266" s="711">
        <v>46290</v>
      </c>
      <c r="G3266" s="780"/>
      <c r="H3266" s="497" t="s">
        <v>120</v>
      </c>
      <c r="I3266" s="60" t="s">
        <v>105</v>
      </c>
      <c r="J3266" s="60">
        <v>48</v>
      </c>
      <c r="K3266" s="60">
        <v>18</v>
      </c>
      <c r="L3266" s="60">
        <v>0</v>
      </c>
      <c r="M3266" s="60">
        <v>0</v>
      </c>
      <c r="N3266" s="494">
        <v>27</v>
      </c>
      <c r="O3266" s="60">
        <v>0</v>
      </c>
      <c r="P3266" s="494">
        <v>3</v>
      </c>
      <c r="Q3266" s="182">
        <f t="shared" si="3917"/>
        <v>0.375</v>
      </c>
      <c r="R3266" s="182">
        <f t="shared" si="3918"/>
        <v>0.5625</v>
      </c>
      <c r="S3266" s="183">
        <f t="shared" si="3919"/>
        <v>6.25E-2</v>
      </c>
      <c r="T3266" s="183">
        <f t="shared" si="3920"/>
        <v>0</v>
      </c>
      <c r="U3266" s="184">
        <f t="shared" si="3921"/>
        <v>1</v>
      </c>
      <c r="V3266" s="386"/>
    </row>
    <row r="3267" spans="2:22" ht="15.75" hidden="1" x14ac:dyDescent="0.2">
      <c r="B3267" s="711">
        <v>46289</v>
      </c>
      <c r="C3267" s="711" t="s">
        <v>105</v>
      </c>
      <c r="D3267" s="711" t="s">
        <v>189</v>
      </c>
      <c r="E3267" s="711">
        <v>46290</v>
      </c>
      <c r="G3267" s="780"/>
      <c r="H3267" s="497" t="s">
        <v>180</v>
      </c>
      <c r="I3267" s="60" t="s">
        <v>105</v>
      </c>
      <c r="J3267" s="60">
        <v>10</v>
      </c>
      <c r="K3267" s="60">
        <v>10</v>
      </c>
      <c r="L3267" s="60">
        <v>0</v>
      </c>
      <c r="M3267" s="60">
        <v>0</v>
      </c>
      <c r="N3267" s="494">
        <v>0</v>
      </c>
      <c r="O3267" s="60">
        <v>0</v>
      </c>
      <c r="P3267" s="494">
        <v>0</v>
      </c>
      <c r="Q3267" s="182">
        <f t="shared" si="3917"/>
        <v>1</v>
      </c>
      <c r="R3267" s="182">
        <f t="shared" si="3918"/>
        <v>0</v>
      </c>
      <c r="S3267" s="183">
        <f t="shared" si="3919"/>
        <v>0</v>
      </c>
      <c r="T3267" s="183">
        <f t="shared" si="3920"/>
        <v>0</v>
      </c>
      <c r="U3267" s="184">
        <f t="shared" si="3921"/>
        <v>1</v>
      </c>
      <c r="V3267" s="386"/>
    </row>
    <row r="3268" spans="2:22" ht="15.75" hidden="1" x14ac:dyDescent="0.2">
      <c r="B3268" s="711">
        <v>46289</v>
      </c>
      <c r="C3268" s="711" t="s">
        <v>105</v>
      </c>
      <c r="D3268" s="711" t="s">
        <v>189</v>
      </c>
      <c r="E3268" s="711">
        <v>46290</v>
      </c>
      <c r="G3268" s="774"/>
      <c r="H3268" s="497" t="s">
        <v>17</v>
      </c>
      <c r="I3268" s="60" t="s">
        <v>105</v>
      </c>
      <c r="J3268" s="60">
        <v>211</v>
      </c>
      <c r="K3268" s="60">
        <v>42</v>
      </c>
      <c r="L3268" s="60">
        <v>6</v>
      </c>
      <c r="M3268" s="60">
        <v>3</v>
      </c>
      <c r="N3268" s="494">
        <v>136</v>
      </c>
      <c r="O3268" s="60">
        <v>26</v>
      </c>
      <c r="P3268" s="494">
        <v>9</v>
      </c>
      <c r="Q3268" s="182">
        <f t="shared" si="3917"/>
        <v>0.22748815165876776</v>
      </c>
      <c r="R3268" s="182">
        <f t="shared" si="3918"/>
        <v>0.64454976303317535</v>
      </c>
      <c r="S3268" s="183">
        <f t="shared" si="3919"/>
        <v>4.2654028436018961E-2</v>
      </c>
      <c r="T3268" s="183">
        <f t="shared" si="3920"/>
        <v>0.12322274881516587</v>
      </c>
      <c r="U3268" s="184">
        <f t="shared" si="3921"/>
        <v>1.0379146919431279</v>
      </c>
      <c r="V3268" s="386"/>
    </row>
    <row r="3269" spans="2:22" ht="15.75" hidden="1" x14ac:dyDescent="0.2">
      <c r="B3269" s="711">
        <v>46289</v>
      </c>
      <c r="C3269" s="711" t="s">
        <v>105</v>
      </c>
      <c r="D3269" s="711" t="s">
        <v>189</v>
      </c>
      <c r="E3269" s="711">
        <v>46291</v>
      </c>
      <c r="G3269" s="700">
        <v>46291</v>
      </c>
      <c r="H3269" s="497" t="s">
        <v>16</v>
      </c>
      <c r="I3269" s="60" t="s">
        <v>27</v>
      </c>
      <c r="J3269" s="60">
        <v>48</v>
      </c>
      <c r="K3269" s="60">
        <v>0</v>
      </c>
      <c r="L3269" s="60">
        <v>0</v>
      </c>
      <c r="M3269" s="60">
        <v>58</v>
      </c>
      <c r="N3269" s="494">
        <v>114</v>
      </c>
      <c r="O3269" s="60">
        <v>19</v>
      </c>
      <c r="P3269" s="494">
        <v>4</v>
      </c>
      <c r="Q3269" s="182">
        <f t="shared" si="3914"/>
        <v>0</v>
      </c>
      <c r="R3269" s="182">
        <f t="shared" si="3915"/>
        <v>2.375</v>
      </c>
      <c r="S3269" s="183">
        <f t="shared" si="3910"/>
        <v>8.3333333333333329E-2</v>
      </c>
      <c r="T3269" s="183">
        <f t="shared" si="3911"/>
        <v>0.39583333333333331</v>
      </c>
      <c r="U3269" s="184">
        <f t="shared" si="3912"/>
        <v>2.854166666666667</v>
      </c>
      <c r="V3269" s="386"/>
    </row>
    <row r="3270" spans="2:22" ht="15.75" hidden="1" x14ac:dyDescent="0.2">
      <c r="B3270" s="711">
        <v>46289</v>
      </c>
      <c r="C3270" s="711" t="s">
        <v>105</v>
      </c>
      <c r="D3270" s="711" t="s">
        <v>189</v>
      </c>
      <c r="E3270" s="711">
        <v>46289</v>
      </c>
      <c r="G3270" s="775" t="s">
        <v>19</v>
      </c>
      <c r="H3270" s="776"/>
      <c r="I3270" s="777"/>
      <c r="J3270" s="190">
        <f t="shared" ref="J3270:P3270" si="3922">SUM(J3259:J3269)</f>
        <v>763</v>
      </c>
      <c r="K3270" s="190">
        <f t="shared" si="3922"/>
        <v>369</v>
      </c>
      <c r="L3270" s="190">
        <f t="shared" si="3922"/>
        <v>72</v>
      </c>
      <c r="M3270" s="190">
        <f t="shared" si="3922"/>
        <v>67</v>
      </c>
      <c r="N3270" s="190">
        <f t="shared" si="3922"/>
        <v>296</v>
      </c>
      <c r="O3270" s="190">
        <f t="shared" si="3922"/>
        <v>77</v>
      </c>
      <c r="P3270" s="190">
        <f t="shared" si="3922"/>
        <v>34</v>
      </c>
      <c r="Q3270" s="481">
        <f>(K3270+L3270)/J3270</f>
        <v>0.57798165137614677</v>
      </c>
      <c r="R3270" s="481">
        <f>N3270/J3270</f>
        <v>0.38794233289646135</v>
      </c>
      <c r="S3270" s="482">
        <f t="shared" si="3910"/>
        <v>4.456094364351245E-2</v>
      </c>
      <c r="T3270" s="482">
        <f t="shared" si="3911"/>
        <v>0.10091743119266056</v>
      </c>
      <c r="U3270" s="483">
        <f t="shared" si="3912"/>
        <v>1.1114023591087812</v>
      </c>
      <c r="V3270" s="479"/>
    </row>
    <row r="3271" spans="2:22" ht="15.75" hidden="1" x14ac:dyDescent="0.2">
      <c r="B3271" s="711">
        <v>46290</v>
      </c>
      <c r="C3271" s="711" t="s">
        <v>106</v>
      </c>
      <c r="D3271" s="711" t="s">
        <v>13</v>
      </c>
      <c r="E3271" s="711">
        <v>46290</v>
      </c>
      <c r="G3271" s="773">
        <v>46290</v>
      </c>
      <c r="H3271" s="497" t="s">
        <v>118</v>
      </c>
      <c r="I3271" s="60" t="s">
        <v>106</v>
      </c>
      <c r="J3271" s="60">
        <v>235</v>
      </c>
      <c r="K3271" s="60">
        <v>166</v>
      </c>
      <c r="L3271" s="60">
        <v>44</v>
      </c>
      <c r="M3271" s="60">
        <v>0</v>
      </c>
      <c r="N3271" s="494">
        <v>0</v>
      </c>
      <c r="O3271" s="60">
        <v>16</v>
      </c>
      <c r="P3271" s="494">
        <v>9</v>
      </c>
      <c r="Q3271" s="182">
        <f t="shared" ref="Q3271:Q3278" si="3923">(K3271+L3271)/J3271</f>
        <v>0.8936170212765957</v>
      </c>
      <c r="R3271" s="182">
        <f t="shared" ref="R3271:R3278" si="3924">N3271/J3271</f>
        <v>0</v>
      </c>
      <c r="S3271" s="183">
        <f t="shared" ref="S3271:S3279" si="3925">P3271/J3271</f>
        <v>3.8297872340425532E-2</v>
      </c>
      <c r="T3271" s="183">
        <f t="shared" ref="T3271:T3279" si="3926">O3271/J3271</f>
        <v>6.8085106382978725E-2</v>
      </c>
      <c r="U3271" s="184">
        <f t="shared" ref="U3271:U3279" si="3927">S3271+R3271+Q3271+T3271</f>
        <v>0.99999999999999989</v>
      </c>
      <c r="V3271" s="386"/>
    </row>
    <row r="3272" spans="2:22" ht="15.75" hidden="1" x14ac:dyDescent="0.2">
      <c r="B3272" s="711">
        <v>46290</v>
      </c>
      <c r="C3272" s="711" t="s">
        <v>106</v>
      </c>
      <c r="D3272" s="711" t="s">
        <v>13</v>
      </c>
      <c r="E3272" s="711">
        <v>46290</v>
      </c>
      <c r="G3272" s="780"/>
      <c r="H3272" s="497" t="s">
        <v>16</v>
      </c>
      <c r="I3272" s="60" t="s">
        <v>27</v>
      </c>
      <c r="J3272" s="60">
        <v>195</v>
      </c>
      <c r="K3272" s="60">
        <v>137</v>
      </c>
      <c r="L3272" s="60">
        <v>33</v>
      </c>
      <c r="M3272" s="60">
        <v>5</v>
      </c>
      <c r="N3272" s="494">
        <v>0</v>
      </c>
      <c r="O3272" s="60">
        <v>19</v>
      </c>
      <c r="P3272" s="494">
        <v>3</v>
      </c>
      <c r="Q3272" s="182">
        <f t="shared" si="3923"/>
        <v>0.87179487179487181</v>
      </c>
      <c r="R3272" s="182">
        <f t="shared" si="3924"/>
        <v>0</v>
      </c>
      <c r="S3272" s="183">
        <f t="shared" si="3925"/>
        <v>1.5384615384615385E-2</v>
      </c>
      <c r="T3272" s="183">
        <f t="shared" si="3926"/>
        <v>9.7435897435897437E-2</v>
      </c>
      <c r="U3272" s="184">
        <f t="shared" si="3927"/>
        <v>0.98461538461538456</v>
      </c>
      <c r="V3272" s="386"/>
    </row>
    <row r="3273" spans="2:22" ht="15.75" hidden="1" x14ac:dyDescent="0.2">
      <c r="B3273" s="711">
        <v>46290</v>
      </c>
      <c r="C3273" s="711" t="s">
        <v>106</v>
      </c>
      <c r="D3273" s="711" t="s">
        <v>13</v>
      </c>
      <c r="E3273" s="711">
        <v>46290</v>
      </c>
      <c r="G3273" s="780"/>
      <c r="H3273" s="497" t="s">
        <v>17</v>
      </c>
      <c r="I3273" s="60" t="s">
        <v>105</v>
      </c>
      <c r="J3273" s="60">
        <v>187</v>
      </c>
      <c r="K3273" s="60">
        <v>132</v>
      </c>
      <c r="L3273" s="60">
        <v>20</v>
      </c>
      <c r="M3273" s="60">
        <v>5</v>
      </c>
      <c r="N3273" s="494">
        <v>0</v>
      </c>
      <c r="O3273" s="60">
        <v>24</v>
      </c>
      <c r="P3273" s="494">
        <v>11</v>
      </c>
      <c r="Q3273" s="182">
        <f t="shared" si="3923"/>
        <v>0.81283422459893051</v>
      </c>
      <c r="R3273" s="182">
        <f t="shared" si="3924"/>
        <v>0</v>
      </c>
      <c r="S3273" s="183">
        <f t="shared" si="3925"/>
        <v>5.8823529411764705E-2</v>
      </c>
      <c r="T3273" s="183">
        <f t="shared" si="3926"/>
        <v>0.12834224598930483</v>
      </c>
      <c r="U3273" s="184">
        <f t="shared" si="3927"/>
        <v>1</v>
      </c>
      <c r="V3273" s="386"/>
    </row>
    <row r="3274" spans="2:22" ht="15.75" hidden="1" x14ac:dyDescent="0.2">
      <c r="B3274" s="711">
        <v>46290</v>
      </c>
      <c r="C3274" s="711" t="s">
        <v>106</v>
      </c>
      <c r="D3274" s="711" t="s">
        <v>13</v>
      </c>
      <c r="E3274" s="711">
        <v>46290</v>
      </c>
      <c r="G3274" s="780"/>
      <c r="H3274" s="497" t="s">
        <v>120</v>
      </c>
      <c r="I3274" s="60" t="s">
        <v>105</v>
      </c>
      <c r="J3274" s="60">
        <v>30</v>
      </c>
      <c r="K3274" s="60">
        <v>0</v>
      </c>
      <c r="L3274" s="60">
        <v>0</v>
      </c>
      <c r="M3274" s="60">
        <v>0</v>
      </c>
      <c r="N3274" s="494">
        <v>27</v>
      </c>
      <c r="O3274" s="60">
        <v>0</v>
      </c>
      <c r="P3274" s="494">
        <v>3</v>
      </c>
      <c r="Q3274" s="182">
        <f t="shared" si="3923"/>
        <v>0</v>
      </c>
      <c r="R3274" s="182">
        <f t="shared" si="3924"/>
        <v>0.9</v>
      </c>
      <c r="S3274" s="183">
        <f t="shared" si="3925"/>
        <v>0.1</v>
      </c>
      <c r="T3274" s="183">
        <f t="shared" si="3926"/>
        <v>0</v>
      </c>
      <c r="U3274" s="184">
        <f t="shared" si="3927"/>
        <v>1</v>
      </c>
      <c r="V3274" s="386"/>
    </row>
    <row r="3275" spans="2:22" ht="15.75" hidden="1" x14ac:dyDescent="0.2">
      <c r="B3275" s="711">
        <v>46290</v>
      </c>
      <c r="C3275" s="711" t="s">
        <v>106</v>
      </c>
      <c r="D3275" s="711" t="s">
        <v>13</v>
      </c>
      <c r="E3275" s="711">
        <v>46290</v>
      </c>
      <c r="G3275" s="774"/>
      <c r="H3275" s="497" t="s">
        <v>32</v>
      </c>
      <c r="I3275" s="60" t="s">
        <v>106</v>
      </c>
      <c r="J3275" s="60">
        <v>26</v>
      </c>
      <c r="K3275" s="60">
        <v>18</v>
      </c>
      <c r="L3275" s="60">
        <v>3</v>
      </c>
      <c r="M3275" s="60">
        <v>0</v>
      </c>
      <c r="N3275" s="494">
        <v>0</v>
      </c>
      <c r="O3275" s="60">
        <v>0</v>
      </c>
      <c r="P3275" s="494">
        <v>5</v>
      </c>
      <c r="Q3275" s="182">
        <f t="shared" si="3923"/>
        <v>0.80769230769230771</v>
      </c>
      <c r="R3275" s="182">
        <f t="shared" si="3924"/>
        <v>0</v>
      </c>
      <c r="S3275" s="183">
        <f t="shared" si="3925"/>
        <v>0.19230769230769232</v>
      </c>
      <c r="T3275" s="183">
        <f t="shared" si="3926"/>
        <v>0</v>
      </c>
      <c r="U3275" s="184">
        <f t="shared" si="3927"/>
        <v>1</v>
      </c>
      <c r="V3275" s="386"/>
    </row>
    <row r="3276" spans="2:22" ht="15.75" hidden="1" x14ac:dyDescent="0.2">
      <c r="B3276" s="711">
        <v>46290</v>
      </c>
      <c r="C3276" s="711" t="s">
        <v>106</v>
      </c>
      <c r="D3276" s="711" t="s">
        <v>13</v>
      </c>
      <c r="E3276" s="711">
        <v>46291</v>
      </c>
      <c r="G3276" s="770">
        <v>46291</v>
      </c>
      <c r="H3276" s="497" t="s">
        <v>16</v>
      </c>
      <c r="I3276" s="60" t="s">
        <v>27</v>
      </c>
      <c r="J3276" s="60">
        <v>195</v>
      </c>
      <c r="K3276" s="60">
        <v>111</v>
      </c>
      <c r="L3276" s="60">
        <v>27</v>
      </c>
      <c r="M3276" s="60">
        <v>32</v>
      </c>
      <c r="N3276" s="494">
        <v>26</v>
      </c>
      <c r="O3276" s="60">
        <v>19</v>
      </c>
      <c r="P3276" s="494">
        <v>4</v>
      </c>
      <c r="Q3276" s="182">
        <f t="shared" si="3923"/>
        <v>0.70769230769230773</v>
      </c>
      <c r="R3276" s="182">
        <f t="shared" si="3924"/>
        <v>0.13333333333333333</v>
      </c>
      <c r="S3276" s="183">
        <f t="shared" si="3925"/>
        <v>2.0512820512820513E-2</v>
      </c>
      <c r="T3276" s="183">
        <f t="shared" si="3926"/>
        <v>9.7435897435897437E-2</v>
      </c>
      <c r="U3276" s="184">
        <f t="shared" si="3927"/>
        <v>0.95897435897435901</v>
      </c>
      <c r="V3276" s="386"/>
    </row>
    <row r="3277" spans="2:22" ht="15.75" hidden="1" x14ac:dyDescent="0.2">
      <c r="B3277" s="711">
        <v>46290</v>
      </c>
      <c r="C3277" s="711" t="s">
        <v>106</v>
      </c>
      <c r="D3277" s="711" t="s">
        <v>13</v>
      </c>
      <c r="E3277" s="711">
        <v>46291</v>
      </c>
      <c r="G3277" s="771"/>
      <c r="H3277" s="497" t="s">
        <v>17</v>
      </c>
      <c r="I3277" s="60" t="s">
        <v>106</v>
      </c>
      <c r="J3277" s="60">
        <v>250</v>
      </c>
      <c r="K3277" s="60">
        <v>44</v>
      </c>
      <c r="L3277" s="60">
        <v>26</v>
      </c>
      <c r="M3277" s="60">
        <v>12</v>
      </c>
      <c r="N3277" s="494">
        <v>112</v>
      </c>
      <c r="O3277" s="60">
        <v>36</v>
      </c>
      <c r="P3277" s="494">
        <v>22</v>
      </c>
      <c r="Q3277" s="182">
        <f t="shared" si="3923"/>
        <v>0.28000000000000003</v>
      </c>
      <c r="R3277" s="182">
        <f t="shared" si="3924"/>
        <v>0.44800000000000001</v>
      </c>
      <c r="S3277" s="183">
        <f t="shared" si="3925"/>
        <v>8.7999999999999995E-2</v>
      </c>
      <c r="T3277" s="183">
        <f t="shared" si="3926"/>
        <v>0.14399999999999999</v>
      </c>
      <c r="U3277" s="184">
        <f t="shared" si="3927"/>
        <v>0.96000000000000008</v>
      </c>
      <c r="V3277" s="386"/>
    </row>
    <row r="3278" spans="2:22" ht="15.75" hidden="1" x14ac:dyDescent="0.2">
      <c r="B3278" s="711">
        <v>46290</v>
      </c>
      <c r="C3278" s="711" t="s">
        <v>106</v>
      </c>
      <c r="D3278" s="711" t="s">
        <v>13</v>
      </c>
      <c r="E3278" s="711">
        <v>46291</v>
      </c>
      <c r="G3278" s="772"/>
      <c r="H3278" s="497" t="s">
        <v>25</v>
      </c>
      <c r="I3278" s="60" t="s">
        <v>105</v>
      </c>
      <c r="J3278" s="60">
        <v>167</v>
      </c>
      <c r="K3278" s="60">
        <v>0</v>
      </c>
      <c r="L3278" s="60">
        <v>0</v>
      </c>
      <c r="M3278" s="60">
        <v>129</v>
      </c>
      <c r="N3278" s="494">
        <v>25</v>
      </c>
      <c r="O3278" s="60">
        <v>23</v>
      </c>
      <c r="P3278" s="494">
        <v>15</v>
      </c>
      <c r="Q3278" s="182">
        <f t="shared" si="3923"/>
        <v>0</v>
      </c>
      <c r="R3278" s="182">
        <f t="shared" si="3924"/>
        <v>0.1497005988023952</v>
      </c>
      <c r="S3278" s="183">
        <f t="shared" si="3925"/>
        <v>8.9820359281437126E-2</v>
      </c>
      <c r="T3278" s="183">
        <f t="shared" si="3926"/>
        <v>0.1377245508982036</v>
      </c>
      <c r="U3278" s="184">
        <f t="shared" si="3927"/>
        <v>0.3772455089820359</v>
      </c>
      <c r="V3278" s="386"/>
    </row>
    <row r="3279" spans="2:22" ht="15.75" hidden="1" x14ac:dyDescent="0.2">
      <c r="B3279" s="711">
        <v>46290</v>
      </c>
      <c r="C3279" s="711" t="s">
        <v>106</v>
      </c>
      <c r="D3279" s="711" t="s">
        <v>13</v>
      </c>
      <c r="E3279" s="711">
        <v>46291</v>
      </c>
      <c r="G3279" s="775" t="s">
        <v>19</v>
      </c>
      <c r="H3279" s="776"/>
      <c r="I3279" s="777"/>
      <c r="J3279" s="410">
        <f>SUM(J3271:J3278)</f>
        <v>1285</v>
      </c>
      <c r="K3279" s="410">
        <f t="shared" ref="K3279:P3279" si="3928">SUM(K3271:K3278)</f>
        <v>608</v>
      </c>
      <c r="L3279" s="410">
        <f t="shared" si="3928"/>
        <v>153</v>
      </c>
      <c r="M3279" s="410">
        <f t="shared" si="3928"/>
        <v>183</v>
      </c>
      <c r="N3279" s="410">
        <f t="shared" si="3928"/>
        <v>190</v>
      </c>
      <c r="O3279" s="410">
        <f t="shared" si="3928"/>
        <v>137</v>
      </c>
      <c r="P3279" s="410">
        <f t="shared" si="3928"/>
        <v>72</v>
      </c>
      <c r="Q3279" s="593">
        <f>(K3279+L3279)/J3279</f>
        <v>0.59221789883268483</v>
      </c>
      <c r="R3279" s="593">
        <f>N3279/J3279</f>
        <v>0.14785992217898833</v>
      </c>
      <c r="S3279" s="594">
        <f t="shared" si="3925"/>
        <v>5.6031128404669263E-2</v>
      </c>
      <c r="T3279" s="594">
        <f t="shared" si="3926"/>
        <v>0.10661478599221789</v>
      </c>
      <c r="U3279" s="595">
        <f t="shared" si="3927"/>
        <v>0.90272373540856032</v>
      </c>
      <c r="V3279" s="479"/>
    </row>
    <row r="3280" spans="2:22" ht="15.75" hidden="1" x14ac:dyDescent="0.2">
      <c r="B3280" s="711">
        <v>46290</v>
      </c>
      <c r="C3280" s="711" t="s">
        <v>105</v>
      </c>
      <c r="D3280" s="711" t="s">
        <v>189</v>
      </c>
      <c r="E3280" s="711">
        <v>46290</v>
      </c>
      <c r="G3280" s="778">
        <v>46290</v>
      </c>
      <c r="H3280" s="497" t="s">
        <v>16</v>
      </c>
      <c r="I3280" s="60" t="s">
        <v>27</v>
      </c>
      <c r="J3280" s="60">
        <v>24</v>
      </c>
      <c r="K3280" s="60">
        <f>J3280-L3280-M3280-N3280-O3280-P3280</f>
        <v>7</v>
      </c>
      <c r="L3280" s="60">
        <v>0</v>
      </c>
      <c r="M3280" s="60">
        <v>0</v>
      </c>
      <c r="N3280" s="494">
        <v>0</v>
      </c>
      <c r="O3280" s="60">
        <v>12</v>
      </c>
      <c r="P3280" s="494">
        <v>5</v>
      </c>
      <c r="Q3280" s="182">
        <f t="shared" ref="Q3280:Q3287" si="3929">(K3280+L3280)/J3280</f>
        <v>0.29166666666666669</v>
      </c>
      <c r="R3280" s="182">
        <f t="shared" ref="R3280:R3287" si="3930">N3280/J3280</f>
        <v>0</v>
      </c>
      <c r="S3280" s="183">
        <f t="shared" ref="S3280:S3292" si="3931">P3280/J3280</f>
        <v>0.20833333333333334</v>
      </c>
      <c r="T3280" s="183">
        <f t="shared" ref="T3280:T3292" si="3932">O3280/J3280</f>
        <v>0.5</v>
      </c>
      <c r="U3280" s="184">
        <f t="shared" ref="U3280:U3292" si="3933">S3280+R3280+Q3280+T3280</f>
        <v>1</v>
      </c>
      <c r="V3280" s="386"/>
    </row>
    <row r="3281" spans="2:22" ht="15.75" hidden="1" x14ac:dyDescent="0.2">
      <c r="B3281" s="711">
        <v>46290</v>
      </c>
      <c r="C3281" s="711" t="s">
        <v>105</v>
      </c>
      <c r="D3281" s="711" t="s">
        <v>189</v>
      </c>
      <c r="E3281" s="711">
        <v>46290</v>
      </c>
      <c r="G3281" s="786"/>
      <c r="H3281" s="497" t="s">
        <v>17</v>
      </c>
      <c r="I3281" s="60" t="s">
        <v>105</v>
      </c>
      <c r="J3281" s="60">
        <v>45</v>
      </c>
      <c r="K3281" s="60">
        <f>J3281-L3281-M3281-N3281-O3281-P3281</f>
        <v>20</v>
      </c>
      <c r="L3281" s="60">
        <v>3</v>
      </c>
      <c r="M3281" s="60">
        <v>0</v>
      </c>
      <c r="N3281" s="494">
        <v>0</v>
      </c>
      <c r="O3281" s="60">
        <v>15</v>
      </c>
      <c r="P3281" s="494">
        <v>7</v>
      </c>
      <c r="Q3281" s="182">
        <f t="shared" si="3929"/>
        <v>0.51111111111111107</v>
      </c>
      <c r="R3281" s="182">
        <f t="shared" si="3930"/>
        <v>0</v>
      </c>
      <c r="S3281" s="183">
        <f t="shared" si="3931"/>
        <v>0.15555555555555556</v>
      </c>
      <c r="T3281" s="183">
        <f t="shared" si="3932"/>
        <v>0.33333333333333331</v>
      </c>
      <c r="U3281" s="184">
        <f t="shared" si="3933"/>
        <v>1</v>
      </c>
      <c r="V3281" s="386"/>
    </row>
    <row r="3282" spans="2:22" ht="16.5" hidden="1" thickBot="1" x14ac:dyDescent="0.25">
      <c r="B3282" s="711">
        <v>46290</v>
      </c>
      <c r="C3282" s="711" t="s">
        <v>105</v>
      </c>
      <c r="D3282" s="711" t="s">
        <v>189</v>
      </c>
      <c r="E3282" s="711">
        <v>46290</v>
      </c>
      <c r="G3282" s="799"/>
      <c r="H3282" s="581" t="s">
        <v>120</v>
      </c>
      <c r="I3282" s="579" t="s">
        <v>105</v>
      </c>
      <c r="J3282" s="579">
        <v>30</v>
      </c>
      <c r="K3282" s="579">
        <f>J3282-L3282-M3282-N3282-O3282-P3282</f>
        <v>27</v>
      </c>
      <c r="L3282" s="579">
        <v>0</v>
      </c>
      <c r="M3282" s="579">
        <v>0</v>
      </c>
      <c r="N3282" s="600">
        <v>0</v>
      </c>
      <c r="O3282" s="579">
        <v>0</v>
      </c>
      <c r="P3282" s="600">
        <v>3</v>
      </c>
      <c r="Q3282" s="601">
        <f t="shared" si="3929"/>
        <v>0.9</v>
      </c>
      <c r="R3282" s="601">
        <f t="shared" si="3930"/>
        <v>0</v>
      </c>
      <c r="S3282" s="602">
        <f t="shared" si="3931"/>
        <v>0.1</v>
      </c>
      <c r="T3282" s="602">
        <f t="shared" si="3932"/>
        <v>0</v>
      </c>
      <c r="U3282" s="603">
        <f t="shared" si="3933"/>
        <v>1</v>
      </c>
      <c r="V3282" s="386"/>
    </row>
    <row r="3283" spans="2:22" ht="16.5" hidden="1" thickTop="1" x14ac:dyDescent="0.2">
      <c r="B3283" s="711">
        <v>46290</v>
      </c>
      <c r="C3283" s="711" t="s">
        <v>105</v>
      </c>
      <c r="D3283" s="711" t="s">
        <v>189</v>
      </c>
      <c r="E3283" s="711">
        <v>46291</v>
      </c>
      <c r="G3283" s="802">
        <v>46291</v>
      </c>
      <c r="H3283" s="586" t="s">
        <v>16</v>
      </c>
      <c r="I3283" s="583" t="s">
        <v>27</v>
      </c>
      <c r="J3283" s="583">
        <v>59</v>
      </c>
      <c r="K3283" s="583">
        <f>J3283-L3283-M3283-N3283-O3283-P3283</f>
        <v>27</v>
      </c>
      <c r="L3283" s="583">
        <v>5</v>
      </c>
      <c r="M3283" s="583">
        <v>23</v>
      </c>
      <c r="N3283" s="596">
        <v>0</v>
      </c>
      <c r="O3283" s="583">
        <v>0</v>
      </c>
      <c r="P3283" s="596">
        <v>4</v>
      </c>
      <c r="Q3283" s="597">
        <f t="shared" ref="Q3283:Q3285" si="3934">(K3283+L3283)/J3283</f>
        <v>0.5423728813559322</v>
      </c>
      <c r="R3283" s="597">
        <f t="shared" ref="R3283:R3285" si="3935">N3283/J3283</f>
        <v>0</v>
      </c>
      <c r="S3283" s="598">
        <f t="shared" ref="S3283:S3285" si="3936">P3283/J3283</f>
        <v>6.7796610169491525E-2</v>
      </c>
      <c r="T3283" s="598">
        <f t="shared" ref="T3283:T3285" si="3937">O3283/J3283</f>
        <v>0</v>
      </c>
      <c r="U3283" s="599">
        <f t="shared" ref="U3283:U3285" si="3938">S3283+R3283+Q3283+T3283</f>
        <v>0.61016949152542377</v>
      </c>
      <c r="V3283" s="386"/>
    </row>
    <row r="3284" spans="2:22" ht="15.75" hidden="1" x14ac:dyDescent="0.2">
      <c r="B3284" s="711">
        <v>46290</v>
      </c>
      <c r="C3284" s="711" t="s">
        <v>105</v>
      </c>
      <c r="D3284" s="711" t="s">
        <v>189</v>
      </c>
      <c r="E3284" s="711">
        <v>46291</v>
      </c>
      <c r="G3284" s="786"/>
      <c r="H3284" s="497" t="s">
        <v>17</v>
      </c>
      <c r="I3284" s="60" t="s">
        <v>106</v>
      </c>
      <c r="J3284" s="60">
        <v>181</v>
      </c>
      <c r="K3284" s="60">
        <f t="shared" ref="K3284:K3287" si="3939">J3284-L3284-M3284-N3284-O3284-P3284</f>
        <v>93</v>
      </c>
      <c r="L3284" s="194">
        <v>30</v>
      </c>
      <c r="M3284" s="194">
        <v>38</v>
      </c>
      <c r="N3284" s="538">
        <v>0</v>
      </c>
      <c r="O3284" s="194">
        <v>0</v>
      </c>
      <c r="P3284" s="538">
        <v>20</v>
      </c>
      <c r="Q3284" s="182">
        <f t="shared" si="3934"/>
        <v>0.6795580110497238</v>
      </c>
      <c r="R3284" s="182">
        <f t="shared" si="3935"/>
        <v>0</v>
      </c>
      <c r="S3284" s="183">
        <f t="shared" si="3936"/>
        <v>0.11049723756906077</v>
      </c>
      <c r="T3284" s="183">
        <f t="shared" si="3937"/>
        <v>0</v>
      </c>
      <c r="U3284" s="184">
        <f t="shared" si="3938"/>
        <v>0.79005524861878462</v>
      </c>
      <c r="V3284" s="386"/>
    </row>
    <row r="3285" spans="2:22" ht="16.5" hidden="1" thickBot="1" x14ac:dyDescent="0.25">
      <c r="B3285" s="711">
        <v>46290</v>
      </c>
      <c r="C3285" s="711" t="s">
        <v>105</v>
      </c>
      <c r="D3285" s="711" t="s">
        <v>189</v>
      </c>
      <c r="E3285" s="711">
        <v>46291</v>
      </c>
      <c r="G3285" s="799"/>
      <c r="H3285" s="581" t="s">
        <v>25</v>
      </c>
      <c r="I3285" s="579" t="s">
        <v>105</v>
      </c>
      <c r="J3285" s="579">
        <v>165</v>
      </c>
      <c r="K3285" s="604">
        <f t="shared" si="3939"/>
        <v>0</v>
      </c>
      <c r="L3285" s="604">
        <v>0</v>
      </c>
      <c r="M3285" s="604">
        <v>21</v>
      </c>
      <c r="N3285" s="605">
        <v>129</v>
      </c>
      <c r="O3285" s="604">
        <v>0</v>
      </c>
      <c r="P3285" s="605">
        <v>15</v>
      </c>
      <c r="Q3285" s="601">
        <f t="shared" si="3934"/>
        <v>0</v>
      </c>
      <c r="R3285" s="601">
        <f t="shared" si="3935"/>
        <v>0.78181818181818186</v>
      </c>
      <c r="S3285" s="602">
        <f t="shared" si="3936"/>
        <v>9.0909090909090912E-2</v>
      </c>
      <c r="T3285" s="602">
        <f t="shared" si="3937"/>
        <v>0</v>
      </c>
      <c r="U3285" s="603">
        <f t="shared" si="3938"/>
        <v>0.8727272727272728</v>
      </c>
      <c r="V3285" s="386"/>
    </row>
    <row r="3286" spans="2:22" ht="17.25" hidden="1" thickTop="1" thickBot="1" x14ac:dyDescent="0.25">
      <c r="B3286" s="711">
        <v>46290</v>
      </c>
      <c r="C3286" s="711" t="s">
        <v>105</v>
      </c>
      <c r="D3286" s="711" t="s">
        <v>189</v>
      </c>
      <c r="E3286" s="711">
        <v>46292</v>
      </c>
      <c r="G3286" s="588">
        <v>46292</v>
      </c>
      <c r="H3286" s="591" t="s">
        <v>17</v>
      </c>
      <c r="I3286" s="589" t="s">
        <v>106</v>
      </c>
      <c r="J3286" s="589">
        <v>221</v>
      </c>
      <c r="K3286" s="589">
        <f t="shared" si="3939"/>
        <v>0</v>
      </c>
      <c r="L3286" s="589">
        <v>0</v>
      </c>
      <c r="M3286" s="589">
        <v>118</v>
      </c>
      <c r="N3286" s="606">
        <v>79</v>
      </c>
      <c r="O3286" s="589">
        <v>0</v>
      </c>
      <c r="P3286" s="606">
        <v>24</v>
      </c>
      <c r="Q3286" s="607">
        <f t="shared" si="3929"/>
        <v>0</v>
      </c>
      <c r="R3286" s="607">
        <f t="shared" si="3930"/>
        <v>0.3574660633484163</v>
      </c>
      <c r="S3286" s="608">
        <f t="shared" si="3931"/>
        <v>0.10859728506787331</v>
      </c>
      <c r="T3286" s="608">
        <f t="shared" si="3932"/>
        <v>0</v>
      </c>
      <c r="U3286" s="609">
        <f t="shared" si="3933"/>
        <v>0.4660633484162896</v>
      </c>
      <c r="V3286" s="386"/>
    </row>
    <row r="3287" spans="2:22" ht="16.5" hidden="1" thickBot="1" x14ac:dyDescent="0.25">
      <c r="B3287" s="711">
        <v>46290</v>
      </c>
      <c r="C3287" s="711" t="s">
        <v>105</v>
      </c>
      <c r="D3287" s="711" t="s">
        <v>189</v>
      </c>
      <c r="E3287" s="711">
        <v>46293</v>
      </c>
      <c r="G3287" s="693">
        <v>46293</v>
      </c>
      <c r="H3287" s="575" t="s">
        <v>25</v>
      </c>
      <c r="I3287" s="194" t="s">
        <v>105</v>
      </c>
      <c r="J3287" s="194">
        <v>214</v>
      </c>
      <c r="K3287" s="576">
        <f t="shared" si="3939"/>
        <v>0</v>
      </c>
      <c r="L3287" s="194">
        <v>0</v>
      </c>
      <c r="M3287" s="194">
        <v>20</v>
      </c>
      <c r="N3287" s="538">
        <v>188</v>
      </c>
      <c r="O3287" s="194">
        <v>0</v>
      </c>
      <c r="P3287" s="538">
        <v>6</v>
      </c>
      <c r="Q3287" s="195">
        <f t="shared" si="3929"/>
        <v>0</v>
      </c>
      <c r="R3287" s="195">
        <f t="shared" si="3930"/>
        <v>0.87850467289719625</v>
      </c>
      <c r="S3287" s="196">
        <f t="shared" si="3931"/>
        <v>2.8037383177570093E-2</v>
      </c>
      <c r="T3287" s="196">
        <f t="shared" si="3932"/>
        <v>0</v>
      </c>
      <c r="U3287" s="197">
        <f t="shared" si="3933"/>
        <v>0.90654205607476634</v>
      </c>
      <c r="V3287" s="386"/>
    </row>
    <row r="3288" spans="2:22" ht="15.75" hidden="1" x14ac:dyDescent="0.2">
      <c r="B3288" s="711">
        <v>46290</v>
      </c>
      <c r="C3288" s="711" t="s">
        <v>105</v>
      </c>
      <c r="D3288" s="711" t="s">
        <v>189</v>
      </c>
      <c r="E3288" s="711">
        <v>46293</v>
      </c>
      <c r="G3288" s="775" t="s">
        <v>19</v>
      </c>
      <c r="H3288" s="776"/>
      <c r="I3288" s="777"/>
      <c r="J3288" s="410">
        <f>SUM(J3280:J3287)</f>
        <v>939</v>
      </c>
      <c r="K3288" s="410">
        <f t="shared" ref="K3288:P3288" si="3940">SUM(K3280:K3287)</f>
        <v>174</v>
      </c>
      <c r="L3288" s="410">
        <f t="shared" si="3940"/>
        <v>38</v>
      </c>
      <c r="M3288" s="410">
        <f t="shared" si="3940"/>
        <v>220</v>
      </c>
      <c r="N3288" s="410">
        <f t="shared" si="3940"/>
        <v>396</v>
      </c>
      <c r="O3288" s="410">
        <f t="shared" si="3940"/>
        <v>27</v>
      </c>
      <c r="P3288" s="410">
        <f t="shared" si="3940"/>
        <v>84</v>
      </c>
      <c r="Q3288" s="593">
        <f>(K3288+L3288)/J3288</f>
        <v>0.22577209797657083</v>
      </c>
      <c r="R3288" s="593">
        <f>N3288/J3288</f>
        <v>0.4217252396166134</v>
      </c>
      <c r="S3288" s="594">
        <f t="shared" si="3931"/>
        <v>8.9456869009584661E-2</v>
      </c>
      <c r="T3288" s="594">
        <f t="shared" si="3932"/>
        <v>2.8753993610223641E-2</v>
      </c>
      <c r="U3288" s="595">
        <f t="shared" si="3933"/>
        <v>0.76570820021299257</v>
      </c>
      <c r="V3288" s="479"/>
    </row>
    <row r="3289" spans="2:22" ht="15.75" hidden="1" x14ac:dyDescent="0.2">
      <c r="B3289" s="711">
        <v>46291</v>
      </c>
      <c r="C3289" s="711" t="s">
        <v>106</v>
      </c>
      <c r="D3289" s="711" t="s">
        <v>13</v>
      </c>
      <c r="E3289" s="711">
        <v>46291</v>
      </c>
      <c r="G3289" s="778">
        <v>46291</v>
      </c>
      <c r="H3289" s="497" t="s">
        <v>16</v>
      </c>
      <c r="I3289" s="60" t="s">
        <v>27</v>
      </c>
      <c r="J3289" s="60">
        <v>27</v>
      </c>
      <c r="K3289" s="60">
        <f t="shared" ref="K3289:K3291" si="3941">J3289-L3289-M3289-N3289-O3289-P3289</f>
        <v>5</v>
      </c>
      <c r="L3289" s="60">
        <v>0</v>
      </c>
      <c r="M3289" s="60">
        <v>0</v>
      </c>
      <c r="N3289" s="494">
        <v>0</v>
      </c>
      <c r="O3289" s="60">
        <v>19</v>
      </c>
      <c r="P3289" s="494">
        <v>3</v>
      </c>
      <c r="Q3289" s="182">
        <f t="shared" ref="Q3289:Q3294" si="3942">(K3289+L3289)/J3289</f>
        <v>0.18518518518518517</v>
      </c>
      <c r="R3289" s="182">
        <f t="shared" ref="R3289:R3294" si="3943">N3289/J3289</f>
        <v>0</v>
      </c>
      <c r="S3289" s="183">
        <f t="shared" si="3931"/>
        <v>0.1111111111111111</v>
      </c>
      <c r="T3289" s="183">
        <f t="shared" si="3932"/>
        <v>0.70370370370370372</v>
      </c>
      <c r="U3289" s="184">
        <f t="shared" si="3933"/>
        <v>1</v>
      </c>
      <c r="V3289" s="615"/>
    </row>
    <row r="3290" spans="2:22" ht="15.75" hidden="1" x14ac:dyDescent="0.2">
      <c r="B3290" s="711">
        <v>46291</v>
      </c>
      <c r="C3290" s="711" t="s">
        <v>106</v>
      </c>
      <c r="D3290" s="711" t="s">
        <v>13</v>
      </c>
      <c r="E3290" s="711">
        <v>46291</v>
      </c>
      <c r="G3290" s="786"/>
      <c r="H3290" s="497" t="s">
        <v>17</v>
      </c>
      <c r="I3290" s="60" t="s">
        <v>106</v>
      </c>
      <c r="J3290" s="60">
        <f>16+1+34+19</f>
        <v>70</v>
      </c>
      <c r="K3290" s="60">
        <f t="shared" si="3941"/>
        <v>16</v>
      </c>
      <c r="L3290" s="60">
        <v>1</v>
      </c>
      <c r="M3290" s="60">
        <v>0</v>
      </c>
      <c r="N3290" s="494">
        <v>0</v>
      </c>
      <c r="O3290" s="60">
        <v>34</v>
      </c>
      <c r="P3290" s="494">
        <v>19</v>
      </c>
      <c r="Q3290" s="182">
        <f t="shared" si="3942"/>
        <v>0.24285714285714285</v>
      </c>
      <c r="R3290" s="182">
        <f t="shared" si="3943"/>
        <v>0</v>
      </c>
      <c r="S3290" s="183">
        <f t="shared" si="3931"/>
        <v>0.27142857142857141</v>
      </c>
      <c r="T3290" s="183">
        <f t="shared" si="3932"/>
        <v>0.48571428571428571</v>
      </c>
      <c r="U3290" s="184">
        <f t="shared" si="3933"/>
        <v>1</v>
      </c>
      <c r="V3290" s="615"/>
    </row>
    <row r="3291" spans="2:22" ht="16.5" hidden="1" thickBot="1" x14ac:dyDescent="0.25">
      <c r="B3291" s="711">
        <v>46291</v>
      </c>
      <c r="C3291" s="711" t="s">
        <v>106</v>
      </c>
      <c r="D3291" s="711" t="s">
        <v>13</v>
      </c>
      <c r="E3291" s="711">
        <v>46291</v>
      </c>
      <c r="G3291" s="799"/>
      <c r="H3291" s="581" t="s">
        <v>25</v>
      </c>
      <c r="I3291" s="579" t="s">
        <v>105</v>
      </c>
      <c r="J3291" s="579">
        <v>166</v>
      </c>
      <c r="K3291" s="60">
        <f t="shared" si="3941"/>
        <v>114</v>
      </c>
      <c r="L3291" s="579">
        <v>17</v>
      </c>
      <c r="M3291" s="579">
        <v>0</v>
      </c>
      <c r="N3291" s="600">
        <v>0</v>
      </c>
      <c r="O3291" s="579">
        <v>21</v>
      </c>
      <c r="P3291" s="600">
        <v>14</v>
      </c>
      <c r="Q3291" s="601">
        <f t="shared" si="3942"/>
        <v>0.78915662650602414</v>
      </c>
      <c r="R3291" s="601">
        <f t="shared" si="3943"/>
        <v>0</v>
      </c>
      <c r="S3291" s="602">
        <f t="shared" si="3931"/>
        <v>8.4337349397590355E-2</v>
      </c>
      <c r="T3291" s="602">
        <f t="shared" si="3932"/>
        <v>0.12650602409638553</v>
      </c>
      <c r="U3291" s="603">
        <f t="shared" si="3933"/>
        <v>1</v>
      </c>
      <c r="V3291" s="615"/>
    </row>
    <row r="3292" spans="2:22" ht="16.5" hidden="1" thickTop="1" x14ac:dyDescent="0.2">
      <c r="B3292" s="711">
        <v>46291</v>
      </c>
      <c r="C3292" s="711" t="s">
        <v>106</v>
      </c>
      <c r="D3292" s="711" t="s">
        <v>13</v>
      </c>
      <c r="E3292" s="711">
        <v>46291</v>
      </c>
      <c r="G3292" s="800">
        <v>46292</v>
      </c>
      <c r="H3292" s="625" t="s">
        <v>17</v>
      </c>
      <c r="I3292" s="626" t="s">
        <v>106</v>
      </c>
      <c r="J3292" s="626">
        <v>221</v>
      </c>
      <c r="K3292" s="626">
        <f t="shared" ref="K3292" si="3944">J3292-L3292-M3292-N3292-O3292-P3292</f>
        <v>43</v>
      </c>
      <c r="L3292" s="626">
        <v>28</v>
      </c>
      <c r="M3292" s="626">
        <v>2</v>
      </c>
      <c r="N3292" s="627">
        <v>90</v>
      </c>
      <c r="O3292" s="626">
        <v>34</v>
      </c>
      <c r="P3292" s="627">
        <v>24</v>
      </c>
      <c r="Q3292" s="628">
        <f t="shared" ref="Q3292" si="3945">(K3292+L3292)/J3292</f>
        <v>0.32126696832579188</v>
      </c>
      <c r="R3292" s="628">
        <f t="shared" ref="R3292" si="3946">N3292/J3292</f>
        <v>0.40723981900452488</v>
      </c>
      <c r="S3292" s="629">
        <f t="shared" si="3931"/>
        <v>0.10859728506787331</v>
      </c>
      <c r="T3292" s="629">
        <f t="shared" si="3932"/>
        <v>0.15384615384615385</v>
      </c>
      <c r="U3292" s="630">
        <f t="shared" si="3933"/>
        <v>0.99095022624434381</v>
      </c>
      <c r="V3292" s="615"/>
    </row>
    <row r="3293" spans="2:22" ht="16.5" hidden="1" thickBot="1" x14ac:dyDescent="0.25">
      <c r="B3293" s="711">
        <v>46291</v>
      </c>
      <c r="C3293" s="711" t="s">
        <v>106</v>
      </c>
      <c r="D3293" s="711" t="s">
        <v>13</v>
      </c>
      <c r="E3293" s="711">
        <v>46292</v>
      </c>
      <c r="G3293" s="801"/>
      <c r="H3293" s="616" t="s">
        <v>25</v>
      </c>
      <c r="I3293" s="617" t="s">
        <v>106</v>
      </c>
      <c r="J3293" s="617">
        <v>162</v>
      </c>
      <c r="K3293" s="617">
        <f t="shared" ref="K3293:K3294" si="3947">J3293-L3293-M3293-N3293-O3293-P3293</f>
        <v>0</v>
      </c>
      <c r="L3293" s="617">
        <v>0</v>
      </c>
      <c r="M3293" s="617">
        <v>162</v>
      </c>
      <c r="N3293" s="618">
        <v>0</v>
      </c>
      <c r="O3293" s="617">
        <v>0</v>
      </c>
      <c r="P3293" s="618">
        <v>0</v>
      </c>
      <c r="Q3293" s="619">
        <f t="shared" si="3942"/>
        <v>0</v>
      </c>
      <c r="R3293" s="619">
        <f t="shared" si="3943"/>
        <v>0</v>
      </c>
      <c r="S3293" s="620">
        <f t="shared" ref="S3293:S3307" si="3948">P3293/J3293</f>
        <v>0</v>
      </c>
      <c r="T3293" s="620">
        <f t="shared" ref="T3293:T3307" si="3949">O3293/J3293</f>
        <v>0</v>
      </c>
      <c r="U3293" s="621">
        <f t="shared" ref="U3293:U3294" si="3950">S3293+R3293+Q3293+T3293</f>
        <v>0</v>
      </c>
      <c r="V3293" s="615"/>
    </row>
    <row r="3294" spans="2:22" ht="16.5" hidden="1" thickTop="1" x14ac:dyDescent="0.2">
      <c r="B3294" s="711">
        <v>46291</v>
      </c>
      <c r="C3294" s="711" t="s">
        <v>106</v>
      </c>
      <c r="D3294" s="711" t="s">
        <v>13</v>
      </c>
      <c r="E3294" s="711">
        <v>46293</v>
      </c>
      <c r="G3294" s="802">
        <v>46293</v>
      </c>
      <c r="H3294" s="575" t="s">
        <v>16</v>
      </c>
      <c r="I3294" s="194" t="s">
        <v>105</v>
      </c>
      <c r="J3294" s="194">
        <v>214</v>
      </c>
      <c r="K3294" s="194">
        <f t="shared" si="3947"/>
        <v>46</v>
      </c>
      <c r="L3294" s="194">
        <v>2</v>
      </c>
      <c r="M3294" s="194">
        <v>0</v>
      </c>
      <c r="N3294" s="538">
        <v>140</v>
      </c>
      <c r="O3294" s="194">
        <v>20</v>
      </c>
      <c r="P3294" s="538">
        <v>6</v>
      </c>
      <c r="Q3294" s="195">
        <f t="shared" si="3942"/>
        <v>0.22429906542056074</v>
      </c>
      <c r="R3294" s="195">
        <f t="shared" si="3943"/>
        <v>0.65420560747663548</v>
      </c>
      <c r="S3294" s="196">
        <f t="shared" si="3948"/>
        <v>2.8037383177570093E-2</v>
      </c>
      <c r="T3294" s="196">
        <f t="shared" si="3949"/>
        <v>9.3457943925233641E-2</v>
      </c>
      <c r="U3294" s="197">
        <f t="shared" si="3950"/>
        <v>1</v>
      </c>
      <c r="V3294" s="615"/>
    </row>
    <row r="3295" spans="2:22" ht="15.75" hidden="1" x14ac:dyDescent="0.2">
      <c r="B3295" s="711">
        <v>46291</v>
      </c>
      <c r="C3295" s="711" t="s">
        <v>106</v>
      </c>
      <c r="D3295" s="711" t="s">
        <v>13</v>
      </c>
      <c r="E3295" s="711">
        <v>46293</v>
      </c>
      <c r="G3295" s="779"/>
      <c r="H3295" s="497" t="s">
        <v>32</v>
      </c>
      <c r="I3295" s="60" t="s">
        <v>105</v>
      </c>
      <c r="J3295" s="60">
        <v>343</v>
      </c>
      <c r="K3295" s="60">
        <f t="shared" ref="K3295" si="3951">J3295-L3295-M3295-N3295-O3295-P3295</f>
        <v>0</v>
      </c>
      <c r="L3295" s="60">
        <v>0</v>
      </c>
      <c r="M3295" s="60">
        <v>202</v>
      </c>
      <c r="N3295" s="494">
        <v>95</v>
      </c>
      <c r="O3295" s="60">
        <v>21</v>
      </c>
      <c r="P3295" s="494">
        <v>25</v>
      </c>
      <c r="Q3295" s="182">
        <f t="shared" ref="Q3295" si="3952">(K3295+L3295)/J3295</f>
        <v>0</v>
      </c>
      <c r="R3295" s="182">
        <f t="shared" ref="R3295" si="3953">N3295/J3295</f>
        <v>0.27696793002915454</v>
      </c>
      <c r="S3295" s="183">
        <f t="shared" ref="S3295" si="3954">P3295/J3295</f>
        <v>7.2886297376093298E-2</v>
      </c>
      <c r="T3295" s="183">
        <f t="shared" ref="T3295" si="3955">O3295/J3295</f>
        <v>6.1224489795918366E-2</v>
      </c>
      <c r="U3295" s="184">
        <f t="shared" ref="U3295" si="3956">S3295+R3295+Q3295+T3295</f>
        <v>0.41107871720116623</v>
      </c>
      <c r="V3295" s="615"/>
    </row>
    <row r="3296" spans="2:22" ht="15.75" hidden="1" x14ac:dyDescent="0.2">
      <c r="B3296" s="711">
        <v>46291</v>
      </c>
      <c r="C3296" s="711" t="s">
        <v>106</v>
      </c>
      <c r="D3296" s="711" t="s">
        <v>13</v>
      </c>
      <c r="E3296" s="711">
        <v>46293</v>
      </c>
      <c r="G3296" s="775" t="s">
        <v>19</v>
      </c>
      <c r="H3296" s="776"/>
      <c r="I3296" s="777"/>
      <c r="J3296" s="190">
        <f>SUM(J3289:J3295)</f>
        <v>1203</v>
      </c>
      <c r="K3296" s="190">
        <f t="shared" ref="K3296:P3296" si="3957">SUM(K3289:K3295)</f>
        <v>224</v>
      </c>
      <c r="L3296" s="190">
        <f t="shared" si="3957"/>
        <v>48</v>
      </c>
      <c r="M3296" s="190">
        <f t="shared" si="3957"/>
        <v>366</v>
      </c>
      <c r="N3296" s="190">
        <f t="shared" si="3957"/>
        <v>325</v>
      </c>
      <c r="O3296" s="190">
        <f t="shared" si="3957"/>
        <v>149</v>
      </c>
      <c r="P3296" s="190">
        <f t="shared" si="3957"/>
        <v>91</v>
      </c>
      <c r="Q3296" s="622">
        <f>(K3296+L3296)/J3296</f>
        <v>0.22610141313383209</v>
      </c>
      <c r="R3296" s="622">
        <f>N3296/J3296</f>
        <v>0.27015793848711556</v>
      </c>
      <c r="S3296" s="623">
        <f t="shared" si="3948"/>
        <v>7.564422277639235E-2</v>
      </c>
      <c r="T3296" s="623">
        <f t="shared" si="3949"/>
        <v>0.12385702410640066</v>
      </c>
      <c r="U3296" s="624">
        <f>S3296+R3296+Q3296+T3296</f>
        <v>0.69576059850374061</v>
      </c>
      <c r="V3296" s="479"/>
    </row>
    <row r="3297" spans="2:22" ht="15.75" hidden="1" x14ac:dyDescent="0.2">
      <c r="B3297" s="711">
        <v>46291</v>
      </c>
      <c r="C3297" s="711" t="s">
        <v>105</v>
      </c>
      <c r="D3297" s="711" t="s">
        <v>189</v>
      </c>
      <c r="E3297" s="711">
        <v>46291</v>
      </c>
      <c r="G3297" s="778">
        <v>46291</v>
      </c>
      <c r="H3297" s="497" t="s">
        <v>16</v>
      </c>
      <c r="I3297" s="60" t="s">
        <v>27</v>
      </c>
      <c r="J3297" s="60">
        <f>SUM(K3297:P3297)</f>
        <v>12</v>
      </c>
      <c r="K3297" s="60">
        <v>7</v>
      </c>
      <c r="L3297" s="60">
        <v>5</v>
      </c>
      <c r="M3297" s="60">
        <v>0</v>
      </c>
      <c r="N3297" s="494">
        <v>0</v>
      </c>
      <c r="O3297" s="60">
        <v>0</v>
      </c>
      <c r="P3297" s="494">
        <v>0</v>
      </c>
      <c r="Q3297" s="182">
        <f t="shared" ref="Q3297:Q3306" si="3958">(K3297+L3297)/J3297</f>
        <v>1</v>
      </c>
      <c r="R3297" s="182">
        <f t="shared" ref="R3297:R3306" si="3959">N3297/J3297</f>
        <v>0</v>
      </c>
      <c r="S3297" s="183">
        <f t="shared" si="3948"/>
        <v>0</v>
      </c>
      <c r="T3297" s="183">
        <f t="shared" si="3949"/>
        <v>0</v>
      </c>
      <c r="U3297" s="184">
        <f t="shared" ref="U3297:U3307" si="3960">S3297+R3297+Q3297+T3297</f>
        <v>1</v>
      </c>
      <c r="V3297" s="386"/>
    </row>
    <row r="3298" spans="2:22" ht="15.75" hidden="1" x14ac:dyDescent="0.2">
      <c r="B3298" s="711">
        <v>46291</v>
      </c>
      <c r="C3298" s="711" t="s">
        <v>105</v>
      </c>
      <c r="D3298" s="711" t="s">
        <v>189</v>
      </c>
      <c r="E3298" s="711">
        <v>46291</v>
      </c>
      <c r="G3298" s="786"/>
      <c r="H3298" s="497" t="s">
        <v>25</v>
      </c>
      <c r="I3298" s="60" t="s">
        <v>105</v>
      </c>
      <c r="J3298" s="60">
        <f t="shared" ref="J3298:J3306" si="3961">SUM(K3298:P3298)</f>
        <v>37</v>
      </c>
      <c r="K3298" s="60">
        <v>27</v>
      </c>
      <c r="L3298" s="60">
        <v>10</v>
      </c>
      <c r="M3298" s="60">
        <v>0</v>
      </c>
      <c r="N3298" s="494">
        <v>0</v>
      </c>
      <c r="O3298" s="60">
        <v>0</v>
      </c>
      <c r="P3298" s="494">
        <v>0</v>
      </c>
      <c r="Q3298" s="182">
        <f t="shared" si="3958"/>
        <v>1</v>
      </c>
      <c r="R3298" s="182">
        <f t="shared" si="3959"/>
        <v>0</v>
      </c>
      <c r="S3298" s="183">
        <f t="shared" si="3948"/>
        <v>0</v>
      </c>
      <c r="T3298" s="183">
        <f t="shared" si="3949"/>
        <v>0</v>
      </c>
      <c r="U3298" s="184">
        <f t="shared" si="3960"/>
        <v>1</v>
      </c>
      <c r="V3298" s="386"/>
    </row>
    <row r="3299" spans="2:22" ht="15.75" hidden="1" x14ac:dyDescent="0.2">
      <c r="B3299" s="711">
        <v>46291</v>
      </c>
      <c r="C3299" s="711" t="s">
        <v>105</v>
      </c>
      <c r="D3299" s="711" t="s">
        <v>189</v>
      </c>
      <c r="E3299" s="711">
        <v>46291</v>
      </c>
      <c r="G3299" s="779"/>
      <c r="H3299" s="497" t="s">
        <v>14</v>
      </c>
      <c r="I3299" s="60" t="s">
        <v>105</v>
      </c>
      <c r="J3299" s="60">
        <f t="shared" si="3961"/>
        <v>2</v>
      </c>
      <c r="K3299" s="60">
        <v>2</v>
      </c>
      <c r="L3299" s="60">
        <v>0</v>
      </c>
      <c r="M3299" s="60">
        <v>0</v>
      </c>
      <c r="N3299" s="494">
        <v>0</v>
      </c>
      <c r="O3299" s="60">
        <v>0</v>
      </c>
      <c r="P3299" s="494">
        <v>0</v>
      </c>
      <c r="Q3299" s="182">
        <f t="shared" si="3958"/>
        <v>1</v>
      </c>
      <c r="R3299" s="182">
        <f t="shared" si="3959"/>
        <v>0</v>
      </c>
      <c r="S3299" s="183">
        <f t="shared" si="3948"/>
        <v>0</v>
      </c>
      <c r="T3299" s="183">
        <f t="shared" si="3949"/>
        <v>0</v>
      </c>
      <c r="U3299" s="184">
        <f t="shared" si="3960"/>
        <v>1</v>
      </c>
      <c r="V3299" s="386"/>
    </row>
    <row r="3300" spans="2:22" ht="15.75" hidden="1" x14ac:dyDescent="0.2">
      <c r="B3300" s="711">
        <v>46291</v>
      </c>
      <c r="C3300" s="711" t="s">
        <v>105</v>
      </c>
      <c r="D3300" s="711" t="s">
        <v>189</v>
      </c>
      <c r="E3300" s="711">
        <v>46292</v>
      </c>
      <c r="G3300" s="773">
        <v>46292</v>
      </c>
      <c r="H3300" s="497" t="s">
        <v>17</v>
      </c>
      <c r="I3300" s="60" t="s">
        <v>106</v>
      </c>
      <c r="J3300" s="60">
        <f t="shared" si="3961"/>
        <v>165</v>
      </c>
      <c r="K3300" s="60">
        <v>74</v>
      </c>
      <c r="L3300" s="60">
        <v>22</v>
      </c>
      <c r="M3300" s="60">
        <v>7</v>
      </c>
      <c r="N3300" s="494">
        <v>0</v>
      </c>
      <c r="O3300" s="60">
        <v>39</v>
      </c>
      <c r="P3300" s="494">
        <v>23</v>
      </c>
      <c r="Q3300" s="182">
        <f t="shared" si="3958"/>
        <v>0.58181818181818179</v>
      </c>
      <c r="R3300" s="182">
        <f t="shared" si="3959"/>
        <v>0</v>
      </c>
      <c r="S3300" s="183">
        <f t="shared" si="3948"/>
        <v>0.1393939393939394</v>
      </c>
      <c r="T3300" s="183">
        <f t="shared" si="3949"/>
        <v>0.23636363636363636</v>
      </c>
      <c r="U3300" s="184">
        <f t="shared" si="3960"/>
        <v>0.95757575757575752</v>
      </c>
      <c r="V3300" s="386"/>
    </row>
    <row r="3301" spans="2:22" ht="15.75" hidden="1" x14ac:dyDescent="0.2">
      <c r="B3301" s="711">
        <v>46291</v>
      </c>
      <c r="C3301" s="711" t="s">
        <v>105</v>
      </c>
      <c r="D3301" s="711" t="s">
        <v>189</v>
      </c>
      <c r="E3301" s="711">
        <v>46292</v>
      </c>
      <c r="G3301" s="774"/>
      <c r="H3301" s="497" t="s">
        <v>25</v>
      </c>
      <c r="I3301" s="60" t="s">
        <v>105</v>
      </c>
      <c r="J3301" s="60">
        <f t="shared" si="3961"/>
        <v>162</v>
      </c>
      <c r="K3301" s="60">
        <v>19</v>
      </c>
      <c r="L3301" s="60">
        <v>3</v>
      </c>
      <c r="M3301" s="60">
        <v>78</v>
      </c>
      <c r="N3301" s="494">
        <v>23</v>
      </c>
      <c r="O3301" s="60">
        <v>15</v>
      </c>
      <c r="P3301" s="494">
        <v>24</v>
      </c>
      <c r="Q3301" s="182">
        <f t="shared" si="3958"/>
        <v>0.13580246913580246</v>
      </c>
      <c r="R3301" s="182">
        <f t="shared" si="3959"/>
        <v>0.1419753086419753</v>
      </c>
      <c r="S3301" s="183">
        <f t="shared" si="3948"/>
        <v>0.14814814814814814</v>
      </c>
      <c r="T3301" s="183">
        <f t="shared" si="3949"/>
        <v>9.2592592592592587E-2</v>
      </c>
      <c r="U3301" s="184">
        <f t="shared" si="3960"/>
        <v>0.51851851851851849</v>
      </c>
      <c r="V3301" s="386"/>
    </row>
    <row r="3302" spans="2:22" ht="15.75" hidden="1" x14ac:dyDescent="0.2">
      <c r="B3302" s="711">
        <v>46291</v>
      </c>
      <c r="C3302" s="711" t="s">
        <v>105</v>
      </c>
      <c r="D3302" s="711" t="s">
        <v>189</v>
      </c>
      <c r="E3302" s="711">
        <v>46293</v>
      </c>
      <c r="G3302" s="773">
        <v>46293</v>
      </c>
      <c r="H3302" s="497" t="s">
        <v>16</v>
      </c>
      <c r="I3302" s="60" t="s">
        <v>15</v>
      </c>
      <c r="J3302" s="60">
        <f t="shared" si="3961"/>
        <v>167</v>
      </c>
      <c r="K3302" s="60">
        <v>115</v>
      </c>
      <c r="L3302" s="60">
        <v>23</v>
      </c>
      <c r="M3302" s="60">
        <v>0</v>
      </c>
      <c r="N3302" s="494">
        <v>3</v>
      </c>
      <c r="O3302" s="60">
        <v>20</v>
      </c>
      <c r="P3302" s="494">
        <v>6</v>
      </c>
      <c r="Q3302" s="182">
        <f t="shared" si="3958"/>
        <v>0.82634730538922152</v>
      </c>
      <c r="R3302" s="182">
        <f t="shared" si="3959"/>
        <v>1.7964071856287425E-2</v>
      </c>
      <c r="S3302" s="183">
        <f t="shared" si="3948"/>
        <v>3.5928143712574849E-2</v>
      </c>
      <c r="T3302" s="183">
        <f t="shared" si="3949"/>
        <v>0.11976047904191617</v>
      </c>
      <c r="U3302" s="184">
        <f t="shared" si="3960"/>
        <v>1</v>
      </c>
      <c r="V3302" s="386"/>
    </row>
    <row r="3303" spans="2:22" ht="15.75" hidden="1" x14ac:dyDescent="0.2">
      <c r="B3303" s="711">
        <v>46291</v>
      </c>
      <c r="C3303" s="711" t="s">
        <v>105</v>
      </c>
      <c r="D3303" s="711" t="s">
        <v>189</v>
      </c>
      <c r="E3303" s="711">
        <v>46293</v>
      </c>
      <c r="G3303" s="780"/>
      <c r="H3303" s="497" t="s">
        <v>32</v>
      </c>
      <c r="I3303" s="60" t="s">
        <v>27</v>
      </c>
      <c r="J3303" s="60">
        <f t="shared" si="3961"/>
        <v>345</v>
      </c>
      <c r="K3303" s="60">
        <v>76</v>
      </c>
      <c r="L3303" s="60">
        <v>34</v>
      </c>
      <c r="M3303" s="60">
        <v>30</v>
      </c>
      <c r="N3303" s="494">
        <v>159</v>
      </c>
      <c r="O3303" s="60">
        <v>21</v>
      </c>
      <c r="P3303" s="494">
        <v>25</v>
      </c>
      <c r="Q3303" s="182">
        <f t="shared" si="3958"/>
        <v>0.3188405797101449</v>
      </c>
      <c r="R3303" s="182">
        <f t="shared" si="3959"/>
        <v>0.46086956521739131</v>
      </c>
      <c r="S3303" s="183">
        <f t="shared" si="3948"/>
        <v>7.2463768115942032E-2</v>
      </c>
      <c r="T3303" s="183">
        <f t="shared" si="3949"/>
        <v>6.0869565217391307E-2</v>
      </c>
      <c r="U3303" s="184">
        <f t="shared" si="3960"/>
        <v>0.91304347826086951</v>
      </c>
      <c r="V3303" s="386"/>
    </row>
    <row r="3304" spans="2:22" ht="15.75" hidden="1" x14ac:dyDescent="0.2">
      <c r="B3304" s="711">
        <v>46291</v>
      </c>
      <c r="C3304" s="711" t="s">
        <v>105</v>
      </c>
      <c r="D3304" s="711" t="s">
        <v>189</v>
      </c>
      <c r="E3304" s="711">
        <v>46293</v>
      </c>
      <c r="G3304" s="780"/>
      <c r="H3304" s="497" t="s">
        <v>118</v>
      </c>
      <c r="I3304" s="60" t="s">
        <v>106</v>
      </c>
      <c r="J3304" s="60">
        <f t="shared" si="3961"/>
        <v>263</v>
      </c>
      <c r="K3304" s="60">
        <v>3</v>
      </c>
      <c r="L3304" s="60">
        <v>0</v>
      </c>
      <c r="M3304" s="60">
        <v>231</v>
      </c>
      <c r="N3304" s="494">
        <v>0</v>
      </c>
      <c r="O3304" s="60">
        <v>19</v>
      </c>
      <c r="P3304" s="494">
        <v>10</v>
      </c>
      <c r="Q3304" s="182">
        <f t="shared" si="3958"/>
        <v>1.1406844106463879E-2</v>
      </c>
      <c r="R3304" s="182">
        <f t="shared" si="3959"/>
        <v>0</v>
      </c>
      <c r="S3304" s="183">
        <f t="shared" si="3948"/>
        <v>3.8022813688212927E-2</v>
      </c>
      <c r="T3304" s="183">
        <f t="shared" si="3949"/>
        <v>7.2243346007604556E-2</v>
      </c>
      <c r="U3304" s="184">
        <f t="shared" si="3960"/>
        <v>0.12167300380228135</v>
      </c>
      <c r="V3304" s="386"/>
    </row>
    <row r="3305" spans="2:22" ht="15.75" hidden="1" x14ac:dyDescent="0.2">
      <c r="B3305" s="711">
        <v>46291</v>
      </c>
      <c r="C3305" s="711" t="s">
        <v>105</v>
      </c>
      <c r="D3305" s="711" t="s">
        <v>189</v>
      </c>
      <c r="E3305" s="711">
        <v>46293</v>
      </c>
      <c r="G3305" s="780"/>
      <c r="H3305" s="497" t="s">
        <v>14</v>
      </c>
      <c r="I3305" s="60" t="s">
        <v>105</v>
      </c>
      <c r="J3305" s="60">
        <f t="shared" si="3961"/>
        <v>149</v>
      </c>
      <c r="K3305" s="60">
        <v>0</v>
      </c>
      <c r="L3305" s="60">
        <v>0</v>
      </c>
      <c r="M3305" s="60">
        <v>130</v>
      </c>
      <c r="N3305" s="494">
        <v>0</v>
      </c>
      <c r="O3305" s="60">
        <v>11</v>
      </c>
      <c r="P3305" s="494">
        <v>8</v>
      </c>
      <c r="Q3305" s="182">
        <f t="shared" si="3958"/>
        <v>0</v>
      </c>
      <c r="R3305" s="182">
        <f t="shared" si="3959"/>
        <v>0</v>
      </c>
      <c r="S3305" s="183">
        <f t="shared" si="3948"/>
        <v>5.3691275167785234E-2</v>
      </c>
      <c r="T3305" s="183">
        <f t="shared" si="3949"/>
        <v>7.3825503355704702E-2</v>
      </c>
      <c r="U3305" s="184">
        <f t="shared" si="3960"/>
        <v>0.12751677852348994</v>
      </c>
      <c r="V3305" s="386"/>
    </row>
    <row r="3306" spans="2:22" ht="15.75" hidden="1" x14ac:dyDescent="0.2">
      <c r="B3306" s="711">
        <v>46291</v>
      </c>
      <c r="C3306" s="711" t="s">
        <v>105</v>
      </c>
      <c r="D3306" s="711" t="s">
        <v>189</v>
      </c>
      <c r="E3306" s="711">
        <v>46293</v>
      </c>
      <c r="G3306" s="774"/>
      <c r="H3306" s="497" t="s">
        <v>180</v>
      </c>
      <c r="I3306" s="60" t="s">
        <v>22</v>
      </c>
      <c r="J3306" s="60">
        <f t="shared" si="3961"/>
        <v>71</v>
      </c>
      <c r="K3306" s="60">
        <v>0</v>
      </c>
      <c r="L3306" s="60">
        <v>0</v>
      </c>
      <c r="M3306" s="60">
        <v>71</v>
      </c>
      <c r="N3306" s="494">
        <v>0</v>
      </c>
      <c r="O3306" s="60">
        <v>0</v>
      </c>
      <c r="P3306" s="494">
        <v>0</v>
      </c>
      <c r="Q3306" s="182">
        <f t="shared" si="3958"/>
        <v>0</v>
      </c>
      <c r="R3306" s="182">
        <f t="shared" si="3959"/>
        <v>0</v>
      </c>
      <c r="S3306" s="183">
        <f t="shared" si="3948"/>
        <v>0</v>
      </c>
      <c r="T3306" s="183">
        <f t="shared" si="3949"/>
        <v>0</v>
      </c>
      <c r="U3306" s="184">
        <f t="shared" si="3960"/>
        <v>0</v>
      </c>
      <c r="V3306" s="386"/>
    </row>
    <row r="3307" spans="2:22" ht="15.75" hidden="1" x14ac:dyDescent="0.2">
      <c r="B3307" s="711">
        <v>46291</v>
      </c>
      <c r="C3307" s="711" t="s">
        <v>105</v>
      </c>
      <c r="D3307" s="711" t="s">
        <v>189</v>
      </c>
      <c r="E3307" s="711">
        <v>46293</v>
      </c>
      <c r="G3307" s="775" t="s">
        <v>19</v>
      </c>
      <c r="H3307" s="776"/>
      <c r="I3307" s="777"/>
      <c r="J3307" s="190">
        <f t="shared" ref="J3307:P3307" si="3962">SUM(J3297:J3306)</f>
        <v>1373</v>
      </c>
      <c r="K3307" s="190">
        <f t="shared" si="3962"/>
        <v>323</v>
      </c>
      <c r="L3307" s="190">
        <f t="shared" si="3962"/>
        <v>97</v>
      </c>
      <c r="M3307" s="190">
        <f t="shared" si="3962"/>
        <v>547</v>
      </c>
      <c r="N3307" s="190">
        <f t="shared" si="3962"/>
        <v>185</v>
      </c>
      <c r="O3307" s="190">
        <f t="shared" si="3962"/>
        <v>125</v>
      </c>
      <c r="P3307" s="190">
        <f t="shared" si="3962"/>
        <v>96</v>
      </c>
      <c r="Q3307" s="481">
        <f>(K3307+L3307)/J3307</f>
        <v>0.30589949016751639</v>
      </c>
      <c r="R3307" s="481">
        <f>N3307/J3307</f>
        <v>0.1347414420975965</v>
      </c>
      <c r="S3307" s="482">
        <f t="shared" si="3948"/>
        <v>6.9919883466860885E-2</v>
      </c>
      <c r="T3307" s="482">
        <f t="shared" si="3949"/>
        <v>9.1041514930808448E-2</v>
      </c>
      <c r="U3307" s="483">
        <f t="shared" si="3960"/>
        <v>0.60160233066278224</v>
      </c>
      <c r="V3307" s="479"/>
    </row>
    <row r="3308" spans="2:22" ht="15.75" hidden="1" x14ac:dyDescent="0.2">
      <c r="B3308" s="711">
        <v>46292</v>
      </c>
      <c r="C3308" s="711" t="s">
        <v>106</v>
      </c>
      <c r="D3308" s="711" t="s">
        <v>13</v>
      </c>
      <c r="E3308" s="711">
        <v>46292</v>
      </c>
      <c r="G3308" s="782">
        <v>46292</v>
      </c>
      <c r="H3308" s="497" t="s">
        <v>17</v>
      </c>
      <c r="I3308" s="60" t="s">
        <v>106</v>
      </c>
      <c r="J3308" s="60">
        <v>221</v>
      </c>
      <c r="K3308" s="60">
        <f>221-99</f>
        <v>122</v>
      </c>
      <c r="L3308" s="60">
        <v>51</v>
      </c>
      <c r="M3308" s="60">
        <v>0</v>
      </c>
      <c r="N3308" s="494">
        <v>0</v>
      </c>
      <c r="O3308" s="60">
        <v>27</v>
      </c>
      <c r="P3308" s="494">
        <v>21</v>
      </c>
      <c r="Q3308" s="182">
        <f t="shared" ref="Q3308:Q3314" si="3963">(K3308+L3308)/J3308</f>
        <v>0.78280542986425339</v>
      </c>
      <c r="R3308" s="182">
        <f t="shared" ref="R3308:R3314" si="3964">N3308/J3308</f>
        <v>0</v>
      </c>
      <c r="S3308" s="183">
        <f t="shared" ref="S3308:S3315" si="3965">P3308/J3308</f>
        <v>9.5022624434389136E-2</v>
      </c>
      <c r="T3308" s="183">
        <f t="shared" ref="T3308:T3315" si="3966">O3308/J3308</f>
        <v>0.12217194570135746</v>
      </c>
      <c r="U3308" s="184">
        <f t="shared" ref="U3308:U3315" si="3967">S3308+R3308+Q3308+T3308</f>
        <v>1</v>
      </c>
      <c r="V3308" s="386"/>
    </row>
    <row r="3309" spans="2:22" ht="15.75" hidden="1" x14ac:dyDescent="0.2">
      <c r="B3309" s="711">
        <v>46292</v>
      </c>
      <c r="C3309" s="711" t="s">
        <v>106</v>
      </c>
      <c r="D3309" s="711" t="s">
        <v>13</v>
      </c>
      <c r="E3309" s="711">
        <v>46292</v>
      </c>
      <c r="G3309" s="818"/>
      <c r="H3309" s="497" t="s">
        <v>25</v>
      </c>
      <c r="I3309" s="60" t="s">
        <v>105</v>
      </c>
      <c r="J3309" s="60">
        <v>162</v>
      </c>
      <c r="K3309" s="60">
        <f>162-77</f>
        <v>85</v>
      </c>
      <c r="L3309" s="60">
        <v>31</v>
      </c>
      <c r="M3309" s="60">
        <v>5</v>
      </c>
      <c r="N3309" s="494">
        <v>0</v>
      </c>
      <c r="O3309" s="60">
        <v>23</v>
      </c>
      <c r="P3309" s="494">
        <v>18</v>
      </c>
      <c r="Q3309" s="182">
        <f t="shared" si="3963"/>
        <v>0.71604938271604934</v>
      </c>
      <c r="R3309" s="182">
        <f t="shared" si="3964"/>
        <v>0</v>
      </c>
      <c r="S3309" s="183">
        <f t="shared" si="3965"/>
        <v>0.1111111111111111</v>
      </c>
      <c r="T3309" s="183">
        <f t="shared" si="3966"/>
        <v>0.1419753086419753</v>
      </c>
      <c r="U3309" s="184">
        <f t="shared" si="3967"/>
        <v>0.96913580246913567</v>
      </c>
      <c r="V3309" s="386"/>
    </row>
    <row r="3310" spans="2:22" ht="15.75" hidden="1" x14ac:dyDescent="0.2">
      <c r="B3310" s="711">
        <v>46292</v>
      </c>
      <c r="C3310" s="711" t="s">
        <v>106</v>
      </c>
      <c r="D3310" s="711" t="s">
        <v>13</v>
      </c>
      <c r="E3310" s="711">
        <v>46293</v>
      </c>
      <c r="G3310" s="773">
        <v>46293</v>
      </c>
      <c r="H3310" s="497" t="s">
        <v>16</v>
      </c>
      <c r="I3310" s="60" t="s">
        <v>15</v>
      </c>
      <c r="J3310" s="60">
        <v>180</v>
      </c>
      <c r="K3310" s="60">
        <v>115</v>
      </c>
      <c r="L3310" s="60">
        <v>37</v>
      </c>
      <c r="M3310" s="60">
        <v>6</v>
      </c>
      <c r="N3310" s="494">
        <v>0</v>
      </c>
      <c r="O3310" s="60">
        <v>20</v>
      </c>
      <c r="P3310" s="494">
        <v>2</v>
      </c>
      <c r="Q3310" s="182">
        <f t="shared" si="3963"/>
        <v>0.84444444444444444</v>
      </c>
      <c r="R3310" s="182">
        <f t="shared" si="3964"/>
        <v>0</v>
      </c>
      <c r="S3310" s="183">
        <f t="shared" si="3965"/>
        <v>1.1111111111111112E-2</v>
      </c>
      <c r="T3310" s="183">
        <f t="shared" si="3966"/>
        <v>0.1111111111111111</v>
      </c>
      <c r="U3310" s="184">
        <f t="shared" si="3967"/>
        <v>0.96666666666666656</v>
      </c>
      <c r="V3310" s="386"/>
    </row>
    <row r="3311" spans="2:22" ht="15.75" hidden="1" x14ac:dyDescent="0.2">
      <c r="B3311" s="711">
        <v>46292</v>
      </c>
      <c r="C3311" s="711" t="s">
        <v>106</v>
      </c>
      <c r="D3311" s="711" t="s">
        <v>13</v>
      </c>
      <c r="E3311" s="711">
        <v>46293</v>
      </c>
      <c r="G3311" s="780"/>
      <c r="H3311" s="497" t="s">
        <v>32</v>
      </c>
      <c r="I3311" s="60" t="s">
        <v>27</v>
      </c>
      <c r="J3311" s="60">
        <v>345</v>
      </c>
      <c r="K3311" s="60">
        <v>76</v>
      </c>
      <c r="L3311" s="60">
        <v>34</v>
      </c>
      <c r="M3311" s="60">
        <v>35</v>
      </c>
      <c r="N3311" s="494">
        <v>154</v>
      </c>
      <c r="O3311" s="60">
        <v>21</v>
      </c>
      <c r="P3311" s="494">
        <v>25</v>
      </c>
      <c r="Q3311" s="182">
        <f t="shared" si="3963"/>
        <v>0.3188405797101449</v>
      </c>
      <c r="R3311" s="182">
        <f t="shared" si="3964"/>
        <v>0.44637681159420289</v>
      </c>
      <c r="S3311" s="183">
        <f t="shared" si="3965"/>
        <v>7.2463768115942032E-2</v>
      </c>
      <c r="T3311" s="183">
        <f t="shared" si="3966"/>
        <v>6.0869565217391307E-2</v>
      </c>
      <c r="U3311" s="184">
        <f t="shared" si="3967"/>
        <v>0.89855072463768115</v>
      </c>
      <c r="V3311" s="386"/>
    </row>
    <row r="3312" spans="2:22" ht="15.75" hidden="1" x14ac:dyDescent="0.2">
      <c r="B3312" s="711">
        <v>46292</v>
      </c>
      <c r="C3312" s="711" t="s">
        <v>106</v>
      </c>
      <c r="D3312" s="711" t="s">
        <v>13</v>
      </c>
      <c r="E3312" s="711">
        <v>46293</v>
      </c>
      <c r="G3312" s="780"/>
      <c r="H3312" s="497" t="s">
        <v>118</v>
      </c>
      <c r="I3312" s="60" t="s">
        <v>106</v>
      </c>
      <c r="J3312" s="60">
        <v>260</v>
      </c>
      <c r="K3312" s="60">
        <v>21</v>
      </c>
      <c r="L3312" s="60">
        <v>5</v>
      </c>
      <c r="M3312" s="60">
        <v>51</v>
      </c>
      <c r="N3312" s="494">
        <v>157</v>
      </c>
      <c r="O3312" s="60">
        <v>16</v>
      </c>
      <c r="P3312" s="494">
        <v>10</v>
      </c>
      <c r="Q3312" s="182">
        <f t="shared" si="3963"/>
        <v>0.1</v>
      </c>
      <c r="R3312" s="182">
        <f t="shared" si="3964"/>
        <v>0.60384615384615381</v>
      </c>
      <c r="S3312" s="183">
        <f t="shared" si="3965"/>
        <v>3.8461538461538464E-2</v>
      </c>
      <c r="T3312" s="183">
        <f t="shared" si="3966"/>
        <v>6.1538461538461542E-2</v>
      </c>
      <c r="U3312" s="184">
        <f t="shared" si="3967"/>
        <v>0.80384615384615377</v>
      </c>
      <c r="V3312" s="386"/>
    </row>
    <row r="3313" spans="2:22" ht="15.75" hidden="1" x14ac:dyDescent="0.2">
      <c r="B3313" s="711">
        <v>46292</v>
      </c>
      <c r="C3313" s="711" t="s">
        <v>106</v>
      </c>
      <c r="D3313" s="711" t="s">
        <v>13</v>
      </c>
      <c r="E3313" s="711">
        <v>46293</v>
      </c>
      <c r="G3313" s="780"/>
      <c r="H3313" s="497" t="s">
        <v>14</v>
      </c>
      <c r="I3313" s="60" t="s">
        <v>105</v>
      </c>
      <c r="J3313" s="60">
        <v>149</v>
      </c>
      <c r="K3313" s="60">
        <v>0</v>
      </c>
      <c r="L3313" s="60">
        <v>0</v>
      </c>
      <c r="M3313" s="60">
        <v>130</v>
      </c>
      <c r="N3313" s="494">
        <v>0</v>
      </c>
      <c r="O3313" s="60">
        <v>11</v>
      </c>
      <c r="P3313" s="494">
        <v>8</v>
      </c>
      <c r="Q3313" s="182">
        <f t="shared" si="3963"/>
        <v>0</v>
      </c>
      <c r="R3313" s="182">
        <f t="shared" si="3964"/>
        <v>0</v>
      </c>
      <c r="S3313" s="183">
        <f t="shared" si="3965"/>
        <v>5.3691275167785234E-2</v>
      </c>
      <c r="T3313" s="183">
        <f t="shared" si="3966"/>
        <v>7.3825503355704702E-2</v>
      </c>
      <c r="U3313" s="184">
        <f t="shared" si="3967"/>
        <v>0.12751677852348994</v>
      </c>
      <c r="V3313" s="386"/>
    </row>
    <row r="3314" spans="2:22" ht="15.75" hidden="1" x14ac:dyDescent="0.2">
      <c r="B3314" s="711">
        <v>46292</v>
      </c>
      <c r="C3314" s="711" t="s">
        <v>106</v>
      </c>
      <c r="D3314" s="711" t="s">
        <v>13</v>
      </c>
      <c r="E3314" s="711">
        <v>46293</v>
      </c>
      <c r="G3314" s="774"/>
      <c r="H3314" s="497" t="s">
        <v>180</v>
      </c>
      <c r="I3314" s="60" t="s">
        <v>22</v>
      </c>
      <c r="J3314" s="60">
        <v>71</v>
      </c>
      <c r="K3314" s="60">
        <v>0</v>
      </c>
      <c r="L3314" s="60">
        <v>0</v>
      </c>
      <c r="M3314" s="60">
        <v>0</v>
      </c>
      <c r="N3314" s="494">
        <v>63</v>
      </c>
      <c r="O3314" s="60">
        <v>0</v>
      </c>
      <c r="P3314" s="494">
        <v>8</v>
      </c>
      <c r="Q3314" s="182">
        <f t="shared" si="3963"/>
        <v>0</v>
      </c>
      <c r="R3314" s="182">
        <f t="shared" si="3964"/>
        <v>0.88732394366197187</v>
      </c>
      <c r="S3314" s="183">
        <f t="shared" si="3965"/>
        <v>0.11267605633802817</v>
      </c>
      <c r="T3314" s="183">
        <f t="shared" si="3966"/>
        <v>0</v>
      </c>
      <c r="U3314" s="184">
        <f t="shared" si="3967"/>
        <v>1</v>
      </c>
      <c r="V3314" s="386"/>
    </row>
    <row r="3315" spans="2:22" ht="15.75" hidden="1" x14ac:dyDescent="0.2">
      <c r="B3315" s="711">
        <v>46292</v>
      </c>
      <c r="C3315" s="711" t="s">
        <v>106</v>
      </c>
      <c r="D3315" s="711" t="s">
        <v>13</v>
      </c>
      <c r="E3315" s="711">
        <v>46293</v>
      </c>
      <c r="G3315" s="775" t="s">
        <v>19</v>
      </c>
      <c r="H3315" s="776"/>
      <c r="I3315" s="777"/>
      <c r="J3315" s="190">
        <f>SUM(J3308:J3314)</f>
        <v>1388</v>
      </c>
      <c r="K3315" s="190">
        <f t="shared" ref="K3315:P3315" si="3968">SUM(K3308:K3314)</f>
        <v>419</v>
      </c>
      <c r="L3315" s="190">
        <f t="shared" si="3968"/>
        <v>158</v>
      </c>
      <c r="M3315" s="190">
        <f t="shared" si="3968"/>
        <v>227</v>
      </c>
      <c r="N3315" s="190">
        <f t="shared" si="3968"/>
        <v>374</v>
      </c>
      <c r="O3315" s="190">
        <f t="shared" si="3968"/>
        <v>118</v>
      </c>
      <c r="P3315" s="190">
        <f t="shared" si="3968"/>
        <v>92</v>
      </c>
      <c r="Q3315" s="481">
        <f>(K3315+L3315)/J3315</f>
        <v>0.41570605187319887</v>
      </c>
      <c r="R3315" s="481">
        <f>N3315/J3315</f>
        <v>0.26945244956772335</v>
      </c>
      <c r="S3315" s="482">
        <f t="shared" si="3965"/>
        <v>6.6282420749279536E-2</v>
      </c>
      <c r="T3315" s="482">
        <f t="shared" si="3966"/>
        <v>8.5014409221902024E-2</v>
      </c>
      <c r="U3315" s="483">
        <f t="shared" si="3967"/>
        <v>0.83645533141210382</v>
      </c>
      <c r="V3315" s="479"/>
    </row>
    <row r="3316" spans="2:22" ht="16.5" hidden="1" thickBot="1" x14ac:dyDescent="0.25">
      <c r="B3316" s="711">
        <v>46292</v>
      </c>
      <c r="C3316" s="711" t="s">
        <v>105</v>
      </c>
      <c r="D3316" s="711" t="s">
        <v>20</v>
      </c>
      <c r="E3316" s="711">
        <v>46292</v>
      </c>
      <c r="G3316" s="639">
        <v>46292</v>
      </c>
      <c r="H3316" s="640" t="s">
        <v>25</v>
      </c>
      <c r="I3316" s="641" t="s">
        <v>105</v>
      </c>
      <c r="J3316" s="641">
        <v>35</v>
      </c>
      <c r="K3316" s="641">
        <f>J3316-L3316-M3316-N3316-O3316-P3316</f>
        <v>12</v>
      </c>
      <c r="L3316" s="641">
        <v>8</v>
      </c>
      <c r="M3316" s="641">
        <v>0</v>
      </c>
      <c r="N3316" s="642">
        <v>0</v>
      </c>
      <c r="O3316" s="641">
        <v>15</v>
      </c>
      <c r="P3316" s="642">
        <v>0</v>
      </c>
      <c r="Q3316" s="643">
        <f t="shared" ref="Q3316:Q3318" si="3969">(K3316+L3316)/J3316</f>
        <v>0.5714285714285714</v>
      </c>
      <c r="R3316" s="643">
        <f t="shared" ref="R3316:R3318" si="3970">N3316/J3316</f>
        <v>0</v>
      </c>
      <c r="S3316" s="644">
        <f t="shared" ref="S3316:S3322" si="3971">P3316/J3316</f>
        <v>0</v>
      </c>
      <c r="T3316" s="644">
        <f t="shared" ref="T3316:T3322" si="3972">O3316/J3316</f>
        <v>0.42857142857142855</v>
      </c>
      <c r="U3316" s="645">
        <f t="shared" ref="U3316:U3322" si="3973">S3316+R3316+Q3316+T3316</f>
        <v>1</v>
      </c>
      <c r="V3316" s="386"/>
    </row>
    <row r="3317" spans="2:22" ht="16.5" hidden="1" thickTop="1" x14ac:dyDescent="0.2">
      <c r="B3317" s="711">
        <v>46292</v>
      </c>
      <c r="C3317" s="711" t="s">
        <v>105</v>
      </c>
      <c r="D3317" s="711" t="s">
        <v>20</v>
      </c>
      <c r="E3317" s="711">
        <v>46293</v>
      </c>
      <c r="G3317" s="812">
        <v>46293</v>
      </c>
      <c r="H3317" s="646" t="s">
        <v>16</v>
      </c>
      <c r="I3317" s="647" t="s">
        <v>15</v>
      </c>
      <c r="J3317" s="647">
        <v>45</v>
      </c>
      <c r="K3317" s="647">
        <f t="shared" ref="K3317:K3320" si="3974">J3317-L3317-M3317-N3317-O3317-P3317</f>
        <v>0</v>
      </c>
      <c r="L3317" s="647">
        <v>0</v>
      </c>
      <c r="M3317" s="647">
        <v>21</v>
      </c>
      <c r="N3317" s="648">
        <f>17+5</f>
        <v>22</v>
      </c>
      <c r="O3317" s="647">
        <v>0</v>
      </c>
      <c r="P3317" s="648">
        <v>2</v>
      </c>
      <c r="Q3317" s="649">
        <f t="shared" si="3969"/>
        <v>0</v>
      </c>
      <c r="R3317" s="649">
        <f t="shared" si="3970"/>
        <v>0.48888888888888887</v>
      </c>
      <c r="S3317" s="650">
        <f t="shared" si="3971"/>
        <v>4.4444444444444446E-2</v>
      </c>
      <c r="T3317" s="650">
        <f t="shared" si="3972"/>
        <v>0</v>
      </c>
      <c r="U3317" s="651">
        <f t="shared" si="3973"/>
        <v>0.53333333333333333</v>
      </c>
      <c r="V3317" s="386"/>
    </row>
    <row r="3318" spans="2:22" ht="15.75" hidden="1" x14ac:dyDescent="0.2">
      <c r="B3318" s="711">
        <v>46292</v>
      </c>
      <c r="C3318" s="711" t="s">
        <v>105</v>
      </c>
      <c r="D3318" s="711" t="s">
        <v>20</v>
      </c>
      <c r="E3318" s="711">
        <v>46293</v>
      </c>
      <c r="G3318" s="786"/>
      <c r="H3318" s="497" t="s">
        <v>14</v>
      </c>
      <c r="I3318" s="60" t="s">
        <v>105</v>
      </c>
      <c r="J3318" s="60">
        <v>149</v>
      </c>
      <c r="K3318" s="60">
        <f t="shared" si="3974"/>
        <v>0</v>
      </c>
      <c r="L3318" s="60">
        <v>0</v>
      </c>
      <c r="M3318" s="60">
        <v>11</v>
      </c>
      <c r="N3318" s="494">
        <v>130</v>
      </c>
      <c r="O3318" s="60">
        <v>0</v>
      </c>
      <c r="P3318" s="494">
        <v>8</v>
      </c>
      <c r="Q3318" s="182">
        <f t="shared" si="3969"/>
        <v>0</v>
      </c>
      <c r="R3318" s="182">
        <f t="shared" si="3970"/>
        <v>0.87248322147651003</v>
      </c>
      <c r="S3318" s="183">
        <f t="shared" si="3971"/>
        <v>5.3691275167785234E-2</v>
      </c>
      <c r="T3318" s="183">
        <f t="shared" si="3972"/>
        <v>0</v>
      </c>
      <c r="U3318" s="184">
        <f t="shared" si="3973"/>
        <v>0.9261744966442953</v>
      </c>
      <c r="V3318" s="386"/>
    </row>
    <row r="3319" spans="2:22" ht="15.75" hidden="1" x14ac:dyDescent="0.2">
      <c r="B3319" s="711">
        <v>46292</v>
      </c>
      <c r="C3319" s="711" t="s">
        <v>105</v>
      </c>
      <c r="D3319" s="711" t="s">
        <v>20</v>
      </c>
      <c r="E3319" s="711">
        <v>46293</v>
      </c>
      <c r="G3319" s="786"/>
      <c r="H3319" s="497" t="s">
        <v>118</v>
      </c>
      <c r="I3319" s="60" t="s">
        <v>106</v>
      </c>
      <c r="J3319" s="60">
        <v>239</v>
      </c>
      <c r="K3319" s="60">
        <f t="shared" si="3974"/>
        <v>150</v>
      </c>
      <c r="L3319" s="60">
        <v>53</v>
      </c>
      <c r="M3319" s="60">
        <v>26</v>
      </c>
      <c r="N3319" s="494">
        <v>0</v>
      </c>
      <c r="O3319" s="60">
        <v>0</v>
      </c>
      <c r="P3319" s="494">
        <v>10</v>
      </c>
      <c r="Q3319" s="182">
        <f t="shared" ref="Q3319:Q3320" si="3975">(K3319+L3319)/J3319</f>
        <v>0.84937238493723854</v>
      </c>
      <c r="R3319" s="182">
        <f t="shared" ref="R3319:R3320" si="3976">N3319/J3319</f>
        <v>0</v>
      </c>
      <c r="S3319" s="183">
        <f t="shared" ref="S3319:S3320" si="3977">P3319/J3319</f>
        <v>4.1841004184100417E-2</v>
      </c>
      <c r="T3319" s="183">
        <f t="shared" ref="T3319:T3320" si="3978">O3319/J3319</f>
        <v>0</v>
      </c>
      <c r="U3319" s="184">
        <f t="shared" ref="U3319:U3320" si="3979">S3319+R3319+Q3319+T3319</f>
        <v>0.89121338912133896</v>
      </c>
      <c r="V3319" s="386"/>
    </row>
    <row r="3320" spans="2:22" ht="15.75" hidden="1" x14ac:dyDescent="0.2">
      <c r="B3320" s="711">
        <v>46292</v>
      </c>
      <c r="C3320" s="711" t="s">
        <v>105</v>
      </c>
      <c r="D3320" s="711" t="s">
        <v>20</v>
      </c>
      <c r="E3320" s="711">
        <v>46293</v>
      </c>
      <c r="G3320" s="779"/>
      <c r="H3320" s="497" t="s">
        <v>32</v>
      </c>
      <c r="I3320" s="60" t="s">
        <v>27</v>
      </c>
      <c r="J3320" s="60">
        <v>235</v>
      </c>
      <c r="K3320" s="60">
        <f t="shared" si="3974"/>
        <v>0</v>
      </c>
      <c r="L3320" s="60">
        <v>0</v>
      </c>
      <c r="M3320" s="60">
        <v>44</v>
      </c>
      <c r="N3320" s="494">
        <v>166</v>
      </c>
      <c r="O3320" s="60">
        <v>0</v>
      </c>
      <c r="P3320" s="494">
        <v>25</v>
      </c>
      <c r="Q3320" s="182">
        <f t="shared" si="3975"/>
        <v>0</v>
      </c>
      <c r="R3320" s="182">
        <f t="shared" si="3976"/>
        <v>0.70638297872340428</v>
      </c>
      <c r="S3320" s="183">
        <f t="shared" si="3977"/>
        <v>0.10638297872340426</v>
      </c>
      <c r="T3320" s="183">
        <f t="shared" si="3978"/>
        <v>0</v>
      </c>
      <c r="U3320" s="184">
        <f t="shared" si="3979"/>
        <v>0.81276595744680857</v>
      </c>
      <c r="V3320" s="386"/>
    </row>
    <row r="3321" spans="2:22" ht="15.75" hidden="1" x14ac:dyDescent="0.2">
      <c r="B3321" s="711">
        <v>46292</v>
      </c>
      <c r="C3321" s="711" t="s">
        <v>105</v>
      </c>
      <c r="D3321" s="711" t="s">
        <v>20</v>
      </c>
      <c r="E3321" s="711">
        <v>46294</v>
      </c>
      <c r="G3321" s="775" t="s">
        <v>19</v>
      </c>
      <c r="H3321" s="776"/>
      <c r="I3321" s="777"/>
      <c r="J3321" s="190">
        <f t="shared" ref="J3321:P3321" si="3980">SUM(J3316:J3320)</f>
        <v>703</v>
      </c>
      <c r="K3321" s="190">
        <f t="shared" si="3980"/>
        <v>162</v>
      </c>
      <c r="L3321" s="190">
        <f t="shared" si="3980"/>
        <v>61</v>
      </c>
      <c r="M3321" s="190">
        <f t="shared" si="3980"/>
        <v>102</v>
      </c>
      <c r="N3321" s="190">
        <f t="shared" si="3980"/>
        <v>318</v>
      </c>
      <c r="O3321" s="190">
        <f t="shared" si="3980"/>
        <v>15</v>
      </c>
      <c r="P3321" s="190">
        <f t="shared" si="3980"/>
        <v>45</v>
      </c>
      <c r="Q3321" s="481">
        <f>(K3321+L3321)/J3321</f>
        <v>0.31721194879089615</v>
      </c>
      <c r="R3321" s="481">
        <f>N3321/J3321</f>
        <v>0.45234708392603129</v>
      </c>
      <c r="S3321" s="482">
        <f t="shared" si="3971"/>
        <v>6.4011379800853488E-2</v>
      </c>
      <c r="T3321" s="482">
        <f t="shared" si="3972"/>
        <v>2.1337126600284494E-2</v>
      </c>
      <c r="U3321" s="483">
        <f t="shared" si="3973"/>
        <v>0.8549075391180655</v>
      </c>
      <c r="V3321" s="479"/>
    </row>
    <row r="3322" spans="2:22" ht="15.75" hidden="1" x14ac:dyDescent="0.2">
      <c r="B3322" s="711">
        <v>46293</v>
      </c>
      <c r="C3322" s="711" t="s">
        <v>106</v>
      </c>
      <c r="D3322" s="711" t="s">
        <v>13</v>
      </c>
      <c r="E3322" s="711">
        <v>46293</v>
      </c>
      <c r="G3322" s="809">
        <v>46293</v>
      </c>
      <c r="H3322" s="497" t="s">
        <v>16</v>
      </c>
      <c r="I3322" s="60" t="s">
        <v>15</v>
      </c>
      <c r="J3322" s="60">
        <v>180</v>
      </c>
      <c r="K3322" s="60">
        <v>127</v>
      </c>
      <c r="L3322" s="60">
        <v>30</v>
      </c>
      <c r="M3322" s="60">
        <v>0</v>
      </c>
      <c r="N3322" s="494">
        <v>0</v>
      </c>
      <c r="O3322" s="60">
        <v>20</v>
      </c>
      <c r="P3322" s="494">
        <v>3</v>
      </c>
      <c r="Q3322" s="182">
        <f>(K3322+L3322)/J3322</f>
        <v>0.87222222222222223</v>
      </c>
      <c r="R3322" s="182">
        <f t="shared" ref="R3322" si="3981">N3322/J3322</f>
        <v>0</v>
      </c>
      <c r="S3322" s="183">
        <f t="shared" si="3971"/>
        <v>1.6666666666666666E-2</v>
      </c>
      <c r="T3322" s="183">
        <f t="shared" si="3972"/>
        <v>0.1111111111111111</v>
      </c>
      <c r="U3322" s="184">
        <f t="shared" si="3973"/>
        <v>1</v>
      </c>
      <c r="V3322" s="386"/>
    </row>
    <row r="3323" spans="2:22" ht="15.75" hidden="1" x14ac:dyDescent="0.2">
      <c r="B3323" s="711">
        <v>46293</v>
      </c>
      <c r="C3323" s="711" t="s">
        <v>106</v>
      </c>
      <c r="D3323" s="711" t="s">
        <v>13</v>
      </c>
      <c r="E3323" s="711">
        <v>46293</v>
      </c>
      <c r="G3323" s="810"/>
      <c r="H3323" s="497" t="s">
        <v>32</v>
      </c>
      <c r="I3323" s="60" t="s">
        <v>27</v>
      </c>
      <c r="J3323" s="60">
        <v>345</v>
      </c>
      <c r="K3323" s="60">
        <v>200</v>
      </c>
      <c r="L3323" s="60">
        <v>83</v>
      </c>
      <c r="M3323" s="60">
        <v>12</v>
      </c>
      <c r="N3323" s="494">
        <v>0</v>
      </c>
      <c r="O3323" s="60">
        <v>25</v>
      </c>
      <c r="P3323" s="494">
        <v>25</v>
      </c>
      <c r="Q3323" s="182">
        <f t="shared" ref="Q3323:Q3339" si="3982">(K3323+L3323)/J3323</f>
        <v>0.82028985507246377</v>
      </c>
      <c r="R3323" s="182">
        <f t="shared" ref="R3323:R3331" si="3983">N3323/J3323</f>
        <v>0</v>
      </c>
      <c r="S3323" s="183">
        <f t="shared" ref="S3323:S3331" si="3984">P3323/J3323</f>
        <v>7.2463768115942032E-2</v>
      </c>
      <c r="T3323" s="183">
        <f t="shared" ref="T3323:T3331" si="3985">O3323/J3323</f>
        <v>7.2463768115942032E-2</v>
      </c>
      <c r="U3323" s="184">
        <f t="shared" ref="U3323:U3331" si="3986">S3323+R3323+Q3323+T3323</f>
        <v>0.9652173913043478</v>
      </c>
      <c r="V3323" s="386"/>
    </row>
    <row r="3324" spans="2:22" ht="15.75" hidden="1" x14ac:dyDescent="0.2">
      <c r="B3324" s="711">
        <v>46293</v>
      </c>
      <c r="C3324" s="711" t="s">
        <v>106</v>
      </c>
      <c r="D3324" s="711" t="s">
        <v>13</v>
      </c>
      <c r="E3324" s="711">
        <v>46293</v>
      </c>
      <c r="G3324" s="810"/>
      <c r="H3324" s="497" t="s">
        <v>118</v>
      </c>
      <c r="I3324" s="60" t="s">
        <v>106</v>
      </c>
      <c r="J3324" s="60">
        <v>260</v>
      </c>
      <c r="K3324" s="60">
        <v>194</v>
      </c>
      <c r="L3324" s="60">
        <v>42</v>
      </c>
      <c r="M3324" s="60">
        <v>0</v>
      </c>
      <c r="N3324" s="494">
        <v>0</v>
      </c>
      <c r="O3324" s="60">
        <v>16</v>
      </c>
      <c r="P3324" s="494">
        <v>8</v>
      </c>
      <c r="Q3324" s="182">
        <f t="shared" si="3982"/>
        <v>0.90769230769230769</v>
      </c>
      <c r="R3324" s="182">
        <f t="shared" si="3983"/>
        <v>0</v>
      </c>
      <c r="S3324" s="183">
        <f t="shared" si="3984"/>
        <v>3.0769230769230771E-2</v>
      </c>
      <c r="T3324" s="183">
        <f t="shared" si="3985"/>
        <v>6.1538461538461542E-2</v>
      </c>
      <c r="U3324" s="184">
        <f t="shared" si="3986"/>
        <v>1</v>
      </c>
      <c r="V3324" s="386"/>
    </row>
    <row r="3325" spans="2:22" ht="15.75" hidden="1" x14ac:dyDescent="0.2">
      <c r="B3325" s="711">
        <v>46293</v>
      </c>
      <c r="C3325" s="711" t="s">
        <v>106</v>
      </c>
      <c r="D3325" s="711" t="s">
        <v>13</v>
      </c>
      <c r="E3325" s="711">
        <v>46293</v>
      </c>
      <c r="G3325" s="810"/>
      <c r="H3325" s="497" t="s">
        <v>14</v>
      </c>
      <c r="I3325" s="60" t="s">
        <v>105</v>
      </c>
      <c r="J3325" s="60">
        <v>149</v>
      </c>
      <c r="K3325" s="60">
        <v>109</v>
      </c>
      <c r="L3325" s="60">
        <v>18</v>
      </c>
      <c r="M3325" s="60">
        <v>3</v>
      </c>
      <c r="N3325" s="494">
        <v>0</v>
      </c>
      <c r="O3325" s="60">
        <v>11</v>
      </c>
      <c r="P3325" s="494">
        <v>8</v>
      </c>
      <c r="Q3325" s="182">
        <f t="shared" si="3982"/>
        <v>0.8523489932885906</v>
      </c>
      <c r="R3325" s="182">
        <f t="shared" si="3983"/>
        <v>0</v>
      </c>
      <c r="S3325" s="183">
        <f t="shared" si="3984"/>
        <v>5.3691275167785234E-2</v>
      </c>
      <c r="T3325" s="183">
        <f t="shared" si="3985"/>
        <v>7.3825503355704702E-2</v>
      </c>
      <c r="U3325" s="184">
        <f t="shared" si="3986"/>
        <v>0.97986577181208057</v>
      </c>
      <c r="V3325" s="386"/>
    </row>
    <row r="3326" spans="2:22" ht="15.75" hidden="1" x14ac:dyDescent="0.2">
      <c r="B3326" s="711">
        <v>46293</v>
      </c>
      <c r="C3326" s="711" t="s">
        <v>106</v>
      </c>
      <c r="D3326" s="711" t="s">
        <v>13</v>
      </c>
      <c r="E3326" s="711">
        <v>46293</v>
      </c>
      <c r="G3326" s="811"/>
      <c r="H3326" s="497" t="s">
        <v>180</v>
      </c>
      <c r="I3326" s="60" t="s">
        <v>22</v>
      </c>
      <c r="J3326" s="60">
        <v>71</v>
      </c>
      <c r="K3326" s="60">
        <v>58</v>
      </c>
      <c r="L3326" s="60">
        <v>4</v>
      </c>
      <c r="M3326" s="60">
        <v>1</v>
      </c>
      <c r="N3326" s="494">
        <v>0</v>
      </c>
      <c r="O3326" s="60">
        <v>0</v>
      </c>
      <c r="P3326" s="494">
        <v>8</v>
      </c>
      <c r="Q3326" s="182">
        <f t="shared" si="3982"/>
        <v>0.87323943661971826</v>
      </c>
      <c r="R3326" s="182">
        <f t="shared" si="3983"/>
        <v>0</v>
      </c>
      <c r="S3326" s="183">
        <f t="shared" si="3984"/>
        <v>0.11267605633802817</v>
      </c>
      <c r="T3326" s="183">
        <f t="shared" si="3985"/>
        <v>0</v>
      </c>
      <c r="U3326" s="184">
        <f t="shared" si="3986"/>
        <v>0.98591549295774639</v>
      </c>
      <c r="V3326" s="386"/>
    </row>
    <row r="3327" spans="2:22" ht="15.75" hidden="1" x14ac:dyDescent="0.2">
      <c r="B3327" s="711">
        <v>46293</v>
      </c>
      <c r="C3327" s="711" t="s">
        <v>106</v>
      </c>
      <c r="D3327" s="711" t="s">
        <v>13</v>
      </c>
      <c r="E3327" s="711">
        <v>46294</v>
      </c>
      <c r="G3327" s="773">
        <v>46294</v>
      </c>
      <c r="H3327" s="497" t="s">
        <v>16</v>
      </c>
      <c r="I3327" s="60" t="s">
        <v>15</v>
      </c>
      <c r="J3327" s="60">
        <v>229</v>
      </c>
      <c r="K3327" s="60">
        <v>0</v>
      </c>
      <c r="L3327" s="60">
        <v>0</v>
      </c>
      <c r="M3327" s="60">
        <v>206</v>
      </c>
      <c r="N3327" s="494">
        <v>0</v>
      </c>
      <c r="O3327" s="60">
        <v>20</v>
      </c>
      <c r="P3327" s="494">
        <v>3</v>
      </c>
      <c r="Q3327" s="182">
        <f t="shared" si="3982"/>
        <v>0</v>
      </c>
      <c r="R3327" s="182">
        <f t="shared" si="3983"/>
        <v>0</v>
      </c>
      <c r="S3327" s="183">
        <f t="shared" si="3984"/>
        <v>1.3100436681222707E-2</v>
      </c>
      <c r="T3327" s="183">
        <f t="shared" si="3985"/>
        <v>8.7336244541484712E-2</v>
      </c>
      <c r="U3327" s="184">
        <f t="shared" si="3986"/>
        <v>0.10043668122270742</v>
      </c>
      <c r="V3327" s="386"/>
    </row>
    <row r="3328" spans="2:22" ht="15.75" hidden="1" x14ac:dyDescent="0.2">
      <c r="B3328" s="711">
        <v>46293</v>
      </c>
      <c r="C3328" s="711" t="s">
        <v>106</v>
      </c>
      <c r="D3328" s="711" t="s">
        <v>13</v>
      </c>
      <c r="E3328" s="711">
        <v>46294</v>
      </c>
      <c r="G3328" s="780"/>
      <c r="H3328" s="497" t="s">
        <v>32</v>
      </c>
      <c r="I3328" s="60" t="s">
        <v>27</v>
      </c>
      <c r="J3328" s="60">
        <v>54</v>
      </c>
      <c r="K3328" s="60">
        <v>0</v>
      </c>
      <c r="L3328" s="60">
        <v>0</v>
      </c>
      <c r="M3328" s="60">
        <v>54</v>
      </c>
      <c r="N3328" s="494">
        <v>0</v>
      </c>
      <c r="O3328" s="60">
        <v>0</v>
      </c>
      <c r="P3328" s="494">
        <v>0</v>
      </c>
      <c r="Q3328" s="182">
        <f t="shared" si="3982"/>
        <v>0</v>
      </c>
      <c r="R3328" s="182">
        <f t="shared" si="3983"/>
        <v>0</v>
      </c>
      <c r="S3328" s="183">
        <f t="shared" si="3984"/>
        <v>0</v>
      </c>
      <c r="T3328" s="183">
        <f t="shared" si="3985"/>
        <v>0</v>
      </c>
      <c r="U3328" s="184">
        <f t="shared" si="3986"/>
        <v>0</v>
      </c>
      <c r="V3328" s="386"/>
    </row>
    <row r="3329" spans="2:22" ht="15.75" hidden="1" x14ac:dyDescent="0.2">
      <c r="B3329" s="711">
        <v>46293</v>
      </c>
      <c r="C3329" s="711" t="s">
        <v>106</v>
      </c>
      <c r="D3329" s="711" t="s">
        <v>13</v>
      </c>
      <c r="E3329" s="711">
        <v>46294</v>
      </c>
      <c r="G3329" s="780"/>
      <c r="H3329" s="497" t="s">
        <v>17</v>
      </c>
      <c r="I3329" s="60" t="s">
        <v>106</v>
      </c>
      <c r="J3329" s="60">
        <v>189</v>
      </c>
      <c r="K3329" s="60">
        <v>25</v>
      </c>
      <c r="L3329" s="60">
        <v>30</v>
      </c>
      <c r="M3329" s="60">
        <v>2</v>
      </c>
      <c r="N3329" s="494">
        <v>80</v>
      </c>
      <c r="O3329" s="60">
        <v>28</v>
      </c>
      <c r="P3329" s="494">
        <v>24</v>
      </c>
      <c r="Q3329" s="182">
        <f t="shared" si="3982"/>
        <v>0.29100529100529099</v>
      </c>
      <c r="R3329" s="182">
        <f t="shared" si="3983"/>
        <v>0.42328042328042326</v>
      </c>
      <c r="S3329" s="183">
        <f t="shared" si="3984"/>
        <v>0.12698412698412698</v>
      </c>
      <c r="T3329" s="183">
        <f t="shared" si="3985"/>
        <v>0.14814814814814814</v>
      </c>
      <c r="U3329" s="184">
        <f t="shared" si="3986"/>
        <v>0.98941798941798931</v>
      </c>
      <c r="V3329" s="386"/>
    </row>
    <row r="3330" spans="2:22" ht="15.75" hidden="1" x14ac:dyDescent="0.2">
      <c r="B3330" s="711">
        <v>46293</v>
      </c>
      <c r="C3330" s="711" t="s">
        <v>106</v>
      </c>
      <c r="D3330" s="711" t="s">
        <v>13</v>
      </c>
      <c r="E3330" s="711">
        <v>46294</v>
      </c>
      <c r="G3330" s="780"/>
      <c r="H3330" s="497" t="s">
        <v>14</v>
      </c>
      <c r="I3330" s="60" t="s">
        <v>105</v>
      </c>
      <c r="J3330" s="60">
        <v>157</v>
      </c>
      <c r="K3330" s="60">
        <v>0</v>
      </c>
      <c r="L3330" s="60">
        <v>0</v>
      </c>
      <c r="M3330" s="60">
        <v>157</v>
      </c>
      <c r="N3330" s="494">
        <v>0</v>
      </c>
      <c r="O3330" s="60">
        <v>0</v>
      </c>
      <c r="P3330" s="494">
        <v>0</v>
      </c>
      <c r="Q3330" s="182">
        <f t="shared" si="3982"/>
        <v>0</v>
      </c>
      <c r="R3330" s="182">
        <f t="shared" si="3983"/>
        <v>0</v>
      </c>
      <c r="S3330" s="183">
        <f t="shared" si="3984"/>
        <v>0</v>
      </c>
      <c r="T3330" s="183">
        <f t="shared" si="3985"/>
        <v>0</v>
      </c>
      <c r="U3330" s="184">
        <f t="shared" si="3986"/>
        <v>0</v>
      </c>
      <c r="V3330" s="386"/>
    </row>
    <row r="3331" spans="2:22" ht="15.75" hidden="1" x14ac:dyDescent="0.2">
      <c r="B3331" s="711">
        <v>46293</v>
      </c>
      <c r="C3331" s="711" t="s">
        <v>106</v>
      </c>
      <c r="D3331" s="711" t="s">
        <v>13</v>
      </c>
      <c r="E3331" s="711">
        <v>46294</v>
      </c>
      <c r="G3331" s="774"/>
      <c r="H3331" s="497" t="s">
        <v>180</v>
      </c>
      <c r="I3331" s="60" t="s">
        <v>22</v>
      </c>
      <c r="J3331" s="60">
        <v>182</v>
      </c>
      <c r="K3331" s="60">
        <v>12</v>
      </c>
      <c r="L3331" s="60">
        <v>1</v>
      </c>
      <c r="M3331" s="60">
        <v>119</v>
      </c>
      <c r="N3331" s="494">
        <v>11</v>
      </c>
      <c r="O3331" s="60">
        <v>39</v>
      </c>
      <c r="P3331" s="494">
        <v>0</v>
      </c>
      <c r="Q3331" s="182">
        <f t="shared" si="3982"/>
        <v>7.1428571428571425E-2</v>
      </c>
      <c r="R3331" s="182">
        <f t="shared" si="3983"/>
        <v>6.043956043956044E-2</v>
      </c>
      <c r="S3331" s="183">
        <f t="shared" si="3984"/>
        <v>0</v>
      </c>
      <c r="T3331" s="183">
        <f t="shared" si="3985"/>
        <v>0.21428571428571427</v>
      </c>
      <c r="U3331" s="184">
        <f t="shared" si="3986"/>
        <v>0.34615384615384615</v>
      </c>
      <c r="V3331" s="386"/>
    </row>
    <row r="3332" spans="2:22" ht="15.75" hidden="1" x14ac:dyDescent="0.2">
      <c r="B3332" s="711">
        <v>46293</v>
      </c>
      <c r="C3332" s="711" t="s">
        <v>106</v>
      </c>
      <c r="D3332" s="711" t="s">
        <v>13</v>
      </c>
      <c r="E3332" s="711">
        <v>46294</v>
      </c>
      <c r="G3332" s="775" t="s">
        <v>19</v>
      </c>
      <c r="H3332" s="776"/>
      <c r="I3332" s="777"/>
      <c r="J3332" s="190">
        <f>SUM(J3322:J3331)</f>
        <v>1816</v>
      </c>
      <c r="K3332" s="190">
        <f t="shared" ref="K3332:P3332" si="3987">SUM(K3322:K3331)</f>
        <v>725</v>
      </c>
      <c r="L3332" s="190">
        <f t="shared" si="3987"/>
        <v>208</v>
      </c>
      <c r="M3332" s="190">
        <f t="shared" si="3987"/>
        <v>554</v>
      </c>
      <c r="N3332" s="190">
        <f t="shared" si="3987"/>
        <v>91</v>
      </c>
      <c r="O3332" s="190">
        <f t="shared" si="3987"/>
        <v>159</v>
      </c>
      <c r="P3332" s="190">
        <f t="shared" si="3987"/>
        <v>79</v>
      </c>
      <c r="Q3332" s="481">
        <f t="shared" si="3982"/>
        <v>0.51376651982378851</v>
      </c>
      <c r="R3332" s="481">
        <f t="shared" ref="R3332" si="3988">(L3332+M3332)/K3332</f>
        <v>1.0510344827586207</v>
      </c>
      <c r="S3332" s="481">
        <f t="shared" ref="S3332" si="3989">(M3332+N3332)/L3332</f>
        <v>3.1009615384615383</v>
      </c>
      <c r="T3332" s="481">
        <f t="shared" ref="T3332" si="3990">(N3332+O3332)/M3332</f>
        <v>0.45126353790613716</v>
      </c>
      <c r="U3332" s="481">
        <f t="shared" ref="U3332" si="3991">(O3332+P3332)/N3332</f>
        <v>2.6153846153846154</v>
      </c>
      <c r="V3332" s="479"/>
    </row>
    <row r="3333" spans="2:22" ht="15.75" hidden="1" x14ac:dyDescent="0.2">
      <c r="B3333" s="711">
        <v>46293</v>
      </c>
      <c r="C3333" s="711" t="s">
        <v>105</v>
      </c>
      <c r="D3333" s="711" t="s">
        <v>189</v>
      </c>
      <c r="E3333" s="711">
        <v>46291</v>
      </c>
      <c r="G3333" s="778">
        <v>46293</v>
      </c>
      <c r="H3333" s="497" t="s">
        <v>32</v>
      </c>
      <c r="I3333" s="60" t="s">
        <v>27</v>
      </c>
      <c r="J3333" s="60">
        <f>SUM(K3333:P3333)</f>
        <v>36</v>
      </c>
      <c r="K3333" s="60">
        <v>11</v>
      </c>
      <c r="L3333" s="60">
        <v>25</v>
      </c>
      <c r="M3333" s="60">
        <v>0</v>
      </c>
      <c r="N3333" s="494">
        <v>0</v>
      </c>
      <c r="O3333" s="60">
        <v>0</v>
      </c>
      <c r="P3333" s="494">
        <v>0</v>
      </c>
      <c r="Q3333" s="182">
        <f t="shared" si="3982"/>
        <v>1</v>
      </c>
      <c r="R3333" s="182">
        <f t="shared" ref="R3333:R3339" si="3992">N3333/J3333</f>
        <v>0</v>
      </c>
      <c r="S3333" s="183">
        <f t="shared" ref="S3333:S3344" si="3993">P3333/J3333</f>
        <v>0</v>
      </c>
      <c r="T3333" s="183">
        <f t="shared" ref="T3333:T3344" si="3994">O3333/J3333</f>
        <v>0</v>
      </c>
      <c r="U3333" s="184">
        <f t="shared" ref="U3333:U3344" si="3995">S3333+R3333+Q3333+T3333</f>
        <v>1</v>
      </c>
      <c r="V3333" s="386"/>
    </row>
    <row r="3334" spans="2:22" ht="15.75" hidden="1" x14ac:dyDescent="0.2">
      <c r="B3334" s="711">
        <v>46293</v>
      </c>
      <c r="C3334" s="711" t="s">
        <v>105</v>
      </c>
      <c r="D3334" s="711" t="s">
        <v>189</v>
      </c>
      <c r="E3334" s="711">
        <v>46291</v>
      </c>
      <c r="G3334" s="779"/>
      <c r="H3334" s="497" t="s">
        <v>14</v>
      </c>
      <c r="I3334" s="60" t="s">
        <v>105</v>
      </c>
      <c r="J3334" s="60">
        <f t="shared" ref="J3334:J3336" si="3996">SUM(K3334:P3334)</f>
        <v>21</v>
      </c>
      <c r="K3334" s="60">
        <v>15</v>
      </c>
      <c r="L3334" s="60">
        <v>6</v>
      </c>
      <c r="M3334" s="60">
        <v>0</v>
      </c>
      <c r="N3334" s="494">
        <v>0</v>
      </c>
      <c r="O3334" s="60">
        <v>0</v>
      </c>
      <c r="P3334" s="494">
        <v>0</v>
      </c>
      <c r="Q3334" s="182">
        <f t="shared" si="3982"/>
        <v>1</v>
      </c>
      <c r="R3334" s="182">
        <f t="shared" si="3992"/>
        <v>0</v>
      </c>
      <c r="S3334" s="183">
        <f t="shared" si="3993"/>
        <v>0</v>
      </c>
      <c r="T3334" s="183">
        <f t="shared" si="3994"/>
        <v>0</v>
      </c>
      <c r="U3334" s="184">
        <f t="shared" si="3995"/>
        <v>1</v>
      </c>
      <c r="V3334" s="386"/>
    </row>
    <row r="3335" spans="2:22" ht="15.75" hidden="1" x14ac:dyDescent="0.2">
      <c r="B3335" s="711">
        <v>46293</v>
      </c>
      <c r="C3335" s="711" t="s">
        <v>105</v>
      </c>
      <c r="D3335" s="711" t="s">
        <v>189</v>
      </c>
      <c r="E3335" s="711">
        <v>46291</v>
      </c>
      <c r="G3335" s="773">
        <v>46294</v>
      </c>
      <c r="H3335" s="497" t="s">
        <v>16</v>
      </c>
      <c r="I3335" s="60" t="s">
        <v>105</v>
      </c>
      <c r="J3335" s="60">
        <v>225</v>
      </c>
      <c r="K3335" s="60">
        <v>1</v>
      </c>
      <c r="L3335" s="60">
        <v>2</v>
      </c>
      <c r="M3335" s="60">
        <v>0</v>
      </c>
      <c r="N3335" s="494">
        <v>201</v>
      </c>
      <c r="O3335" s="60">
        <v>20</v>
      </c>
      <c r="P3335" s="494">
        <v>3</v>
      </c>
      <c r="Q3335" s="182">
        <f t="shared" si="3982"/>
        <v>1.3333333333333334E-2</v>
      </c>
      <c r="R3335" s="182">
        <f t="shared" si="3992"/>
        <v>0.89333333333333331</v>
      </c>
      <c r="S3335" s="183">
        <f t="shared" si="3993"/>
        <v>1.3333333333333334E-2</v>
      </c>
      <c r="T3335" s="183">
        <f t="shared" si="3994"/>
        <v>8.8888888888888892E-2</v>
      </c>
      <c r="U3335" s="184">
        <f t="shared" si="3995"/>
        <v>1.0088888888888887</v>
      </c>
      <c r="V3335" s="386"/>
    </row>
    <row r="3336" spans="2:22" ht="15.75" hidden="1" x14ac:dyDescent="0.2">
      <c r="B3336" s="711">
        <v>46293</v>
      </c>
      <c r="C3336" s="711" t="s">
        <v>105</v>
      </c>
      <c r="D3336" s="711" t="s">
        <v>189</v>
      </c>
      <c r="E3336" s="711">
        <v>46292</v>
      </c>
      <c r="G3336" s="780"/>
      <c r="H3336" s="497" t="s">
        <v>17</v>
      </c>
      <c r="I3336" s="60" t="s">
        <v>106</v>
      </c>
      <c r="J3336" s="60">
        <f t="shared" si="3996"/>
        <v>148</v>
      </c>
      <c r="K3336" s="60">
        <v>71</v>
      </c>
      <c r="L3336" s="60">
        <v>21</v>
      </c>
      <c r="M3336" s="60">
        <v>6</v>
      </c>
      <c r="N3336" s="494">
        <v>0</v>
      </c>
      <c r="O3336" s="60">
        <v>26</v>
      </c>
      <c r="P3336" s="494">
        <v>24</v>
      </c>
      <c r="Q3336" s="182">
        <f t="shared" si="3982"/>
        <v>0.6216216216216216</v>
      </c>
      <c r="R3336" s="182">
        <f t="shared" si="3992"/>
        <v>0</v>
      </c>
      <c r="S3336" s="183">
        <f t="shared" si="3993"/>
        <v>0.16216216216216217</v>
      </c>
      <c r="T3336" s="183">
        <f t="shared" si="3994"/>
        <v>0.17567567567567569</v>
      </c>
      <c r="U3336" s="184">
        <f t="shared" si="3995"/>
        <v>0.95945945945945943</v>
      </c>
      <c r="V3336" s="386"/>
    </row>
    <row r="3337" spans="2:22" ht="15.75" hidden="1" x14ac:dyDescent="0.2">
      <c r="B3337" s="711">
        <v>46293</v>
      </c>
      <c r="C3337" s="711" t="s">
        <v>105</v>
      </c>
      <c r="D3337" s="711" t="s">
        <v>189</v>
      </c>
      <c r="E3337" s="711">
        <v>46292</v>
      </c>
      <c r="G3337" s="780"/>
      <c r="H3337" s="497" t="s">
        <v>213</v>
      </c>
      <c r="I3337" s="60" t="s">
        <v>22</v>
      </c>
      <c r="J3337" s="60">
        <v>169</v>
      </c>
      <c r="K3337" s="60">
        <v>76</v>
      </c>
      <c r="L3337" s="60">
        <v>6</v>
      </c>
      <c r="M3337" s="60">
        <v>6</v>
      </c>
      <c r="N3337" s="494">
        <v>42</v>
      </c>
      <c r="O3337" s="60">
        <v>0</v>
      </c>
      <c r="P3337" s="494">
        <v>39</v>
      </c>
      <c r="Q3337" s="182">
        <f t="shared" si="3982"/>
        <v>0.48520710059171596</v>
      </c>
      <c r="R3337" s="182">
        <f t="shared" si="3992"/>
        <v>0.24852071005917159</v>
      </c>
      <c r="S3337" s="183">
        <f t="shared" si="3993"/>
        <v>0.23076923076923078</v>
      </c>
      <c r="T3337" s="183">
        <f t="shared" si="3994"/>
        <v>0</v>
      </c>
      <c r="U3337" s="184">
        <f t="shared" si="3995"/>
        <v>0.96449704142011838</v>
      </c>
      <c r="V3337" s="386"/>
    </row>
    <row r="3338" spans="2:22" ht="15.75" hidden="1" x14ac:dyDescent="0.2">
      <c r="B3338" s="711">
        <v>46293</v>
      </c>
      <c r="C3338" s="711" t="s">
        <v>105</v>
      </c>
      <c r="D3338" s="711" t="s">
        <v>189</v>
      </c>
      <c r="E3338" s="711">
        <v>46293</v>
      </c>
      <c r="G3338" s="780"/>
      <c r="H3338" s="497" t="s">
        <v>32</v>
      </c>
      <c r="I3338" s="60" t="s">
        <v>27</v>
      </c>
      <c r="J3338" s="60">
        <v>54</v>
      </c>
      <c r="K3338" s="60">
        <v>41</v>
      </c>
      <c r="L3338" s="60">
        <v>11</v>
      </c>
      <c r="M3338" s="60">
        <v>3</v>
      </c>
      <c r="N3338" s="494">
        <v>0</v>
      </c>
      <c r="O3338" s="60">
        <v>0</v>
      </c>
      <c r="P3338" s="494">
        <v>0</v>
      </c>
      <c r="Q3338" s="182">
        <f t="shared" si="3982"/>
        <v>0.96296296296296291</v>
      </c>
      <c r="R3338" s="182">
        <f t="shared" si="3992"/>
        <v>0</v>
      </c>
      <c r="S3338" s="183">
        <f t="shared" si="3993"/>
        <v>0</v>
      </c>
      <c r="T3338" s="183">
        <f t="shared" si="3994"/>
        <v>0</v>
      </c>
      <c r="U3338" s="184">
        <f t="shared" si="3995"/>
        <v>0.96296296296296291</v>
      </c>
      <c r="V3338" s="386"/>
    </row>
    <row r="3339" spans="2:22" ht="15.75" hidden="1" x14ac:dyDescent="0.2">
      <c r="B3339" s="711">
        <v>46293</v>
      </c>
      <c r="C3339" s="711" t="s">
        <v>105</v>
      </c>
      <c r="D3339" s="711" t="s">
        <v>189</v>
      </c>
      <c r="E3339" s="711">
        <v>46293</v>
      </c>
      <c r="G3339" s="774"/>
      <c r="H3339" s="497" t="s">
        <v>14</v>
      </c>
      <c r="I3339" s="60" t="s">
        <v>105</v>
      </c>
      <c r="J3339" s="60">
        <v>155</v>
      </c>
      <c r="K3339" s="60">
        <v>0</v>
      </c>
      <c r="L3339" s="60">
        <v>0</v>
      </c>
      <c r="M3339" s="60">
        <v>73</v>
      </c>
      <c r="N3339" s="494">
        <v>68</v>
      </c>
      <c r="O3339" s="60">
        <v>9</v>
      </c>
      <c r="P3339" s="494">
        <v>5</v>
      </c>
      <c r="Q3339" s="182">
        <f t="shared" si="3982"/>
        <v>0</v>
      </c>
      <c r="R3339" s="182">
        <f t="shared" si="3992"/>
        <v>0.43870967741935485</v>
      </c>
      <c r="S3339" s="183">
        <f t="shared" si="3993"/>
        <v>3.2258064516129031E-2</v>
      </c>
      <c r="T3339" s="183">
        <f t="shared" si="3994"/>
        <v>5.8064516129032261E-2</v>
      </c>
      <c r="U3339" s="184">
        <f t="shared" si="3995"/>
        <v>0.52903225806451615</v>
      </c>
      <c r="V3339" s="386"/>
    </row>
    <row r="3340" spans="2:22" ht="15.75" hidden="1" x14ac:dyDescent="0.2">
      <c r="B3340" s="711">
        <v>46293</v>
      </c>
      <c r="C3340" s="711" t="s">
        <v>105</v>
      </c>
      <c r="D3340" s="711" t="s">
        <v>189</v>
      </c>
      <c r="E3340" s="711">
        <v>46293</v>
      </c>
      <c r="G3340" s="775" t="s">
        <v>19</v>
      </c>
      <c r="H3340" s="776"/>
      <c r="I3340" s="777"/>
      <c r="J3340" s="190">
        <f t="shared" ref="J3340:P3340" si="3997">SUM(J3333:J3339)</f>
        <v>808</v>
      </c>
      <c r="K3340" s="190">
        <f t="shared" si="3997"/>
        <v>215</v>
      </c>
      <c r="L3340" s="190">
        <f t="shared" si="3997"/>
        <v>71</v>
      </c>
      <c r="M3340" s="190">
        <f t="shared" si="3997"/>
        <v>88</v>
      </c>
      <c r="N3340" s="190">
        <f t="shared" si="3997"/>
        <v>311</v>
      </c>
      <c r="O3340" s="190">
        <f t="shared" si="3997"/>
        <v>55</v>
      </c>
      <c r="P3340" s="190">
        <f t="shared" si="3997"/>
        <v>71</v>
      </c>
      <c r="Q3340" s="481">
        <f>(K3340+L3340)/J3340</f>
        <v>0.35396039603960394</v>
      </c>
      <c r="R3340" s="481">
        <f>N3340/J3340</f>
        <v>0.38490099009900991</v>
      </c>
      <c r="S3340" s="482">
        <f t="shared" si="3993"/>
        <v>8.7871287128712866E-2</v>
      </c>
      <c r="T3340" s="482">
        <f t="shared" si="3994"/>
        <v>6.8069306930693074E-2</v>
      </c>
      <c r="U3340" s="483">
        <f t="shared" si="3995"/>
        <v>0.89480198019801982</v>
      </c>
      <c r="V3340" s="479"/>
    </row>
    <row r="3341" spans="2:22" ht="15.75" hidden="1" x14ac:dyDescent="0.2">
      <c r="B3341" s="711">
        <v>46294</v>
      </c>
      <c r="C3341" s="711" t="s">
        <v>106</v>
      </c>
      <c r="D3341" s="711" t="s">
        <v>13</v>
      </c>
      <c r="E3341" s="711">
        <v>46294</v>
      </c>
      <c r="G3341" s="809">
        <v>46294</v>
      </c>
      <c r="H3341" s="497" t="s">
        <v>16</v>
      </c>
      <c r="I3341" s="60" t="s">
        <v>15</v>
      </c>
      <c r="J3341" s="60">
        <v>229</v>
      </c>
      <c r="K3341" s="60">
        <v>166</v>
      </c>
      <c r="L3341" s="60">
        <v>42</v>
      </c>
      <c r="M3341" s="60">
        <v>0</v>
      </c>
      <c r="N3341" s="494">
        <v>0</v>
      </c>
      <c r="O3341" s="60">
        <v>20</v>
      </c>
      <c r="P3341" s="494">
        <v>1</v>
      </c>
      <c r="Q3341" s="182">
        <f t="shared" ref="Q3341:Q3349" si="3998">(K3341+L3341)/J3341</f>
        <v>0.90829694323144106</v>
      </c>
      <c r="R3341" s="182">
        <f t="shared" ref="R3341:R3349" si="3999">N3341/J3341</f>
        <v>0</v>
      </c>
      <c r="S3341" s="183">
        <f t="shared" si="3993"/>
        <v>4.3668122270742356E-3</v>
      </c>
      <c r="T3341" s="183">
        <f t="shared" si="3994"/>
        <v>8.7336244541484712E-2</v>
      </c>
      <c r="U3341" s="184">
        <f t="shared" si="3995"/>
        <v>1</v>
      </c>
      <c r="V3341" s="386"/>
    </row>
    <row r="3342" spans="2:22" ht="15.75" hidden="1" x14ac:dyDescent="0.2">
      <c r="B3342" s="711">
        <v>46294</v>
      </c>
      <c r="C3342" s="711" t="s">
        <v>106</v>
      </c>
      <c r="D3342" s="711" t="s">
        <v>13</v>
      </c>
      <c r="E3342" s="711">
        <v>46294</v>
      </c>
      <c r="G3342" s="810"/>
      <c r="H3342" s="497" t="s">
        <v>32</v>
      </c>
      <c r="I3342" s="60" t="s">
        <v>27</v>
      </c>
      <c r="J3342" s="60">
        <v>54</v>
      </c>
      <c r="K3342" s="60">
        <v>40</v>
      </c>
      <c r="L3342" s="60">
        <v>11</v>
      </c>
      <c r="M3342" s="60">
        <v>3</v>
      </c>
      <c r="N3342" s="494">
        <v>0</v>
      </c>
      <c r="O3342" s="60">
        <v>0</v>
      </c>
      <c r="P3342" s="494">
        <v>0</v>
      </c>
      <c r="Q3342" s="182">
        <f t="shared" si="3998"/>
        <v>0.94444444444444442</v>
      </c>
      <c r="R3342" s="182">
        <f t="shared" si="3999"/>
        <v>0</v>
      </c>
      <c r="S3342" s="183">
        <f t="shared" si="3993"/>
        <v>0</v>
      </c>
      <c r="T3342" s="183">
        <f t="shared" si="3994"/>
        <v>0</v>
      </c>
      <c r="U3342" s="184">
        <f t="shared" si="3995"/>
        <v>0.94444444444444442</v>
      </c>
      <c r="V3342" s="386"/>
    </row>
    <row r="3343" spans="2:22" ht="15.75" hidden="1" x14ac:dyDescent="0.2">
      <c r="B3343" s="711">
        <v>46294</v>
      </c>
      <c r="C3343" s="711" t="s">
        <v>106</v>
      </c>
      <c r="D3343" s="711" t="s">
        <v>13</v>
      </c>
      <c r="E3343" s="711">
        <v>46294</v>
      </c>
      <c r="G3343" s="810"/>
      <c r="H3343" s="497" t="s">
        <v>17</v>
      </c>
      <c r="I3343" s="60" t="s">
        <v>106</v>
      </c>
      <c r="J3343" s="60">
        <v>189</v>
      </c>
      <c r="K3343" s="60">
        <f>189-67</f>
        <v>122</v>
      </c>
      <c r="L3343" s="60">
        <v>25</v>
      </c>
      <c r="M3343" s="60">
        <v>0</v>
      </c>
      <c r="N3343" s="494">
        <v>0</v>
      </c>
      <c r="O3343" s="60">
        <v>28</v>
      </c>
      <c r="P3343" s="494">
        <v>14</v>
      </c>
      <c r="Q3343" s="182">
        <f t="shared" si="3998"/>
        <v>0.77777777777777779</v>
      </c>
      <c r="R3343" s="182">
        <f t="shared" si="3999"/>
        <v>0</v>
      </c>
      <c r="S3343" s="183">
        <f t="shared" si="3993"/>
        <v>7.407407407407407E-2</v>
      </c>
      <c r="T3343" s="183">
        <f t="shared" si="3994"/>
        <v>0.14814814814814814</v>
      </c>
      <c r="U3343" s="184">
        <f t="shared" si="3995"/>
        <v>1</v>
      </c>
      <c r="V3343" s="386"/>
    </row>
    <row r="3344" spans="2:22" ht="15.75" hidden="1" x14ac:dyDescent="0.2">
      <c r="B3344" s="711">
        <v>46294</v>
      </c>
      <c r="C3344" s="711" t="s">
        <v>106</v>
      </c>
      <c r="D3344" s="711" t="s">
        <v>13</v>
      </c>
      <c r="E3344" s="711">
        <v>46294</v>
      </c>
      <c r="G3344" s="810"/>
      <c r="H3344" s="497" t="s">
        <v>14</v>
      </c>
      <c r="I3344" s="60" t="s">
        <v>105</v>
      </c>
      <c r="J3344" s="60">
        <v>157</v>
      </c>
      <c r="K3344" s="60">
        <f>157-34</f>
        <v>123</v>
      </c>
      <c r="L3344" s="60">
        <v>20</v>
      </c>
      <c r="M3344" s="60">
        <v>0</v>
      </c>
      <c r="N3344" s="494">
        <v>0</v>
      </c>
      <c r="O3344" s="60">
        <v>9</v>
      </c>
      <c r="P3344" s="494">
        <v>5</v>
      </c>
      <c r="Q3344" s="182">
        <f t="shared" si="3998"/>
        <v>0.91082802547770703</v>
      </c>
      <c r="R3344" s="182">
        <f t="shared" si="3999"/>
        <v>0</v>
      </c>
      <c r="S3344" s="183">
        <f t="shared" si="3993"/>
        <v>3.1847133757961783E-2</v>
      </c>
      <c r="T3344" s="183">
        <f t="shared" si="3994"/>
        <v>5.7324840764331211E-2</v>
      </c>
      <c r="U3344" s="184">
        <f t="shared" si="3995"/>
        <v>1</v>
      </c>
      <c r="V3344" s="386"/>
    </row>
    <row r="3345" spans="2:22" ht="15.75" hidden="1" x14ac:dyDescent="0.2">
      <c r="B3345" s="711">
        <v>46294</v>
      </c>
      <c r="C3345" s="711" t="s">
        <v>106</v>
      </c>
      <c r="D3345" s="711" t="s">
        <v>13</v>
      </c>
      <c r="E3345" s="711">
        <v>46294</v>
      </c>
      <c r="G3345" s="810"/>
      <c r="H3345" s="497" t="s">
        <v>205</v>
      </c>
      <c r="I3345" s="60" t="s">
        <v>106</v>
      </c>
      <c r="J3345" s="60">
        <v>28</v>
      </c>
      <c r="K3345" s="60">
        <v>13</v>
      </c>
      <c r="L3345" s="60">
        <v>0</v>
      </c>
      <c r="M3345" s="60">
        <v>15</v>
      </c>
      <c r="N3345" s="494">
        <v>0</v>
      </c>
      <c r="O3345" s="60">
        <v>0</v>
      </c>
      <c r="P3345" s="494">
        <v>0</v>
      </c>
      <c r="Q3345" s="182">
        <f t="shared" ref="Q3345:Q3346" si="4000">(K3345+L3345)/J3345</f>
        <v>0.4642857142857143</v>
      </c>
      <c r="R3345" s="182">
        <f t="shared" ref="R3345:R3346" si="4001">N3345/J3345</f>
        <v>0</v>
      </c>
      <c r="S3345" s="183">
        <f t="shared" ref="S3345:S3346" si="4002">P3345/J3345</f>
        <v>0</v>
      </c>
      <c r="T3345" s="183">
        <f t="shared" ref="T3345:T3346" si="4003">O3345/J3345</f>
        <v>0</v>
      </c>
      <c r="U3345" s="184">
        <f t="shared" ref="U3345:U3346" si="4004">S3345+R3345+Q3345+T3345</f>
        <v>0.4642857142857143</v>
      </c>
      <c r="V3345" s="386"/>
    </row>
    <row r="3346" spans="2:22" ht="15.75" hidden="1" x14ac:dyDescent="0.2">
      <c r="B3346" s="711">
        <v>46294</v>
      </c>
      <c r="C3346" s="711" t="s">
        <v>106</v>
      </c>
      <c r="D3346" s="711" t="s">
        <v>13</v>
      </c>
      <c r="E3346" s="711">
        <v>46294</v>
      </c>
      <c r="G3346" s="811"/>
      <c r="H3346" s="497" t="s">
        <v>180</v>
      </c>
      <c r="I3346" s="60" t="s">
        <v>22</v>
      </c>
      <c r="J3346" s="60">
        <v>182</v>
      </c>
      <c r="K3346" s="60">
        <f>182-35</f>
        <v>147</v>
      </c>
      <c r="L3346" s="60">
        <v>8</v>
      </c>
      <c r="M3346" s="60">
        <v>4</v>
      </c>
      <c r="N3346" s="494">
        <v>0</v>
      </c>
      <c r="O3346" s="60">
        <v>23</v>
      </c>
      <c r="P3346" s="494">
        <v>0</v>
      </c>
      <c r="Q3346" s="182">
        <f t="shared" si="4000"/>
        <v>0.85164835164835162</v>
      </c>
      <c r="R3346" s="182">
        <f t="shared" si="4001"/>
        <v>0</v>
      </c>
      <c r="S3346" s="183">
        <f t="shared" si="4002"/>
        <v>0</v>
      </c>
      <c r="T3346" s="183">
        <f t="shared" si="4003"/>
        <v>0.12637362637362637</v>
      </c>
      <c r="U3346" s="184">
        <f t="shared" si="4004"/>
        <v>0.97802197802197799</v>
      </c>
      <c r="V3346" s="386"/>
    </row>
    <row r="3347" spans="2:22" ht="15.75" hidden="1" x14ac:dyDescent="0.2">
      <c r="B3347" s="711">
        <v>46294</v>
      </c>
      <c r="C3347" s="711" t="s">
        <v>106</v>
      </c>
      <c r="D3347" s="711" t="s">
        <v>13</v>
      </c>
      <c r="E3347" s="711">
        <v>46295</v>
      </c>
      <c r="G3347" s="773">
        <v>46295</v>
      </c>
      <c r="H3347" s="497" t="s">
        <v>16</v>
      </c>
      <c r="I3347" s="60" t="s">
        <v>105</v>
      </c>
      <c r="J3347" s="60">
        <v>216</v>
      </c>
      <c r="K3347" s="60">
        <v>60</v>
      </c>
      <c r="L3347" s="60">
        <v>9</v>
      </c>
      <c r="M3347" s="60">
        <v>123</v>
      </c>
      <c r="N3347" s="494">
        <v>0</v>
      </c>
      <c r="O3347" s="60">
        <v>20</v>
      </c>
      <c r="P3347" s="494">
        <v>4</v>
      </c>
      <c r="Q3347" s="182">
        <f t="shared" si="3998"/>
        <v>0.31944444444444442</v>
      </c>
      <c r="R3347" s="182">
        <f t="shared" si="3999"/>
        <v>0</v>
      </c>
      <c r="S3347" s="183">
        <f t="shared" ref="S3347:S3357" si="4005">P3347/J3347</f>
        <v>1.8518518518518517E-2</v>
      </c>
      <c r="T3347" s="183">
        <f t="shared" ref="T3347:T3357" si="4006">O3347/J3347</f>
        <v>9.2592592592592587E-2</v>
      </c>
      <c r="U3347" s="184">
        <f t="shared" ref="U3347:U3357" si="4007">S3347+R3347+Q3347+T3347</f>
        <v>0.43055555555555547</v>
      </c>
      <c r="V3347" s="386"/>
    </row>
    <row r="3348" spans="2:22" ht="15.75" hidden="1" x14ac:dyDescent="0.2">
      <c r="B3348" s="711">
        <v>46294</v>
      </c>
      <c r="C3348" s="711" t="s">
        <v>106</v>
      </c>
      <c r="D3348" s="711" t="s">
        <v>13</v>
      </c>
      <c r="E3348" s="711">
        <v>46295</v>
      </c>
      <c r="G3348" s="780"/>
      <c r="H3348" s="497" t="s">
        <v>17</v>
      </c>
      <c r="I3348" s="60" t="s">
        <v>106</v>
      </c>
      <c r="J3348" s="60">
        <v>232</v>
      </c>
      <c r="K3348" s="60">
        <v>27</v>
      </c>
      <c r="L3348" s="60">
        <v>7</v>
      </c>
      <c r="M3348" s="60">
        <v>135</v>
      </c>
      <c r="N3348" s="494">
        <v>0</v>
      </c>
      <c r="O3348" s="60">
        <v>36</v>
      </c>
      <c r="P3348" s="494">
        <v>27</v>
      </c>
      <c r="Q3348" s="182">
        <f t="shared" si="3998"/>
        <v>0.14655172413793102</v>
      </c>
      <c r="R3348" s="182">
        <f t="shared" si="3999"/>
        <v>0</v>
      </c>
      <c r="S3348" s="183">
        <f t="shared" si="4005"/>
        <v>0.11637931034482758</v>
      </c>
      <c r="T3348" s="183">
        <f t="shared" si="4006"/>
        <v>0.15517241379310345</v>
      </c>
      <c r="U3348" s="184">
        <f t="shared" si="4007"/>
        <v>0.4181034482758621</v>
      </c>
      <c r="V3348" s="386"/>
    </row>
    <row r="3349" spans="2:22" ht="15.75" hidden="1" x14ac:dyDescent="0.2">
      <c r="B3349" s="711">
        <v>46294</v>
      </c>
      <c r="C3349" s="711" t="s">
        <v>106</v>
      </c>
      <c r="D3349" s="711" t="s">
        <v>13</v>
      </c>
      <c r="E3349" s="711">
        <v>46295</v>
      </c>
      <c r="G3349" s="774"/>
      <c r="H3349" s="497" t="s">
        <v>25</v>
      </c>
      <c r="I3349" s="60" t="s">
        <v>105</v>
      </c>
      <c r="J3349" s="60">
        <v>143</v>
      </c>
      <c r="K3349" s="60">
        <v>0</v>
      </c>
      <c r="L3349" s="60">
        <v>0</v>
      </c>
      <c r="M3349" s="60">
        <v>113</v>
      </c>
      <c r="N3349" s="494">
        <v>0</v>
      </c>
      <c r="O3349" s="60">
        <v>11</v>
      </c>
      <c r="P3349" s="494">
        <v>19</v>
      </c>
      <c r="Q3349" s="182">
        <f t="shared" si="3998"/>
        <v>0</v>
      </c>
      <c r="R3349" s="182">
        <f t="shared" si="3999"/>
        <v>0</v>
      </c>
      <c r="S3349" s="183">
        <f t="shared" si="4005"/>
        <v>0.13286713286713286</v>
      </c>
      <c r="T3349" s="183">
        <f t="shared" si="4006"/>
        <v>7.6923076923076927E-2</v>
      </c>
      <c r="U3349" s="184">
        <f t="shared" si="4007"/>
        <v>0.20979020979020979</v>
      </c>
      <c r="V3349" s="386"/>
    </row>
    <row r="3350" spans="2:22" ht="15.75" hidden="1" x14ac:dyDescent="0.2">
      <c r="B3350" s="711">
        <v>46294</v>
      </c>
      <c r="C3350" s="711" t="s">
        <v>106</v>
      </c>
      <c r="D3350" s="711" t="s">
        <v>13</v>
      </c>
      <c r="E3350" s="711">
        <v>46295</v>
      </c>
      <c r="G3350" s="775" t="s">
        <v>19</v>
      </c>
      <c r="H3350" s="776"/>
      <c r="I3350" s="777"/>
      <c r="J3350" s="190">
        <f>SUM(J3341:J3349)</f>
        <v>1430</v>
      </c>
      <c r="K3350" s="190">
        <f t="shared" ref="K3350:P3350" si="4008">SUM(K3341:K3349)</f>
        <v>698</v>
      </c>
      <c r="L3350" s="190">
        <f t="shared" si="4008"/>
        <v>122</v>
      </c>
      <c r="M3350" s="190">
        <f t="shared" si="4008"/>
        <v>393</v>
      </c>
      <c r="N3350" s="190">
        <f t="shared" si="4008"/>
        <v>0</v>
      </c>
      <c r="O3350" s="190">
        <f t="shared" si="4008"/>
        <v>147</v>
      </c>
      <c r="P3350" s="190">
        <f t="shared" si="4008"/>
        <v>70</v>
      </c>
      <c r="Q3350" s="481">
        <f>(K3350+L3350)/J3350</f>
        <v>0.57342657342657344</v>
      </c>
      <c r="R3350" s="481">
        <f>N3350/J3350</f>
        <v>0</v>
      </c>
      <c r="S3350" s="482">
        <f t="shared" si="4005"/>
        <v>4.8951048951048952E-2</v>
      </c>
      <c r="T3350" s="482">
        <f t="shared" si="4006"/>
        <v>0.10279720279720279</v>
      </c>
      <c r="U3350" s="483">
        <f t="shared" si="4007"/>
        <v>0.72517482517482523</v>
      </c>
      <c r="V3350" s="479"/>
    </row>
    <row r="3351" spans="2:22" ht="15.75" hidden="1" x14ac:dyDescent="0.2">
      <c r="B3351" s="711">
        <v>46294</v>
      </c>
      <c r="C3351" s="711" t="s">
        <v>105</v>
      </c>
      <c r="D3351" s="711" t="s">
        <v>189</v>
      </c>
      <c r="E3351" s="711">
        <v>46294</v>
      </c>
      <c r="G3351" s="778">
        <v>46294</v>
      </c>
      <c r="H3351" s="497" t="s">
        <v>32</v>
      </c>
      <c r="I3351" s="60" t="s">
        <v>27</v>
      </c>
      <c r="J3351" s="60">
        <f>SUM(K3351:P3351)</f>
        <v>15</v>
      </c>
      <c r="K3351" s="60">
        <v>4</v>
      </c>
      <c r="L3351" s="60">
        <v>11</v>
      </c>
      <c r="M3351" s="60">
        <v>0</v>
      </c>
      <c r="N3351" s="494">
        <v>0</v>
      </c>
      <c r="O3351" s="60">
        <v>0</v>
      </c>
      <c r="P3351" s="494">
        <v>0</v>
      </c>
      <c r="Q3351" s="182">
        <f t="shared" ref="Q3351:Q3356" si="4009">(K3351+L3351)/J3351</f>
        <v>1</v>
      </c>
      <c r="R3351" s="182">
        <f t="shared" ref="R3351:R3356" si="4010">N3351/J3351</f>
        <v>0</v>
      </c>
      <c r="S3351" s="183">
        <f t="shared" si="4005"/>
        <v>0</v>
      </c>
      <c r="T3351" s="183">
        <f t="shared" si="4006"/>
        <v>0</v>
      </c>
      <c r="U3351" s="184">
        <f t="shared" si="4007"/>
        <v>1</v>
      </c>
      <c r="V3351" s="386"/>
    </row>
    <row r="3352" spans="2:22" ht="15.75" hidden="1" x14ac:dyDescent="0.2">
      <c r="B3352" s="711">
        <v>46294</v>
      </c>
      <c r="C3352" s="711" t="s">
        <v>105</v>
      </c>
      <c r="D3352" s="711" t="s">
        <v>189</v>
      </c>
      <c r="E3352" s="711">
        <v>46294</v>
      </c>
      <c r="G3352" s="779"/>
      <c r="H3352" s="497" t="s">
        <v>14</v>
      </c>
      <c r="I3352" s="60" t="s">
        <v>105</v>
      </c>
      <c r="J3352" s="60">
        <f t="shared" ref="J3352" si="4011">SUM(K3352:P3352)</f>
        <v>73</v>
      </c>
      <c r="K3352" s="60">
        <v>61</v>
      </c>
      <c r="L3352" s="60">
        <v>12</v>
      </c>
      <c r="M3352" s="60">
        <v>0</v>
      </c>
      <c r="N3352" s="494">
        <v>0</v>
      </c>
      <c r="O3352" s="60">
        <v>0</v>
      </c>
      <c r="P3352" s="494">
        <v>0</v>
      </c>
      <c r="Q3352" s="182">
        <f t="shared" si="4009"/>
        <v>1</v>
      </c>
      <c r="R3352" s="182">
        <f t="shared" si="4010"/>
        <v>0</v>
      </c>
      <c r="S3352" s="183">
        <f t="shared" si="4005"/>
        <v>0</v>
      </c>
      <c r="T3352" s="183">
        <f t="shared" si="4006"/>
        <v>0</v>
      </c>
      <c r="U3352" s="184">
        <f t="shared" si="4007"/>
        <v>1</v>
      </c>
      <c r="V3352" s="386"/>
    </row>
    <row r="3353" spans="2:22" ht="15.75" hidden="1" x14ac:dyDescent="0.2">
      <c r="B3353" s="711">
        <v>46294</v>
      </c>
      <c r="C3353" s="711" t="s">
        <v>105</v>
      </c>
      <c r="D3353" s="711" t="s">
        <v>189</v>
      </c>
      <c r="E3353" s="711">
        <v>46294</v>
      </c>
      <c r="G3353" s="773">
        <v>46295</v>
      </c>
      <c r="H3353" s="497" t="s">
        <v>16</v>
      </c>
      <c r="I3353" s="60" t="s">
        <v>15</v>
      </c>
      <c r="J3353" s="60">
        <v>152</v>
      </c>
      <c r="K3353" s="60">
        <v>55</v>
      </c>
      <c r="L3353" s="60">
        <v>13</v>
      </c>
      <c r="M3353" s="60">
        <v>0</v>
      </c>
      <c r="N3353" s="494">
        <v>59</v>
      </c>
      <c r="O3353" s="60">
        <v>20</v>
      </c>
      <c r="P3353" s="494">
        <v>4</v>
      </c>
      <c r="Q3353" s="182">
        <f t="shared" si="4009"/>
        <v>0.44736842105263158</v>
      </c>
      <c r="R3353" s="182">
        <f t="shared" si="4010"/>
        <v>0.38815789473684209</v>
      </c>
      <c r="S3353" s="183">
        <f t="shared" si="4005"/>
        <v>2.6315789473684209E-2</v>
      </c>
      <c r="T3353" s="183">
        <f t="shared" si="4006"/>
        <v>0.13157894736842105</v>
      </c>
      <c r="U3353" s="184">
        <f t="shared" si="4007"/>
        <v>0.99342105263157898</v>
      </c>
      <c r="V3353" s="386"/>
    </row>
    <row r="3354" spans="2:22" ht="15.75" hidden="1" x14ac:dyDescent="0.2">
      <c r="B3354" s="711">
        <v>46294</v>
      </c>
      <c r="C3354" s="711" t="s">
        <v>105</v>
      </c>
      <c r="D3354" s="711" t="s">
        <v>189</v>
      </c>
      <c r="E3354" s="711">
        <v>46294</v>
      </c>
      <c r="G3354" s="780"/>
      <c r="H3354" s="497" t="s">
        <v>17</v>
      </c>
      <c r="I3354" s="60" t="s">
        <v>106</v>
      </c>
      <c r="J3354" s="60">
        <v>200</v>
      </c>
      <c r="K3354" s="60">
        <v>85</v>
      </c>
      <c r="L3354" s="60">
        <v>35</v>
      </c>
      <c r="M3354" s="60">
        <v>20</v>
      </c>
      <c r="N3354" s="494">
        <v>0</v>
      </c>
      <c r="O3354" s="60">
        <v>36</v>
      </c>
      <c r="P3354" s="494">
        <v>24</v>
      </c>
      <c r="Q3354" s="182">
        <f t="shared" si="4009"/>
        <v>0.6</v>
      </c>
      <c r="R3354" s="182">
        <f t="shared" si="4010"/>
        <v>0</v>
      </c>
      <c r="S3354" s="183">
        <f t="shared" si="4005"/>
        <v>0.12</v>
      </c>
      <c r="T3354" s="183">
        <f t="shared" si="4006"/>
        <v>0.18</v>
      </c>
      <c r="U3354" s="184">
        <f t="shared" si="4007"/>
        <v>0.89999999999999991</v>
      </c>
      <c r="V3354" s="386"/>
    </row>
    <row r="3355" spans="2:22" ht="15.75" hidden="1" x14ac:dyDescent="0.2">
      <c r="B3355" s="711">
        <v>46294</v>
      </c>
      <c r="C3355" s="711" t="s">
        <v>105</v>
      </c>
      <c r="D3355" s="711" t="s">
        <v>189</v>
      </c>
      <c r="E3355" s="711">
        <v>46294</v>
      </c>
      <c r="G3355" s="774"/>
      <c r="H3355" s="497" t="s">
        <v>25</v>
      </c>
      <c r="I3355" s="60" t="s">
        <v>105</v>
      </c>
      <c r="J3355" s="60">
        <v>143</v>
      </c>
      <c r="K3355" s="60">
        <v>0</v>
      </c>
      <c r="L3355" s="60">
        <v>2</v>
      </c>
      <c r="M3355" s="60">
        <v>12</v>
      </c>
      <c r="N3355" s="494">
        <v>101</v>
      </c>
      <c r="O3355" s="60">
        <v>11</v>
      </c>
      <c r="P3355" s="494">
        <v>39</v>
      </c>
      <c r="Q3355" s="182">
        <f t="shared" si="4009"/>
        <v>1.3986013986013986E-2</v>
      </c>
      <c r="R3355" s="182">
        <f t="shared" si="4010"/>
        <v>0.70629370629370625</v>
      </c>
      <c r="S3355" s="183">
        <f t="shared" si="4005"/>
        <v>0.27272727272727271</v>
      </c>
      <c r="T3355" s="183">
        <f t="shared" si="4006"/>
        <v>7.6923076923076927E-2</v>
      </c>
      <c r="U3355" s="184">
        <f t="shared" si="4007"/>
        <v>1.0699300699300698</v>
      </c>
      <c r="V3355" s="386"/>
    </row>
    <row r="3356" spans="2:22" ht="15.75" hidden="1" x14ac:dyDescent="0.2">
      <c r="B3356" s="711">
        <v>46294</v>
      </c>
      <c r="C3356" s="711" t="s">
        <v>105</v>
      </c>
      <c r="D3356" s="711" t="s">
        <v>189</v>
      </c>
      <c r="E3356" s="711">
        <v>46294</v>
      </c>
      <c r="G3356" s="692">
        <v>46296</v>
      </c>
      <c r="H3356" s="497" t="s">
        <v>212</v>
      </c>
      <c r="I3356" s="60" t="s">
        <v>22</v>
      </c>
      <c r="J3356" s="60">
        <v>234</v>
      </c>
      <c r="K3356" s="60">
        <v>0</v>
      </c>
      <c r="L3356" s="60">
        <v>0</v>
      </c>
      <c r="M3356" s="60">
        <v>68</v>
      </c>
      <c r="N3356" s="494">
        <v>132</v>
      </c>
      <c r="O3356" s="60">
        <v>0</v>
      </c>
      <c r="P3356" s="494">
        <v>0</v>
      </c>
      <c r="Q3356" s="182">
        <f t="shared" si="4009"/>
        <v>0</v>
      </c>
      <c r="R3356" s="182">
        <f t="shared" si="4010"/>
        <v>0.5641025641025641</v>
      </c>
      <c r="S3356" s="183">
        <f t="shared" si="4005"/>
        <v>0</v>
      </c>
      <c r="T3356" s="183">
        <f t="shared" si="4006"/>
        <v>0</v>
      </c>
      <c r="U3356" s="184">
        <f t="shared" si="4007"/>
        <v>0.5641025641025641</v>
      </c>
      <c r="V3356" s="386"/>
    </row>
    <row r="3357" spans="2:22" ht="15.75" hidden="1" x14ac:dyDescent="0.2">
      <c r="B3357" s="711">
        <v>46294</v>
      </c>
      <c r="C3357" s="711" t="s">
        <v>105</v>
      </c>
      <c r="D3357" s="711" t="s">
        <v>189</v>
      </c>
      <c r="E3357" s="711">
        <v>46294</v>
      </c>
      <c r="G3357" s="775" t="s">
        <v>19</v>
      </c>
      <c r="H3357" s="776"/>
      <c r="I3357" s="777"/>
      <c r="J3357" s="190">
        <f t="shared" ref="J3357:P3357" si="4012">SUM(J3351:J3356)</f>
        <v>817</v>
      </c>
      <c r="K3357" s="190">
        <f t="shared" si="4012"/>
        <v>205</v>
      </c>
      <c r="L3357" s="190">
        <f t="shared" si="4012"/>
        <v>73</v>
      </c>
      <c r="M3357" s="190">
        <f t="shared" si="4012"/>
        <v>100</v>
      </c>
      <c r="N3357" s="190">
        <f t="shared" si="4012"/>
        <v>292</v>
      </c>
      <c r="O3357" s="190">
        <f t="shared" si="4012"/>
        <v>67</v>
      </c>
      <c r="P3357" s="190">
        <f t="shared" si="4012"/>
        <v>67</v>
      </c>
      <c r="Q3357" s="481">
        <f>(K3357+L3357)/J3357</f>
        <v>0.34026927784577721</v>
      </c>
      <c r="R3357" s="481">
        <f>N3357/J3357</f>
        <v>0.35740514075887392</v>
      </c>
      <c r="S3357" s="482">
        <f t="shared" si="4005"/>
        <v>8.2007343941248464E-2</v>
      </c>
      <c r="T3357" s="482">
        <f t="shared" si="4006"/>
        <v>8.2007343941248464E-2</v>
      </c>
      <c r="U3357" s="483">
        <f t="shared" si="4007"/>
        <v>0.86168910648714803</v>
      </c>
      <c r="V3357" s="479"/>
    </row>
    <row r="3358" spans="2:22" ht="15.75" hidden="1" x14ac:dyDescent="0.2">
      <c r="B3358" s="711">
        <v>46295</v>
      </c>
      <c r="C3358" s="711" t="s">
        <v>106</v>
      </c>
      <c r="D3358" s="711" t="s">
        <v>13</v>
      </c>
      <c r="E3358" s="711">
        <v>46295</v>
      </c>
      <c r="G3358" s="770">
        <v>46295</v>
      </c>
      <c r="H3358" s="497" t="s">
        <v>16</v>
      </c>
      <c r="I3358" s="60" t="s">
        <v>105</v>
      </c>
      <c r="J3358" s="60">
        <v>216</v>
      </c>
      <c r="K3358" s="60">
        <v>146</v>
      </c>
      <c r="L3358" s="60">
        <v>43</v>
      </c>
      <c r="M3358" s="60">
        <v>4</v>
      </c>
      <c r="N3358" s="494">
        <v>0</v>
      </c>
      <c r="O3358" s="60">
        <v>20</v>
      </c>
      <c r="P3358" s="494">
        <v>3</v>
      </c>
      <c r="Q3358" s="182">
        <f t="shared" ref="Q3358:Q3361" si="4013">(K3358+L3358)/J3358</f>
        <v>0.875</v>
      </c>
      <c r="R3358" s="182">
        <f t="shared" ref="R3358:R3361" si="4014">N3358/J3358</f>
        <v>0</v>
      </c>
      <c r="S3358" s="183">
        <f t="shared" ref="S3358:S3376" si="4015">P3358/J3358</f>
        <v>1.3888888888888888E-2</v>
      </c>
      <c r="T3358" s="183">
        <f t="shared" ref="T3358:T3376" si="4016">O3358/J3358</f>
        <v>9.2592592592592587E-2</v>
      </c>
      <c r="U3358" s="184">
        <f t="shared" ref="U3358:U3376" si="4017">S3358+R3358+Q3358+T3358</f>
        <v>0.9814814814814814</v>
      </c>
      <c r="V3358" s="386"/>
    </row>
    <row r="3359" spans="2:22" ht="15.75" hidden="1" x14ac:dyDescent="0.2">
      <c r="B3359" s="711">
        <v>46295</v>
      </c>
      <c r="C3359" s="711" t="s">
        <v>106</v>
      </c>
      <c r="D3359" s="711" t="s">
        <v>13</v>
      </c>
      <c r="E3359" s="711">
        <v>46295</v>
      </c>
      <c r="G3359" s="771"/>
      <c r="H3359" s="497" t="s">
        <v>17</v>
      </c>
      <c r="I3359" s="60" t="s">
        <v>106</v>
      </c>
      <c r="J3359" s="60">
        <v>232</v>
      </c>
      <c r="K3359" s="60">
        <v>107</v>
      </c>
      <c r="L3359" s="60">
        <v>68</v>
      </c>
      <c r="M3359" s="60">
        <v>0</v>
      </c>
      <c r="N3359" s="494">
        <v>0</v>
      </c>
      <c r="O3359" s="60">
        <v>36</v>
      </c>
      <c r="P3359" s="494">
        <v>21</v>
      </c>
      <c r="Q3359" s="182">
        <f t="shared" si="4013"/>
        <v>0.75431034482758619</v>
      </c>
      <c r="R3359" s="182">
        <f t="shared" si="4014"/>
        <v>0</v>
      </c>
      <c r="S3359" s="183">
        <f t="shared" si="4015"/>
        <v>9.0517241379310345E-2</v>
      </c>
      <c r="T3359" s="183">
        <f t="shared" si="4016"/>
        <v>0.15517241379310345</v>
      </c>
      <c r="U3359" s="184">
        <f t="shared" si="4017"/>
        <v>1</v>
      </c>
      <c r="V3359" s="386"/>
    </row>
    <row r="3360" spans="2:22" ht="15.75" hidden="1" x14ac:dyDescent="0.2">
      <c r="B3360" s="711">
        <v>46295</v>
      </c>
      <c r="C3360" s="711" t="s">
        <v>106</v>
      </c>
      <c r="D3360" s="711" t="s">
        <v>13</v>
      </c>
      <c r="E3360" s="711">
        <v>46295</v>
      </c>
      <c r="G3360" s="772"/>
      <c r="H3360" s="497" t="s">
        <v>25</v>
      </c>
      <c r="I3360" s="60" t="s">
        <v>105</v>
      </c>
      <c r="J3360" s="60">
        <v>143</v>
      </c>
      <c r="K3360" s="60">
        <v>91</v>
      </c>
      <c r="L3360" s="60">
        <v>22</v>
      </c>
      <c r="M3360" s="60">
        <v>0</v>
      </c>
      <c r="N3360" s="494">
        <v>0</v>
      </c>
      <c r="O3360" s="60">
        <v>11</v>
      </c>
      <c r="P3360" s="494">
        <v>19</v>
      </c>
      <c r="Q3360" s="182">
        <f t="shared" si="4013"/>
        <v>0.79020979020979021</v>
      </c>
      <c r="R3360" s="182">
        <f t="shared" si="4014"/>
        <v>0</v>
      </c>
      <c r="S3360" s="183">
        <f t="shared" si="4015"/>
        <v>0.13286713286713286</v>
      </c>
      <c r="T3360" s="183">
        <f t="shared" si="4016"/>
        <v>7.6923076923076927E-2</v>
      </c>
      <c r="U3360" s="184">
        <f t="shared" si="4017"/>
        <v>1</v>
      </c>
      <c r="V3360" s="386"/>
    </row>
    <row r="3361" spans="2:22" ht="15.75" hidden="1" x14ac:dyDescent="0.2">
      <c r="B3361" s="711">
        <v>46295</v>
      </c>
      <c r="C3361" s="711" t="s">
        <v>106</v>
      </c>
      <c r="D3361" s="711" t="s">
        <v>13</v>
      </c>
      <c r="E3361" s="711">
        <v>46296</v>
      </c>
      <c r="G3361" s="773">
        <v>46296</v>
      </c>
      <c r="H3361" s="497" t="s">
        <v>212</v>
      </c>
      <c r="I3361" s="60" t="s">
        <v>22</v>
      </c>
      <c r="J3361" s="60">
        <v>234</v>
      </c>
      <c r="K3361" s="60">
        <f>234-131</f>
        <v>103</v>
      </c>
      <c r="L3361" s="60">
        <v>21</v>
      </c>
      <c r="M3361" s="60">
        <v>47</v>
      </c>
      <c r="N3361" s="494">
        <v>29</v>
      </c>
      <c r="O3361" s="60">
        <v>0</v>
      </c>
      <c r="P3361" s="494">
        <v>34</v>
      </c>
      <c r="Q3361" s="182">
        <f t="shared" si="4013"/>
        <v>0.52991452991452992</v>
      </c>
      <c r="R3361" s="182">
        <f t="shared" si="4014"/>
        <v>0.12393162393162394</v>
      </c>
      <c r="S3361" s="183">
        <f t="shared" si="4015"/>
        <v>0.14529914529914531</v>
      </c>
      <c r="T3361" s="183">
        <f t="shared" si="4016"/>
        <v>0</v>
      </c>
      <c r="U3361" s="184">
        <f t="shared" si="4017"/>
        <v>0.79914529914529919</v>
      </c>
      <c r="V3361" s="386"/>
    </row>
    <row r="3362" spans="2:22" ht="15.75" hidden="1" x14ac:dyDescent="0.2">
      <c r="B3362" s="711">
        <v>46295</v>
      </c>
      <c r="C3362" s="711" t="s">
        <v>106</v>
      </c>
      <c r="D3362" s="711" t="s">
        <v>13</v>
      </c>
      <c r="E3362" s="711">
        <v>46296</v>
      </c>
      <c r="G3362" s="780"/>
      <c r="H3362" s="497" t="s">
        <v>16</v>
      </c>
      <c r="I3362" s="60" t="s">
        <v>105</v>
      </c>
      <c r="J3362" s="194">
        <v>222</v>
      </c>
      <c r="K3362" s="194">
        <v>109</v>
      </c>
      <c r="L3362" s="194">
        <v>15</v>
      </c>
      <c r="M3362" s="194">
        <v>75</v>
      </c>
      <c r="N3362" s="538">
        <v>0</v>
      </c>
      <c r="O3362" s="194">
        <v>20</v>
      </c>
      <c r="P3362" s="538">
        <v>3</v>
      </c>
      <c r="Q3362" s="182">
        <f t="shared" ref="Q3362:Q3364" si="4018">(K3362+L3362)/J3362</f>
        <v>0.55855855855855852</v>
      </c>
      <c r="R3362" s="182">
        <f t="shared" ref="R3362:R3364" si="4019">N3362/J3362</f>
        <v>0</v>
      </c>
      <c r="S3362" s="183">
        <f t="shared" ref="S3362:S3364" si="4020">P3362/J3362</f>
        <v>1.3513513513513514E-2</v>
      </c>
      <c r="T3362" s="183">
        <f t="shared" ref="T3362:T3364" si="4021">O3362/J3362</f>
        <v>9.0090090090090086E-2</v>
      </c>
      <c r="U3362" s="184">
        <f t="shared" ref="U3362:U3364" si="4022">S3362+R3362+Q3362+T3362</f>
        <v>0.66216216216216206</v>
      </c>
      <c r="V3362" s="386"/>
    </row>
    <row r="3363" spans="2:22" ht="15.75" hidden="1" x14ac:dyDescent="0.2">
      <c r="B3363" s="711">
        <v>46295</v>
      </c>
      <c r="C3363" s="711" t="s">
        <v>106</v>
      </c>
      <c r="D3363" s="711" t="s">
        <v>13</v>
      </c>
      <c r="E3363" s="711">
        <v>46296</v>
      </c>
      <c r="G3363" s="780"/>
      <c r="H3363" s="497" t="s">
        <v>118</v>
      </c>
      <c r="I3363" s="60" t="s">
        <v>106</v>
      </c>
      <c r="J3363" s="194">
        <v>251</v>
      </c>
      <c r="K3363" s="194">
        <v>0</v>
      </c>
      <c r="L3363" s="194">
        <v>0</v>
      </c>
      <c r="M3363" s="194">
        <v>138</v>
      </c>
      <c r="N3363" s="538">
        <v>71</v>
      </c>
      <c r="O3363" s="194">
        <v>21</v>
      </c>
      <c r="P3363" s="538">
        <v>20</v>
      </c>
      <c r="Q3363" s="182">
        <f t="shared" si="4018"/>
        <v>0</v>
      </c>
      <c r="R3363" s="182">
        <f t="shared" si="4019"/>
        <v>0.28286852589641437</v>
      </c>
      <c r="S3363" s="183">
        <f t="shared" si="4020"/>
        <v>7.9681274900398405E-2</v>
      </c>
      <c r="T3363" s="183">
        <f t="shared" si="4021"/>
        <v>8.3665338645418322E-2</v>
      </c>
      <c r="U3363" s="184">
        <f t="shared" si="4022"/>
        <v>0.44621513944223107</v>
      </c>
      <c r="V3363" s="386"/>
    </row>
    <row r="3364" spans="2:22" ht="15.75" hidden="1" x14ac:dyDescent="0.2">
      <c r="B3364" s="711">
        <v>46295</v>
      </c>
      <c r="C3364" s="711" t="s">
        <v>106</v>
      </c>
      <c r="D3364" s="711" t="s">
        <v>13</v>
      </c>
      <c r="E3364" s="711">
        <v>46296</v>
      </c>
      <c r="G3364" s="774"/>
      <c r="H3364" s="497" t="s">
        <v>14</v>
      </c>
      <c r="I3364" s="60" t="s">
        <v>105</v>
      </c>
      <c r="J3364" s="194">
        <v>173</v>
      </c>
      <c r="K3364" s="194">
        <v>1</v>
      </c>
      <c r="L3364" s="194">
        <v>0</v>
      </c>
      <c r="M3364" s="194">
        <v>145</v>
      </c>
      <c r="N3364" s="538">
        <v>0</v>
      </c>
      <c r="O3364" s="194">
        <v>13</v>
      </c>
      <c r="P3364" s="538">
        <v>14</v>
      </c>
      <c r="Q3364" s="182">
        <f t="shared" si="4018"/>
        <v>5.7803468208092483E-3</v>
      </c>
      <c r="R3364" s="182">
        <f t="shared" si="4019"/>
        <v>0</v>
      </c>
      <c r="S3364" s="183">
        <f t="shared" si="4020"/>
        <v>8.0924855491329481E-2</v>
      </c>
      <c r="T3364" s="183">
        <f t="shared" si="4021"/>
        <v>7.5144508670520235E-2</v>
      </c>
      <c r="U3364" s="184">
        <f t="shared" si="4022"/>
        <v>0.16184971098265896</v>
      </c>
      <c r="V3364" s="386"/>
    </row>
    <row r="3365" spans="2:22" ht="15.75" hidden="1" x14ac:dyDescent="0.2">
      <c r="B3365" s="711">
        <v>46295</v>
      </c>
      <c r="C3365" s="711" t="s">
        <v>106</v>
      </c>
      <c r="D3365" s="711" t="s">
        <v>13</v>
      </c>
      <c r="E3365" s="711">
        <v>46296</v>
      </c>
      <c r="G3365" s="775" t="s">
        <v>19</v>
      </c>
      <c r="H3365" s="776"/>
      <c r="I3365" s="777"/>
      <c r="J3365" s="190">
        <f t="shared" ref="J3365" si="4023">SUM(J3356:J3361)</f>
        <v>1876</v>
      </c>
      <c r="K3365" s="190">
        <f t="shared" ref="K3365" si="4024">SUM(K3356:K3361)</f>
        <v>652</v>
      </c>
      <c r="L3365" s="190">
        <f t="shared" ref="L3365" si="4025">SUM(L3356:L3361)</f>
        <v>227</v>
      </c>
      <c r="M3365" s="190">
        <f t="shared" ref="M3365" si="4026">SUM(M3356:M3361)</f>
        <v>219</v>
      </c>
      <c r="N3365" s="190">
        <f t="shared" ref="N3365" si="4027">SUM(N3356:N3361)</f>
        <v>453</v>
      </c>
      <c r="O3365" s="190">
        <f t="shared" ref="O3365" si="4028">SUM(O3356:O3361)</f>
        <v>134</v>
      </c>
      <c r="P3365" s="190">
        <f t="shared" ref="P3365" si="4029">SUM(P3356:P3361)</f>
        <v>144</v>
      </c>
      <c r="Q3365" s="481">
        <f>(K3365+L3365)/J3365</f>
        <v>0.46855010660980811</v>
      </c>
      <c r="R3365" s="481">
        <f>N3365/J3365</f>
        <v>0.24147121535181237</v>
      </c>
      <c r="S3365" s="482">
        <f t="shared" si="4015"/>
        <v>7.6759061833688705E-2</v>
      </c>
      <c r="T3365" s="482">
        <f t="shared" si="4016"/>
        <v>7.1428571428571425E-2</v>
      </c>
      <c r="U3365" s="483">
        <f t="shared" si="4017"/>
        <v>0.85820895522388052</v>
      </c>
      <c r="V3365" s="479"/>
    </row>
    <row r="3366" spans="2:22" ht="15.75" hidden="1" x14ac:dyDescent="0.2">
      <c r="B3366" s="711">
        <v>46295</v>
      </c>
      <c r="C3366" s="711" t="s">
        <v>105</v>
      </c>
      <c r="D3366" s="711" t="s">
        <v>189</v>
      </c>
      <c r="E3366" s="711">
        <v>46295</v>
      </c>
      <c r="G3366" s="778">
        <v>46295</v>
      </c>
      <c r="H3366" s="497" t="s">
        <v>32</v>
      </c>
      <c r="I3366" s="60" t="s">
        <v>27</v>
      </c>
      <c r="J3366" s="60">
        <f>SUM(K3366:P3366)</f>
        <v>12</v>
      </c>
      <c r="K3366" s="60">
        <v>9</v>
      </c>
      <c r="L3366" s="60">
        <v>3</v>
      </c>
      <c r="M3366" s="60">
        <v>0</v>
      </c>
      <c r="N3366" s="494">
        <v>0</v>
      </c>
      <c r="O3366" s="60">
        <v>0</v>
      </c>
      <c r="P3366" s="494">
        <v>0</v>
      </c>
      <c r="Q3366" s="182">
        <f t="shared" ref="Q3366:Q3375" si="4030">(K3366+L3366)/J3366</f>
        <v>1</v>
      </c>
      <c r="R3366" s="182">
        <f t="shared" ref="R3366:R3375" si="4031">N3366/J3366</f>
        <v>0</v>
      </c>
      <c r="S3366" s="183">
        <f t="shared" si="4015"/>
        <v>0</v>
      </c>
      <c r="T3366" s="183">
        <f t="shared" si="4016"/>
        <v>0</v>
      </c>
      <c r="U3366" s="184">
        <f t="shared" si="4017"/>
        <v>1</v>
      </c>
      <c r="V3366" s="386"/>
    </row>
    <row r="3367" spans="2:22" ht="15.75" hidden="1" x14ac:dyDescent="0.2">
      <c r="B3367" s="711">
        <v>46295</v>
      </c>
      <c r="C3367" s="711" t="s">
        <v>105</v>
      </c>
      <c r="D3367" s="711" t="s">
        <v>189</v>
      </c>
      <c r="E3367" s="711">
        <v>46295</v>
      </c>
      <c r="G3367" s="786"/>
      <c r="H3367" s="497" t="s">
        <v>25</v>
      </c>
      <c r="I3367" s="60" t="s">
        <v>105</v>
      </c>
      <c r="J3367" s="60">
        <f t="shared" ref="J3367:J3371" si="4032">SUM(K3367:P3367)</f>
        <v>48</v>
      </c>
      <c r="K3367" s="60">
        <v>38</v>
      </c>
      <c r="L3367" s="60">
        <v>10</v>
      </c>
      <c r="M3367" s="60">
        <v>0</v>
      </c>
      <c r="N3367" s="494">
        <v>0</v>
      </c>
      <c r="O3367" s="60">
        <v>0</v>
      </c>
      <c r="P3367" s="494">
        <v>0</v>
      </c>
      <c r="Q3367" s="182">
        <f t="shared" si="4030"/>
        <v>1</v>
      </c>
      <c r="R3367" s="182">
        <f t="shared" si="4031"/>
        <v>0</v>
      </c>
      <c r="S3367" s="183">
        <f t="shared" si="4015"/>
        <v>0</v>
      </c>
      <c r="T3367" s="183">
        <f t="shared" si="4016"/>
        <v>0</v>
      </c>
      <c r="U3367" s="184">
        <f t="shared" si="4017"/>
        <v>1</v>
      </c>
      <c r="V3367" s="386"/>
    </row>
    <row r="3368" spans="2:22" ht="15.75" hidden="1" x14ac:dyDescent="0.2">
      <c r="B3368" s="711">
        <v>46295</v>
      </c>
      <c r="C3368" s="711" t="s">
        <v>105</v>
      </c>
      <c r="D3368" s="711" t="s">
        <v>189</v>
      </c>
      <c r="E3368" s="711">
        <v>46295</v>
      </c>
      <c r="G3368" s="786"/>
      <c r="H3368" s="497" t="s">
        <v>17</v>
      </c>
      <c r="I3368" s="60" t="s">
        <v>105</v>
      </c>
      <c r="J3368" s="60">
        <f t="shared" si="4032"/>
        <v>15</v>
      </c>
      <c r="K3368" s="60">
        <v>6</v>
      </c>
      <c r="L3368" s="60">
        <v>9</v>
      </c>
      <c r="M3368" s="60">
        <v>0</v>
      </c>
      <c r="N3368" s="494">
        <v>0</v>
      </c>
      <c r="O3368" s="60">
        <v>0</v>
      </c>
      <c r="P3368" s="494">
        <v>0</v>
      </c>
      <c r="Q3368" s="182">
        <f t="shared" si="4030"/>
        <v>1</v>
      </c>
      <c r="R3368" s="182">
        <f t="shared" si="4031"/>
        <v>0</v>
      </c>
      <c r="S3368" s="183">
        <f t="shared" si="4015"/>
        <v>0</v>
      </c>
      <c r="T3368" s="183">
        <f t="shared" si="4016"/>
        <v>0</v>
      </c>
      <c r="U3368" s="184">
        <f t="shared" si="4017"/>
        <v>1</v>
      </c>
      <c r="V3368" s="386"/>
    </row>
    <row r="3369" spans="2:22" ht="15.75" hidden="1" x14ac:dyDescent="0.2">
      <c r="B3369" s="711">
        <v>46295</v>
      </c>
      <c r="C3369" s="711" t="s">
        <v>105</v>
      </c>
      <c r="D3369" s="711" t="s">
        <v>189</v>
      </c>
      <c r="E3369" s="711">
        <v>46295</v>
      </c>
      <c r="G3369" s="779"/>
      <c r="H3369" s="497" t="s">
        <v>120</v>
      </c>
      <c r="I3369" s="60" t="s">
        <v>105</v>
      </c>
      <c r="J3369" s="60">
        <f t="shared" si="4032"/>
        <v>2</v>
      </c>
      <c r="K3369" s="60">
        <v>2</v>
      </c>
      <c r="L3369" s="60">
        <v>0</v>
      </c>
      <c r="M3369" s="60">
        <v>0</v>
      </c>
      <c r="N3369" s="494">
        <v>0</v>
      </c>
      <c r="O3369" s="60">
        <v>0</v>
      </c>
      <c r="P3369" s="494">
        <v>0</v>
      </c>
      <c r="Q3369" s="182">
        <f t="shared" si="4030"/>
        <v>1</v>
      </c>
      <c r="R3369" s="182">
        <f t="shared" si="4031"/>
        <v>0</v>
      </c>
      <c r="S3369" s="183">
        <f t="shared" si="4015"/>
        <v>0</v>
      </c>
      <c r="T3369" s="183">
        <f t="shared" si="4016"/>
        <v>0</v>
      </c>
      <c r="U3369" s="184">
        <f t="shared" si="4017"/>
        <v>1</v>
      </c>
      <c r="V3369" s="386"/>
    </row>
    <row r="3370" spans="2:22" ht="15.75" hidden="1" x14ac:dyDescent="0.2">
      <c r="B3370" s="711">
        <v>46295</v>
      </c>
      <c r="C3370" s="711" t="s">
        <v>105</v>
      </c>
      <c r="D3370" s="711" t="s">
        <v>189</v>
      </c>
      <c r="E3370" s="711">
        <v>46296</v>
      </c>
      <c r="G3370" s="773">
        <v>46296</v>
      </c>
      <c r="H3370" s="497" t="s">
        <v>16</v>
      </c>
      <c r="I3370" s="60" t="s">
        <v>15</v>
      </c>
      <c r="J3370" s="60">
        <f t="shared" si="4032"/>
        <v>100</v>
      </c>
      <c r="K3370" s="60">
        <v>8</v>
      </c>
      <c r="L3370" s="60">
        <v>6</v>
      </c>
      <c r="M3370" s="60">
        <v>1</v>
      </c>
      <c r="N3370" s="494">
        <v>59</v>
      </c>
      <c r="O3370" s="60">
        <v>21</v>
      </c>
      <c r="P3370" s="494">
        <v>5</v>
      </c>
      <c r="Q3370" s="182">
        <f t="shared" ref="Q3370:Q3372" si="4033">(K3370+L3370)/J3370</f>
        <v>0.14000000000000001</v>
      </c>
      <c r="R3370" s="182">
        <f t="shared" ref="R3370:R3372" si="4034">N3370/J3370</f>
        <v>0.59</v>
      </c>
      <c r="S3370" s="183">
        <f t="shared" ref="S3370:S3372" si="4035">P3370/J3370</f>
        <v>0.05</v>
      </c>
      <c r="T3370" s="183">
        <f t="shared" ref="T3370:T3372" si="4036">O3370/J3370</f>
        <v>0.21</v>
      </c>
      <c r="U3370" s="184">
        <f t="shared" ref="U3370:U3372" si="4037">S3370+R3370+Q3370+T3370</f>
        <v>0.99</v>
      </c>
      <c r="V3370" s="386"/>
    </row>
    <row r="3371" spans="2:22" ht="15.75" hidden="1" x14ac:dyDescent="0.2">
      <c r="B3371" s="711">
        <v>46295</v>
      </c>
      <c r="C3371" s="711" t="s">
        <v>105</v>
      </c>
      <c r="D3371" s="711" t="s">
        <v>189</v>
      </c>
      <c r="E3371" s="711">
        <v>46296</v>
      </c>
      <c r="G3371" s="780"/>
      <c r="H3371" s="497" t="s">
        <v>213</v>
      </c>
      <c r="I3371" s="60" t="s">
        <v>22</v>
      </c>
      <c r="J3371" s="60">
        <f t="shared" si="4032"/>
        <v>108</v>
      </c>
      <c r="K3371" s="60">
        <v>0</v>
      </c>
      <c r="L3371" s="60">
        <v>0</v>
      </c>
      <c r="M3371" s="60">
        <v>0</v>
      </c>
      <c r="N3371" s="494">
        <v>74</v>
      </c>
      <c r="O3371" s="60">
        <v>0</v>
      </c>
      <c r="P3371" s="494">
        <v>34</v>
      </c>
      <c r="Q3371" s="182">
        <f t="shared" si="4033"/>
        <v>0</v>
      </c>
      <c r="R3371" s="182">
        <f t="shared" si="4034"/>
        <v>0.68518518518518523</v>
      </c>
      <c r="S3371" s="183">
        <f t="shared" si="4035"/>
        <v>0.31481481481481483</v>
      </c>
      <c r="T3371" s="183">
        <f t="shared" si="4036"/>
        <v>0</v>
      </c>
      <c r="U3371" s="184">
        <f t="shared" si="4037"/>
        <v>1</v>
      </c>
      <c r="V3371" s="386"/>
    </row>
    <row r="3372" spans="2:22" ht="15.75" hidden="1" x14ac:dyDescent="0.2">
      <c r="B3372" s="711">
        <v>46295</v>
      </c>
      <c r="C3372" s="711" t="s">
        <v>105</v>
      </c>
      <c r="D3372" s="711" t="s">
        <v>189</v>
      </c>
      <c r="E3372" s="711">
        <v>46296</v>
      </c>
      <c r="G3372" s="780"/>
      <c r="H3372" s="497" t="s">
        <v>118</v>
      </c>
      <c r="I3372" s="60" t="s">
        <v>106</v>
      </c>
      <c r="J3372" s="60">
        <v>250</v>
      </c>
      <c r="K3372" s="60">
        <v>150</v>
      </c>
      <c r="L3372" s="60">
        <v>46</v>
      </c>
      <c r="M3372" s="60">
        <v>6</v>
      </c>
      <c r="N3372" s="494">
        <v>8</v>
      </c>
      <c r="O3372" s="60">
        <v>21</v>
      </c>
      <c r="P3372" s="494">
        <v>20</v>
      </c>
      <c r="Q3372" s="182">
        <f t="shared" si="4033"/>
        <v>0.78400000000000003</v>
      </c>
      <c r="R3372" s="182">
        <f t="shared" si="4034"/>
        <v>3.2000000000000001E-2</v>
      </c>
      <c r="S3372" s="183">
        <f t="shared" si="4035"/>
        <v>0.08</v>
      </c>
      <c r="T3372" s="183">
        <f t="shared" si="4036"/>
        <v>8.4000000000000005E-2</v>
      </c>
      <c r="U3372" s="184">
        <f t="shared" si="4037"/>
        <v>0.98</v>
      </c>
      <c r="V3372" s="386"/>
    </row>
    <row r="3373" spans="2:22" ht="15.75" hidden="1" x14ac:dyDescent="0.2">
      <c r="B3373" s="711">
        <v>46295</v>
      </c>
      <c r="C3373" s="711" t="s">
        <v>105</v>
      </c>
      <c r="D3373" s="711" t="s">
        <v>189</v>
      </c>
      <c r="E3373" s="711">
        <v>46296</v>
      </c>
      <c r="G3373" s="774"/>
      <c r="H3373" s="497" t="s">
        <v>14</v>
      </c>
      <c r="I3373" s="60" t="s">
        <v>105</v>
      </c>
      <c r="J3373" s="60">
        <v>172</v>
      </c>
      <c r="K3373" s="60">
        <v>0</v>
      </c>
      <c r="L3373" s="60">
        <v>0</v>
      </c>
      <c r="M3373" s="60">
        <v>73</v>
      </c>
      <c r="N3373" s="494">
        <v>72</v>
      </c>
      <c r="O3373" s="60">
        <v>13</v>
      </c>
      <c r="P3373" s="494">
        <v>14</v>
      </c>
      <c r="Q3373" s="182">
        <f t="shared" si="4030"/>
        <v>0</v>
      </c>
      <c r="R3373" s="182">
        <f t="shared" si="4031"/>
        <v>0.41860465116279072</v>
      </c>
      <c r="S3373" s="183">
        <f t="shared" si="4015"/>
        <v>8.1395348837209308E-2</v>
      </c>
      <c r="T3373" s="183">
        <f t="shared" si="4016"/>
        <v>7.5581395348837205E-2</v>
      </c>
      <c r="U3373" s="184">
        <f t="shared" si="4017"/>
        <v>0.57558139534883723</v>
      </c>
      <c r="V3373" s="386"/>
    </row>
    <row r="3374" spans="2:22" ht="15.75" hidden="1" x14ac:dyDescent="0.2">
      <c r="B3374" s="711">
        <v>46295</v>
      </c>
      <c r="C3374" s="711" t="s">
        <v>105</v>
      </c>
      <c r="D3374" s="711" t="s">
        <v>189</v>
      </c>
      <c r="E3374" s="711">
        <v>46296</v>
      </c>
      <c r="G3374" s="773">
        <v>46297</v>
      </c>
      <c r="H3374" s="497" t="s">
        <v>16</v>
      </c>
      <c r="I3374" s="60" t="s">
        <v>15</v>
      </c>
      <c r="J3374" s="60">
        <v>213</v>
      </c>
      <c r="K3374" s="60">
        <v>0</v>
      </c>
      <c r="L3374" s="60">
        <v>0</v>
      </c>
      <c r="M3374" s="60">
        <v>173</v>
      </c>
      <c r="N3374" s="494">
        <v>15</v>
      </c>
      <c r="O3374" s="60">
        <v>18</v>
      </c>
      <c r="P3374" s="494">
        <v>7</v>
      </c>
      <c r="Q3374" s="182">
        <f t="shared" ref="Q3374" si="4038">(K3374+L3374)/J3374</f>
        <v>0</v>
      </c>
      <c r="R3374" s="182">
        <f t="shared" ref="R3374" si="4039">N3374/J3374</f>
        <v>7.0422535211267609E-2</v>
      </c>
      <c r="S3374" s="183">
        <f t="shared" ref="S3374" si="4040">P3374/J3374</f>
        <v>3.2863849765258218E-2</v>
      </c>
      <c r="T3374" s="183">
        <f t="shared" ref="T3374" si="4041">O3374/J3374</f>
        <v>8.4507042253521125E-2</v>
      </c>
      <c r="U3374" s="184">
        <f t="shared" ref="U3374" si="4042">S3374+R3374+Q3374+T3374</f>
        <v>0.18779342723004694</v>
      </c>
      <c r="V3374" s="386"/>
    </row>
    <row r="3375" spans="2:22" ht="15.75" hidden="1" x14ac:dyDescent="0.2">
      <c r="B3375" s="711">
        <v>46295</v>
      </c>
      <c r="C3375" s="711" t="s">
        <v>105</v>
      </c>
      <c r="D3375" s="711" t="s">
        <v>189</v>
      </c>
      <c r="E3375" s="711">
        <v>46297</v>
      </c>
      <c r="G3375" s="774"/>
      <c r="H3375" s="497" t="s">
        <v>17</v>
      </c>
      <c r="I3375" s="60" t="s">
        <v>106</v>
      </c>
      <c r="J3375" s="60">
        <v>202</v>
      </c>
      <c r="K3375" s="60">
        <v>0</v>
      </c>
      <c r="L3375" s="60">
        <v>0</v>
      </c>
      <c r="M3375" s="60">
        <v>136</v>
      </c>
      <c r="N3375" s="494">
        <v>12</v>
      </c>
      <c r="O3375" s="60">
        <v>28</v>
      </c>
      <c r="P3375" s="494">
        <v>26</v>
      </c>
      <c r="Q3375" s="182">
        <f t="shared" si="4030"/>
        <v>0</v>
      </c>
      <c r="R3375" s="182">
        <f t="shared" si="4031"/>
        <v>5.9405940594059403E-2</v>
      </c>
      <c r="S3375" s="183">
        <f t="shared" si="4015"/>
        <v>0.12871287128712872</v>
      </c>
      <c r="T3375" s="183">
        <f t="shared" si="4016"/>
        <v>0.13861386138613863</v>
      </c>
      <c r="U3375" s="184">
        <f t="shared" si="4017"/>
        <v>0.32673267326732675</v>
      </c>
      <c r="V3375" s="386"/>
    </row>
    <row r="3376" spans="2:22" ht="15.75" hidden="1" x14ac:dyDescent="0.2">
      <c r="B3376" s="711">
        <v>46295</v>
      </c>
      <c r="C3376" s="711" t="s">
        <v>105</v>
      </c>
      <c r="D3376" s="711" t="s">
        <v>189</v>
      </c>
      <c r="E3376" s="711">
        <v>46295</v>
      </c>
      <c r="G3376" s="775" t="s">
        <v>19</v>
      </c>
      <c r="H3376" s="776"/>
      <c r="I3376" s="777"/>
      <c r="J3376" s="190">
        <f t="shared" ref="J3376:P3376" si="4043">SUM(J3366:J3375)</f>
        <v>1122</v>
      </c>
      <c r="K3376" s="190">
        <f t="shared" si="4043"/>
        <v>213</v>
      </c>
      <c r="L3376" s="190">
        <f t="shared" si="4043"/>
        <v>74</v>
      </c>
      <c r="M3376" s="190">
        <f t="shared" si="4043"/>
        <v>389</v>
      </c>
      <c r="N3376" s="190">
        <f t="shared" si="4043"/>
        <v>240</v>
      </c>
      <c r="O3376" s="190">
        <f t="shared" si="4043"/>
        <v>101</v>
      </c>
      <c r="P3376" s="190">
        <f t="shared" si="4043"/>
        <v>106</v>
      </c>
      <c r="Q3376" s="481">
        <f>(K3376+L3376)/J3376</f>
        <v>0.25579322638146168</v>
      </c>
      <c r="R3376" s="481">
        <f>N3376/J3376</f>
        <v>0.21390374331550802</v>
      </c>
      <c r="S3376" s="482">
        <f t="shared" si="4015"/>
        <v>9.4474153297682703E-2</v>
      </c>
      <c r="T3376" s="482">
        <f t="shared" si="4016"/>
        <v>9.0017825311942953E-2</v>
      </c>
      <c r="U3376" s="483">
        <f t="shared" si="4017"/>
        <v>0.65418894830659535</v>
      </c>
      <c r="V3376" s="479"/>
    </row>
    <row r="3377" spans="2:22" ht="15.75" hidden="1" x14ac:dyDescent="0.2">
      <c r="B3377" s="711">
        <v>46296</v>
      </c>
      <c r="C3377" s="711" t="s">
        <v>106</v>
      </c>
      <c r="D3377" s="711" t="s">
        <v>13</v>
      </c>
      <c r="E3377" s="711">
        <v>46296</v>
      </c>
      <c r="G3377" s="770">
        <v>46296</v>
      </c>
      <c r="H3377" s="497" t="s">
        <v>212</v>
      </c>
      <c r="I3377" s="60" t="s">
        <v>22</v>
      </c>
      <c r="J3377" s="60">
        <v>234</v>
      </c>
      <c r="K3377" s="60">
        <f>J3377-L3377-M3377-N3377-O3377-P3377</f>
        <v>171</v>
      </c>
      <c r="L3377" s="60">
        <v>30</v>
      </c>
      <c r="M3377" s="60">
        <v>4</v>
      </c>
      <c r="N3377" s="494">
        <v>0</v>
      </c>
      <c r="O3377" s="60">
        <v>0</v>
      </c>
      <c r="P3377" s="494">
        <v>29</v>
      </c>
      <c r="Q3377" s="182">
        <f t="shared" ref="Q3377:Q3382" si="4044">(K3377+L3377)/J3377</f>
        <v>0.85897435897435892</v>
      </c>
      <c r="R3377" s="182">
        <f t="shared" ref="R3377:R3382" si="4045">N3377/J3377</f>
        <v>0</v>
      </c>
      <c r="S3377" s="183">
        <f t="shared" ref="S3377:S3393" si="4046">P3377/J3377</f>
        <v>0.12393162393162394</v>
      </c>
      <c r="T3377" s="183">
        <f t="shared" ref="T3377:T3393" si="4047">O3377/J3377</f>
        <v>0</v>
      </c>
      <c r="U3377" s="184">
        <f t="shared" ref="U3377:U3393" si="4048">S3377+R3377+Q3377+T3377</f>
        <v>0.98290598290598286</v>
      </c>
      <c r="V3377" s="386"/>
    </row>
    <row r="3378" spans="2:22" ht="15.75" hidden="1" x14ac:dyDescent="0.2">
      <c r="B3378" s="711">
        <v>46296</v>
      </c>
      <c r="C3378" s="711" t="s">
        <v>106</v>
      </c>
      <c r="D3378" s="711" t="s">
        <v>13</v>
      </c>
      <c r="E3378" s="711">
        <v>46296</v>
      </c>
      <c r="G3378" s="771"/>
      <c r="H3378" s="497" t="s">
        <v>16</v>
      </c>
      <c r="I3378" s="60" t="s">
        <v>105</v>
      </c>
      <c r="J3378" s="194">
        <v>222</v>
      </c>
      <c r="K3378" s="60">
        <f t="shared" ref="K3378:K3384" si="4049">J3378-L3378-M3378-N3378-O3378-P3378</f>
        <v>147</v>
      </c>
      <c r="L3378" s="194">
        <v>48</v>
      </c>
      <c r="M3378" s="194">
        <v>4</v>
      </c>
      <c r="N3378" s="538">
        <v>0</v>
      </c>
      <c r="O3378" s="194">
        <v>20</v>
      </c>
      <c r="P3378" s="538">
        <v>3</v>
      </c>
      <c r="Q3378" s="182">
        <f t="shared" si="4044"/>
        <v>0.8783783783783784</v>
      </c>
      <c r="R3378" s="182">
        <f t="shared" si="4045"/>
        <v>0</v>
      </c>
      <c r="S3378" s="183">
        <f t="shared" si="4046"/>
        <v>1.3513513513513514E-2</v>
      </c>
      <c r="T3378" s="183">
        <f t="shared" si="4047"/>
        <v>9.0090090090090086E-2</v>
      </c>
      <c r="U3378" s="184">
        <f t="shared" si="4048"/>
        <v>0.98198198198198194</v>
      </c>
      <c r="V3378" s="386"/>
    </row>
    <row r="3379" spans="2:22" ht="15.75" hidden="1" x14ac:dyDescent="0.2">
      <c r="B3379" s="711">
        <v>46296</v>
      </c>
      <c r="C3379" s="711" t="s">
        <v>106</v>
      </c>
      <c r="D3379" s="711" t="s">
        <v>13</v>
      </c>
      <c r="E3379" s="711">
        <v>46296</v>
      </c>
      <c r="G3379" s="771"/>
      <c r="H3379" s="497" t="s">
        <v>118</v>
      </c>
      <c r="I3379" s="60" t="s">
        <v>106</v>
      </c>
      <c r="J3379" s="194">
        <v>251</v>
      </c>
      <c r="K3379" s="60">
        <f t="shared" si="4049"/>
        <v>182</v>
      </c>
      <c r="L3379" s="194">
        <v>35</v>
      </c>
      <c r="M3379" s="194">
        <v>0</v>
      </c>
      <c r="N3379" s="538">
        <v>0</v>
      </c>
      <c r="O3379" s="194">
        <v>21</v>
      </c>
      <c r="P3379" s="538">
        <v>13</v>
      </c>
      <c r="Q3379" s="182">
        <f t="shared" si="4044"/>
        <v>0.86454183266932272</v>
      </c>
      <c r="R3379" s="182">
        <f t="shared" si="4045"/>
        <v>0</v>
      </c>
      <c r="S3379" s="183">
        <f t="shared" si="4046"/>
        <v>5.1792828685258967E-2</v>
      </c>
      <c r="T3379" s="183">
        <f t="shared" si="4047"/>
        <v>8.3665338645418322E-2</v>
      </c>
      <c r="U3379" s="184">
        <f t="shared" si="4048"/>
        <v>1</v>
      </c>
      <c r="V3379" s="386"/>
    </row>
    <row r="3380" spans="2:22" ht="15.75" hidden="1" x14ac:dyDescent="0.2">
      <c r="B3380" s="711">
        <v>46296</v>
      </c>
      <c r="C3380" s="711" t="s">
        <v>106</v>
      </c>
      <c r="D3380" s="711" t="s">
        <v>13</v>
      </c>
      <c r="E3380" s="711">
        <v>46296</v>
      </c>
      <c r="G3380" s="772"/>
      <c r="H3380" s="497" t="s">
        <v>14</v>
      </c>
      <c r="I3380" s="60" t="s">
        <v>105</v>
      </c>
      <c r="J3380" s="194">
        <v>173</v>
      </c>
      <c r="K3380" s="60">
        <f t="shared" si="4049"/>
        <v>115</v>
      </c>
      <c r="L3380" s="194">
        <v>31</v>
      </c>
      <c r="M3380" s="194">
        <v>0</v>
      </c>
      <c r="N3380" s="538">
        <v>0</v>
      </c>
      <c r="O3380" s="194">
        <v>11</v>
      </c>
      <c r="P3380" s="538">
        <v>16</v>
      </c>
      <c r="Q3380" s="182">
        <f t="shared" si="4044"/>
        <v>0.84393063583815031</v>
      </c>
      <c r="R3380" s="182">
        <f t="shared" si="4045"/>
        <v>0</v>
      </c>
      <c r="S3380" s="183">
        <f t="shared" si="4046"/>
        <v>9.2485549132947972E-2</v>
      </c>
      <c r="T3380" s="183">
        <f t="shared" si="4047"/>
        <v>6.358381502890173E-2</v>
      </c>
      <c r="U3380" s="184">
        <f t="shared" si="4048"/>
        <v>1</v>
      </c>
      <c r="V3380" s="386"/>
    </row>
    <row r="3381" spans="2:22" ht="15.75" hidden="1" x14ac:dyDescent="0.2">
      <c r="B3381" s="711">
        <v>46296</v>
      </c>
      <c r="C3381" s="711" t="s">
        <v>106</v>
      </c>
      <c r="D3381" s="711" t="s">
        <v>13</v>
      </c>
      <c r="E3381" s="711">
        <v>46297</v>
      </c>
      <c r="G3381" s="773">
        <v>46297</v>
      </c>
      <c r="H3381" s="497" t="s">
        <v>16</v>
      </c>
      <c r="I3381" s="60" t="s">
        <v>15</v>
      </c>
      <c r="J3381" s="60">
        <v>213</v>
      </c>
      <c r="K3381" s="60">
        <f t="shared" si="4049"/>
        <v>136</v>
      </c>
      <c r="L3381" s="60">
        <v>30</v>
      </c>
      <c r="M3381" s="60">
        <v>9</v>
      </c>
      <c r="N3381" s="494">
        <v>13</v>
      </c>
      <c r="O3381" s="60">
        <v>18</v>
      </c>
      <c r="P3381" s="494">
        <v>7</v>
      </c>
      <c r="Q3381" s="182">
        <f t="shared" si="4044"/>
        <v>0.77934272300469487</v>
      </c>
      <c r="R3381" s="182">
        <f t="shared" si="4045"/>
        <v>6.1032863849765258E-2</v>
      </c>
      <c r="S3381" s="183">
        <f t="shared" si="4046"/>
        <v>3.2863849765258218E-2</v>
      </c>
      <c r="T3381" s="183">
        <f t="shared" si="4047"/>
        <v>8.4507042253521125E-2</v>
      </c>
      <c r="U3381" s="184">
        <f t="shared" si="4048"/>
        <v>0.95774647887323949</v>
      </c>
      <c r="V3381" s="386"/>
    </row>
    <row r="3382" spans="2:22" ht="15.75" hidden="1" x14ac:dyDescent="0.2">
      <c r="B3382" s="711">
        <v>46296</v>
      </c>
      <c r="C3382" s="711" t="s">
        <v>106</v>
      </c>
      <c r="D3382" s="711" t="s">
        <v>13</v>
      </c>
      <c r="E3382" s="711">
        <v>46297</v>
      </c>
      <c r="G3382" s="780"/>
      <c r="H3382" s="497" t="s">
        <v>17</v>
      </c>
      <c r="I3382" s="60" t="s">
        <v>106</v>
      </c>
      <c r="J3382" s="60">
        <v>202</v>
      </c>
      <c r="K3382" s="60">
        <f t="shared" si="4049"/>
        <v>14</v>
      </c>
      <c r="L3382" s="60">
        <v>7</v>
      </c>
      <c r="M3382" s="60">
        <v>128</v>
      </c>
      <c r="N3382" s="494">
        <v>0</v>
      </c>
      <c r="O3382" s="60">
        <v>28</v>
      </c>
      <c r="P3382" s="494">
        <v>25</v>
      </c>
      <c r="Q3382" s="182">
        <f t="shared" si="4044"/>
        <v>0.10396039603960396</v>
      </c>
      <c r="R3382" s="182">
        <f t="shared" si="4045"/>
        <v>0</v>
      </c>
      <c r="S3382" s="183">
        <f t="shared" si="4046"/>
        <v>0.12376237623762376</v>
      </c>
      <c r="T3382" s="183">
        <f t="shared" si="4047"/>
        <v>0.13861386138613863</v>
      </c>
      <c r="U3382" s="184">
        <f t="shared" si="4048"/>
        <v>0.36633663366336633</v>
      </c>
      <c r="V3382" s="386"/>
    </row>
    <row r="3383" spans="2:22" ht="15.75" hidden="1" x14ac:dyDescent="0.2">
      <c r="B3383" s="711">
        <v>46296</v>
      </c>
      <c r="C3383" s="711" t="s">
        <v>106</v>
      </c>
      <c r="D3383" s="711" t="s">
        <v>13</v>
      </c>
      <c r="E3383" s="711">
        <v>46297</v>
      </c>
      <c r="G3383" s="780"/>
      <c r="H3383" s="497" t="s">
        <v>14</v>
      </c>
      <c r="I3383" s="60" t="s">
        <v>105</v>
      </c>
      <c r="J3383" s="194">
        <v>170</v>
      </c>
      <c r="K3383" s="60">
        <f t="shared" si="4049"/>
        <v>0</v>
      </c>
      <c r="L3383" s="60">
        <v>0</v>
      </c>
      <c r="M3383" s="194">
        <v>145</v>
      </c>
      <c r="N3383" s="494">
        <v>0</v>
      </c>
      <c r="O3383" s="60">
        <v>12</v>
      </c>
      <c r="P3383" s="494">
        <v>13</v>
      </c>
      <c r="Q3383" s="182">
        <f t="shared" ref="Q3383:Q3384" si="4050">(K3383+L3383)/J3383</f>
        <v>0</v>
      </c>
      <c r="R3383" s="182">
        <f t="shared" ref="R3383:R3384" si="4051">N3383/J3383</f>
        <v>0</v>
      </c>
      <c r="S3383" s="183">
        <f t="shared" ref="S3383:S3384" si="4052">P3383/J3383</f>
        <v>7.6470588235294124E-2</v>
      </c>
      <c r="T3383" s="183">
        <f t="shared" ref="T3383:T3384" si="4053">O3383/J3383</f>
        <v>7.0588235294117646E-2</v>
      </c>
      <c r="U3383" s="184">
        <f t="shared" ref="U3383:U3384" si="4054">S3383+R3383+Q3383+T3383</f>
        <v>0.14705882352941177</v>
      </c>
      <c r="V3383" s="386"/>
    </row>
    <row r="3384" spans="2:22" ht="15.75" hidden="1" x14ac:dyDescent="0.2">
      <c r="B3384" s="711">
        <v>46296</v>
      </c>
      <c r="C3384" s="711" t="s">
        <v>106</v>
      </c>
      <c r="D3384" s="711" t="s">
        <v>13</v>
      </c>
      <c r="E3384" s="711">
        <v>46297</v>
      </c>
      <c r="G3384" s="774"/>
      <c r="H3384" s="497" t="s">
        <v>84</v>
      </c>
      <c r="I3384" s="60" t="s">
        <v>27</v>
      </c>
      <c r="J3384" s="194">
        <v>164</v>
      </c>
      <c r="K3384" s="60">
        <f t="shared" si="4049"/>
        <v>1</v>
      </c>
      <c r="L3384" s="60">
        <v>0</v>
      </c>
      <c r="M3384" s="194">
        <v>131</v>
      </c>
      <c r="N3384" s="494">
        <v>0</v>
      </c>
      <c r="O3384" s="60">
        <v>12</v>
      </c>
      <c r="P3384" s="494">
        <v>20</v>
      </c>
      <c r="Q3384" s="182">
        <f t="shared" si="4050"/>
        <v>6.0975609756097563E-3</v>
      </c>
      <c r="R3384" s="182">
        <f t="shared" si="4051"/>
        <v>0</v>
      </c>
      <c r="S3384" s="183">
        <f t="shared" si="4052"/>
        <v>0.12195121951219512</v>
      </c>
      <c r="T3384" s="183">
        <f t="shared" si="4053"/>
        <v>7.3170731707317069E-2</v>
      </c>
      <c r="U3384" s="184">
        <f t="shared" si="4054"/>
        <v>0.20121951219512196</v>
      </c>
      <c r="V3384" s="386"/>
    </row>
    <row r="3385" spans="2:22" ht="15.75" hidden="1" x14ac:dyDescent="0.2">
      <c r="B3385" s="711">
        <v>46296</v>
      </c>
      <c r="C3385" s="711" t="s">
        <v>106</v>
      </c>
      <c r="D3385" s="711" t="s">
        <v>13</v>
      </c>
      <c r="E3385" s="711">
        <v>46297</v>
      </c>
      <c r="G3385" s="792" t="s">
        <v>19</v>
      </c>
      <c r="H3385" s="793"/>
      <c r="I3385" s="794"/>
      <c r="J3385" s="663">
        <f>SUM(J3377:J3384)</f>
        <v>1629</v>
      </c>
      <c r="K3385" s="663">
        <f t="shared" ref="K3385:P3385" si="4055">SUM(K3377:K3384)</f>
        <v>766</v>
      </c>
      <c r="L3385" s="663">
        <f t="shared" si="4055"/>
        <v>181</v>
      </c>
      <c r="M3385" s="663">
        <f t="shared" si="4055"/>
        <v>421</v>
      </c>
      <c r="N3385" s="663">
        <f t="shared" si="4055"/>
        <v>13</v>
      </c>
      <c r="O3385" s="663">
        <f t="shared" si="4055"/>
        <v>122</v>
      </c>
      <c r="P3385" s="663">
        <f t="shared" si="4055"/>
        <v>126</v>
      </c>
      <c r="Q3385" s="664">
        <f>(K3385+L3385)/J3385</f>
        <v>0.58133824432166969</v>
      </c>
      <c r="R3385" s="664">
        <f>N3385/J3385</f>
        <v>7.9803560466543896E-3</v>
      </c>
      <c r="S3385" s="665">
        <f t="shared" si="4046"/>
        <v>7.7348066298342538E-2</v>
      </c>
      <c r="T3385" s="665">
        <f t="shared" si="4047"/>
        <v>7.4892572130141194E-2</v>
      </c>
      <c r="U3385" s="666">
        <f t="shared" si="4048"/>
        <v>0.74155923879680785</v>
      </c>
      <c r="V3385" s="667"/>
    </row>
    <row r="3386" spans="2:22" ht="15.75" hidden="1" x14ac:dyDescent="0.2">
      <c r="B3386" s="711">
        <v>46296</v>
      </c>
      <c r="C3386" s="711" t="s">
        <v>105</v>
      </c>
      <c r="D3386" s="711" t="s">
        <v>189</v>
      </c>
      <c r="E3386" s="711">
        <v>46296</v>
      </c>
      <c r="G3386" s="778">
        <v>46296</v>
      </c>
      <c r="H3386" s="497" t="s">
        <v>32</v>
      </c>
      <c r="I3386" s="60" t="s">
        <v>27</v>
      </c>
      <c r="J3386" s="60">
        <f>SUM(K3386:P3386)</f>
        <v>4</v>
      </c>
      <c r="K3386" s="60">
        <v>4</v>
      </c>
      <c r="L3386" s="60">
        <v>0</v>
      </c>
      <c r="M3386" s="60">
        <v>0</v>
      </c>
      <c r="N3386" s="494">
        <v>0</v>
      </c>
      <c r="O3386" s="60">
        <v>0</v>
      </c>
      <c r="P3386" s="494">
        <v>0</v>
      </c>
      <c r="Q3386" s="182">
        <f t="shared" ref="Q3386:Q3392" si="4056">(K3386+L3386)/J3386</f>
        <v>1</v>
      </c>
      <c r="R3386" s="182">
        <f t="shared" ref="R3386:R3392" si="4057">N3386/J3386</f>
        <v>0</v>
      </c>
      <c r="S3386" s="183">
        <f t="shared" si="4046"/>
        <v>0</v>
      </c>
      <c r="T3386" s="183">
        <f t="shared" si="4047"/>
        <v>0</v>
      </c>
      <c r="U3386" s="184">
        <f t="shared" si="4048"/>
        <v>1</v>
      </c>
      <c r="V3386" s="386"/>
    </row>
    <row r="3387" spans="2:22" ht="15.75" hidden="1" x14ac:dyDescent="0.2">
      <c r="B3387" s="711">
        <v>46296</v>
      </c>
      <c r="C3387" s="711" t="s">
        <v>105</v>
      </c>
      <c r="D3387" s="711" t="s">
        <v>189</v>
      </c>
      <c r="E3387" s="711">
        <v>46296</v>
      </c>
      <c r="G3387" s="779"/>
      <c r="H3387" s="497" t="s">
        <v>14</v>
      </c>
      <c r="I3387" s="60" t="s">
        <v>105</v>
      </c>
      <c r="J3387" s="60">
        <f t="shared" ref="J3387:J3389" si="4058">SUM(K3387:P3387)</f>
        <v>48</v>
      </c>
      <c r="K3387" s="60">
        <v>35</v>
      </c>
      <c r="L3387" s="60">
        <v>13</v>
      </c>
      <c r="M3387" s="60">
        <v>0</v>
      </c>
      <c r="N3387" s="494">
        <v>0</v>
      </c>
      <c r="O3387" s="60">
        <v>0</v>
      </c>
      <c r="P3387" s="494">
        <v>0</v>
      </c>
      <c r="Q3387" s="182">
        <f t="shared" si="4056"/>
        <v>1</v>
      </c>
      <c r="R3387" s="182">
        <f t="shared" si="4057"/>
        <v>0</v>
      </c>
      <c r="S3387" s="183">
        <f t="shared" si="4046"/>
        <v>0</v>
      </c>
      <c r="T3387" s="183">
        <f t="shared" si="4047"/>
        <v>0</v>
      </c>
      <c r="U3387" s="184">
        <f t="shared" si="4048"/>
        <v>1</v>
      </c>
      <c r="V3387" s="386"/>
    </row>
    <row r="3388" spans="2:22" ht="15.75" hidden="1" x14ac:dyDescent="0.2">
      <c r="B3388" s="711">
        <v>46296</v>
      </c>
      <c r="C3388" s="711" t="s">
        <v>105</v>
      </c>
      <c r="D3388" s="711" t="s">
        <v>189</v>
      </c>
      <c r="E3388" s="711">
        <v>46296</v>
      </c>
      <c r="G3388" s="773">
        <v>46297</v>
      </c>
      <c r="H3388" s="497" t="s">
        <v>16</v>
      </c>
      <c r="I3388" s="60" t="s">
        <v>15</v>
      </c>
      <c r="J3388" s="60">
        <f t="shared" si="4058"/>
        <v>49</v>
      </c>
      <c r="K3388" s="60">
        <v>13</v>
      </c>
      <c r="L3388" s="60">
        <v>6</v>
      </c>
      <c r="M3388" s="60">
        <v>0</v>
      </c>
      <c r="N3388" s="494">
        <v>5</v>
      </c>
      <c r="O3388" s="60">
        <v>18</v>
      </c>
      <c r="P3388" s="494">
        <v>7</v>
      </c>
      <c r="Q3388" s="182">
        <f t="shared" si="4056"/>
        <v>0.38775510204081631</v>
      </c>
      <c r="R3388" s="182">
        <f t="shared" si="4057"/>
        <v>0.10204081632653061</v>
      </c>
      <c r="S3388" s="183">
        <f t="shared" si="4046"/>
        <v>0.14285714285714285</v>
      </c>
      <c r="T3388" s="183">
        <f t="shared" si="4047"/>
        <v>0.36734693877551022</v>
      </c>
      <c r="U3388" s="184">
        <f t="shared" si="4048"/>
        <v>1</v>
      </c>
      <c r="V3388" s="386"/>
    </row>
    <row r="3389" spans="2:22" ht="15.75" hidden="1" x14ac:dyDescent="0.2">
      <c r="B3389" s="711">
        <v>46296</v>
      </c>
      <c r="C3389" s="711" t="s">
        <v>105</v>
      </c>
      <c r="D3389" s="711" t="s">
        <v>189</v>
      </c>
      <c r="E3389" s="711">
        <v>46296</v>
      </c>
      <c r="G3389" s="780"/>
      <c r="H3389" s="497" t="s">
        <v>17</v>
      </c>
      <c r="I3389" s="60" t="s">
        <v>106</v>
      </c>
      <c r="J3389" s="60">
        <f t="shared" si="4058"/>
        <v>196</v>
      </c>
      <c r="K3389" s="60">
        <v>98</v>
      </c>
      <c r="L3389" s="60">
        <v>36</v>
      </c>
      <c r="M3389" s="60">
        <v>0</v>
      </c>
      <c r="N3389" s="494">
        <v>0</v>
      </c>
      <c r="O3389" s="60">
        <v>35</v>
      </c>
      <c r="P3389" s="494">
        <v>27</v>
      </c>
      <c r="Q3389" s="182">
        <f t="shared" si="4056"/>
        <v>0.68367346938775508</v>
      </c>
      <c r="R3389" s="182">
        <f t="shared" si="4057"/>
        <v>0</v>
      </c>
      <c r="S3389" s="183">
        <f t="shared" si="4046"/>
        <v>0.13775510204081631</v>
      </c>
      <c r="T3389" s="183">
        <f t="shared" si="4047"/>
        <v>0.17857142857142858</v>
      </c>
      <c r="U3389" s="184">
        <f t="shared" si="4048"/>
        <v>1</v>
      </c>
      <c r="V3389" s="386"/>
    </row>
    <row r="3390" spans="2:22" ht="15.75" hidden="1" x14ac:dyDescent="0.2">
      <c r="B3390" s="711">
        <v>46296</v>
      </c>
      <c r="C3390" s="711" t="s">
        <v>105</v>
      </c>
      <c r="D3390" s="711" t="s">
        <v>189</v>
      </c>
      <c r="E3390" s="711">
        <v>46297</v>
      </c>
      <c r="G3390" s="780"/>
      <c r="H3390" s="497" t="s">
        <v>84</v>
      </c>
      <c r="I3390" s="60" t="s">
        <v>27</v>
      </c>
      <c r="J3390" s="60">
        <v>163</v>
      </c>
      <c r="K3390" s="60">
        <v>82</v>
      </c>
      <c r="L3390" s="60">
        <v>6</v>
      </c>
      <c r="M3390" s="60">
        <v>5</v>
      </c>
      <c r="N3390" s="494">
        <v>40</v>
      </c>
      <c r="O3390" s="60">
        <v>12</v>
      </c>
      <c r="P3390" s="494">
        <v>20</v>
      </c>
      <c r="Q3390" s="182">
        <f t="shared" si="4056"/>
        <v>0.53987730061349692</v>
      </c>
      <c r="R3390" s="182">
        <f t="shared" si="4057"/>
        <v>0.24539877300613497</v>
      </c>
      <c r="S3390" s="183">
        <f t="shared" si="4046"/>
        <v>0.12269938650306748</v>
      </c>
      <c r="T3390" s="183">
        <f t="shared" si="4047"/>
        <v>7.3619631901840496E-2</v>
      </c>
      <c r="U3390" s="184">
        <f t="shared" si="4048"/>
        <v>0.98159509202453987</v>
      </c>
      <c r="V3390" s="386"/>
    </row>
    <row r="3391" spans="2:22" ht="15.75" hidden="1" x14ac:dyDescent="0.2">
      <c r="B3391" s="711">
        <v>46296</v>
      </c>
      <c r="C3391" s="711" t="s">
        <v>105</v>
      </c>
      <c r="D3391" s="711" t="s">
        <v>189</v>
      </c>
      <c r="E3391" s="711">
        <v>46297</v>
      </c>
      <c r="G3391" s="774"/>
      <c r="H3391" s="497" t="s">
        <v>14</v>
      </c>
      <c r="I3391" s="60" t="s">
        <v>105</v>
      </c>
      <c r="J3391" s="60">
        <v>170</v>
      </c>
      <c r="K3391" s="60">
        <v>0</v>
      </c>
      <c r="L3391" s="60">
        <v>0</v>
      </c>
      <c r="M3391" s="60">
        <v>22</v>
      </c>
      <c r="N3391" s="494">
        <v>122</v>
      </c>
      <c r="O3391" s="60">
        <v>12</v>
      </c>
      <c r="P3391" s="494">
        <v>13</v>
      </c>
      <c r="Q3391" s="182">
        <f t="shared" si="4056"/>
        <v>0</v>
      </c>
      <c r="R3391" s="182">
        <f t="shared" si="4057"/>
        <v>0.71764705882352942</v>
      </c>
      <c r="S3391" s="183">
        <f t="shared" si="4046"/>
        <v>7.6470588235294124E-2</v>
      </c>
      <c r="T3391" s="183">
        <f t="shared" si="4047"/>
        <v>7.0588235294117646E-2</v>
      </c>
      <c r="U3391" s="184">
        <f t="shared" si="4048"/>
        <v>0.86470588235294121</v>
      </c>
      <c r="V3391" s="386"/>
    </row>
    <row r="3392" spans="2:22" ht="15.75" hidden="1" x14ac:dyDescent="0.2">
      <c r="B3392" s="711">
        <v>46296</v>
      </c>
      <c r="C3392" s="711" t="s">
        <v>105</v>
      </c>
      <c r="D3392" s="711" t="s">
        <v>189</v>
      </c>
      <c r="E3392" s="711">
        <v>46297</v>
      </c>
      <c r="G3392" s="692">
        <v>46298</v>
      </c>
      <c r="H3392" s="497" t="s">
        <v>16</v>
      </c>
      <c r="I3392" s="60" t="s">
        <v>15</v>
      </c>
      <c r="J3392" s="60">
        <v>215</v>
      </c>
      <c r="K3392" s="60">
        <v>0</v>
      </c>
      <c r="L3392" s="60">
        <v>0</v>
      </c>
      <c r="M3392" s="60">
        <v>137</v>
      </c>
      <c r="N3392" s="494">
        <v>54</v>
      </c>
      <c r="O3392" s="60">
        <v>18</v>
      </c>
      <c r="P3392" s="494">
        <v>6</v>
      </c>
      <c r="Q3392" s="182">
        <f t="shared" si="4056"/>
        <v>0</v>
      </c>
      <c r="R3392" s="182">
        <f t="shared" si="4057"/>
        <v>0.25116279069767444</v>
      </c>
      <c r="S3392" s="183">
        <f t="shared" si="4046"/>
        <v>2.7906976744186046E-2</v>
      </c>
      <c r="T3392" s="183">
        <f t="shared" si="4047"/>
        <v>8.3720930232558138E-2</v>
      </c>
      <c r="U3392" s="184">
        <f t="shared" si="4048"/>
        <v>0.36279069767441863</v>
      </c>
      <c r="V3392" s="386"/>
    </row>
    <row r="3393" spans="2:22" ht="15.75" hidden="1" x14ac:dyDescent="0.2">
      <c r="B3393" s="711">
        <v>46296</v>
      </c>
      <c r="C3393" s="711" t="s">
        <v>105</v>
      </c>
      <c r="D3393" s="711" t="s">
        <v>189</v>
      </c>
      <c r="E3393" s="711">
        <v>46295</v>
      </c>
      <c r="G3393" s="775" t="s">
        <v>19</v>
      </c>
      <c r="H3393" s="776"/>
      <c r="I3393" s="777"/>
      <c r="J3393" s="190">
        <f t="shared" ref="J3393:P3393" si="4059">SUM(J3386:J3392)</f>
        <v>845</v>
      </c>
      <c r="K3393" s="190">
        <f t="shared" si="4059"/>
        <v>232</v>
      </c>
      <c r="L3393" s="190">
        <f t="shared" si="4059"/>
        <v>61</v>
      </c>
      <c r="M3393" s="190">
        <f t="shared" si="4059"/>
        <v>164</v>
      </c>
      <c r="N3393" s="190">
        <f t="shared" si="4059"/>
        <v>221</v>
      </c>
      <c r="O3393" s="190">
        <f t="shared" si="4059"/>
        <v>95</v>
      </c>
      <c r="P3393" s="190">
        <f t="shared" si="4059"/>
        <v>73</v>
      </c>
      <c r="Q3393" s="481">
        <f>(K3393+L3393)/J3393</f>
        <v>0.34674556213017749</v>
      </c>
      <c r="R3393" s="481">
        <f>N3393/J3393</f>
        <v>0.26153846153846155</v>
      </c>
      <c r="S3393" s="482">
        <f t="shared" si="4046"/>
        <v>8.6390532544378701E-2</v>
      </c>
      <c r="T3393" s="482">
        <f t="shared" si="4047"/>
        <v>0.11242603550295859</v>
      </c>
      <c r="U3393" s="483">
        <f t="shared" si="4048"/>
        <v>0.80710059171597637</v>
      </c>
      <c r="V3393" s="479"/>
    </row>
    <row r="3394" spans="2:22" ht="15.75" hidden="1" x14ac:dyDescent="0.2">
      <c r="B3394" s="711">
        <v>46297</v>
      </c>
      <c r="C3394" s="711" t="s">
        <v>106</v>
      </c>
      <c r="D3394" s="711" t="s">
        <v>13</v>
      </c>
      <c r="E3394" s="711">
        <v>46297</v>
      </c>
      <c r="G3394" s="770">
        <v>46297</v>
      </c>
      <c r="H3394" s="497" t="s">
        <v>16</v>
      </c>
      <c r="I3394" s="60" t="s">
        <v>15</v>
      </c>
      <c r="J3394" s="60">
        <f>29+18</f>
        <v>47</v>
      </c>
      <c r="K3394" s="60">
        <f t="shared" ref="K3394:K3401" si="4060">J3394-L3394-M3394-N3394-O3394-P3394</f>
        <v>13</v>
      </c>
      <c r="L3394" s="60">
        <v>12</v>
      </c>
      <c r="M3394" s="60">
        <v>0</v>
      </c>
      <c r="N3394" s="494">
        <v>0</v>
      </c>
      <c r="O3394" s="60">
        <v>18</v>
      </c>
      <c r="P3394" s="494">
        <v>4</v>
      </c>
      <c r="Q3394" s="182">
        <f t="shared" ref="Q3394:Q3401" si="4061">(K3394+L3394)/J3394</f>
        <v>0.53191489361702127</v>
      </c>
      <c r="R3394" s="182">
        <f t="shared" ref="R3394:R3401" si="4062">N3394/J3394</f>
        <v>0</v>
      </c>
      <c r="S3394" s="183">
        <f t="shared" ref="S3394:S3411" si="4063">P3394/J3394</f>
        <v>8.5106382978723402E-2</v>
      </c>
      <c r="T3394" s="183">
        <f t="shared" ref="T3394:T3411" si="4064">O3394/J3394</f>
        <v>0.38297872340425532</v>
      </c>
      <c r="U3394" s="184">
        <f t="shared" ref="U3394:U3411" si="4065">S3394+R3394+Q3394+T3394</f>
        <v>1</v>
      </c>
      <c r="V3394" s="386"/>
    </row>
    <row r="3395" spans="2:22" ht="15.75" hidden="1" x14ac:dyDescent="0.2">
      <c r="B3395" s="711">
        <v>46297</v>
      </c>
      <c r="C3395" s="711" t="s">
        <v>106</v>
      </c>
      <c r="D3395" s="711" t="s">
        <v>13</v>
      </c>
      <c r="E3395" s="711">
        <v>46297</v>
      </c>
      <c r="G3395" s="771"/>
      <c r="H3395" s="497" t="s">
        <v>17</v>
      </c>
      <c r="I3395" s="60" t="s">
        <v>106</v>
      </c>
      <c r="J3395" s="60">
        <f>91+28</f>
        <v>119</v>
      </c>
      <c r="K3395" s="60">
        <f t="shared" si="4060"/>
        <v>42</v>
      </c>
      <c r="L3395" s="60">
        <v>26</v>
      </c>
      <c r="M3395" s="60">
        <v>4</v>
      </c>
      <c r="N3395" s="494">
        <v>0</v>
      </c>
      <c r="O3395" s="60">
        <v>28</v>
      </c>
      <c r="P3395" s="494">
        <v>19</v>
      </c>
      <c r="Q3395" s="182">
        <f t="shared" si="4061"/>
        <v>0.5714285714285714</v>
      </c>
      <c r="R3395" s="182">
        <f t="shared" si="4062"/>
        <v>0</v>
      </c>
      <c r="S3395" s="183">
        <f t="shared" si="4063"/>
        <v>0.15966386554621848</v>
      </c>
      <c r="T3395" s="183">
        <f t="shared" si="4064"/>
        <v>0.23529411764705882</v>
      </c>
      <c r="U3395" s="184">
        <f t="shared" si="4065"/>
        <v>0.96638655462184864</v>
      </c>
      <c r="V3395" s="386"/>
    </row>
    <row r="3396" spans="2:22" ht="15.75" hidden="1" x14ac:dyDescent="0.2">
      <c r="B3396" s="711">
        <v>46297</v>
      </c>
      <c r="C3396" s="711" t="s">
        <v>106</v>
      </c>
      <c r="D3396" s="711" t="s">
        <v>13</v>
      </c>
      <c r="E3396" s="711">
        <v>46297</v>
      </c>
      <c r="G3396" s="771"/>
      <c r="H3396" s="497" t="s">
        <v>14</v>
      </c>
      <c r="I3396" s="60" t="s">
        <v>105</v>
      </c>
      <c r="J3396" s="194">
        <v>169</v>
      </c>
      <c r="K3396" s="60">
        <f t="shared" si="4060"/>
        <v>100</v>
      </c>
      <c r="L3396" s="60">
        <v>40</v>
      </c>
      <c r="M3396" s="194">
        <v>23</v>
      </c>
      <c r="N3396" s="494">
        <v>0</v>
      </c>
      <c r="O3396" s="60">
        <v>0</v>
      </c>
      <c r="P3396" s="494">
        <v>6</v>
      </c>
      <c r="Q3396" s="182">
        <f t="shared" si="4061"/>
        <v>0.82840236686390534</v>
      </c>
      <c r="R3396" s="182">
        <f t="shared" si="4062"/>
        <v>0</v>
      </c>
      <c r="S3396" s="183">
        <f t="shared" si="4063"/>
        <v>3.5502958579881658E-2</v>
      </c>
      <c r="T3396" s="183">
        <f t="shared" si="4064"/>
        <v>0</v>
      </c>
      <c r="U3396" s="184">
        <f t="shared" si="4065"/>
        <v>0.86390532544378695</v>
      </c>
      <c r="V3396" s="386"/>
    </row>
    <row r="3397" spans="2:22" ht="15.75" hidden="1" x14ac:dyDescent="0.2">
      <c r="B3397" s="711">
        <v>46297</v>
      </c>
      <c r="C3397" s="711" t="s">
        <v>106</v>
      </c>
      <c r="D3397" s="711" t="s">
        <v>13</v>
      </c>
      <c r="E3397" s="711">
        <v>46297</v>
      </c>
      <c r="G3397" s="771"/>
      <c r="H3397" s="497" t="s">
        <v>214</v>
      </c>
      <c r="I3397" s="60" t="s">
        <v>22</v>
      </c>
      <c r="J3397" s="194">
        <v>27</v>
      </c>
      <c r="K3397" s="60">
        <f t="shared" si="4060"/>
        <v>25</v>
      </c>
      <c r="L3397" s="60">
        <v>2</v>
      </c>
      <c r="M3397" s="194">
        <v>0</v>
      </c>
      <c r="N3397" s="494">
        <v>0</v>
      </c>
      <c r="O3397" s="60">
        <v>0</v>
      </c>
      <c r="P3397" s="494">
        <v>0</v>
      </c>
      <c r="Q3397" s="182">
        <f t="shared" ref="Q3397" si="4066">(K3397+L3397)/J3397</f>
        <v>1</v>
      </c>
      <c r="R3397" s="182">
        <f t="shared" ref="R3397" si="4067">N3397/J3397</f>
        <v>0</v>
      </c>
      <c r="S3397" s="183">
        <f t="shared" ref="S3397" si="4068">P3397/J3397</f>
        <v>0</v>
      </c>
      <c r="T3397" s="183">
        <f t="shared" ref="T3397" si="4069">O3397/J3397</f>
        <v>0</v>
      </c>
      <c r="U3397" s="184">
        <f t="shared" ref="U3397" si="4070">S3397+R3397+Q3397+T3397</f>
        <v>1</v>
      </c>
      <c r="V3397" s="386"/>
    </row>
    <row r="3398" spans="2:22" ht="15.75" hidden="1" x14ac:dyDescent="0.2">
      <c r="B3398" s="711">
        <v>46297</v>
      </c>
      <c r="C3398" s="711" t="s">
        <v>106</v>
      </c>
      <c r="D3398" s="711" t="s">
        <v>13</v>
      </c>
      <c r="E3398" s="711">
        <v>46297</v>
      </c>
      <c r="G3398" s="772"/>
      <c r="H3398" s="497" t="s">
        <v>84</v>
      </c>
      <c r="I3398" s="60" t="s">
        <v>27</v>
      </c>
      <c r="J3398" s="194">
        <v>75</v>
      </c>
      <c r="K3398" s="60">
        <f t="shared" si="4060"/>
        <v>37</v>
      </c>
      <c r="L3398" s="60">
        <v>4</v>
      </c>
      <c r="M3398" s="194">
        <v>18</v>
      </c>
      <c r="N3398" s="494">
        <v>0</v>
      </c>
      <c r="O3398" s="60">
        <v>0</v>
      </c>
      <c r="P3398" s="494">
        <v>16</v>
      </c>
      <c r="Q3398" s="182">
        <f t="shared" si="4061"/>
        <v>0.54666666666666663</v>
      </c>
      <c r="R3398" s="182">
        <f t="shared" si="4062"/>
        <v>0</v>
      </c>
      <c r="S3398" s="183">
        <f t="shared" si="4063"/>
        <v>0.21333333333333335</v>
      </c>
      <c r="T3398" s="183">
        <f t="shared" si="4064"/>
        <v>0</v>
      </c>
      <c r="U3398" s="184">
        <f t="shared" si="4065"/>
        <v>0.76</v>
      </c>
      <c r="V3398" s="386"/>
    </row>
    <row r="3399" spans="2:22" ht="15.75" hidden="1" x14ac:dyDescent="0.2">
      <c r="B3399" s="711">
        <v>46297</v>
      </c>
      <c r="C3399" s="711" t="s">
        <v>106</v>
      </c>
      <c r="D3399" s="711" t="s">
        <v>13</v>
      </c>
      <c r="E3399" s="711">
        <v>46298</v>
      </c>
      <c r="G3399" s="773">
        <v>46298</v>
      </c>
      <c r="H3399" s="497" t="s">
        <v>16</v>
      </c>
      <c r="I3399" s="60" t="s">
        <v>15</v>
      </c>
      <c r="J3399" s="60">
        <v>215</v>
      </c>
      <c r="K3399" s="60">
        <f t="shared" si="4060"/>
        <v>118</v>
      </c>
      <c r="L3399" s="60">
        <v>0</v>
      </c>
      <c r="M3399" s="60">
        <v>21</v>
      </c>
      <c r="N3399" s="494">
        <v>70</v>
      </c>
      <c r="O3399" s="60">
        <v>0</v>
      </c>
      <c r="P3399" s="494">
        <v>6</v>
      </c>
      <c r="Q3399" s="182">
        <f t="shared" si="4061"/>
        <v>0.5488372093023256</v>
      </c>
      <c r="R3399" s="182">
        <f t="shared" si="4062"/>
        <v>0.32558139534883723</v>
      </c>
      <c r="S3399" s="183">
        <f t="shared" si="4063"/>
        <v>2.7906976744186046E-2</v>
      </c>
      <c r="T3399" s="183">
        <f t="shared" si="4064"/>
        <v>0</v>
      </c>
      <c r="U3399" s="184">
        <f t="shared" si="4065"/>
        <v>0.90232558139534891</v>
      </c>
      <c r="V3399" s="386"/>
    </row>
    <row r="3400" spans="2:22" ht="15.75" hidden="1" x14ac:dyDescent="0.2">
      <c r="B3400" s="711">
        <v>46297</v>
      </c>
      <c r="C3400" s="711" t="s">
        <v>106</v>
      </c>
      <c r="D3400" s="711" t="s">
        <v>13</v>
      </c>
      <c r="E3400" s="711">
        <v>46298</v>
      </c>
      <c r="G3400" s="780"/>
      <c r="H3400" s="497" t="s">
        <v>17</v>
      </c>
      <c r="I3400" s="60" t="s">
        <v>106</v>
      </c>
      <c r="J3400" s="194">
        <v>234</v>
      </c>
      <c r="K3400" s="60">
        <f t="shared" si="4060"/>
        <v>52</v>
      </c>
      <c r="L3400" s="194">
        <v>25</v>
      </c>
      <c r="M3400" s="194">
        <v>91</v>
      </c>
      <c r="N3400" s="538">
        <v>33</v>
      </c>
      <c r="O3400" s="194">
        <v>0</v>
      </c>
      <c r="P3400" s="538">
        <v>33</v>
      </c>
      <c r="Q3400" s="182">
        <f t="shared" si="4061"/>
        <v>0.32905982905982906</v>
      </c>
      <c r="R3400" s="182">
        <f t="shared" si="4062"/>
        <v>0.14102564102564102</v>
      </c>
      <c r="S3400" s="183">
        <f t="shared" si="4063"/>
        <v>0.14102564102564102</v>
      </c>
      <c r="T3400" s="183">
        <f t="shared" si="4064"/>
        <v>0</v>
      </c>
      <c r="U3400" s="184">
        <f t="shared" si="4065"/>
        <v>0.61111111111111116</v>
      </c>
      <c r="V3400" s="386"/>
    </row>
    <row r="3401" spans="2:22" ht="15.75" hidden="1" x14ac:dyDescent="0.2">
      <c r="B3401" s="711">
        <v>46297</v>
      </c>
      <c r="C3401" s="711" t="s">
        <v>106</v>
      </c>
      <c r="D3401" s="711" t="s">
        <v>13</v>
      </c>
      <c r="E3401" s="711">
        <v>46298</v>
      </c>
      <c r="G3401" s="774"/>
      <c r="H3401" s="497" t="s">
        <v>14</v>
      </c>
      <c r="I3401" s="60" t="s">
        <v>105</v>
      </c>
      <c r="J3401" s="194">
        <v>160</v>
      </c>
      <c r="K3401" s="60">
        <f t="shared" si="4060"/>
        <v>0</v>
      </c>
      <c r="L3401" s="194">
        <v>0</v>
      </c>
      <c r="M3401" s="194">
        <v>146</v>
      </c>
      <c r="N3401" s="538">
        <v>0</v>
      </c>
      <c r="O3401" s="194">
        <v>0</v>
      </c>
      <c r="P3401" s="538">
        <v>14</v>
      </c>
      <c r="Q3401" s="182">
        <f t="shared" si="4061"/>
        <v>0</v>
      </c>
      <c r="R3401" s="182">
        <f t="shared" si="4062"/>
        <v>0</v>
      </c>
      <c r="S3401" s="183">
        <f t="shared" si="4063"/>
        <v>8.7499999999999994E-2</v>
      </c>
      <c r="T3401" s="183">
        <f t="shared" si="4064"/>
        <v>0</v>
      </c>
      <c r="U3401" s="184">
        <f t="shared" si="4065"/>
        <v>8.7499999999999994E-2</v>
      </c>
      <c r="V3401" s="386"/>
    </row>
    <row r="3402" spans="2:22" ht="15.75" hidden="1" x14ac:dyDescent="0.2">
      <c r="B3402" s="711">
        <v>46297</v>
      </c>
      <c r="C3402" s="711" t="s">
        <v>106</v>
      </c>
      <c r="D3402" s="711" t="s">
        <v>13</v>
      </c>
      <c r="E3402" s="711">
        <v>46298</v>
      </c>
      <c r="G3402" s="775" t="s">
        <v>19</v>
      </c>
      <c r="H3402" s="776"/>
      <c r="I3402" s="777"/>
      <c r="J3402" s="190">
        <f>SUM(J3394:J3401)</f>
        <v>1046</v>
      </c>
      <c r="K3402" s="190">
        <f t="shared" ref="K3402:P3402" si="4071">SUM(K3394:K3401)</f>
        <v>387</v>
      </c>
      <c r="L3402" s="190">
        <f t="shared" si="4071"/>
        <v>109</v>
      </c>
      <c r="M3402" s="190">
        <f t="shared" si="4071"/>
        <v>303</v>
      </c>
      <c r="N3402" s="190">
        <f t="shared" si="4071"/>
        <v>103</v>
      </c>
      <c r="O3402" s="190">
        <f t="shared" si="4071"/>
        <v>46</v>
      </c>
      <c r="P3402" s="190">
        <f t="shared" si="4071"/>
        <v>98</v>
      </c>
      <c r="Q3402" s="481">
        <f>(K3402+L3402)/J3402</f>
        <v>0.47418738049713194</v>
      </c>
      <c r="R3402" s="481">
        <f>N3402/J3402</f>
        <v>9.8470363288718929E-2</v>
      </c>
      <c r="S3402" s="482">
        <f t="shared" si="4063"/>
        <v>9.3690248565965584E-2</v>
      </c>
      <c r="T3402" s="482">
        <f t="shared" si="4064"/>
        <v>4.3977055449330782E-2</v>
      </c>
      <c r="U3402" s="483">
        <f t="shared" si="4065"/>
        <v>0.71032504780114736</v>
      </c>
      <c r="V3402" s="479"/>
    </row>
    <row r="3403" spans="2:22" ht="15.75" hidden="1" x14ac:dyDescent="0.2">
      <c r="B3403" s="711">
        <v>46297</v>
      </c>
      <c r="C3403" s="711" t="s">
        <v>105</v>
      </c>
      <c r="D3403" s="711" t="s">
        <v>189</v>
      </c>
      <c r="E3403" s="711">
        <v>46297</v>
      </c>
      <c r="G3403" s="778">
        <v>46297</v>
      </c>
      <c r="H3403" s="497" t="s">
        <v>14</v>
      </c>
      <c r="I3403" s="60" t="s">
        <v>105</v>
      </c>
      <c r="J3403" s="60">
        <f>SUM(K3403:P3403)</f>
        <v>66</v>
      </c>
      <c r="K3403" s="60">
        <v>51</v>
      </c>
      <c r="L3403" s="60">
        <v>15</v>
      </c>
      <c r="M3403" s="60">
        <v>0</v>
      </c>
      <c r="N3403" s="494">
        <v>0</v>
      </c>
      <c r="O3403" s="60">
        <v>0</v>
      </c>
      <c r="P3403" s="494">
        <v>0</v>
      </c>
      <c r="Q3403" s="182">
        <f t="shared" ref="Q3403:Q3410" si="4072">(K3403+L3403)/J3403</f>
        <v>1</v>
      </c>
      <c r="R3403" s="182">
        <f t="shared" ref="R3403:R3410" si="4073">N3403/J3403</f>
        <v>0</v>
      </c>
      <c r="S3403" s="183">
        <f t="shared" si="4063"/>
        <v>0</v>
      </c>
      <c r="T3403" s="183">
        <f t="shared" si="4064"/>
        <v>0</v>
      </c>
      <c r="U3403" s="184">
        <f t="shared" si="4065"/>
        <v>1</v>
      </c>
      <c r="V3403" s="386"/>
    </row>
    <row r="3404" spans="2:22" ht="15.75" hidden="1" x14ac:dyDescent="0.2">
      <c r="B3404" s="711">
        <v>46297</v>
      </c>
      <c r="C3404" s="711" t="s">
        <v>105</v>
      </c>
      <c r="D3404" s="711" t="s">
        <v>189</v>
      </c>
      <c r="E3404" s="711">
        <v>46297</v>
      </c>
      <c r="G3404" s="786"/>
      <c r="H3404" s="497" t="s">
        <v>120</v>
      </c>
      <c r="I3404" s="60" t="s">
        <v>105</v>
      </c>
      <c r="J3404" s="60">
        <f t="shared" ref="J3404:J3407" si="4074">SUM(K3404:P3404)</f>
        <v>6</v>
      </c>
      <c r="K3404" s="60">
        <v>6</v>
      </c>
      <c r="L3404" s="60">
        <v>0</v>
      </c>
      <c r="M3404" s="60">
        <v>0</v>
      </c>
      <c r="N3404" s="494">
        <v>0</v>
      </c>
      <c r="O3404" s="60">
        <v>0</v>
      </c>
      <c r="P3404" s="494">
        <v>0</v>
      </c>
      <c r="Q3404" s="182">
        <f t="shared" si="4072"/>
        <v>1</v>
      </c>
      <c r="R3404" s="182">
        <f t="shared" si="4073"/>
        <v>0</v>
      </c>
      <c r="S3404" s="183">
        <f t="shared" si="4063"/>
        <v>0</v>
      </c>
      <c r="T3404" s="183">
        <f t="shared" si="4064"/>
        <v>0</v>
      </c>
      <c r="U3404" s="184">
        <f t="shared" si="4065"/>
        <v>1</v>
      </c>
      <c r="V3404" s="386"/>
    </row>
    <row r="3405" spans="2:22" ht="15.75" hidden="1" x14ac:dyDescent="0.2">
      <c r="B3405" s="711">
        <v>46297</v>
      </c>
      <c r="C3405" s="711" t="s">
        <v>105</v>
      </c>
      <c r="D3405" s="711" t="s">
        <v>189</v>
      </c>
      <c r="E3405" s="711">
        <v>46297</v>
      </c>
      <c r="G3405" s="779"/>
      <c r="H3405" s="497" t="s">
        <v>84</v>
      </c>
      <c r="I3405" s="60" t="s">
        <v>27</v>
      </c>
      <c r="J3405" s="60">
        <f t="shared" si="4074"/>
        <v>18</v>
      </c>
      <c r="K3405" s="60">
        <v>15</v>
      </c>
      <c r="L3405" s="60">
        <v>3</v>
      </c>
      <c r="M3405" s="60">
        <v>0</v>
      </c>
      <c r="N3405" s="494">
        <v>0</v>
      </c>
      <c r="O3405" s="60">
        <v>0</v>
      </c>
      <c r="P3405" s="494">
        <v>0</v>
      </c>
      <c r="Q3405" s="182">
        <f t="shared" si="4072"/>
        <v>1</v>
      </c>
      <c r="R3405" s="182">
        <f t="shared" si="4073"/>
        <v>0</v>
      </c>
      <c r="S3405" s="183">
        <f t="shared" si="4063"/>
        <v>0</v>
      </c>
      <c r="T3405" s="183">
        <f t="shared" si="4064"/>
        <v>0</v>
      </c>
      <c r="U3405" s="184">
        <f t="shared" si="4065"/>
        <v>1</v>
      </c>
      <c r="V3405" s="386"/>
    </row>
    <row r="3406" spans="2:22" ht="15.75" hidden="1" x14ac:dyDescent="0.2">
      <c r="B3406" s="711">
        <v>46297</v>
      </c>
      <c r="C3406" s="711" t="s">
        <v>105</v>
      </c>
      <c r="D3406" s="711" t="s">
        <v>189</v>
      </c>
      <c r="E3406" s="711">
        <v>46296</v>
      </c>
      <c r="G3406" s="773">
        <v>46298</v>
      </c>
      <c r="H3406" s="497" t="s">
        <v>16</v>
      </c>
      <c r="I3406" s="60" t="s">
        <v>27</v>
      </c>
      <c r="J3406" s="60">
        <f t="shared" si="4074"/>
        <v>109</v>
      </c>
      <c r="K3406" s="60">
        <v>41</v>
      </c>
      <c r="L3406" s="60">
        <v>8</v>
      </c>
      <c r="M3406" s="60">
        <v>11</v>
      </c>
      <c r="N3406" s="494">
        <v>23</v>
      </c>
      <c r="O3406" s="60">
        <v>20</v>
      </c>
      <c r="P3406" s="494">
        <v>6</v>
      </c>
      <c r="Q3406" s="182">
        <f t="shared" si="4072"/>
        <v>0.44954128440366975</v>
      </c>
      <c r="R3406" s="182">
        <f t="shared" si="4073"/>
        <v>0.21100917431192662</v>
      </c>
      <c r="S3406" s="183">
        <f t="shared" si="4063"/>
        <v>5.5045871559633031E-2</v>
      </c>
      <c r="T3406" s="183">
        <f t="shared" si="4064"/>
        <v>0.1834862385321101</v>
      </c>
      <c r="U3406" s="184">
        <f t="shared" si="4065"/>
        <v>0.8990825688073395</v>
      </c>
      <c r="V3406" s="386"/>
    </row>
    <row r="3407" spans="2:22" ht="15.75" hidden="1" x14ac:dyDescent="0.2">
      <c r="B3407" s="711">
        <v>46297</v>
      </c>
      <c r="C3407" s="711" t="s">
        <v>105</v>
      </c>
      <c r="D3407" s="711" t="s">
        <v>189</v>
      </c>
      <c r="E3407" s="711">
        <v>46297</v>
      </c>
      <c r="G3407" s="780"/>
      <c r="H3407" s="497" t="s">
        <v>17</v>
      </c>
      <c r="I3407" s="60" t="s">
        <v>106</v>
      </c>
      <c r="J3407" s="60">
        <f t="shared" si="4074"/>
        <v>183</v>
      </c>
      <c r="K3407" s="60">
        <v>76</v>
      </c>
      <c r="L3407" s="60">
        <v>22</v>
      </c>
      <c r="M3407" s="60">
        <v>17</v>
      </c>
      <c r="N3407" s="494">
        <v>0</v>
      </c>
      <c r="O3407" s="60">
        <v>33</v>
      </c>
      <c r="P3407" s="494">
        <v>35</v>
      </c>
      <c r="Q3407" s="182">
        <f t="shared" si="4072"/>
        <v>0.53551912568306015</v>
      </c>
      <c r="R3407" s="182">
        <f t="shared" si="4073"/>
        <v>0</v>
      </c>
      <c r="S3407" s="183">
        <f t="shared" si="4063"/>
        <v>0.19125683060109289</v>
      </c>
      <c r="T3407" s="183">
        <f t="shared" si="4064"/>
        <v>0.18032786885245902</v>
      </c>
      <c r="U3407" s="184">
        <f t="shared" si="4065"/>
        <v>0.90710382513661203</v>
      </c>
      <c r="V3407" s="386"/>
    </row>
    <row r="3408" spans="2:22" ht="15.75" hidden="1" x14ac:dyDescent="0.2">
      <c r="B3408" s="711">
        <v>46297</v>
      </c>
      <c r="C3408" s="711" t="s">
        <v>105</v>
      </c>
      <c r="D3408" s="711" t="s">
        <v>189</v>
      </c>
      <c r="E3408" s="711">
        <v>46297</v>
      </c>
      <c r="G3408" s="774"/>
      <c r="H3408" s="497" t="s">
        <v>14</v>
      </c>
      <c r="I3408" s="60" t="s">
        <v>105</v>
      </c>
      <c r="J3408" s="60">
        <v>160</v>
      </c>
      <c r="K3408" s="60">
        <v>15</v>
      </c>
      <c r="L3408" s="60">
        <v>7</v>
      </c>
      <c r="M3408" s="60">
        <v>0</v>
      </c>
      <c r="N3408" s="494">
        <v>121</v>
      </c>
      <c r="O3408" s="60">
        <v>12</v>
      </c>
      <c r="P3408" s="494">
        <v>14</v>
      </c>
      <c r="Q3408" s="182">
        <f t="shared" si="4072"/>
        <v>0.13750000000000001</v>
      </c>
      <c r="R3408" s="182">
        <f t="shared" si="4073"/>
        <v>0.75624999999999998</v>
      </c>
      <c r="S3408" s="183">
        <f t="shared" si="4063"/>
        <v>8.7499999999999994E-2</v>
      </c>
      <c r="T3408" s="183">
        <f t="shared" si="4064"/>
        <v>7.4999999999999997E-2</v>
      </c>
      <c r="U3408" s="184">
        <f t="shared" si="4065"/>
        <v>1.0562499999999999</v>
      </c>
      <c r="V3408" s="386"/>
    </row>
    <row r="3409" spans="2:22" ht="15.75" hidden="1" x14ac:dyDescent="0.2">
      <c r="B3409" s="711">
        <v>46297</v>
      </c>
      <c r="C3409" s="711" t="s">
        <v>105</v>
      </c>
      <c r="D3409" s="711" t="s">
        <v>189</v>
      </c>
      <c r="E3409" s="711">
        <v>46297</v>
      </c>
      <c r="G3409" s="690">
        <v>46299</v>
      </c>
      <c r="H3409" s="497" t="s">
        <v>120</v>
      </c>
      <c r="I3409" s="60" t="s">
        <v>106</v>
      </c>
      <c r="J3409" s="60">
        <v>23</v>
      </c>
      <c r="K3409" s="60">
        <v>23</v>
      </c>
      <c r="L3409" s="60">
        <v>0</v>
      </c>
      <c r="M3409" s="60">
        <v>0</v>
      </c>
      <c r="N3409" s="494">
        <v>0</v>
      </c>
      <c r="O3409" s="60">
        <v>0</v>
      </c>
      <c r="P3409" s="494">
        <v>0</v>
      </c>
      <c r="Q3409" s="182">
        <f t="shared" ref="Q3409" si="4075">(K3409+L3409)/J3409</f>
        <v>1</v>
      </c>
      <c r="R3409" s="182">
        <f t="shared" ref="R3409" si="4076">N3409/J3409</f>
        <v>0</v>
      </c>
      <c r="S3409" s="183">
        <f t="shared" ref="S3409" si="4077">P3409/J3409</f>
        <v>0</v>
      </c>
      <c r="T3409" s="183">
        <f t="shared" ref="T3409" si="4078">O3409/J3409</f>
        <v>0</v>
      </c>
      <c r="U3409" s="184">
        <f t="shared" ref="U3409" si="4079">S3409+R3409+Q3409+T3409</f>
        <v>1</v>
      </c>
      <c r="V3409" s="386"/>
    </row>
    <row r="3410" spans="2:22" ht="15.75" hidden="1" x14ac:dyDescent="0.2">
      <c r="B3410" s="711">
        <v>46297</v>
      </c>
      <c r="C3410" s="711" t="s">
        <v>105</v>
      </c>
      <c r="D3410" s="711" t="s">
        <v>189</v>
      </c>
      <c r="E3410" s="711">
        <v>46297</v>
      </c>
      <c r="G3410" s="692">
        <v>46300</v>
      </c>
      <c r="H3410" s="497" t="s">
        <v>16</v>
      </c>
      <c r="I3410" s="60" t="s">
        <v>27</v>
      </c>
      <c r="J3410" s="60">
        <v>212</v>
      </c>
      <c r="K3410" s="60">
        <v>0</v>
      </c>
      <c r="L3410" s="60">
        <v>0</v>
      </c>
      <c r="M3410" s="60">
        <v>42</v>
      </c>
      <c r="N3410" s="494">
        <v>143</v>
      </c>
      <c r="O3410" s="60">
        <v>20</v>
      </c>
      <c r="P3410" s="494">
        <v>7</v>
      </c>
      <c r="Q3410" s="182">
        <f t="shared" si="4072"/>
        <v>0</v>
      </c>
      <c r="R3410" s="182">
        <f t="shared" si="4073"/>
        <v>0.67452830188679247</v>
      </c>
      <c r="S3410" s="183">
        <f t="shared" si="4063"/>
        <v>3.3018867924528301E-2</v>
      </c>
      <c r="T3410" s="183">
        <f t="shared" si="4064"/>
        <v>9.4339622641509441E-2</v>
      </c>
      <c r="U3410" s="184">
        <f t="shared" si="4065"/>
        <v>0.80188679245283023</v>
      </c>
      <c r="V3410" s="386"/>
    </row>
    <row r="3411" spans="2:22" ht="15.75" hidden="1" x14ac:dyDescent="0.2">
      <c r="B3411" s="711">
        <v>46297</v>
      </c>
      <c r="C3411" s="711" t="s">
        <v>105</v>
      </c>
      <c r="D3411" s="711" t="s">
        <v>189</v>
      </c>
      <c r="E3411" s="711">
        <v>46295</v>
      </c>
      <c r="G3411" s="775" t="s">
        <v>19</v>
      </c>
      <c r="H3411" s="776"/>
      <c r="I3411" s="777"/>
      <c r="J3411" s="190">
        <f t="shared" ref="J3411:P3411" si="4080">SUM(J3403:J3410)</f>
        <v>777</v>
      </c>
      <c r="K3411" s="190">
        <f t="shared" si="4080"/>
        <v>227</v>
      </c>
      <c r="L3411" s="190">
        <f t="shared" si="4080"/>
        <v>55</v>
      </c>
      <c r="M3411" s="190">
        <f t="shared" si="4080"/>
        <v>70</v>
      </c>
      <c r="N3411" s="190">
        <f t="shared" si="4080"/>
        <v>287</v>
      </c>
      <c r="O3411" s="190">
        <f t="shared" si="4080"/>
        <v>85</v>
      </c>
      <c r="P3411" s="190">
        <f t="shared" si="4080"/>
        <v>62</v>
      </c>
      <c r="Q3411" s="481">
        <f>(K3411+L3411)/J3411</f>
        <v>0.36293436293436293</v>
      </c>
      <c r="R3411" s="481">
        <f>N3411/J3411</f>
        <v>0.36936936936936937</v>
      </c>
      <c r="S3411" s="482">
        <f t="shared" si="4063"/>
        <v>7.9794079794079792E-2</v>
      </c>
      <c r="T3411" s="482">
        <f t="shared" si="4064"/>
        <v>0.10939510939510939</v>
      </c>
      <c r="U3411" s="483">
        <f t="shared" si="4065"/>
        <v>0.92149292149292161</v>
      </c>
      <c r="V3411" s="479"/>
    </row>
    <row r="3412" spans="2:22" ht="15.75" hidden="1" x14ac:dyDescent="0.2">
      <c r="B3412" s="711">
        <v>46298</v>
      </c>
      <c r="C3412" s="711" t="s">
        <v>106</v>
      </c>
      <c r="D3412" s="711" t="s">
        <v>13</v>
      </c>
      <c r="E3412" s="711">
        <v>46298</v>
      </c>
      <c r="G3412" s="809">
        <v>46298</v>
      </c>
      <c r="H3412" s="497" t="s">
        <v>16</v>
      </c>
      <c r="I3412" s="60" t="s">
        <v>15</v>
      </c>
      <c r="J3412" s="60">
        <v>215</v>
      </c>
      <c r="K3412" s="60">
        <f t="shared" ref="K3412:K3418" si="4081">J3412-L3412-M3412-N3412-O3412-P3412</f>
        <v>147</v>
      </c>
      <c r="L3412" s="60">
        <v>38</v>
      </c>
      <c r="M3412" s="60">
        <v>4</v>
      </c>
      <c r="N3412" s="494">
        <v>0</v>
      </c>
      <c r="O3412" s="60">
        <v>20</v>
      </c>
      <c r="P3412" s="494">
        <v>6</v>
      </c>
      <c r="Q3412" s="182">
        <f t="shared" ref="Q3412" si="4082">(K3412+L3412)/J3412</f>
        <v>0.86046511627906974</v>
      </c>
      <c r="R3412" s="182">
        <f t="shared" ref="R3412" si="4083">N3412/J3412</f>
        <v>0</v>
      </c>
      <c r="S3412" s="183">
        <f t="shared" ref="S3412:S3429" si="4084">P3412/J3412</f>
        <v>2.7906976744186046E-2</v>
      </c>
      <c r="T3412" s="183">
        <f t="shared" ref="T3412:T3429" si="4085">O3412/J3412</f>
        <v>9.3023255813953487E-2</v>
      </c>
      <c r="U3412" s="184">
        <f t="shared" ref="U3412:U3429" si="4086">S3412+R3412+Q3412+T3412</f>
        <v>0.98139534883720936</v>
      </c>
      <c r="V3412" s="386"/>
    </row>
    <row r="3413" spans="2:22" ht="15.75" hidden="1" x14ac:dyDescent="0.2">
      <c r="B3413" s="711">
        <v>46298</v>
      </c>
      <c r="C3413" s="711" t="s">
        <v>106</v>
      </c>
      <c r="D3413" s="711" t="s">
        <v>13</v>
      </c>
      <c r="E3413" s="711">
        <v>46298</v>
      </c>
      <c r="G3413" s="810"/>
      <c r="H3413" s="497" t="s">
        <v>17</v>
      </c>
      <c r="I3413" s="60" t="s">
        <v>106</v>
      </c>
      <c r="J3413" s="194">
        <v>234</v>
      </c>
      <c r="K3413" s="60">
        <f t="shared" si="4081"/>
        <v>125</v>
      </c>
      <c r="L3413" s="194">
        <v>59</v>
      </c>
      <c r="M3413" s="194">
        <v>0</v>
      </c>
      <c r="N3413" s="538">
        <v>0</v>
      </c>
      <c r="O3413" s="194">
        <v>31</v>
      </c>
      <c r="P3413" s="538">
        <v>19</v>
      </c>
      <c r="Q3413" s="182">
        <f t="shared" ref="Q3413:Q3418" si="4087">(K3413+L3413)/J3413</f>
        <v>0.78632478632478631</v>
      </c>
      <c r="R3413" s="182">
        <f t="shared" ref="R3413:R3418" si="4088">N3413/J3413</f>
        <v>0</v>
      </c>
      <c r="S3413" s="183">
        <f t="shared" ref="S3413:S3418" si="4089">P3413/J3413</f>
        <v>8.11965811965812E-2</v>
      </c>
      <c r="T3413" s="183">
        <f t="shared" ref="T3413:T3418" si="4090">O3413/J3413</f>
        <v>0.13247863247863248</v>
      </c>
      <c r="U3413" s="184">
        <f t="shared" ref="U3413:U3418" si="4091">S3413+R3413+Q3413+T3413</f>
        <v>1</v>
      </c>
      <c r="V3413" s="386"/>
    </row>
    <row r="3414" spans="2:22" ht="15.75" hidden="1" x14ac:dyDescent="0.2">
      <c r="B3414" s="711">
        <v>46298</v>
      </c>
      <c r="C3414" s="711" t="s">
        <v>106</v>
      </c>
      <c r="D3414" s="711" t="s">
        <v>13</v>
      </c>
      <c r="E3414" s="711">
        <v>46298</v>
      </c>
      <c r="G3414" s="811"/>
      <c r="H3414" s="497" t="s">
        <v>14</v>
      </c>
      <c r="I3414" s="60" t="s">
        <v>105</v>
      </c>
      <c r="J3414" s="194">
        <v>160</v>
      </c>
      <c r="K3414" s="60">
        <f t="shared" si="4081"/>
        <v>79</v>
      </c>
      <c r="L3414" s="194">
        <v>48</v>
      </c>
      <c r="M3414" s="194">
        <v>8</v>
      </c>
      <c r="N3414" s="538">
        <v>0</v>
      </c>
      <c r="O3414" s="194">
        <v>12</v>
      </c>
      <c r="P3414" s="538">
        <v>13</v>
      </c>
      <c r="Q3414" s="182">
        <f t="shared" si="4087"/>
        <v>0.79374999999999996</v>
      </c>
      <c r="R3414" s="182">
        <f t="shared" si="4088"/>
        <v>0</v>
      </c>
      <c r="S3414" s="183">
        <f t="shared" si="4089"/>
        <v>8.1250000000000003E-2</v>
      </c>
      <c r="T3414" s="183">
        <f t="shared" si="4090"/>
        <v>7.4999999999999997E-2</v>
      </c>
      <c r="U3414" s="184">
        <f t="shared" si="4091"/>
        <v>0.95</v>
      </c>
      <c r="V3414" s="386"/>
    </row>
    <row r="3415" spans="2:22" ht="15.75" hidden="1" x14ac:dyDescent="0.2">
      <c r="B3415" s="711">
        <v>46298</v>
      </c>
      <c r="C3415" s="711" t="s">
        <v>106</v>
      </c>
      <c r="D3415" s="711" t="s">
        <v>13</v>
      </c>
      <c r="E3415" s="711">
        <v>46299</v>
      </c>
      <c r="G3415" s="699">
        <v>46299</v>
      </c>
      <c r="H3415" s="497" t="s">
        <v>17</v>
      </c>
      <c r="I3415" s="60" t="s">
        <v>106</v>
      </c>
      <c r="J3415" s="60">
        <v>216</v>
      </c>
      <c r="K3415" s="60">
        <f t="shared" si="4081"/>
        <v>0</v>
      </c>
      <c r="L3415" s="60">
        <v>1</v>
      </c>
      <c r="M3415" s="60">
        <v>96</v>
      </c>
      <c r="N3415" s="494">
        <v>69</v>
      </c>
      <c r="O3415" s="60">
        <v>27</v>
      </c>
      <c r="P3415" s="494">
        <v>23</v>
      </c>
      <c r="Q3415" s="182">
        <f t="shared" si="4087"/>
        <v>4.6296296296296294E-3</v>
      </c>
      <c r="R3415" s="182">
        <f t="shared" si="4088"/>
        <v>0.31944444444444442</v>
      </c>
      <c r="S3415" s="183">
        <f t="shared" si="4089"/>
        <v>0.10648148148148148</v>
      </c>
      <c r="T3415" s="183">
        <f t="shared" si="4090"/>
        <v>0.125</v>
      </c>
      <c r="U3415" s="184">
        <f t="shared" si="4091"/>
        <v>0.55555555555555558</v>
      </c>
      <c r="V3415" s="386"/>
    </row>
    <row r="3416" spans="2:22" ht="15.75" hidden="1" x14ac:dyDescent="0.2">
      <c r="B3416" s="711">
        <v>46298</v>
      </c>
      <c r="C3416" s="711" t="s">
        <v>106</v>
      </c>
      <c r="D3416" s="711" t="s">
        <v>13</v>
      </c>
      <c r="E3416" s="711">
        <v>46300</v>
      </c>
      <c r="G3416" s="773">
        <v>46300</v>
      </c>
      <c r="H3416" s="497" t="s">
        <v>16</v>
      </c>
      <c r="I3416" s="60" t="s">
        <v>27</v>
      </c>
      <c r="J3416" s="60">
        <v>212</v>
      </c>
      <c r="K3416" s="60">
        <f t="shared" si="4081"/>
        <v>55</v>
      </c>
      <c r="L3416" s="60">
        <v>30</v>
      </c>
      <c r="M3416" s="60">
        <v>2</v>
      </c>
      <c r="N3416" s="494">
        <v>98</v>
      </c>
      <c r="O3416" s="60">
        <v>20</v>
      </c>
      <c r="P3416" s="494">
        <v>7</v>
      </c>
      <c r="Q3416" s="182">
        <f t="shared" si="4087"/>
        <v>0.40094339622641512</v>
      </c>
      <c r="R3416" s="182">
        <f t="shared" si="4088"/>
        <v>0.46226415094339623</v>
      </c>
      <c r="S3416" s="183">
        <f t="shared" si="4089"/>
        <v>3.3018867924528301E-2</v>
      </c>
      <c r="T3416" s="183">
        <f t="shared" si="4090"/>
        <v>9.4339622641509441E-2</v>
      </c>
      <c r="U3416" s="184">
        <f t="shared" si="4091"/>
        <v>0.99056603773584906</v>
      </c>
      <c r="V3416" s="386"/>
    </row>
    <row r="3417" spans="2:22" ht="15.75" hidden="1" x14ac:dyDescent="0.2">
      <c r="B3417" s="711">
        <v>46298</v>
      </c>
      <c r="C3417" s="711" t="s">
        <v>106</v>
      </c>
      <c r="D3417" s="711" t="s">
        <v>13</v>
      </c>
      <c r="E3417" s="711">
        <v>46300</v>
      </c>
      <c r="G3417" s="780"/>
      <c r="H3417" s="497" t="s">
        <v>118</v>
      </c>
      <c r="I3417" s="60" t="s">
        <v>105</v>
      </c>
      <c r="J3417" s="194">
        <v>197</v>
      </c>
      <c r="K3417" s="60">
        <v>0</v>
      </c>
      <c r="L3417" s="194">
        <v>0</v>
      </c>
      <c r="M3417" s="194">
        <v>167</v>
      </c>
      <c r="N3417" s="538">
        <v>0</v>
      </c>
      <c r="O3417" s="194">
        <v>12</v>
      </c>
      <c r="P3417" s="538">
        <v>18</v>
      </c>
      <c r="Q3417" s="182">
        <f t="shared" si="4087"/>
        <v>0</v>
      </c>
      <c r="R3417" s="182">
        <f t="shared" si="4088"/>
        <v>0</v>
      </c>
      <c r="S3417" s="183">
        <f t="shared" si="4089"/>
        <v>9.1370558375634514E-2</v>
      </c>
      <c r="T3417" s="183">
        <f t="shared" si="4090"/>
        <v>6.0913705583756347E-2</v>
      </c>
      <c r="U3417" s="184">
        <f t="shared" si="4091"/>
        <v>0.15228426395939088</v>
      </c>
      <c r="V3417" s="386"/>
    </row>
    <row r="3418" spans="2:22" ht="15.75" hidden="1" x14ac:dyDescent="0.2">
      <c r="B3418" s="711">
        <v>46298</v>
      </c>
      <c r="C3418" s="711" t="s">
        <v>106</v>
      </c>
      <c r="D3418" s="711" t="s">
        <v>13</v>
      </c>
      <c r="E3418" s="711">
        <v>46300</v>
      </c>
      <c r="G3418" s="774"/>
      <c r="H3418" s="497" t="s">
        <v>84</v>
      </c>
      <c r="I3418" s="60" t="s">
        <v>18</v>
      </c>
      <c r="J3418" s="194">
        <v>200</v>
      </c>
      <c r="K3418" s="60">
        <f t="shared" si="4081"/>
        <v>54</v>
      </c>
      <c r="L3418" s="194">
        <v>10</v>
      </c>
      <c r="M3418" s="194">
        <v>94</v>
      </c>
      <c r="N3418" s="538">
        <v>0</v>
      </c>
      <c r="O3418" s="194">
        <v>8</v>
      </c>
      <c r="P3418" s="538">
        <v>34</v>
      </c>
      <c r="Q3418" s="182">
        <f t="shared" si="4087"/>
        <v>0.32</v>
      </c>
      <c r="R3418" s="182">
        <f t="shared" si="4088"/>
        <v>0</v>
      </c>
      <c r="S3418" s="183">
        <f t="shared" si="4089"/>
        <v>0.17</v>
      </c>
      <c r="T3418" s="183">
        <f t="shared" si="4090"/>
        <v>0.04</v>
      </c>
      <c r="U3418" s="184">
        <f t="shared" si="4091"/>
        <v>0.53</v>
      </c>
      <c r="V3418" s="386"/>
    </row>
    <row r="3419" spans="2:22" ht="15.75" hidden="1" x14ac:dyDescent="0.2">
      <c r="B3419" s="711">
        <v>46298</v>
      </c>
      <c r="C3419" s="711" t="s">
        <v>106</v>
      </c>
      <c r="D3419" s="711" t="s">
        <v>13</v>
      </c>
      <c r="E3419" s="711"/>
      <c r="G3419" s="775" t="s">
        <v>19</v>
      </c>
      <c r="H3419" s="776"/>
      <c r="I3419" s="777"/>
      <c r="J3419" s="190">
        <f>SUM(J3412:J3418)</f>
        <v>1434</v>
      </c>
      <c r="K3419" s="190">
        <f t="shared" ref="K3419:P3419" si="4092">SUM(K3412:K3418)</f>
        <v>460</v>
      </c>
      <c r="L3419" s="190">
        <f t="shared" si="4092"/>
        <v>186</v>
      </c>
      <c r="M3419" s="190">
        <f t="shared" si="4092"/>
        <v>371</v>
      </c>
      <c r="N3419" s="190">
        <f t="shared" si="4092"/>
        <v>167</v>
      </c>
      <c r="O3419" s="190">
        <f t="shared" si="4092"/>
        <v>130</v>
      </c>
      <c r="P3419" s="190">
        <f t="shared" si="4092"/>
        <v>120</v>
      </c>
      <c r="Q3419" s="481">
        <f>(K3419+L3419)/J3419</f>
        <v>0.45048814504881451</v>
      </c>
      <c r="R3419" s="481">
        <f>N3419/J3419</f>
        <v>0.11645746164574616</v>
      </c>
      <c r="S3419" s="482">
        <f t="shared" si="4084"/>
        <v>8.3682008368200833E-2</v>
      </c>
      <c r="T3419" s="482">
        <f t="shared" si="4085"/>
        <v>9.0655509065550907E-2</v>
      </c>
      <c r="U3419" s="483">
        <f t="shared" si="4086"/>
        <v>0.74128312412831232</v>
      </c>
      <c r="V3419" s="479"/>
    </row>
    <row r="3420" spans="2:22" ht="15.75" hidden="1" x14ac:dyDescent="0.2">
      <c r="B3420" s="711">
        <v>46298</v>
      </c>
      <c r="C3420" s="711" t="s">
        <v>105</v>
      </c>
      <c r="D3420" s="711" t="s">
        <v>189</v>
      </c>
      <c r="E3420" s="711">
        <v>46298</v>
      </c>
      <c r="G3420" s="778">
        <v>46297</v>
      </c>
      <c r="H3420" s="497" t="s">
        <v>14</v>
      </c>
      <c r="I3420" s="60" t="s">
        <v>105</v>
      </c>
      <c r="J3420" s="60">
        <f>SUM(K3420:P3420)</f>
        <v>74</v>
      </c>
      <c r="K3420" s="60">
        <v>57</v>
      </c>
      <c r="L3420" s="60">
        <v>17</v>
      </c>
      <c r="M3420" s="60">
        <v>0</v>
      </c>
      <c r="N3420" s="494">
        <v>0</v>
      </c>
      <c r="O3420" s="60">
        <v>0</v>
      </c>
      <c r="P3420" s="494">
        <v>0</v>
      </c>
      <c r="Q3420" s="182">
        <f t="shared" ref="Q3420:Q3426" si="4093">(K3420+L3420)/J3420</f>
        <v>1</v>
      </c>
      <c r="R3420" s="182">
        <f t="shared" ref="R3420:R3426" si="4094">N3420/J3420</f>
        <v>0</v>
      </c>
      <c r="S3420" s="183">
        <f t="shared" si="4084"/>
        <v>0</v>
      </c>
      <c r="T3420" s="183">
        <f t="shared" si="4085"/>
        <v>0</v>
      </c>
      <c r="U3420" s="184">
        <f t="shared" si="4086"/>
        <v>1</v>
      </c>
      <c r="V3420" s="386"/>
    </row>
    <row r="3421" spans="2:22" ht="15.75" hidden="1" x14ac:dyDescent="0.2">
      <c r="B3421" s="711">
        <v>46298</v>
      </c>
      <c r="C3421" s="711" t="s">
        <v>105</v>
      </c>
      <c r="D3421" s="711" t="s">
        <v>189</v>
      </c>
      <c r="E3421" s="711">
        <v>46298</v>
      </c>
      <c r="G3421" s="779"/>
      <c r="H3421" s="497" t="s">
        <v>84</v>
      </c>
      <c r="I3421" s="60" t="s">
        <v>27</v>
      </c>
      <c r="J3421" s="60">
        <f t="shared" ref="J3421:J3425" si="4095">SUM(K3421:P3421)</f>
        <v>4</v>
      </c>
      <c r="K3421" s="60">
        <v>3</v>
      </c>
      <c r="L3421" s="60">
        <v>1</v>
      </c>
      <c r="M3421" s="60">
        <v>0</v>
      </c>
      <c r="N3421" s="494">
        <v>0</v>
      </c>
      <c r="O3421" s="60">
        <v>0</v>
      </c>
      <c r="P3421" s="494">
        <v>0</v>
      </c>
      <c r="Q3421" s="182">
        <f t="shared" si="4093"/>
        <v>1</v>
      </c>
      <c r="R3421" s="182">
        <f t="shared" si="4094"/>
        <v>0</v>
      </c>
      <c r="S3421" s="183">
        <f t="shared" si="4084"/>
        <v>0</v>
      </c>
      <c r="T3421" s="183">
        <f t="shared" si="4085"/>
        <v>0</v>
      </c>
      <c r="U3421" s="184">
        <f t="shared" si="4086"/>
        <v>1</v>
      </c>
      <c r="V3421" s="386"/>
    </row>
    <row r="3422" spans="2:22" ht="15.75" hidden="1" x14ac:dyDescent="0.2">
      <c r="B3422" s="711">
        <v>46298</v>
      </c>
      <c r="C3422" s="711" t="s">
        <v>105</v>
      </c>
      <c r="D3422" s="711" t="s">
        <v>189</v>
      </c>
      <c r="E3422" s="711">
        <v>46299</v>
      </c>
      <c r="G3422" s="778">
        <v>46299</v>
      </c>
      <c r="H3422" s="497" t="s">
        <v>25</v>
      </c>
      <c r="I3422" s="60" t="s">
        <v>106</v>
      </c>
      <c r="J3422" s="60">
        <v>215</v>
      </c>
      <c r="K3422" s="60">
        <v>135</v>
      </c>
      <c r="L3422" s="60">
        <v>43</v>
      </c>
      <c r="M3422" s="60">
        <v>0</v>
      </c>
      <c r="N3422" s="494">
        <v>0</v>
      </c>
      <c r="O3422" s="60">
        <v>30</v>
      </c>
      <c r="P3422" s="494">
        <v>23</v>
      </c>
      <c r="Q3422" s="182">
        <f t="shared" si="4093"/>
        <v>0.82790697674418601</v>
      </c>
      <c r="R3422" s="182">
        <f t="shared" si="4094"/>
        <v>0</v>
      </c>
      <c r="S3422" s="183">
        <f t="shared" si="4084"/>
        <v>0.10697674418604651</v>
      </c>
      <c r="T3422" s="183">
        <f t="shared" si="4085"/>
        <v>0.13953488372093023</v>
      </c>
      <c r="U3422" s="184">
        <f t="shared" si="4086"/>
        <v>1.0744186046511628</v>
      </c>
      <c r="V3422" s="386"/>
    </row>
    <row r="3423" spans="2:22" ht="15.75" hidden="1" x14ac:dyDescent="0.2">
      <c r="B3423" s="711">
        <v>46298</v>
      </c>
      <c r="C3423" s="711" t="s">
        <v>105</v>
      </c>
      <c r="D3423" s="711" t="s">
        <v>189</v>
      </c>
      <c r="E3423" s="711">
        <v>46299</v>
      </c>
      <c r="G3423" s="779"/>
      <c r="H3423" s="497" t="s">
        <v>212</v>
      </c>
      <c r="I3423" s="60" t="s">
        <v>106</v>
      </c>
      <c r="J3423" s="60">
        <v>71</v>
      </c>
      <c r="K3423" s="60">
        <v>0</v>
      </c>
      <c r="L3423" s="60">
        <v>0</v>
      </c>
      <c r="M3423" s="60">
        <v>0</v>
      </c>
      <c r="N3423" s="494">
        <v>42</v>
      </c>
      <c r="O3423" s="60">
        <v>0</v>
      </c>
      <c r="P3423" s="494">
        <v>29</v>
      </c>
      <c r="Q3423" s="182">
        <f t="shared" si="4093"/>
        <v>0</v>
      </c>
      <c r="R3423" s="182">
        <f t="shared" si="4094"/>
        <v>0.59154929577464788</v>
      </c>
      <c r="S3423" s="183">
        <f t="shared" si="4084"/>
        <v>0.40845070422535212</v>
      </c>
      <c r="T3423" s="183">
        <f t="shared" si="4085"/>
        <v>0</v>
      </c>
      <c r="U3423" s="184">
        <f t="shared" si="4086"/>
        <v>1</v>
      </c>
      <c r="V3423" s="386"/>
    </row>
    <row r="3424" spans="2:22" ht="15.75" hidden="1" x14ac:dyDescent="0.2">
      <c r="B3424" s="711">
        <v>46298</v>
      </c>
      <c r="C3424" s="711" t="s">
        <v>105</v>
      </c>
      <c r="D3424" s="711" t="s">
        <v>189</v>
      </c>
      <c r="E3424" s="711">
        <v>46300</v>
      </c>
      <c r="G3424" s="773">
        <v>46300</v>
      </c>
      <c r="H3424" s="497" t="s">
        <v>16</v>
      </c>
      <c r="I3424" s="60" t="s">
        <v>27</v>
      </c>
      <c r="J3424" s="60">
        <f t="shared" si="4095"/>
        <v>137</v>
      </c>
      <c r="K3424" s="60">
        <v>53</v>
      </c>
      <c r="L3424" s="60">
        <v>26</v>
      </c>
      <c r="M3424" s="60">
        <v>2</v>
      </c>
      <c r="N3424" s="494">
        <v>29</v>
      </c>
      <c r="O3424" s="60">
        <v>20</v>
      </c>
      <c r="P3424" s="494">
        <v>7</v>
      </c>
      <c r="Q3424" s="182">
        <f t="shared" si="4093"/>
        <v>0.57664233576642332</v>
      </c>
      <c r="R3424" s="182">
        <f t="shared" si="4094"/>
        <v>0.21167883211678831</v>
      </c>
      <c r="S3424" s="183">
        <f t="shared" si="4084"/>
        <v>5.1094890510948905E-2</v>
      </c>
      <c r="T3424" s="183">
        <f t="shared" si="4085"/>
        <v>0.145985401459854</v>
      </c>
      <c r="U3424" s="184">
        <f t="shared" si="4086"/>
        <v>0.98540145985401462</v>
      </c>
      <c r="V3424" s="386"/>
    </row>
    <row r="3425" spans="2:22" ht="15.75" hidden="1" x14ac:dyDescent="0.2">
      <c r="B3425" s="711">
        <v>46298</v>
      </c>
      <c r="C3425" s="711" t="s">
        <v>105</v>
      </c>
      <c r="D3425" s="711" t="s">
        <v>189</v>
      </c>
      <c r="E3425" s="711">
        <v>46300</v>
      </c>
      <c r="G3425" s="780"/>
      <c r="H3425" s="497" t="s">
        <v>118</v>
      </c>
      <c r="I3425" s="60" t="s">
        <v>106</v>
      </c>
      <c r="J3425" s="60">
        <f t="shared" si="4095"/>
        <v>233</v>
      </c>
      <c r="K3425" s="60">
        <v>0</v>
      </c>
      <c r="L3425" s="60">
        <v>0</v>
      </c>
      <c r="M3425" s="60">
        <v>58</v>
      </c>
      <c r="N3425" s="494">
        <v>123</v>
      </c>
      <c r="O3425" s="60">
        <v>34</v>
      </c>
      <c r="P3425" s="494">
        <v>18</v>
      </c>
      <c r="Q3425" s="182">
        <f t="shared" si="4093"/>
        <v>0</v>
      </c>
      <c r="R3425" s="182">
        <f t="shared" si="4094"/>
        <v>0.52789699570815452</v>
      </c>
      <c r="S3425" s="183">
        <f t="shared" si="4084"/>
        <v>7.7253218884120178E-2</v>
      </c>
      <c r="T3425" s="183">
        <f t="shared" si="4085"/>
        <v>0.14592274678111589</v>
      </c>
      <c r="U3425" s="184">
        <f t="shared" si="4086"/>
        <v>0.75107296137339064</v>
      </c>
      <c r="V3425" s="386"/>
    </row>
    <row r="3426" spans="2:22" ht="15.75" hidden="1" x14ac:dyDescent="0.2">
      <c r="B3426" s="711">
        <v>46298</v>
      </c>
      <c r="C3426" s="711" t="s">
        <v>105</v>
      </c>
      <c r="D3426" s="711" t="s">
        <v>189</v>
      </c>
      <c r="E3426" s="711">
        <v>46300</v>
      </c>
      <c r="G3426" s="780"/>
      <c r="H3426" s="497" t="s">
        <v>17</v>
      </c>
      <c r="I3426" s="60" t="s">
        <v>105</v>
      </c>
      <c r="J3426" s="60">
        <v>159</v>
      </c>
      <c r="K3426" s="60">
        <v>0</v>
      </c>
      <c r="L3426" s="60">
        <v>0</v>
      </c>
      <c r="M3426" s="60">
        <v>121</v>
      </c>
      <c r="N3426" s="494">
        <v>0</v>
      </c>
      <c r="O3426" s="60">
        <v>28</v>
      </c>
      <c r="P3426" s="494">
        <v>10</v>
      </c>
      <c r="Q3426" s="182">
        <f t="shared" si="4093"/>
        <v>0</v>
      </c>
      <c r="R3426" s="182">
        <f t="shared" si="4094"/>
        <v>0</v>
      </c>
      <c r="S3426" s="183">
        <f t="shared" si="4084"/>
        <v>6.2893081761006289E-2</v>
      </c>
      <c r="T3426" s="183">
        <f t="shared" si="4085"/>
        <v>0.1761006289308176</v>
      </c>
      <c r="U3426" s="184">
        <f t="shared" si="4086"/>
        <v>0.2389937106918239</v>
      </c>
      <c r="V3426" s="386"/>
    </row>
    <row r="3427" spans="2:22" ht="15.75" hidden="1" x14ac:dyDescent="0.2">
      <c r="B3427" s="711">
        <v>46298</v>
      </c>
      <c r="C3427" s="711" t="s">
        <v>105</v>
      </c>
      <c r="D3427" s="711" t="s">
        <v>189</v>
      </c>
      <c r="E3427" s="711">
        <v>46300</v>
      </c>
      <c r="G3427" s="774"/>
      <c r="H3427" s="497" t="s">
        <v>84</v>
      </c>
      <c r="I3427" s="60" t="s">
        <v>18</v>
      </c>
      <c r="J3427" s="60">
        <v>149</v>
      </c>
      <c r="K3427" s="60">
        <v>89</v>
      </c>
      <c r="L3427" s="60">
        <v>10</v>
      </c>
      <c r="M3427" s="60">
        <v>8</v>
      </c>
      <c r="N3427" s="494">
        <v>0</v>
      </c>
      <c r="O3427" s="60">
        <v>8</v>
      </c>
      <c r="P3427" s="494">
        <v>34</v>
      </c>
      <c r="Q3427" s="182">
        <f t="shared" ref="Q3427" si="4096">(K3427+L3427)/J3427</f>
        <v>0.66442953020134232</v>
      </c>
      <c r="R3427" s="182">
        <f t="shared" ref="R3427" si="4097">N3427/J3427</f>
        <v>0</v>
      </c>
      <c r="S3427" s="183">
        <f t="shared" ref="S3427" si="4098">P3427/J3427</f>
        <v>0.22818791946308725</v>
      </c>
      <c r="T3427" s="183">
        <f t="shared" ref="T3427" si="4099">O3427/J3427</f>
        <v>5.3691275167785234E-2</v>
      </c>
      <c r="U3427" s="184">
        <f t="shared" ref="U3427" si="4100">S3427+R3427+Q3427+T3427</f>
        <v>0.94630872483221484</v>
      </c>
      <c r="V3427" s="386"/>
    </row>
    <row r="3428" spans="2:22" ht="15.75" hidden="1" x14ac:dyDescent="0.2">
      <c r="B3428" s="711">
        <v>46298</v>
      </c>
      <c r="C3428" s="711" t="s">
        <v>105</v>
      </c>
      <c r="D3428" s="711" t="s">
        <v>189</v>
      </c>
      <c r="E3428" s="711">
        <v>46298</v>
      </c>
      <c r="G3428" s="775" t="s">
        <v>19</v>
      </c>
      <c r="H3428" s="776"/>
      <c r="I3428" s="777"/>
      <c r="J3428" s="190">
        <f t="shared" ref="J3428:P3428" si="4101">SUM(J3420:J3427)</f>
        <v>1042</v>
      </c>
      <c r="K3428" s="190">
        <f t="shared" si="4101"/>
        <v>337</v>
      </c>
      <c r="L3428" s="190">
        <f t="shared" si="4101"/>
        <v>97</v>
      </c>
      <c r="M3428" s="190">
        <f t="shared" si="4101"/>
        <v>189</v>
      </c>
      <c r="N3428" s="190">
        <f t="shared" si="4101"/>
        <v>194</v>
      </c>
      <c r="O3428" s="190">
        <f t="shared" si="4101"/>
        <v>120</v>
      </c>
      <c r="P3428" s="190">
        <f t="shared" si="4101"/>
        <v>121</v>
      </c>
      <c r="Q3428" s="481">
        <f>(K3428+L3428)/J3428</f>
        <v>0.41650671785028792</v>
      </c>
      <c r="R3428" s="481">
        <f>N3428/J3428</f>
        <v>0.18618042226487524</v>
      </c>
      <c r="S3428" s="482">
        <f t="shared" si="4084"/>
        <v>0.11612284069097889</v>
      </c>
      <c r="T3428" s="482">
        <f t="shared" si="4085"/>
        <v>0.11516314779270634</v>
      </c>
      <c r="U3428" s="483">
        <f t="shared" si="4086"/>
        <v>0.83397312859884842</v>
      </c>
      <c r="V3428" s="479"/>
    </row>
    <row r="3429" spans="2:22" ht="15.75" hidden="1" x14ac:dyDescent="0.2">
      <c r="B3429" s="711">
        <v>46299</v>
      </c>
      <c r="C3429" s="711" t="s">
        <v>106</v>
      </c>
      <c r="D3429" s="711" t="s">
        <v>13</v>
      </c>
      <c r="E3429" s="711">
        <v>46299</v>
      </c>
      <c r="G3429" s="795">
        <v>46299</v>
      </c>
      <c r="H3429" s="681" t="s">
        <v>25</v>
      </c>
      <c r="I3429" s="682" t="s">
        <v>106</v>
      </c>
      <c r="J3429" s="60">
        <v>216</v>
      </c>
      <c r="K3429" s="60">
        <f>J3429-L3429-M3429-N3429-O3429-P3429</f>
        <v>115</v>
      </c>
      <c r="L3429" s="60">
        <v>55</v>
      </c>
      <c r="M3429" s="60">
        <v>0</v>
      </c>
      <c r="N3429" s="494">
        <v>0</v>
      </c>
      <c r="O3429" s="60">
        <v>27</v>
      </c>
      <c r="P3429" s="494">
        <v>19</v>
      </c>
      <c r="Q3429" s="182">
        <f t="shared" ref="Q3429" si="4102">(K3429+L3429)/J3429</f>
        <v>0.78703703703703709</v>
      </c>
      <c r="R3429" s="182">
        <f t="shared" ref="R3429" si="4103">N3429/J3429</f>
        <v>0</v>
      </c>
      <c r="S3429" s="183">
        <f t="shared" si="4084"/>
        <v>8.7962962962962965E-2</v>
      </c>
      <c r="T3429" s="183">
        <f t="shared" si="4085"/>
        <v>0.125</v>
      </c>
      <c r="U3429" s="184">
        <f t="shared" si="4086"/>
        <v>1</v>
      </c>
      <c r="V3429" s="386"/>
    </row>
    <row r="3430" spans="2:22" ht="15.75" hidden="1" x14ac:dyDescent="0.2">
      <c r="B3430" s="711">
        <v>46299</v>
      </c>
      <c r="C3430" s="711" t="s">
        <v>106</v>
      </c>
      <c r="D3430" s="711" t="s">
        <v>13</v>
      </c>
      <c r="E3430" s="711">
        <v>46299</v>
      </c>
      <c r="G3430" s="796"/>
      <c r="H3430" s="681" t="s">
        <v>212</v>
      </c>
      <c r="I3430" s="682" t="s">
        <v>106</v>
      </c>
      <c r="J3430" s="60">
        <v>71</v>
      </c>
      <c r="K3430" s="60">
        <f t="shared" ref="K3430:K3435" si="4104">J3430-L3430-M3430-N3430-O3430-P3430</f>
        <v>36</v>
      </c>
      <c r="L3430" s="60">
        <v>5</v>
      </c>
      <c r="M3430" s="60">
        <v>0</v>
      </c>
      <c r="N3430" s="494">
        <v>0</v>
      </c>
      <c r="O3430" s="60">
        <v>0</v>
      </c>
      <c r="P3430" s="494">
        <v>30</v>
      </c>
      <c r="Q3430" s="182">
        <f t="shared" ref="Q3430:Q3436" si="4105">(K3430+L3430)/J3430</f>
        <v>0.57746478873239437</v>
      </c>
      <c r="R3430" s="182">
        <f t="shared" ref="R3430:R3436" si="4106">N3430/J3430</f>
        <v>0</v>
      </c>
      <c r="S3430" s="183">
        <f t="shared" ref="S3430:S3436" si="4107">P3430/J3430</f>
        <v>0.42253521126760563</v>
      </c>
      <c r="T3430" s="183">
        <f t="shared" ref="T3430:T3436" si="4108">O3430/J3430</f>
        <v>0</v>
      </c>
      <c r="U3430" s="184">
        <f t="shared" ref="U3430:U3436" si="4109">S3430+R3430+Q3430+T3430</f>
        <v>1</v>
      </c>
      <c r="V3430" s="386"/>
    </row>
    <row r="3431" spans="2:22" ht="15.75" hidden="1" x14ac:dyDescent="0.2">
      <c r="B3431" s="711">
        <v>46299</v>
      </c>
      <c r="C3431" s="711" t="s">
        <v>106</v>
      </c>
      <c r="D3431" s="711" t="s">
        <v>13</v>
      </c>
      <c r="E3431" s="711">
        <v>46300</v>
      </c>
      <c r="G3431" s="787">
        <v>46300</v>
      </c>
      <c r="H3431" s="510" t="s">
        <v>16</v>
      </c>
      <c r="I3431" s="486" t="s">
        <v>27</v>
      </c>
      <c r="J3431" s="60">
        <v>212</v>
      </c>
      <c r="K3431" s="60">
        <f t="shared" si="4104"/>
        <v>106</v>
      </c>
      <c r="L3431" s="60">
        <v>55</v>
      </c>
      <c r="M3431" s="60">
        <v>4</v>
      </c>
      <c r="N3431" s="494">
        <v>19</v>
      </c>
      <c r="O3431" s="60">
        <v>20</v>
      </c>
      <c r="P3431" s="494">
        <v>8</v>
      </c>
      <c r="Q3431" s="182">
        <f t="shared" si="4105"/>
        <v>0.75943396226415094</v>
      </c>
      <c r="R3431" s="182">
        <f t="shared" si="4106"/>
        <v>8.9622641509433956E-2</v>
      </c>
      <c r="S3431" s="183">
        <f t="shared" si="4107"/>
        <v>3.7735849056603772E-2</v>
      </c>
      <c r="T3431" s="183">
        <f t="shared" si="4108"/>
        <v>9.4339622641509441E-2</v>
      </c>
      <c r="U3431" s="184">
        <f t="shared" si="4109"/>
        <v>0.98113207547169812</v>
      </c>
      <c r="V3431" s="386"/>
    </row>
    <row r="3432" spans="2:22" ht="15.75" hidden="1" x14ac:dyDescent="0.2">
      <c r="B3432" s="711">
        <v>46299</v>
      </c>
      <c r="C3432" s="711" t="s">
        <v>106</v>
      </c>
      <c r="D3432" s="711" t="s">
        <v>13</v>
      </c>
      <c r="E3432" s="711">
        <v>46300</v>
      </c>
      <c r="G3432" s="788"/>
      <c r="H3432" s="510" t="s">
        <v>17</v>
      </c>
      <c r="I3432" s="486" t="s">
        <v>105</v>
      </c>
      <c r="J3432" s="194">
        <v>163</v>
      </c>
      <c r="K3432" s="60">
        <f t="shared" si="4104"/>
        <v>0</v>
      </c>
      <c r="L3432" s="194">
        <v>9</v>
      </c>
      <c r="M3432" s="194">
        <v>18</v>
      </c>
      <c r="N3432" s="538">
        <v>93</v>
      </c>
      <c r="O3432" s="194">
        <v>30</v>
      </c>
      <c r="P3432" s="538">
        <v>13</v>
      </c>
      <c r="Q3432" s="182">
        <f t="shared" si="4105"/>
        <v>5.5214723926380369E-2</v>
      </c>
      <c r="R3432" s="182">
        <f t="shared" si="4106"/>
        <v>0.57055214723926384</v>
      </c>
      <c r="S3432" s="183">
        <f t="shared" si="4107"/>
        <v>7.9754601226993863E-2</v>
      </c>
      <c r="T3432" s="183">
        <f t="shared" si="4108"/>
        <v>0.18404907975460122</v>
      </c>
      <c r="U3432" s="184">
        <f t="shared" si="4109"/>
        <v>0.88957055214723924</v>
      </c>
      <c r="V3432" s="386"/>
    </row>
    <row r="3433" spans="2:22" ht="15.75" hidden="1" x14ac:dyDescent="0.2">
      <c r="B3433" s="711">
        <v>46299</v>
      </c>
      <c r="C3433" s="711" t="s">
        <v>106</v>
      </c>
      <c r="D3433" s="711" t="s">
        <v>13</v>
      </c>
      <c r="E3433" s="711">
        <v>46300</v>
      </c>
      <c r="G3433" s="788"/>
      <c r="H3433" s="510" t="s">
        <v>84</v>
      </c>
      <c r="I3433" s="486" t="s">
        <v>18</v>
      </c>
      <c r="J3433" s="194">
        <v>200</v>
      </c>
      <c r="K3433" s="60">
        <f t="shared" si="4104"/>
        <v>133</v>
      </c>
      <c r="L3433" s="194">
        <v>18</v>
      </c>
      <c r="M3433" s="194">
        <v>8</v>
      </c>
      <c r="N3433" s="538">
        <v>0</v>
      </c>
      <c r="O3433" s="194">
        <v>8</v>
      </c>
      <c r="P3433" s="538">
        <v>33</v>
      </c>
      <c r="Q3433" s="182">
        <f t="shared" si="4105"/>
        <v>0.755</v>
      </c>
      <c r="R3433" s="182">
        <f t="shared" si="4106"/>
        <v>0</v>
      </c>
      <c r="S3433" s="183">
        <f t="shared" si="4107"/>
        <v>0.16500000000000001</v>
      </c>
      <c r="T3433" s="183">
        <f t="shared" si="4108"/>
        <v>0.04</v>
      </c>
      <c r="U3433" s="184">
        <f t="shared" si="4109"/>
        <v>0.96000000000000008</v>
      </c>
      <c r="V3433" s="386"/>
    </row>
    <row r="3434" spans="2:22" ht="15.75" hidden="1" x14ac:dyDescent="0.2">
      <c r="B3434" s="711">
        <v>46299</v>
      </c>
      <c r="C3434" s="711" t="s">
        <v>106</v>
      </c>
      <c r="D3434" s="711" t="s">
        <v>13</v>
      </c>
      <c r="E3434" s="711">
        <v>46300</v>
      </c>
      <c r="G3434" s="789"/>
      <c r="H3434" s="510" t="s">
        <v>118</v>
      </c>
      <c r="I3434" s="486" t="s">
        <v>106</v>
      </c>
      <c r="J3434" s="60">
        <v>215</v>
      </c>
      <c r="K3434" s="60">
        <f t="shared" si="4104"/>
        <v>142</v>
      </c>
      <c r="L3434" s="60">
        <v>41</v>
      </c>
      <c r="M3434" s="60">
        <v>4</v>
      </c>
      <c r="N3434" s="494">
        <v>0</v>
      </c>
      <c r="O3434" s="60">
        <v>12</v>
      </c>
      <c r="P3434" s="494">
        <v>16</v>
      </c>
      <c r="Q3434" s="182">
        <f t="shared" si="4105"/>
        <v>0.85116279069767442</v>
      </c>
      <c r="R3434" s="182">
        <f t="shared" si="4106"/>
        <v>0</v>
      </c>
      <c r="S3434" s="183">
        <f t="shared" si="4107"/>
        <v>7.441860465116279E-2</v>
      </c>
      <c r="T3434" s="183">
        <f t="shared" si="4108"/>
        <v>5.5813953488372092E-2</v>
      </c>
      <c r="U3434" s="184">
        <f t="shared" si="4109"/>
        <v>0.98139534883720936</v>
      </c>
      <c r="V3434" s="386"/>
    </row>
    <row r="3435" spans="2:22" ht="15.75" hidden="1" x14ac:dyDescent="0.2">
      <c r="B3435" s="711">
        <v>46299</v>
      </c>
      <c r="C3435" s="711" t="s">
        <v>106</v>
      </c>
      <c r="D3435" s="711" t="s">
        <v>13</v>
      </c>
      <c r="E3435" s="711">
        <v>46301</v>
      </c>
      <c r="G3435" s="797">
        <v>46301</v>
      </c>
      <c r="H3435" s="513" t="s">
        <v>16</v>
      </c>
      <c r="I3435" s="514" t="s">
        <v>27</v>
      </c>
      <c r="J3435" s="60">
        <v>238</v>
      </c>
      <c r="K3435" s="60">
        <f t="shared" si="4104"/>
        <v>0</v>
      </c>
      <c r="L3435" s="194">
        <v>0</v>
      </c>
      <c r="M3435" s="194">
        <v>129</v>
      </c>
      <c r="N3435" s="538">
        <v>81</v>
      </c>
      <c r="O3435" s="194">
        <v>20</v>
      </c>
      <c r="P3435" s="538">
        <v>8</v>
      </c>
      <c r="Q3435" s="182">
        <f t="shared" si="4105"/>
        <v>0</v>
      </c>
      <c r="R3435" s="182">
        <f t="shared" si="4106"/>
        <v>0.34033613445378152</v>
      </c>
      <c r="S3435" s="183">
        <f t="shared" si="4107"/>
        <v>3.3613445378151259E-2</v>
      </c>
      <c r="T3435" s="183">
        <f t="shared" si="4108"/>
        <v>8.4033613445378158E-2</v>
      </c>
      <c r="U3435" s="184">
        <f t="shared" si="4109"/>
        <v>0.45798319327731096</v>
      </c>
      <c r="V3435" s="386"/>
    </row>
    <row r="3436" spans="2:22" ht="15.75" hidden="1" x14ac:dyDescent="0.2">
      <c r="B3436" s="711">
        <v>46299</v>
      </c>
      <c r="C3436" s="711" t="s">
        <v>106</v>
      </c>
      <c r="D3436" s="711" t="s">
        <v>13</v>
      </c>
      <c r="E3436" s="711">
        <v>46301</v>
      </c>
      <c r="G3436" s="798"/>
      <c r="H3436" s="513" t="s">
        <v>212</v>
      </c>
      <c r="I3436" s="514" t="s">
        <v>22</v>
      </c>
      <c r="J3436" s="60">
        <v>43</v>
      </c>
      <c r="K3436" s="60">
        <v>40</v>
      </c>
      <c r="L3436" s="194">
        <v>1</v>
      </c>
      <c r="M3436" s="194">
        <v>0</v>
      </c>
      <c r="N3436" s="538">
        <v>0</v>
      </c>
      <c r="O3436" s="194">
        <v>0</v>
      </c>
      <c r="P3436" s="538">
        <v>2</v>
      </c>
      <c r="Q3436" s="182">
        <f t="shared" si="4105"/>
        <v>0.95348837209302328</v>
      </c>
      <c r="R3436" s="182">
        <f t="shared" si="4106"/>
        <v>0</v>
      </c>
      <c r="S3436" s="183">
        <f t="shared" si="4107"/>
        <v>4.6511627906976744E-2</v>
      </c>
      <c r="T3436" s="183">
        <f t="shared" si="4108"/>
        <v>0</v>
      </c>
      <c r="U3436" s="184">
        <f t="shared" si="4109"/>
        <v>1</v>
      </c>
      <c r="V3436" s="386"/>
    </row>
    <row r="3437" spans="2:22" ht="15.75" hidden="1" x14ac:dyDescent="0.2">
      <c r="B3437" s="711">
        <v>46299</v>
      </c>
      <c r="C3437" s="711" t="s">
        <v>106</v>
      </c>
      <c r="D3437" s="711" t="s">
        <v>13</v>
      </c>
      <c r="E3437" s="711"/>
      <c r="G3437" s="792" t="s">
        <v>19</v>
      </c>
      <c r="H3437" s="793"/>
      <c r="I3437" s="794"/>
      <c r="J3437" s="663">
        <f>SUM(J3429:J3436)</f>
        <v>1358</v>
      </c>
      <c r="K3437" s="663">
        <f t="shared" ref="K3437:P3437" si="4110">SUM(K3429:K3436)</f>
        <v>572</v>
      </c>
      <c r="L3437" s="663">
        <f t="shared" si="4110"/>
        <v>184</v>
      </c>
      <c r="M3437" s="663">
        <f t="shared" si="4110"/>
        <v>163</v>
      </c>
      <c r="N3437" s="663">
        <f t="shared" si="4110"/>
        <v>193</v>
      </c>
      <c r="O3437" s="663">
        <f t="shared" si="4110"/>
        <v>117</v>
      </c>
      <c r="P3437" s="663">
        <f t="shared" si="4110"/>
        <v>129</v>
      </c>
      <c r="Q3437" s="664">
        <f>(K3437+L3437)/J3437</f>
        <v>0.55670103092783507</v>
      </c>
      <c r="R3437" s="664">
        <f>N3437/J3437</f>
        <v>0.14212076583210603</v>
      </c>
      <c r="S3437" s="665">
        <f t="shared" ref="S3437:S3450" si="4111">P3437/J3437</f>
        <v>9.4992636229749627E-2</v>
      </c>
      <c r="T3437" s="665">
        <f t="shared" ref="T3437:T3450" si="4112">O3437/J3437</f>
        <v>8.6156111929307805E-2</v>
      </c>
      <c r="U3437" s="666">
        <f t="shared" ref="U3437:U3450" si="4113">S3437+R3437+Q3437+T3437</f>
        <v>0.87997054491899862</v>
      </c>
      <c r="V3437" s="667"/>
    </row>
    <row r="3438" spans="2:22" ht="15.75" hidden="1" x14ac:dyDescent="0.2">
      <c r="B3438" s="711">
        <v>46300</v>
      </c>
      <c r="C3438" s="711" t="s">
        <v>106</v>
      </c>
      <c r="D3438" s="711" t="s">
        <v>189</v>
      </c>
      <c r="E3438" s="711">
        <v>46300</v>
      </c>
      <c r="G3438" s="778">
        <v>46300</v>
      </c>
      <c r="H3438" s="497" t="s">
        <v>16</v>
      </c>
      <c r="I3438" s="60" t="s">
        <v>15</v>
      </c>
      <c r="J3438" s="60">
        <f>SUM(K3438:P3438)</f>
        <v>75</v>
      </c>
      <c r="K3438" s="60">
        <f>148-112</f>
        <v>36</v>
      </c>
      <c r="L3438" s="60">
        <f>72-41</f>
        <v>31</v>
      </c>
      <c r="M3438" s="60">
        <v>0</v>
      </c>
      <c r="N3438" s="494">
        <v>0</v>
      </c>
      <c r="O3438" s="60">
        <v>0</v>
      </c>
      <c r="P3438" s="494">
        <v>8</v>
      </c>
      <c r="Q3438" s="182">
        <f t="shared" ref="Q3438:Q3444" si="4114">(K3438+L3438)/J3438</f>
        <v>0.89333333333333331</v>
      </c>
      <c r="R3438" s="182">
        <f t="shared" ref="R3438:R3444" si="4115">N3438/J3438</f>
        <v>0</v>
      </c>
      <c r="S3438" s="183">
        <f t="shared" si="4111"/>
        <v>0.10666666666666667</v>
      </c>
      <c r="T3438" s="183">
        <f t="shared" si="4112"/>
        <v>0</v>
      </c>
      <c r="U3438" s="184">
        <f t="shared" si="4113"/>
        <v>1</v>
      </c>
      <c r="V3438" s="386"/>
    </row>
    <row r="3439" spans="2:22" ht="15.75" hidden="1" x14ac:dyDescent="0.2">
      <c r="B3439" s="711">
        <v>46300</v>
      </c>
      <c r="C3439" s="711" t="s">
        <v>106</v>
      </c>
      <c r="D3439" s="711" t="s">
        <v>189</v>
      </c>
      <c r="E3439" s="711">
        <v>46300</v>
      </c>
      <c r="G3439" s="786"/>
      <c r="H3439" s="497" t="s">
        <v>109</v>
      </c>
      <c r="I3439" s="60" t="s">
        <v>106</v>
      </c>
      <c r="J3439" s="60">
        <f t="shared" ref="J3439:J3442" si="4116">SUM(K3439:P3439)</f>
        <v>6</v>
      </c>
      <c r="K3439" s="60">
        <v>6</v>
      </c>
      <c r="L3439" s="60">
        <v>0</v>
      </c>
      <c r="M3439" s="60">
        <v>0</v>
      </c>
      <c r="N3439" s="494">
        <v>0</v>
      </c>
      <c r="O3439" s="60">
        <v>0</v>
      </c>
      <c r="P3439" s="494">
        <v>0</v>
      </c>
      <c r="Q3439" s="182">
        <f t="shared" si="4114"/>
        <v>1</v>
      </c>
      <c r="R3439" s="182">
        <f t="shared" si="4115"/>
        <v>0</v>
      </c>
      <c r="S3439" s="183">
        <f t="shared" si="4111"/>
        <v>0</v>
      </c>
      <c r="T3439" s="183">
        <f t="shared" si="4112"/>
        <v>0</v>
      </c>
      <c r="U3439" s="184">
        <f t="shared" si="4113"/>
        <v>1</v>
      </c>
      <c r="V3439" s="386"/>
    </row>
    <row r="3440" spans="2:22" ht="15.75" hidden="1" x14ac:dyDescent="0.2">
      <c r="B3440" s="711">
        <v>46300</v>
      </c>
      <c r="C3440" s="711" t="s">
        <v>106</v>
      </c>
      <c r="D3440" s="711" t="s">
        <v>189</v>
      </c>
      <c r="E3440" s="711">
        <v>46300</v>
      </c>
      <c r="G3440" s="786"/>
      <c r="H3440" s="497" t="s">
        <v>120</v>
      </c>
      <c r="I3440" s="60" t="s">
        <v>106</v>
      </c>
      <c r="J3440" s="60">
        <f t="shared" si="4116"/>
        <v>3</v>
      </c>
      <c r="K3440" s="60">
        <v>3</v>
      </c>
      <c r="L3440" s="60">
        <v>0</v>
      </c>
      <c r="M3440" s="60">
        <v>0</v>
      </c>
      <c r="N3440" s="494">
        <v>0</v>
      </c>
      <c r="O3440" s="60">
        <v>0</v>
      </c>
      <c r="P3440" s="494">
        <v>0</v>
      </c>
      <c r="Q3440" s="182">
        <f t="shared" si="4114"/>
        <v>1</v>
      </c>
      <c r="R3440" s="182">
        <f t="shared" si="4115"/>
        <v>0</v>
      </c>
      <c r="S3440" s="183">
        <f t="shared" si="4111"/>
        <v>0</v>
      </c>
      <c r="T3440" s="183">
        <f t="shared" si="4112"/>
        <v>0</v>
      </c>
      <c r="U3440" s="184">
        <f t="shared" si="4113"/>
        <v>1</v>
      </c>
      <c r="V3440" s="386"/>
    </row>
    <row r="3441" spans="2:22" ht="15.75" hidden="1" x14ac:dyDescent="0.2">
      <c r="B3441" s="711">
        <v>46300</v>
      </c>
      <c r="C3441" s="711" t="s">
        <v>106</v>
      </c>
      <c r="D3441" s="711" t="s">
        <v>189</v>
      </c>
      <c r="E3441" s="711">
        <v>46300</v>
      </c>
      <c r="G3441" s="786"/>
      <c r="H3441" s="497" t="s">
        <v>118</v>
      </c>
      <c r="I3441" s="60" t="s">
        <v>106</v>
      </c>
      <c r="J3441" s="60">
        <f t="shared" si="4116"/>
        <v>25</v>
      </c>
      <c r="K3441" s="60">
        <v>14</v>
      </c>
      <c r="L3441" s="60">
        <v>11</v>
      </c>
      <c r="M3441" s="60">
        <v>0</v>
      </c>
      <c r="N3441" s="494">
        <v>0</v>
      </c>
      <c r="O3441" s="60">
        <v>0</v>
      </c>
      <c r="P3441" s="494">
        <v>0</v>
      </c>
      <c r="Q3441" s="182">
        <f t="shared" ref="Q3441" si="4117">(K3441+L3441)/J3441</f>
        <v>1</v>
      </c>
      <c r="R3441" s="182">
        <f t="shared" ref="R3441" si="4118">N3441/J3441</f>
        <v>0</v>
      </c>
      <c r="S3441" s="183">
        <f t="shared" ref="S3441" si="4119">P3441/J3441</f>
        <v>0</v>
      </c>
      <c r="T3441" s="183">
        <f t="shared" ref="T3441" si="4120">O3441/J3441</f>
        <v>0</v>
      </c>
      <c r="U3441" s="184">
        <f t="shared" ref="U3441" si="4121">S3441+R3441+Q3441+T3441</f>
        <v>1</v>
      </c>
      <c r="V3441" s="386"/>
    </row>
    <row r="3442" spans="2:22" ht="15.75" hidden="1" x14ac:dyDescent="0.2">
      <c r="B3442" s="711">
        <v>46300</v>
      </c>
      <c r="C3442" s="711" t="s">
        <v>106</v>
      </c>
      <c r="D3442" s="711" t="s">
        <v>189</v>
      </c>
      <c r="E3442" s="711">
        <v>46300</v>
      </c>
      <c r="G3442" s="779"/>
      <c r="H3442" s="497" t="s">
        <v>17</v>
      </c>
      <c r="I3442" s="60" t="s">
        <v>27</v>
      </c>
      <c r="J3442" s="60">
        <f t="shared" si="4116"/>
        <v>162</v>
      </c>
      <c r="K3442" s="60">
        <v>103</v>
      </c>
      <c r="L3442" s="60">
        <v>18</v>
      </c>
      <c r="M3442" s="60">
        <v>2</v>
      </c>
      <c r="N3442" s="494">
        <v>0</v>
      </c>
      <c r="O3442" s="60">
        <v>31</v>
      </c>
      <c r="P3442" s="494">
        <v>8</v>
      </c>
      <c r="Q3442" s="182">
        <f t="shared" si="4114"/>
        <v>0.74691358024691357</v>
      </c>
      <c r="R3442" s="182">
        <f t="shared" si="4115"/>
        <v>0</v>
      </c>
      <c r="S3442" s="183">
        <f t="shared" si="4111"/>
        <v>4.9382716049382713E-2</v>
      </c>
      <c r="T3442" s="183">
        <f t="shared" si="4112"/>
        <v>0.19135802469135801</v>
      </c>
      <c r="U3442" s="184">
        <f t="shared" si="4113"/>
        <v>0.98765432098765427</v>
      </c>
      <c r="V3442" s="386"/>
    </row>
    <row r="3443" spans="2:22" ht="15.75" hidden="1" x14ac:dyDescent="0.2">
      <c r="B3443" s="711">
        <v>46300</v>
      </c>
      <c r="C3443" s="711" t="s">
        <v>106</v>
      </c>
      <c r="D3443" s="711" t="s">
        <v>189</v>
      </c>
      <c r="E3443" s="711">
        <v>46300</v>
      </c>
      <c r="G3443" s="773">
        <v>46301</v>
      </c>
      <c r="H3443" s="497" t="s">
        <v>16</v>
      </c>
      <c r="I3443" s="60" t="s">
        <v>106</v>
      </c>
      <c r="J3443" s="60">
        <f t="shared" ref="J3443" si="4122">SUM(K3443:P3443)</f>
        <v>238</v>
      </c>
      <c r="K3443" s="60">
        <v>112</v>
      </c>
      <c r="L3443" s="60">
        <v>41</v>
      </c>
      <c r="M3443" s="60">
        <v>5</v>
      </c>
      <c r="N3443" s="494">
        <v>52</v>
      </c>
      <c r="O3443" s="60">
        <v>20</v>
      </c>
      <c r="P3443" s="494">
        <v>8</v>
      </c>
      <c r="Q3443" s="182">
        <f t="shared" si="4114"/>
        <v>0.6428571428571429</v>
      </c>
      <c r="R3443" s="182">
        <f t="shared" si="4115"/>
        <v>0.21848739495798319</v>
      </c>
      <c r="S3443" s="183">
        <f t="shared" si="4111"/>
        <v>3.3613445378151259E-2</v>
      </c>
      <c r="T3443" s="183">
        <f t="shared" si="4112"/>
        <v>8.4033613445378158E-2</v>
      </c>
      <c r="U3443" s="184">
        <f t="shared" si="4113"/>
        <v>0.97899159663865554</v>
      </c>
      <c r="V3443" s="386"/>
    </row>
    <row r="3444" spans="2:22" ht="15.75" hidden="1" x14ac:dyDescent="0.2">
      <c r="B3444" s="711">
        <v>46300</v>
      </c>
      <c r="C3444" s="711" t="s">
        <v>106</v>
      </c>
      <c r="D3444" s="711" t="s">
        <v>189</v>
      </c>
      <c r="E3444" s="711">
        <v>46300</v>
      </c>
      <c r="G3444" s="780"/>
      <c r="H3444" s="497" t="s">
        <v>14</v>
      </c>
      <c r="I3444" s="60" t="s">
        <v>105</v>
      </c>
      <c r="J3444" s="60">
        <v>206</v>
      </c>
      <c r="K3444" s="60">
        <v>21</v>
      </c>
      <c r="L3444" s="60">
        <v>21</v>
      </c>
      <c r="M3444" s="60">
        <v>25</v>
      </c>
      <c r="N3444" s="494">
        <v>105</v>
      </c>
      <c r="O3444" s="60">
        <v>13</v>
      </c>
      <c r="P3444" s="494">
        <v>21</v>
      </c>
      <c r="Q3444" s="182">
        <f t="shared" si="4114"/>
        <v>0.20388349514563106</v>
      </c>
      <c r="R3444" s="182">
        <f t="shared" si="4115"/>
        <v>0.50970873786407767</v>
      </c>
      <c r="S3444" s="183">
        <f t="shared" si="4111"/>
        <v>0.10194174757281553</v>
      </c>
      <c r="T3444" s="183">
        <f t="shared" si="4112"/>
        <v>6.3106796116504854E-2</v>
      </c>
      <c r="U3444" s="184">
        <f t="shared" si="4113"/>
        <v>0.87864077669902907</v>
      </c>
      <c r="V3444" s="386"/>
    </row>
    <row r="3445" spans="2:22" ht="15.75" hidden="1" x14ac:dyDescent="0.2">
      <c r="B3445" s="711">
        <v>46300</v>
      </c>
      <c r="C3445" s="711" t="s">
        <v>106</v>
      </c>
      <c r="D3445" s="711" t="s">
        <v>189</v>
      </c>
      <c r="E3445" s="711">
        <v>46300</v>
      </c>
      <c r="G3445" s="780"/>
      <c r="H3445" s="497" t="s">
        <v>25</v>
      </c>
      <c r="I3445" s="60" t="s">
        <v>105</v>
      </c>
      <c r="J3445" s="60">
        <v>190</v>
      </c>
      <c r="K3445" s="60">
        <v>1</v>
      </c>
      <c r="L3445" s="60">
        <v>0</v>
      </c>
      <c r="M3445" s="60">
        <v>115</v>
      </c>
      <c r="N3445" s="494">
        <v>37</v>
      </c>
      <c r="O3445" s="60">
        <v>22</v>
      </c>
      <c r="P3445" s="494">
        <v>16</v>
      </c>
      <c r="Q3445" s="182">
        <f t="shared" ref="Q3445:Q3447" si="4123">(K3445+L3445)/J3445</f>
        <v>5.263157894736842E-3</v>
      </c>
      <c r="R3445" s="182">
        <f t="shared" ref="R3445:R3447" si="4124">N3445/J3445</f>
        <v>0.19473684210526315</v>
      </c>
      <c r="S3445" s="183">
        <f t="shared" ref="S3445:S3447" si="4125">P3445/J3445</f>
        <v>8.4210526315789472E-2</v>
      </c>
      <c r="T3445" s="183">
        <f t="shared" ref="T3445:T3447" si="4126">O3445/J3445</f>
        <v>0.11578947368421053</v>
      </c>
      <c r="U3445" s="184">
        <f t="shared" ref="U3445:U3447" si="4127">S3445+R3445+Q3445+T3445</f>
        <v>0.4</v>
      </c>
      <c r="V3445" s="386"/>
    </row>
    <row r="3446" spans="2:22" ht="15.75" hidden="1" x14ac:dyDescent="0.2">
      <c r="B3446" s="711">
        <v>46300</v>
      </c>
      <c r="C3446" s="711" t="s">
        <v>106</v>
      </c>
      <c r="D3446" s="711" t="s">
        <v>189</v>
      </c>
      <c r="E3446" s="711">
        <v>46300</v>
      </c>
      <c r="G3446" s="780"/>
      <c r="H3446" s="497" t="s">
        <v>84</v>
      </c>
      <c r="I3446" s="60" t="s">
        <v>18</v>
      </c>
      <c r="J3446" s="60">
        <v>13</v>
      </c>
      <c r="K3446" s="60">
        <v>0</v>
      </c>
      <c r="L3446" s="60">
        <v>0</v>
      </c>
      <c r="M3446" s="60">
        <v>0</v>
      </c>
      <c r="N3446" s="494">
        <v>8</v>
      </c>
      <c r="O3446" s="60">
        <v>1</v>
      </c>
      <c r="P3446" s="494">
        <v>4</v>
      </c>
      <c r="Q3446" s="182">
        <f t="shared" ref="Q3446" si="4128">(K3446+L3446)/J3446</f>
        <v>0</v>
      </c>
      <c r="R3446" s="182">
        <f t="shared" ref="R3446" si="4129">N3446/J3446</f>
        <v>0.61538461538461542</v>
      </c>
      <c r="S3446" s="183">
        <f t="shared" ref="S3446" si="4130">P3446/J3446</f>
        <v>0.30769230769230771</v>
      </c>
      <c r="T3446" s="183">
        <f t="shared" ref="T3446" si="4131">O3446/J3446</f>
        <v>7.6923076923076927E-2</v>
      </c>
      <c r="U3446" s="184">
        <f t="shared" ref="U3446" si="4132">S3446+R3446+Q3446+T3446</f>
        <v>1</v>
      </c>
      <c r="V3446" s="386"/>
    </row>
    <row r="3447" spans="2:22" ht="15.75" hidden="1" x14ac:dyDescent="0.2">
      <c r="B3447" s="711">
        <v>46300</v>
      </c>
      <c r="C3447" s="711" t="s">
        <v>106</v>
      </c>
      <c r="D3447" s="711" t="s">
        <v>189</v>
      </c>
      <c r="E3447" s="711">
        <v>46300</v>
      </c>
      <c r="G3447" s="774"/>
      <c r="H3447" s="497" t="s">
        <v>212</v>
      </c>
      <c r="I3447" s="60" t="s">
        <v>106</v>
      </c>
      <c r="J3447" s="60">
        <v>24</v>
      </c>
      <c r="K3447" s="60">
        <v>22</v>
      </c>
      <c r="L3447" s="60">
        <v>1</v>
      </c>
      <c r="M3447" s="60">
        <v>0</v>
      </c>
      <c r="N3447" s="494">
        <v>0</v>
      </c>
      <c r="O3447" s="60">
        <v>0</v>
      </c>
      <c r="P3447" s="494">
        <v>0</v>
      </c>
      <c r="Q3447" s="182">
        <f t="shared" si="4123"/>
        <v>0.95833333333333337</v>
      </c>
      <c r="R3447" s="182">
        <f t="shared" si="4124"/>
        <v>0</v>
      </c>
      <c r="S3447" s="183">
        <f t="shared" si="4125"/>
        <v>0</v>
      </c>
      <c r="T3447" s="183">
        <f t="shared" si="4126"/>
        <v>0</v>
      </c>
      <c r="U3447" s="184">
        <f t="shared" si="4127"/>
        <v>0.95833333333333337</v>
      </c>
      <c r="V3447" s="386"/>
    </row>
    <row r="3448" spans="2:22" ht="15.75" hidden="1" x14ac:dyDescent="0.2">
      <c r="B3448" s="711">
        <v>46300</v>
      </c>
      <c r="C3448" s="711" t="s">
        <v>106</v>
      </c>
      <c r="D3448" s="711" t="s">
        <v>189</v>
      </c>
      <c r="E3448" s="711">
        <v>46300</v>
      </c>
      <c r="G3448" s="775" t="s">
        <v>19</v>
      </c>
      <c r="H3448" s="776"/>
      <c r="I3448" s="777"/>
      <c r="J3448" s="190">
        <f t="shared" ref="J3448:P3448" si="4133">SUM(J3438:J3447)</f>
        <v>942</v>
      </c>
      <c r="K3448" s="190">
        <f t="shared" si="4133"/>
        <v>318</v>
      </c>
      <c r="L3448" s="190">
        <f t="shared" si="4133"/>
        <v>123</v>
      </c>
      <c r="M3448" s="190">
        <f t="shared" si="4133"/>
        <v>147</v>
      </c>
      <c r="N3448" s="190">
        <f t="shared" si="4133"/>
        <v>202</v>
      </c>
      <c r="O3448" s="190">
        <f t="shared" si="4133"/>
        <v>87</v>
      </c>
      <c r="P3448" s="190">
        <f t="shared" si="4133"/>
        <v>65</v>
      </c>
      <c r="Q3448" s="481">
        <f>(K3448+L3448)/J3448</f>
        <v>0.46815286624203822</v>
      </c>
      <c r="R3448" s="481">
        <f>N3448/J3448</f>
        <v>0.21443736730360935</v>
      </c>
      <c r="S3448" s="482">
        <f t="shared" si="4111"/>
        <v>6.9002123142250529E-2</v>
      </c>
      <c r="T3448" s="482">
        <f t="shared" si="4112"/>
        <v>9.2356687898089165E-2</v>
      </c>
      <c r="U3448" s="483">
        <f t="shared" si="4113"/>
        <v>0.8439490445859873</v>
      </c>
      <c r="V3448" s="479"/>
    </row>
    <row r="3449" spans="2:22" ht="15.75" hidden="1" x14ac:dyDescent="0.2">
      <c r="B3449" s="711">
        <v>46300</v>
      </c>
      <c r="C3449" s="711" t="s">
        <v>105</v>
      </c>
      <c r="D3449" s="711" t="s">
        <v>13</v>
      </c>
      <c r="E3449" s="711">
        <v>46300</v>
      </c>
      <c r="G3449" s="787">
        <v>46300</v>
      </c>
      <c r="H3449" s="497" t="s">
        <v>16</v>
      </c>
      <c r="I3449" s="60" t="s">
        <v>27</v>
      </c>
      <c r="J3449" s="60">
        <v>212</v>
      </c>
      <c r="K3449" s="60">
        <f t="shared" ref="K3449:K3456" si="4134">J3449-L3449-M3449-N3449-O3449-P3449</f>
        <v>126</v>
      </c>
      <c r="L3449" s="60">
        <v>58</v>
      </c>
      <c r="M3449" s="60">
        <v>0</v>
      </c>
      <c r="N3449" s="494">
        <v>0</v>
      </c>
      <c r="O3449" s="60">
        <v>20</v>
      </c>
      <c r="P3449" s="494">
        <v>8</v>
      </c>
      <c r="Q3449" s="182">
        <f t="shared" ref="Q3449:Q3456" si="4135">(K3449+L3449)/J3449</f>
        <v>0.86792452830188682</v>
      </c>
      <c r="R3449" s="182">
        <f t="shared" ref="R3449:R3456" si="4136">N3449/J3449</f>
        <v>0</v>
      </c>
      <c r="S3449" s="183">
        <f t="shared" si="4111"/>
        <v>3.7735849056603772E-2</v>
      </c>
      <c r="T3449" s="183">
        <f t="shared" si="4112"/>
        <v>9.4339622641509441E-2</v>
      </c>
      <c r="U3449" s="184">
        <f t="shared" si="4113"/>
        <v>1</v>
      </c>
      <c r="V3449" s="386"/>
    </row>
    <row r="3450" spans="2:22" ht="15.75" hidden="1" x14ac:dyDescent="0.2">
      <c r="B3450" s="711">
        <v>46300</v>
      </c>
      <c r="C3450" s="711" t="s">
        <v>105</v>
      </c>
      <c r="D3450" s="711" t="s">
        <v>13</v>
      </c>
      <c r="E3450" s="711">
        <v>46300</v>
      </c>
      <c r="G3450" s="788"/>
      <c r="H3450" s="497" t="s">
        <v>17</v>
      </c>
      <c r="I3450" s="60" t="s">
        <v>105</v>
      </c>
      <c r="J3450" s="194">
        <v>163</v>
      </c>
      <c r="K3450" s="60">
        <f t="shared" si="4134"/>
        <v>93</v>
      </c>
      <c r="L3450" s="194">
        <v>33</v>
      </c>
      <c r="M3450" s="194">
        <v>0</v>
      </c>
      <c r="N3450" s="538">
        <v>0</v>
      </c>
      <c r="O3450" s="194">
        <v>30</v>
      </c>
      <c r="P3450" s="538">
        <v>7</v>
      </c>
      <c r="Q3450" s="182">
        <f t="shared" si="4135"/>
        <v>0.77300613496932513</v>
      </c>
      <c r="R3450" s="182">
        <f t="shared" si="4136"/>
        <v>0</v>
      </c>
      <c r="S3450" s="183">
        <f t="shared" si="4111"/>
        <v>4.2944785276073622E-2</v>
      </c>
      <c r="T3450" s="183">
        <f t="shared" si="4112"/>
        <v>0.18404907975460122</v>
      </c>
      <c r="U3450" s="184">
        <f t="shared" si="4113"/>
        <v>1</v>
      </c>
      <c r="V3450" s="386"/>
    </row>
    <row r="3451" spans="2:22" ht="15.75" hidden="1" x14ac:dyDescent="0.2">
      <c r="B3451" s="711">
        <v>46300</v>
      </c>
      <c r="C3451" s="711" t="s">
        <v>105</v>
      </c>
      <c r="D3451" s="711" t="s">
        <v>13</v>
      </c>
      <c r="E3451" s="711">
        <v>46301</v>
      </c>
      <c r="G3451" s="808">
        <v>46301</v>
      </c>
      <c r="H3451" s="497" t="s">
        <v>16</v>
      </c>
      <c r="I3451" s="60" t="s">
        <v>106</v>
      </c>
      <c r="J3451" s="60">
        <v>238</v>
      </c>
      <c r="K3451" s="60">
        <f t="shared" si="4134"/>
        <v>148</v>
      </c>
      <c r="L3451" s="60">
        <v>57</v>
      </c>
      <c r="M3451" s="60">
        <v>5</v>
      </c>
      <c r="N3451" s="494">
        <v>0</v>
      </c>
      <c r="O3451" s="60">
        <v>20</v>
      </c>
      <c r="P3451" s="494">
        <v>8</v>
      </c>
      <c r="Q3451" s="182">
        <f t="shared" si="4135"/>
        <v>0.8613445378151261</v>
      </c>
      <c r="R3451" s="182">
        <f t="shared" si="4136"/>
        <v>0</v>
      </c>
      <c r="S3451" s="183">
        <f t="shared" ref="S3451:S3467" si="4137">P3451/J3451</f>
        <v>3.3613445378151259E-2</v>
      </c>
      <c r="T3451" s="183">
        <f t="shared" ref="T3451:T3467" si="4138">O3451/J3451</f>
        <v>8.4033613445378158E-2</v>
      </c>
      <c r="U3451" s="184">
        <f t="shared" ref="U3451:U3467" si="4139">S3451+R3451+Q3451+T3451</f>
        <v>0.97899159663865554</v>
      </c>
      <c r="V3451" s="386"/>
    </row>
    <row r="3452" spans="2:22" ht="15.75" hidden="1" x14ac:dyDescent="0.2">
      <c r="B3452" s="711">
        <v>46300</v>
      </c>
      <c r="C3452" s="711" t="s">
        <v>105</v>
      </c>
      <c r="D3452" s="711" t="s">
        <v>13</v>
      </c>
      <c r="E3452" s="711">
        <v>46301</v>
      </c>
      <c r="G3452" s="808"/>
      <c r="H3452" s="497" t="s">
        <v>14</v>
      </c>
      <c r="I3452" s="60" t="s">
        <v>105</v>
      </c>
      <c r="J3452" s="60">
        <v>206</v>
      </c>
      <c r="K3452" s="60">
        <f t="shared" si="4134"/>
        <v>112</v>
      </c>
      <c r="L3452" s="60">
        <v>32</v>
      </c>
      <c r="M3452" s="60">
        <v>22</v>
      </c>
      <c r="N3452" s="494">
        <v>8</v>
      </c>
      <c r="O3452" s="60">
        <v>13</v>
      </c>
      <c r="P3452" s="494">
        <v>19</v>
      </c>
      <c r="Q3452" s="182">
        <f t="shared" si="4135"/>
        <v>0.69902912621359226</v>
      </c>
      <c r="R3452" s="182">
        <f t="shared" si="4136"/>
        <v>3.8834951456310676E-2</v>
      </c>
      <c r="S3452" s="183">
        <f t="shared" si="4137"/>
        <v>9.2233009708737865E-2</v>
      </c>
      <c r="T3452" s="183">
        <f t="shared" si="4138"/>
        <v>6.3106796116504854E-2</v>
      </c>
      <c r="U3452" s="184">
        <f t="shared" si="4139"/>
        <v>0.89320388349514568</v>
      </c>
      <c r="V3452" s="386"/>
    </row>
    <row r="3453" spans="2:22" ht="15.75" hidden="1" x14ac:dyDescent="0.2">
      <c r="B3453" s="711">
        <v>46300</v>
      </c>
      <c r="C3453" s="711" t="s">
        <v>105</v>
      </c>
      <c r="D3453" s="711" t="s">
        <v>13</v>
      </c>
      <c r="E3453" s="711">
        <v>46301</v>
      </c>
      <c r="G3453" s="808"/>
      <c r="H3453" s="497" t="s">
        <v>25</v>
      </c>
      <c r="I3453" s="60" t="s">
        <v>105</v>
      </c>
      <c r="J3453" s="60">
        <v>190</v>
      </c>
      <c r="K3453" s="60">
        <f t="shared" si="4134"/>
        <v>20</v>
      </c>
      <c r="L3453" s="60">
        <v>12</v>
      </c>
      <c r="M3453" s="60">
        <v>2</v>
      </c>
      <c r="N3453" s="494">
        <v>120</v>
      </c>
      <c r="O3453" s="60">
        <v>20</v>
      </c>
      <c r="P3453" s="494">
        <v>16</v>
      </c>
      <c r="Q3453" s="182">
        <f t="shared" si="4135"/>
        <v>0.16842105263157894</v>
      </c>
      <c r="R3453" s="182">
        <f t="shared" si="4136"/>
        <v>0.63157894736842102</v>
      </c>
      <c r="S3453" s="183">
        <f t="shared" si="4137"/>
        <v>8.4210526315789472E-2</v>
      </c>
      <c r="T3453" s="183">
        <f t="shared" si="4138"/>
        <v>0.10526315789473684</v>
      </c>
      <c r="U3453" s="184">
        <f t="shared" si="4139"/>
        <v>0.98947368421052628</v>
      </c>
      <c r="V3453" s="386"/>
    </row>
    <row r="3454" spans="2:22" ht="15.75" hidden="1" x14ac:dyDescent="0.2">
      <c r="B3454" s="711">
        <v>46300</v>
      </c>
      <c r="C3454" s="711" t="s">
        <v>105</v>
      </c>
      <c r="D3454" s="711" t="s">
        <v>13</v>
      </c>
      <c r="E3454" s="711">
        <v>46301</v>
      </c>
      <c r="G3454" s="798"/>
      <c r="H3454" s="715" t="s">
        <v>84</v>
      </c>
      <c r="I3454" s="62" t="s">
        <v>18</v>
      </c>
      <c r="J3454" s="60">
        <v>39</v>
      </c>
      <c r="K3454" s="60">
        <f t="shared" si="4134"/>
        <v>21</v>
      </c>
      <c r="L3454" s="60">
        <v>13</v>
      </c>
      <c r="M3454" s="60">
        <v>0</v>
      </c>
      <c r="N3454" s="494">
        <v>0</v>
      </c>
      <c r="O3454" s="60">
        <v>0</v>
      </c>
      <c r="P3454" s="494">
        <v>5</v>
      </c>
      <c r="Q3454" s="182">
        <f t="shared" si="4135"/>
        <v>0.87179487179487181</v>
      </c>
      <c r="R3454" s="182">
        <f t="shared" si="4136"/>
        <v>0</v>
      </c>
      <c r="S3454" s="183">
        <f t="shared" si="4137"/>
        <v>0.12820512820512819</v>
      </c>
      <c r="T3454" s="183">
        <f t="shared" si="4138"/>
        <v>0</v>
      </c>
      <c r="U3454" s="184">
        <f t="shared" si="4139"/>
        <v>1</v>
      </c>
      <c r="V3454" s="386"/>
    </row>
    <row r="3455" spans="2:22" ht="15.75" hidden="1" x14ac:dyDescent="0.2">
      <c r="B3455" s="711">
        <v>46300</v>
      </c>
      <c r="C3455" s="711" t="s">
        <v>105</v>
      </c>
      <c r="D3455" s="711" t="s">
        <v>13</v>
      </c>
      <c r="E3455" s="711">
        <v>46301</v>
      </c>
      <c r="G3455" s="806">
        <v>46302</v>
      </c>
      <c r="H3455" s="497" t="s">
        <v>16</v>
      </c>
      <c r="I3455" s="60" t="s">
        <v>27</v>
      </c>
      <c r="J3455" s="194">
        <v>210</v>
      </c>
      <c r="K3455" s="60">
        <f t="shared" si="4134"/>
        <v>0</v>
      </c>
      <c r="L3455" s="194">
        <v>0</v>
      </c>
      <c r="M3455" s="194">
        <v>49</v>
      </c>
      <c r="N3455" s="538">
        <v>135</v>
      </c>
      <c r="O3455" s="194">
        <v>20</v>
      </c>
      <c r="P3455" s="538">
        <v>6</v>
      </c>
      <c r="Q3455" s="182">
        <f t="shared" si="4135"/>
        <v>0</v>
      </c>
      <c r="R3455" s="182">
        <f t="shared" si="4136"/>
        <v>0.6428571428571429</v>
      </c>
      <c r="S3455" s="183">
        <f t="shared" si="4137"/>
        <v>2.8571428571428571E-2</v>
      </c>
      <c r="T3455" s="183">
        <f t="shared" si="4138"/>
        <v>9.5238095238095233E-2</v>
      </c>
      <c r="U3455" s="184">
        <f t="shared" si="4139"/>
        <v>0.76666666666666672</v>
      </c>
      <c r="V3455" s="386"/>
    </row>
    <row r="3456" spans="2:22" ht="15.75" hidden="1" x14ac:dyDescent="0.2">
      <c r="B3456" s="711">
        <v>46300</v>
      </c>
      <c r="C3456" s="711" t="s">
        <v>105</v>
      </c>
      <c r="D3456" s="711" t="s">
        <v>13</v>
      </c>
      <c r="E3456" s="711">
        <v>46301</v>
      </c>
      <c r="G3456" s="807"/>
      <c r="H3456" s="497" t="s">
        <v>212</v>
      </c>
      <c r="I3456" s="60" t="s">
        <v>22</v>
      </c>
      <c r="J3456" s="194">
        <v>59</v>
      </c>
      <c r="K3456" s="60">
        <f t="shared" si="4134"/>
        <v>0</v>
      </c>
      <c r="L3456" s="194">
        <v>0</v>
      </c>
      <c r="M3456" s="194">
        <v>0</v>
      </c>
      <c r="N3456" s="538">
        <v>57</v>
      </c>
      <c r="O3456" s="194">
        <v>0</v>
      </c>
      <c r="P3456" s="538">
        <v>2</v>
      </c>
      <c r="Q3456" s="182">
        <f t="shared" si="4135"/>
        <v>0</v>
      </c>
      <c r="R3456" s="182">
        <f t="shared" si="4136"/>
        <v>0.96610169491525422</v>
      </c>
      <c r="S3456" s="183">
        <f t="shared" si="4137"/>
        <v>3.3898305084745763E-2</v>
      </c>
      <c r="T3456" s="183">
        <f t="shared" si="4138"/>
        <v>0</v>
      </c>
      <c r="U3456" s="184">
        <f t="shared" si="4139"/>
        <v>1</v>
      </c>
      <c r="V3456" s="386"/>
    </row>
    <row r="3457" spans="2:22" ht="15.75" hidden="1" x14ac:dyDescent="0.2">
      <c r="B3457" s="711">
        <v>46300</v>
      </c>
      <c r="C3457" s="711" t="s">
        <v>105</v>
      </c>
      <c r="D3457" s="711" t="s">
        <v>13</v>
      </c>
      <c r="E3457" s="711">
        <v>46301</v>
      </c>
      <c r="G3457" s="775" t="s">
        <v>19</v>
      </c>
      <c r="H3457" s="776"/>
      <c r="I3457" s="777"/>
      <c r="J3457" s="190">
        <f t="shared" ref="J3457:P3457" si="4140">SUM(J3448:J3454)</f>
        <v>1990</v>
      </c>
      <c r="K3457" s="190">
        <f t="shared" si="4140"/>
        <v>838</v>
      </c>
      <c r="L3457" s="190">
        <f t="shared" si="4140"/>
        <v>328</v>
      </c>
      <c r="M3457" s="190">
        <f t="shared" si="4140"/>
        <v>176</v>
      </c>
      <c r="N3457" s="190">
        <f t="shared" si="4140"/>
        <v>330</v>
      </c>
      <c r="O3457" s="190">
        <f t="shared" si="4140"/>
        <v>190</v>
      </c>
      <c r="P3457" s="190">
        <f t="shared" si="4140"/>
        <v>128</v>
      </c>
      <c r="Q3457" s="481">
        <f>(K3457+L3457)/J3457</f>
        <v>0.58592964824120608</v>
      </c>
      <c r="R3457" s="481">
        <f>N3457/J3457</f>
        <v>0.16582914572864321</v>
      </c>
      <c r="S3457" s="482">
        <f t="shared" si="4137"/>
        <v>6.4321608040201012E-2</v>
      </c>
      <c r="T3457" s="482">
        <f t="shared" si="4138"/>
        <v>9.5477386934673364E-2</v>
      </c>
      <c r="U3457" s="483">
        <f t="shared" si="4139"/>
        <v>0.91155778894472361</v>
      </c>
      <c r="V3457" s="479"/>
    </row>
    <row r="3458" spans="2:22" ht="15.75" hidden="1" x14ac:dyDescent="0.2">
      <c r="B3458" s="711">
        <v>46301</v>
      </c>
      <c r="C3458" s="711" t="s">
        <v>106</v>
      </c>
      <c r="D3458" s="711" t="s">
        <v>189</v>
      </c>
      <c r="E3458" s="711">
        <v>46301</v>
      </c>
      <c r="G3458" s="778">
        <v>46301</v>
      </c>
      <c r="H3458" s="497" t="s">
        <v>16</v>
      </c>
      <c r="I3458" s="60" t="s">
        <v>15</v>
      </c>
      <c r="J3458" s="60">
        <f>SUM(K3458:P3458)</f>
        <v>31</v>
      </c>
      <c r="K3458" s="60">
        <f>145-127</f>
        <v>18</v>
      </c>
      <c r="L3458" s="60">
        <f>44-31</f>
        <v>13</v>
      </c>
      <c r="M3458" s="60">
        <v>0</v>
      </c>
      <c r="N3458" s="494">
        <v>0</v>
      </c>
      <c r="O3458" s="60">
        <v>0</v>
      </c>
      <c r="P3458" s="494">
        <v>0</v>
      </c>
      <c r="Q3458" s="182">
        <f t="shared" ref="Q3458:Q3466" si="4141">(K3458+L3458)/J3458</f>
        <v>1</v>
      </c>
      <c r="R3458" s="182">
        <f t="shared" ref="R3458:R3466" si="4142">N3458/J3458</f>
        <v>0</v>
      </c>
      <c r="S3458" s="183">
        <f t="shared" si="4137"/>
        <v>0</v>
      </c>
      <c r="T3458" s="183">
        <f t="shared" si="4138"/>
        <v>0</v>
      </c>
      <c r="U3458" s="184">
        <f t="shared" si="4139"/>
        <v>1</v>
      </c>
      <c r="V3458" s="386"/>
    </row>
    <row r="3459" spans="2:22" ht="15.75" hidden="1" x14ac:dyDescent="0.2">
      <c r="B3459" s="711">
        <v>46301</v>
      </c>
      <c r="C3459" s="711" t="s">
        <v>106</v>
      </c>
      <c r="D3459" s="711" t="s">
        <v>189</v>
      </c>
      <c r="E3459" s="711">
        <v>46301</v>
      </c>
      <c r="G3459" s="786"/>
      <c r="H3459" s="497" t="s">
        <v>14</v>
      </c>
      <c r="I3459" s="60" t="s">
        <v>106</v>
      </c>
      <c r="J3459" s="60">
        <f t="shared" ref="J3459:J3462" si="4143">SUM(K3459:P3459)</f>
        <v>86</v>
      </c>
      <c r="K3459" s="60">
        <v>68</v>
      </c>
      <c r="L3459" s="60">
        <v>18</v>
      </c>
      <c r="M3459" s="60">
        <v>0</v>
      </c>
      <c r="N3459" s="494">
        <v>0</v>
      </c>
      <c r="O3459" s="60">
        <v>0</v>
      </c>
      <c r="P3459" s="494">
        <v>0</v>
      </c>
      <c r="Q3459" s="182">
        <f t="shared" si="4141"/>
        <v>1</v>
      </c>
      <c r="R3459" s="182">
        <f t="shared" si="4142"/>
        <v>0</v>
      </c>
      <c r="S3459" s="183">
        <f t="shared" si="4137"/>
        <v>0</v>
      </c>
      <c r="T3459" s="183">
        <f t="shared" si="4138"/>
        <v>0</v>
      </c>
      <c r="U3459" s="184">
        <f t="shared" si="4139"/>
        <v>1</v>
      </c>
      <c r="V3459" s="386"/>
    </row>
    <row r="3460" spans="2:22" ht="15.75" hidden="1" x14ac:dyDescent="0.2">
      <c r="B3460" s="711">
        <v>46301</v>
      </c>
      <c r="C3460" s="711" t="s">
        <v>106</v>
      </c>
      <c r="D3460" s="711" t="s">
        <v>189</v>
      </c>
      <c r="E3460" s="711">
        <v>46301</v>
      </c>
      <c r="G3460" s="786"/>
      <c r="H3460" s="497" t="s">
        <v>120</v>
      </c>
      <c r="I3460" s="60" t="s">
        <v>106</v>
      </c>
      <c r="J3460" s="60">
        <f t="shared" si="4143"/>
        <v>26</v>
      </c>
      <c r="K3460" s="60">
        <v>26</v>
      </c>
      <c r="L3460" s="60">
        <v>0</v>
      </c>
      <c r="M3460" s="60">
        <v>0</v>
      </c>
      <c r="N3460" s="494">
        <v>0</v>
      </c>
      <c r="O3460" s="60">
        <v>0</v>
      </c>
      <c r="P3460" s="494">
        <v>0</v>
      </c>
      <c r="Q3460" s="182">
        <f t="shared" si="4141"/>
        <v>1</v>
      </c>
      <c r="R3460" s="182">
        <f t="shared" si="4142"/>
        <v>0</v>
      </c>
      <c r="S3460" s="183">
        <f t="shared" si="4137"/>
        <v>0</v>
      </c>
      <c r="T3460" s="183">
        <f t="shared" si="4138"/>
        <v>0</v>
      </c>
      <c r="U3460" s="184">
        <f t="shared" si="4139"/>
        <v>1</v>
      </c>
      <c r="V3460" s="386"/>
    </row>
    <row r="3461" spans="2:22" ht="15.75" hidden="1" x14ac:dyDescent="0.2">
      <c r="B3461" s="711">
        <v>46301</v>
      </c>
      <c r="C3461" s="711" t="s">
        <v>106</v>
      </c>
      <c r="D3461" s="711" t="s">
        <v>189</v>
      </c>
      <c r="E3461" s="711">
        <v>46301</v>
      </c>
      <c r="G3461" s="786"/>
      <c r="H3461" s="497" t="s">
        <v>212</v>
      </c>
      <c r="I3461" s="60" t="s">
        <v>106</v>
      </c>
      <c r="J3461" s="60">
        <f t="shared" si="4143"/>
        <v>65</v>
      </c>
      <c r="K3461" s="60">
        <v>63</v>
      </c>
      <c r="L3461" s="60">
        <v>2</v>
      </c>
      <c r="M3461" s="60">
        <v>0</v>
      </c>
      <c r="N3461" s="494">
        <v>0</v>
      </c>
      <c r="O3461" s="60">
        <v>0</v>
      </c>
      <c r="P3461" s="494">
        <v>0</v>
      </c>
      <c r="Q3461" s="182">
        <f t="shared" si="4141"/>
        <v>1</v>
      </c>
      <c r="R3461" s="182">
        <f t="shared" si="4142"/>
        <v>0</v>
      </c>
      <c r="S3461" s="183">
        <f t="shared" si="4137"/>
        <v>0</v>
      </c>
      <c r="T3461" s="183">
        <f t="shared" si="4138"/>
        <v>0</v>
      </c>
      <c r="U3461" s="184">
        <f t="shared" si="4139"/>
        <v>1</v>
      </c>
      <c r="V3461" s="386"/>
    </row>
    <row r="3462" spans="2:22" ht="15.75" hidden="1" x14ac:dyDescent="0.2">
      <c r="B3462" s="711">
        <v>46301</v>
      </c>
      <c r="C3462" s="711" t="s">
        <v>106</v>
      </c>
      <c r="D3462" s="711" t="s">
        <v>189</v>
      </c>
      <c r="E3462" s="711">
        <v>46301</v>
      </c>
      <c r="G3462" s="779"/>
      <c r="H3462" s="497" t="s">
        <v>25</v>
      </c>
      <c r="I3462" s="60" t="s">
        <v>105</v>
      </c>
      <c r="J3462" s="60">
        <f t="shared" si="4143"/>
        <v>160</v>
      </c>
      <c r="K3462" s="60">
        <v>90</v>
      </c>
      <c r="L3462" s="60">
        <v>32</v>
      </c>
      <c r="M3462" s="60">
        <v>2</v>
      </c>
      <c r="N3462" s="494">
        <v>0</v>
      </c>
      <c r="O3462" s="60">
        <v>20</v>
      </c>
      <c r="P3462" s="494">
        <v>16</v>
      </c>
      <c r="Q3462" s="182">
        <f t="shared" si="4141"/>
        <v>0.76249999999999996</v>
      </c>
      <c r="R3462" s="182">
        <f t="shared" si="4142"/>
        <v>0</v>
      </c>
      <c r="S3462" s="183">
        <f t="shared" si="4137"/>
        <v>0.1</v>
      </c>
      <c r="T3462" s="183">
        <f t="shared" si="4138"/>
        <v>0.125</v>
      </c>
      <c r="U3462" s="184">
        <f t="shared" si="4139"/>
        <v>0.98749999999999993</v>
      </c>
      <c r="V3462" s="386"/>
    </row>
    <row r="3463" spans="2:22" ht="15.75" hidden="1" x14ac:dyDescent="0.2">
      <c r="B3463" s="711">
        <v>46301</v>
      </c>
      <c r="C3463" s="711" t="s">
        <v>106</v>
      </c>
      <c r="D3463" s="711" t="s">
        <v>189</v>
      </c>
      <c r="E3463" s="711">
        <v>46301</v>
      </c>
      <c r="G3463" s="773">
        <v>46302</v>
      </c>
      <c r="H3463" s="497" t="s">
        <v>16</v>
      </c>
      <c r="I3463" s="60" t="s">
        <v>106</v>
      </c>
      <c r="J3463" s="60">
        <v>209</v>
      </c>
      <c r="K3463" s="60">
        <v>127</v>
      </c>
      <c r="L3463" s="60">
        <v>31</v>
      </c>
      <c r="M3463" s="60">
        <v>3</v>
      </c>
      <c r="N3463" s="494">
        <v>23</v>
      </c>
      <c r="O3463" s="60">
        <v>20</v>
      </c>
      <c r="P3463" s="494">
        <v>6</v>
      </c>
      <c r="Q3463" s="182">
        <f t="shared" si="4141"/>
        <v>0.75598086124401909</v>
      </c>
      <c r="R3463" s="182">
        <f t="shared" si="4142"/>
        <v>0.11004784688995216</v>
      </c>
      <c r="S3463" s="183">
        <f t="shared" si="4137"/>
        <v>2.8708133971291867E-2</v>
      </c>
      <c r="T3463" s="183">
        <f t="shared" si="4138"/>
        <v>9.569377990430622E-2</v>
      </c>
      <c r="U3463" s="184">
        <f t="shared" si="4139"/>
        <v>0.99043062200956933</v>
      </c>
      <c r="V3463" s="386"/>
    </row>
    <row r="3464" spans="2:22" ht="15.75" hidden="1" x14ac:dyDescent="0.2">
      <c r="B3464" s="711">
        <v>46301</v>
      </c>
      <c r="C3464" s="711" t="s">
        <v>106</v>
      </c>
      <c r="D3464" s="711" t="s">
        <v>189</v>
      </c>
      <c r="E3464" s="711">
        <v>46301</v>
      </c>
      <c r="G3464" s="780"/>
      <c r="H3464" s="497" t="s">
        <v>118</v>
      </c>
      <c r="I3464" s="60" t="s">
        <v>106</v>
      </c>
      <c r="J3464" s="60">
        <v>246</v>
      </c>
      <c r="K3464" s="60">
        <v>1</v>
      </c>
      <c r="L3464" s="60">
        <v>0</v>
      </c>
      <c r="M3464" s="60">
        <v>0</v>
      </c>
      <c r="N3464" s="494">
        <v>207</v>
      </c>
      <c r="O3464" s="60">
        <v>15</v>
      </c>
      <c r="P3464" s="494">
        <v>23</v>
      </c>
      <c r="Q3464" s="182">
        <f t="shared" si="4141"/>
        <v>4.0650406504065045E-3</v>
      </c>
      <c r="R3464" s="182">
        <f t="shared" si="4142"/>
        <v>0.84146341463414631</v>
      </c>
      <c r="S3464" s="183">
        <f t="shared" si="4137"/>
        <v>9.3495934959349589E-2</v>
      </c>
      <c r="T3464" s="183">
        <f t="shared" si="4138"/>
        <v>6.097560975609756E-2</v>
      </c>
      <c r="U3464" s="184">
        <f t="shared" si="4139"/>
        <v>1</v>
      </c>
      <c r="V3464" s="386"/>
    </row>
    <row r="3465" spans="2:22" ht="15.75" hidden="1" x14ac:dyDescent="0.2">
      <c r="B3465" s="711">
        <v>46301</v>
      </c>
      <c r="C3465" s="711" t="s">
        <v>106</v>
      </c>
      <c r="D3465" s="711" t="s">
        <v>189</v>
      </c>
      <c r="E3465" s="711">
        <v>46301</v>
      </c>
      <c r="G3465" s="780"/>
      <c r="H3465" s="497" t="s">
        <v>17</v>
      </c>
      <c r="I3465" s="60" t="s">
        <v>105</v>
      </c>
      <c r="J3465" s="60">
        <v>181</v>
      </c>
      <c r="K3465" s="60">
        <v>0</v>
      </c>
      <c r="L3465" s="60">
        <v>1</v>
      </c>
      <c r="M3465" s="60">
        <v>129</v>
      </c>
      <c r="N3465" s="494">
        <v>0</v>
      </c>
      <c r="O3465" s="60">
        <v>30</v>
      </c>
      <c r="P3465" s="494">
        <v>21</v>
      </c>
      <c r="Q3465" s="182">
        <f t="shared" si="4141"/>
        <v>5.5248618784530384E-3</v>
      </c>
      <c r="R3465" s="182">
        <f t="shared" si="4142"/>
        <v>0</v>
      </c>
      <c r="S3465" s="183">
        <f t="shared" si="4137"/>
        <v>0.11602209944751381</v>
      </c>
      <c r="T3465" s="183">
        <f t="shared" si="4138"/>
        <v>0.16574585635359115</v>
      </c>
      <c r="U3465" s="184">
        <f t="shared" si="4139"/>
        <v>0.287292817679558</v>
      </c>
      <c r="V3465" s="386"/>
    </row>
    <row r="3466" spans="2:22" ht="15.75" hidden="1" x14ac:dyDescent="0.2">
      <c r="B3466" s="711">
        <v>46301</v>
      </c>
      <c r="C3466" s="711" t="s">
        <v>106</v>
      </c>
      <c r="D3466" s="711" t="s">
        <v>189</v>
      </c>
      <c r="E3466" s="711">
        <v>46301</v>
      </c>
      <c r="G3466" s="774"/>
      <c r="H3466" s="497" t="s">
        <v>32</v>
      </c>
      <c r="I3466" s="60" t="s">
        <v>18</v>
      </c>
      <c r="J3466" s="60">
        <v>187</v>
      </c>
      <c r="K3466" s="60">
        <v>0</v>
      </c>
      <c r="L3466" s="60">
        <v>0</v>
      </c>
      <c r="M3466" s="60">
        <v>106</v>
      </c>
      <c r="N3466" s="494">
        <v>50</v>
      </c>
      <c r="O3466" s="60">
        <v>13</v>
      </c>
      <c r="P3466" s="494">
        <v>18</v>
      </c>
      <c r="Q3466" s="182">
        <f t="shared" si="4141"/>
        <v>0</v>
      </c>
      <c r="R3466" s="182">
        <f t="shared" si="4142"/>
        <v>0.26737967914438504</v>
      </c>
      <c r="S3466" s="183">
        <f t="shared" si="4137"/>
        <v>9.6256684491978606E-2</v>
      </c>
      <c r="T3466" s="183">
        <f t="shared" si="4138"/>
        <v>6.9518716577540107E-2</v>
      </c>
      <c r="U3466" s="184">
        <f t="shared" si="4139"/>
        <v>0.43315508021390375</v>
      </c>
      <c r="V3466" s="386"/>
    </row>
    <row r="3467" spans="2:22" ht="15.75" hidden="1" x14ac:dyDescent="0.2">
      <c r="B3467" s="711">
        <v>46301</v>
      </c>
      <c r="C3467" s="711" t="s">
        <v>106</v>
      </c>
      <c r="D3467" s="711" t="s">
        <v>189</v>
      </c>
      <c r="E3467" s="711">
        <v>46301</v>
      </c>
      <c r="G3467" s="775" t="s">
        <v>19</v>
      </c>
      <c r="H3467" s="776"/>
      <c r="I3467" s="777"/>
      <c r="J3467" s="190">
        <f t="shared" ref="J3467:P3467" si="4144">SUM(J3458:J3466)</f>
        <v>1191</v>
      </c>
      <c r="K3467" s="190">
        <f t="shared" si="4144"/>
        <v>393</v>
      </c>
      <c r="L3467" s="190">
        <f t="shared" si="4144"/>
        <v>97</v>
      </c>
      <c r="M3467" s="190">
        <f t="shared" si="4144"/>
        <v>240</v>
      </c>
      <c r="N3467" s="190">
        <f t="shared" si="4144"/>
        <v>280</v>
      </c>
      <c r="O3467" s="190">
        <f t="shared" si="4144"/>
        <v>98</v>
      </c>
      <c r="P3467" s="190">
        <f t="shared" si="4144"/>
        <v>84</v>
      </c>
      <c r="Q3467" s="481">
        <f>(K3467+L3467)/J3467</f>
        <v>0.41141897565071367</v>
      </c>
      <c r="R3467" s="481">
        <f>N3467/J3467</f>
        <v>0.23509655751469352</v>
      </c>
      <c r="S3467" s="482">
        <f t="shared" si="4137"/>
        <v>7.0528967254408062E-2</v>
      </c>
      <c r="T3467" s="482">
        <f t="shared" si="4138"/>
        <v>8.2283795130142737E-2</v>
      </c>
      <c r="U3467" s="483">
        <f t="shared" si="4139"/>
        <v>0.79932829554995799</v>
      </c>
      <c r="V3467" s="479"/>
    </row>
    <row r="3468" spans="2:22" ht="15.75" hidden="1" x14ac:dyDescent="0.2">
      <c r="B3468" s="711">
        <v>46301</v>
      </c>
      <c r="C3468" s="711" t="s">
        <v>105</v>
      </c>
      <c r="D3468" s="711" t="s">
        <v>13</v>
      </c>
      <c r="E3468" s="711">
        <v>46301</v>
      </c>
      <c r="G3468" s="797">
        <v>46301</v>
      </c>
      <c r="H3468" s="497" t="s">
        <v>16</v>
      </c>
      <c r="I3468" s="60" t="s">
        <v>106</v>
      </c>
      <c r="J3468" s="60">
        <v>238</v>
      </c>
      <c r="K3468" s="60">
        <f t="shared" ref="K3468:K3473" si="4145">J3468-L3468-M3468-N3468-O3468-P3468</f>
        <v>148</v>
      </c>
      <c r="L3468" s="60">
        <v>68</v>
      </c>
      <c r="M3468" s="60">
        <v>0</v>
      </c>
      <c r="N3468" s="494">
        <v>0</v>
      </c>
      <c r="O3468" s="60">
        <v>20</v>
      </c>
      <c r="P3468" s="494">
        <v>2</v>
      </c>
      <c r="Q3468" s="182">
        <f t="shared" ref="Q3468:Q3472" si="4146">(K3468+L3468)/J3468</f>
        <v>0.90756302521008403</v>
      </c>
      <c r="R3468" s="182">
        <f t="shared" ref="R3468:R3472" si="4147">N3468/J3468</f>
        <v>0</v>
      </c>
      <c r="S3468" s="183">
        <f t="shared" ref="S3468:S3487" si="4148">P3468/J3468</f>
        <v>8.4033613445378148E-3</v>
      </c>
      <c r="T3468" s="183">
        <f t="shared" ref="T3468:T3487" si="4149">O3468/J3468</f>
        <v>8.4033613445378158E-2</v>
      </c>
      <c r="U3468" s="184">
        <f t="shared" ref="U3468:U3487" si="4150">S3468+R3468+Q3468+T3468</f>
        <v>1</v>
      </c>
      <c r="V3468" s="386"/>
    </row>
    <row r="3469" spans="2:22" ht="15.75" hidden="1" x14ac:dyDescent="0.2">
      <c r="B3469" s="711">
        <v>46301</v>
      </c>
      <c r="C3469" s="711" t="s">
        <v>105</v>
      </c>
      <c r="D3469" s="711" t="s">
        <v>13</v>
      </c>
      <c r="E3469" s="711">
        <v>46301</v>
      </c>
      <c r="G3469" s="798"/>
      <c r="H3469" s="497" t="s">
        <v>25</v>
      </c>
      <c r="I3469" s="60" t="s">
        <v>105</v>
      </c>
      <c r="J3469" s="60">
        <v>190</v>
      </c>
      <c r="K3469" s="60">
        <f t="shared" si="4145"/>
        <v>112</v>
      </c>
      <c r="L3469" s="60">
        <v>49</v>
      </c>
      <c r="M3469" s="60">
        <v>0</v>
      </c>
      <c r="N3469" s="494">
        <v>0</v>
      </c>
      <c r="O3469" s="60">
        <v>20</v>
      </c>
      <c r="P3469" s="494">
        <v>9</v>
      </c>
      <c r="Q3469" s="182">
        <f t="shared" si="4146"/>
        <v>0.84736842105263155</v>
      </c>
      <c r="R3469" s="182">
        <f t="shared" si="4147"/>
        <v>0</v>
      </c>
      <c r="S3469" s="183">
        <f t="shared" si="4148"/>
        <v>4.736842105263158E-2</v>
      </c>
      <c r="T3469" s="183">
        <f t="shared" si="4149"/>
        <v>0.10526315789473684</v>
      </c>
      <c r="U3469" s="184">
        <f t="shared" si="4150"/>
        <v>1</v>
      </c>
      <c r="V3469" s="386"/>
    </row>
    <row r="3470" spans="2:22" ht="15.75" hidden="1" x14ac:dyDescent="0.2">
      <c r="B3470" s="711">
        <v>46301</v>
      </c>
      <c r="C3470" s="711" t="s">
        <v>105</v>
      </c>
      <c r="D3470" s="711" t="s">
        <v>13</v>
      </c>
      <c r="E3470" s="711">
        <v>46302</v>
      </c>
      <c r="G3470" s="803">
        <v>46302</v>
      </c>
      <c r="H3470" s="497" t="s">
        <v>16</v>
      </c>
      <c r="I3470" s="60" t="s">
        <v>106</v>
      </c>
      <c r="J3470" s="60">
        <v>209</v>
      </c>
      <c r="K3470" s="60">
        <f t="shared" si="4145"/>
        <v>143</v>
      </c>
      <c r="L3470" s="60">
        <v>35</v>
      </c>
      <c r="M3470" s="60">
        <v>4</v>
      </c>
      <c r="N3470" s="494">
        <v>0</v>
      </c>
      <c r="O3470" s="60">
        <v>20</v>
      </c>
      <c r="P3470" s="494">
        <v>7</v>
      </c>
      <c r="Q3470" s="182">
        <f t="shared" si="4146"/>
        <v>0.85167464114832536</v>
      </c>
      <c r="R3470" s="182">
        <f t="shared" si="4147"/>
        <v>0</v>
      </c>
      <c r="S3470" s="183">
        <f t="shared" si="4148"/>
        <v>3.3492822966507178E-2</v>
      </c>
      <c r="T3470" s="183">
        <f t="shared" si="4149"/>
        <v>9.569377990430622E-2</v>
      </c>
      <c r="U3470" s="184">
        <f t="shared" si="4150"/>
        <v>0.98086124401913866</v>
      </c>
      <c r="V3470" s="386"/>
    </row>
    <row r="3471" spans="2:22" ht="15.75" hidden="1" x14ac:dyDescent="0.2">
      <c r="B3471" s="711">
        <v>46301</v>
      </c>
      <c r="C3471" s="711" t="s">
        <v>105</v>
      </c>
      <c r="D3471" s="711" t="s">
        <v>13</v>
      </c>
      <c r="E3471" s="711">
        <v>46302</v>
      </c>
      <c r="G3471" s="804"/>
      <c r="H3471" s="497" t="s">
        <v>118</v>
      </c>
      <c r="I3471" s="60" t="s">
        <v>106</v>
      </c>
      <c r="J3471" s="60">
        <v>246</v>
      </c>
      <c r="K3471" s="60">
        <f t="shared" si="4145"/>
        <v>166</v>
      </c>
      <c r="L3471" s="60">
        <v>37</v>
      </c>
      <c r="M3471" s="60">
        <v>14</v>
      </c>
      <c r="N3471" s="494">
        <v>0</v>
      </c>
      <c r="O3471" s="60">
        <v>15</v>
      </c>
      <c r="P3471" s="494">
        <v>14</v>
      </c>
      <c r="Q3471" s="182">
        <f t="shared" si="4146"/>
        <v>0.82520325203252032</v>
      </c>
      <c r="R3471" s="182">
        <f t="shared" si="4147"/>
        <v>0</v>
      </c>
      <c r="S3471" s="183">
        <f t="shared" si="4148"/>
        <v>5.6910569105691054E-2</v>
      </c>
      <c r="T3471" s="183">
        <f t="shared" si="4149"/>
        <v>6.097560975609756E-2</v>
      </c>
      <c r="U3471" s="184">
        <f t="shared" si="4150"/>
        <v>0.94308943089430897</v>
      </c>
      <c r="V3471" s="386"/>
    </row>
    <row r="3472" spans="2:22" ht="15.75" hidden="1" x14ac:dyDescent="0.2">
      <c r="B3472" s="711">
        <v>46301</v>
      </c>
      <c r="C3472" s="711" t="s">
        <v>105</v>
      </c>
      <c r="D3472" s="711" t="s">
        <v>13</v>
      </c>
      <c r="E3472" s="711">
        <v>46302</v>
      </c>
      <c r="G3472" s="804"/>
      <c r="H3472" s="497" t="s">
        <v>17</v>
      </c>
      <c r="I3472" s="60" t="s">
        <v>105</v>
      </c>
      <c r="J3472" s="60">
        <v>180</v>
      </c>
      <c r="K3472" s="60">
        <f t="shared" si="4145"/>
        <v>27</v>
      </c>
      <c r="L3472" s="60">
        <v>14</v>
      </c>
      <c r="M3472" s="60">
        <v>20</v>
      </c>
      <c r="N3472" s="494">
        <v>68</v>
      </c>
      <c r="O3472" s="60">
        <v>30</v>
      </c>
      <c r="P3472" s="494">
        <v>21</v>
      </c>
      <c r="Q3472" s="182">
        <f t="shared" si="4146"/>
        <v>0.22777777777777777</v>
      </c>
      <c r="R3472" s="182">
        <f t="shared" si="4147"/>
        <v>0.37777777777777777</v>
      </c>
      <c r="S3472" s="183">
        <f t="shared" si="4148"/>
        <v>0.11666666666666667</v>
      </c>
      <c r="T3472" s="183">
        <f t="shared" si="4149"/>
        <v>0.16666666666666666</v>
      </c>
      <c r="U3472" s="184">
        <f t="shared" si="4150"/>
        <v>0.88888888888888884</v>
      </c>
      <c r="V3472" s="386"/>
    </row>
    <row r="3473" spans="2:22" ht="15.75" hidden="1" x14ac:dyDescent="0.2">
      <c r="B3473" s="711">
        <v>46301</v>
      </c>
      <c r="C3473" s="711" t="s">
        <v>105</v>
      </c>
      <c r="D3473" s="711" t="s">
        <v>13</v>
      </c>
      <c r="E3473" s="711">
        <v>46302</v>
      </c>
      <c r="G3473" s="805"/>
      <c r="H3473" s="497" t="s">
        <v>32</v>
      </c>
      <c r="I3473" s="60" t="s">
        <v>18</v>
      </c>
      <c r="J3473" s="60">
        <v>187</v>
      </c>
      <c r="K3473" s="60">
        <f t="shared" si="4145"/>
        <v>119</v>
      </c>
      <c r="L3473" s="60">
        <v>20</v>
      </c>
      <c r="M3473" s="60">
        <v>17</v>
      </c>
      <c r="N3473" s="494">
        <v>0</v>
      </c>
      <c r="O3473" s="60">
        <v>13</v>
      </c>
      <c r="P3473" s="494">
        <v>18</v>
      </c>
      <c r="Q3473" s="182">
        <f t="shared" ref="Q3473:Q3474" si="4151">(K3473+L3473)/J3473</f>
        <v>0.74331550802139035</v>
      </c>
      <c r="R3473" s="182">
        <f t="shared" ref="R3473:R3474" si="4152">N3473/J3473</f>
        <v>0</v>
      </c>
      <c r="S3473" s="183">
        <f t="shared" ref="S3473:S3474" si="4153">P3473/J3473</f>
        <v>9.6256684491978606E-2</v>
      </c>
      <c r="T3473" s="183">
        <f t="shared" ref="T3473:T3474" si="4154">O3473/J3473</f>
        <v>6.9518716577540107E-2</v>
      </c>
      <c r="U3473" s="184">
        <f t="shared" ref="U3473:U3474" si="4155">S3473+R3473+Q3473+T3473</f>
        <v>0.90909090909090917</v>
      </c>
      <c r="V3473" s="386"/>
    </row>
    <row r="3474" spans="2:22" ht="15.75" hidden="1" x14ac:dyDescent="0.2">
      <c r="B3474" s="711">
        <v>46301</v>
      </c>
      <c r="C3474" s="711" t="s">
        <v>105</v>
      </c>
      <c r="D3474" s="711" t="s">
        <v>13</v>
      </c>
      <c r="E3474" s="711">
        <v>46303</v>
      </c>
      <c r="G3474" s="716">
        <v>46303</v>
      </c>
      <c r="H3474" s="497" t="s">
        <v>120</v>
      </c>
      <c r="I3474" s="60" t="s">
        <v>106</v>
      </c>
      <c r="J3474" s="194">
        <v>64</v>
      </c>
      <c r="K3474" s="194">
        <v>0</v>
      </c>
      <c r="L3474" s="194">
        <v>0</v>
      </c>
      <c r="M3474" s="194">
        <v>0</v>
      </c>
      <c r="N3474" s="538">
        <v>50</v>
      </c>
      <c r="O3474" s="194">
        <v>0</v>
      </c>
      <c r="P3474" s="538">
        <v>14</v>
      </c>
      <c r="Q3474" s="182">
        <f t="shared" si="4151"/>
        <v>0</v>
      </c>
      <c r="R3474" s="182">
        <f t="shared" si="4152"/>
        <v>0.78125</v>
      </c>
      <c r="S3474" s="183">
        <f t="shared" si="4153"/>
        <v>0.21875</v>
      </c>
      <c r="T3474" s="183">
        <f t="shared" si="4154"/>
        <v>0</v>
      </c>
      <c r="U3474" s="184">
        <f t="shared" si="4155"/>
        <v>1</v>
      </c>
      <c r="V3474" s="386"/>
    </row>
    <row r="3475" spans="2:22" ht="15.75" hidden="1" x14ac:dyDescent="0.2">
      <c r="B3475" s="711">
        <v>46301</v>
      </c>
      <c r="C3475" s="711" t="s">
        <v>105</v>
      </c>
      <c r="D3475" s="711" t="s">
        <v>13</v>
      </c>
      <c r="E3475" s="711"/>
      <c r="G3475" s="775" t="s">
        <v>19</v>
      </c>
      <c r="H3475" s="776"/>
      <c r="I3475" s="777"/>
      <c r="J3475" s="190">
        <f>SUM(J3468:J3474)</f>
        <v>1314</v>
      </c>
      <c r="K3475" s="190">
        <f t="shared" ref="K3475:P3475" si="4156">SUM(K3468:K3474)</f>
        <v>715</v>
      </c>
      <c r="L3475" s="190">
        <f t="shared" si="4156"/>
        <v>223</v>
      </c>
      <c r="M3475" s="190">
        <f t="shared" si="4156"/>
        <v>55</v>
      </c>
      <c r="N3475" s="190">
        <f t="shared" si="4156"/>
        <v>118</v>
      </c>
      <c r="O3475" s="190">
        <f t="shared" si="4156"/>
        <v>118</v>
      </c>
      <c r="P3475" s="190">
        <f t="shared" si="4156"/>
        <v>85</v>
      </c>
      <c r="Q3475" s="481">
        <f>(K3475+L3475)/J3475</f>
        <v>0.71385083713850839</v>
      </c>
      <c r="R3475" s="481">
        <f>N3475/J3475</f>
        <v>8.9802130898021304E-2</v>
      </c>
      <c r="S3475" s="482">
        <f t="shared" si="4148"/>
        <v>6.4687975646879753E-2</v>
      </c>
      <c r="T3475" s="482">
        <f t="shared" si="4149"/>
        <v>8.9802130898021304E-2</v>
      </c>
      <c r="U3475" s="483">
        <f t="shared" si="4150"/>
        <v>0.95814307458143078</v>
      </c>
      <c r="V3475" s="479"/>
    </row>
    <row r="3476" spans="2:22" ht="15.75" hidden="1" x14ac:dyDescent="0.2">
      <c r="B3476" s="711">
        <v>46302</v>
      </c>
      <c r="C3476" s="711" t="s">
        <v>106</v>
      </c>
      <c r="D3476" s="711" t="s">
        <v>189</v>
      </c>
      <c r="E3476" s="711">
        <v>46302</v>
      </c>
      <c r="G3476" s="778">
        <v>46302</v>
      </c>
      <c r="H3476" s="497" t="s">
        <v>16</v>
      </c>
      <c r="I3476" s="60" t="s">
        <v>15</v>
      </c>
      <c r="J3476" s="60">
        <f>SUM(K3476:P3476)</f>
        <v>55</v>
      </c>
      <c r="K3476" s="60">
        <f>143-103</f>
        <v>40</v>
      </c>
      <c r="L3476" s="60">
        <f>57-42</f>
        <v>15</v>
      </c>
      <c r="M3476" s="60">
        <v>0</v>
      </c>
      <c r="N3476" s="494">
        <v>0</v>
      </c>
      <c r="O3476" s="60">
        <v>0</v>
      </c>
      <c r="P3476" s="494">
        <v>0</v>
      </c>
      <c r="Q3476" s="182">
        <f t="shared" ref="Q3476:Q3486" si="4157">(K3476+L3476)/J3476</f>
        <v>1</v>
      </c>
      <c r="R3476" s="182">
        <f t="shared" ref="R3476:R3486" si="4158">N3476/J3476</f>
        <v>0</v>
      </c>
      <c r="S3476" s="183">
        <f t="shared" si="4148"/>
        <v>0</v>
      </c>
      <c r="T3476" s="183">
        <f t="shared" si="4149"/>
        <v>0</v>
      </c>
      <c r="U3476" s="184">
        <f t="shared" si="4150"/>
        <v>1</v>
      </c>
      <c r="V3476" s="386"/>
    </row>
    <row r="3477" spans="2:22" ht="15.75" hidden="1" x14ac:dyDescent="0.2">
      <c r="B3477" s="711">
        <v>46302</v>
      </c>
      <c r="C3477" s="711" t="s">
        <v>106</v>
      </c>
      <c r="D3477" s="711" t="s">
        <v>189</v>
      </c>
      <c r="E3477" s="711">
        <v>46302</v>
      </c>
      <c r="G3477" s="786"/>
      <c r="H3477" s="497" t="s">
        <v>120</v>
      </c>
      <c r="I3477" s="60" t="s">
        <v>106</v>
      </c>
      <c r="J3477" s="60">
        <f t="shared" ref="J3477:J3481" si="4159">SUM(K3477:P3477)</f>
        <v>2</v>
      </c>
      <c r="K3477" s="60">
        <v>2</v>
      </c>
      <c r="L3477" s="60">
        <v>0</v>
      </c>
      <c r="M3477" s="60">
        <v>0</v>
      </c>
      <c r="N3477" s="494">
        <v>0</v>
      </c>
      <c r="O3477" s="60">
        <v>0</v>
      </c>
      <c r="P3477" s="494">
        <v>0</v>
      </c>
      <c r="Q3477" s="182">
        <f t="shared" si="4157"/>
        <v>1</v>
      </c>
      <c r="R3477" s="182">
        <f t="shared" si="4158"/>
        <v>0</v>
      </c>
      <c r="S3477" s="183">
        <f t="shared" si="4148"/>
        <v>0</v>
      </c>
      <c r="T3477" s="183">
        <f t="shared" si="4149"/>
        <v>0</v>
      </c>
      <c r="U3477" s="184">
        <f t="shared" si="4150"/>
        <v>1</v>
      </c>
      <c r="V3477" s="386"/>
    </row>
    <row r="3478" spans="2:22" ht="15.75" hidden="1" x14ac:dyDescent="0.2">
      <c r="B3478" s="711">
        <v>46302</v>
      </c>
      <c r="C3478" s="711" t="s">
        <v>106</v>
      </c>
      <c r="D3478" s="711" t="s">
        <v>189</v>
      </c>
      <c r="E3478" s="711">
        <v>46302</v>
      </c>
      <c r="G3478" s="786"/>
      <c r="H3478" s="497" t="s">
        <v>212</v>
      </c>
      <c r="I3478" s="60" t="s">
        <v>106</v>
      </c>
      <c r="J3478" s="60">
        <f t="shared" si="4159"/>
        <v>16</v>
      </c>
      <c r="K3478" s="60">
        <f>73-57</f>
        <v>16</v>
      </c>
      <c r="L3478" s="60">
        <v>0</v>
      </c>
      <c r="M3478" s="60">
        <v>0</v>
      </c>
      <c r="N3478" s="494">
        <v>0</v>
      </c>
      <c r="O3478" s="60">
        <v>0</v>
      </c>
      <c r="P3478" s="494">
        <v>0</v>
      </c>
      <c r="Q3478" s="182">
        <f t="shared" si="4157"/>
        <v>1</v>
      </c>
      <c r="R3478" s="182">
        <f t="shared" si="4158"/>
        <v>0</v>
      </c>
      <c r="S3478" s="183">
        <f t="shared" si="4148"/>
        <v>0</v>
      </c>
      <c r="T3478" s="183">
        <f t="shared" si="4149"/>
        <v>0</v>
      </c>
      <c r="U3478" s="184">
        <f t="shared" si="4150"/>
        <v>1</v>
      </c>
      <c r="V3478" s="386"/>
    </row>
    <row r="3479" spans="2:22" ht="15.75" hidden="1" x14ac:dyDescent="0.2">
      <c r="B3479" s="711">
        <v>46302</v>
      </c>
      <c r="C3479" s="711" t="s">
        <v>106</v>
      </c>
      <c r="D3479" s="711" t="s">
        <v>189</v>
      </c>
      <c r="E3479" s="711">
        <v>46302</v>
      </c>
      <c r="G3479" s="786"/>
      <c r="H3479" s="497" t="s">
        <v>118</v>
      </c>
      <c r="I3479" s="60" t="s">
        <v>106</v>
      </c>
      <c r="J3479" s="60">
        <f t="shared" si="4159"/>
        <v>32</v>
      </c>
      <c r="K3479" s="60">
        <v>18</v>
      </c>
      <c r="L3479" s="60">
        <v>14</v>
      </c>
      <c r="M3479" s="60">
        <v>0</v>
      </c>
      <c r="N3479" s="494">
        <v>0</v>
      </c>
      <c r="O3479" s="60">
        <v>0</v>
      </c>
      <c r="P3479" s="494">
        <v>0</v>
      </c>
      <c r="Q3479" s="182">
        <f t="shared" si="4157"/>
        <v>1</v>
      </c>
      <c r="R3479" s="182">
        <f t="shared" si="4158"/>
        <v>0</v>
      </c>
      <c r="S3479" s="183">
        <f t="shared" si="4148"/>
        <v>0</v>
      </c>
      <c r="T3479" s="183">
        <f t="shared" si="4149"/>
        <v>0</v>
      </c>
      <c r="U3479" s="184">
        <f t="shared" si="4150"/>
        <v>1</v>
      </c>
      <c r="V3479" s="386"/>
    </row>
    <row r="3480" spans="2:22" ht="15.75" hidden="1" x14ac:dyDescent="0.2">
      <c r="B3480" s="711">
        <v>46302</v>
      </c>
      <c r="C3480" s="711" t="s">
        <v>106</v>
      </c>
      <c r="D3480" s="711" t="s">
        <v>189</v>
      </c>
      <c r="E3480" s="711">
        <v>46302</v>
      </c>
      <c r="G3480" s="786"/>
      <c r="H3480" s="497" t="s">
        <v>32</v>
      </c>
      <c r="I3480" s="60" t="s">
        <v>18</v>
      </c>
      <c r="J3480" s="60">
        <f t="shared" si="4159"/>
        <v>42</v>
      </c>
      <c r="K3480" s="60">
        <v>0</v>
      </c>
      <c r="L3480" s="60">
        <v>0</v>
      </c>
      <c r="M3480" s="60">
        <v>0</v>
      </c>
      <c r="N3480" s="494">
        <v>11</v>
      </c>
      <c r="O3480" s="60">
        <v>13</v>
      </c>
      <c r="P3480" s="494">
        <v>18</v>
      </c>
      <c r="Q3480" s="182">
        <f t="shared" ref="Q3480:Q3484" si="4160">(K3480+L3480)/J3480</f>
        <v>0</v>
      </c>
      <c r="R3480" s="182">
        <f t="shared" ref="R3480:R3484" si="4161">N3480/J3480</f>
        <v>0.26190476190476192</v>
      </c>
      <c r="S3480" s="183">
        <f t="shared" ref="S3480:S3484" si="4162">P3480/J3480</f>
        <v>0.42857142857142855</v>
      </c>
      <c r="T3480" s="183">
        <f t="shared" ref="T3480:T3484" si="4163">O3480/J3480</f>
        <v>0.30952380952380953</v>
      </c>
      <c r="U3480" s="184">
        <f t="shared" ref="U3480:U3484" si="4164">S3480+R3480+Q3480+T3480</f>
        <v>1</v>
      </c>
      <c r="V3480" s="386"/>
    </row>
    <row r="3481" spans="2:22" ht="15.75" hidden="1" x14ac:dyDescent="0.2">
      <c r="B3481" s="711">
        <v>46302</v>
      </c>
      <c r="C3481" s="711" t="s">
        <v>106</v>
      </c>
      <c r="D3481" s="711" t="s">
        <v>189</v>
      </c>
      <c r="E3481" s="711">
        <v>46302</v>
      </c>
      <c r="G3481" s="779"/>
      <c r="H3481" s="497" t="s">
        <v>17</v>
      </c>
      <c r="I3481" s="60" t="s">
        <v>105</v>
      </c>
      <c r="J3481" s="60">
        <f t="shared" si="4159"/>
        <v>138</v>
      </c>
      <c r="K3481" s="60">
        <v>56</v>
      </c>
      <c r="L3481" s="60">
        <v>18</v>
      </c>
      <c r="M3481" s="60">
        <v>0</v>
      </c>
      <c r="N3481" s="494">
        <v>14</v>
      </c>
      <c r="O3481" s="60">
        <v>29</v>
      </c>
      <c r="P3481" s="494">
        <v>21</v>
      </c>
      <c r="Q3481" s="182">
        <f t="shared" si="4160"/>
        <v>0.53623188405797106</v>
      </c>
      <c r="R3481" s="182">
        <f t="shared" si="4161"/>
        <v>0.10144927536231885</v>
      </c>
      <c r="S3481" s="183">
        <f t="shared" si="4162"/>
        <v>0.15217391304347827</v>
      </c>
      <c r="T3481" s="183">
        <f t="shared" si="4163"/>
        <v>0.21014492753623187</v>
      </c>
      <c r="U3481" s="184">
        <f t="shared" si="4164"/>
        <v>1</v>
      </c>
      <c r="V3481" s="386"/>
    </row>
    <row r="3482" spans="2:22" ht="15.75" hidden="1" x14ac:dyDescent="0.2">
      <c r="B3482" s="711">
        <v>46302</v>
      </c>
      <c r="C3482" s="711" t="s">
        <v>106</v>
      </c>
      <c r="D3482" s="711" t="s">
        <v>189</v>
      </c>
      <c r="E3482" s="711">
        <v>46303</v>
      </c>
      <c r="G3482" s="773">
        <v>46303</v>
      </c>
      <c r="H3482" s="497" t="s">
        <v>16</v>
      </c>
      <c r="I3482" s="60" t="s">
        <v>15</v>
      </c>
      <c r="J3482" s="60">
        <v>231</v>
      </c>
      <c r="K3482" s="60">
        <v>103</v>
      </c>
      <c r="L3482" s="60">
        <v>42</v>
      </c>
      <c r="M3482" s="60">
        <v>3</v>
      </c>
      <c r="N3482" s="494">
        <v>60</v>
      </c>
      <c r="O3482" s="60">
        <v>20</v>
      </c>
      <c r="P3482" s="494">
        <v>4</v>
      </c>
      <c r="Q3482" s="182">
        <f t="shared" si="4160"/>
        <v>0.62770562770562766</v>
      </c>
      <c r="R3482" s="182">
        <f t="shared" si="4161"/>
        <v>0.25974025974025972</v>
      </c>
      <c r="S3482" s="183">
        <f t="shared" si="4162"/>
        <v>1.7316017316017316E-2</v>
      </c>
      <c r="T3482" s="183">
        <f t="shared" si="4163"/>
        <v>8.6580086580086577E-2</v>
      </c>
      <c r="U3482" s="184">
        <f t="shared" si="4164"/>
        <v>0.99134199134199119</v>
      </c>
      <c r="V3482" s="386"/>
    </row>
    <row r="3483" spans="2:22" ht="15.75" hidden="1" x14ac:dyDescent="0.2">
      <c r="B3483" s="711">
        <v>46302</v>
      </c>
      <c r="C3483" s="711" t="s">
        <v>106</v>
      </c>
      <c r="D3483" s="711" t="s">
        <v>189</v>
      </c>
      <c r="E3483" s="711">
        <v>46303</v>
      </c>
      <c r="G3483" s="780"/>
      <c r="H3483" s="497" t="s">
        <v>212</v>
      </c>
      <c r="I3483" s="60" t="s">
        <v>106</v>
      </c>
      <c r="J3483" s="60">
        <v>104</v>
      </c>
      <c r="K3483" s="60">
        <v>57</v>
      </c>
      <c r="L3483" s="60">
        <v>3</v>
      </c>
      <c r="M3483" s="60">
        <v>4</v>
      </c>
      <c r="N3483" s="494">
        <v>0</v>
      </c>
      <c r="O3483" s="60">
        <v>0</v>
      </c>
      <c r="P3483" s="494">
        <v>3</v>
      </c>
      <c r="Q3483" s="182">
        <f t="shared" si="4160"/>
        <v>0.57692307692307687</v>
      </c>
      <c r="R3483" s="182">
        <f t="shared" si="4161"/>
        <v>0</v>
      </c>
      <c r="S3483" s="183">
        <f t="shared" si="4162"/>
        <v>2.8846153846153848E-2</v>
      </c>
      <c r="T3483" s="183">
        <f t="shared" si="4163"/>
        <v>0</v>
      </c>
      <c r="U3483" s="184">
        <f t="shared" si="4164"/>
        <v>0.60576923076923073</v>
      </c>
      <c r="V3483" s="386"/>
    </row>
    <row r="3484" spans="2:22" ht="15.75" hidden="1" x14ac:dyDescent="0.2">
      <c r="B3484" s="711">
        <v>46302</v>
      </c>
      <c r="C3484" s="711" t="s">
        <v>106</v>
      </c>
      <c r="D3484" s="711" t="s">
        <v>189</v>
      </c>
      <c r="E3484" s="711">
        <v>46303</v>
      </c>
      <c r="G3484" s="780"/>
      <c r="H3484" s="497" t="s">
        <v>120</v>
      </c>
      <c r="I3484" s="60" t="s">
        <v>106</v>
      </c>
      <c r="J3484" s="60">
        <f t="shared" ref="J3484" si="4165">SUM(K3484:P3484)</f>
        <v>64</v>
      </c>
      <c r="K3484" s="60">
        <v>49</v>
      </c>
      <c r="L3484" s="60">
        <v>1</v>
      </c>
      <c r="M3484" s="60">
        <v>0</v>
      </c>
      <c r="N3484" s="494">
        <v>0</v>
      </c>
      <c r="O3484" s="60">
        <v>0</v>
      </c>
      <c r="P3484" s="494">
        <v>14</v>
      </c>
      <c r="Q3484" s="182">
        <f t="shared" si="4160"/>
        <v>0.78125</v>
      </c>
      <c r="R3484" s="182">
        <f t="shared" si="4161"/>
        <v>0</v>
      </c>
      <c r="S3484" s="183">
        <f t="shared" si="4162"/>
        <v>0.21875</v>
      </c>
      <c r="T3484" s="183">
        <f t="shared" si="4163"/>
        <v>0</v>
      </c>
      <c r="U3484" s="184">
        <f t="shared" si="4164"/>
        <v>1</v>
      </c>
      <c r="V3484" s="386"/>
    </row>
    <row r="3485" spans="2:22" ht="15.75" hidden="1" x14ac:dyDescent="0.2">
      <c r="B3485" s="711">
        <v>46302</v>
      </c>
      <c r="C3485" s="711" t="s">
        <v>106</v>
      </c>
      <c r="D3485" s="711" t="s">
        <v>189</v>
      </c>
      <c r="E3485" s="711">
        <v>46303</v>
      </c>
      <c r="G3485" s="780"/>
      <c r="H3485" s="497" t="s">
        <v>17</v>
      </c>
      <c r="I3485" s="60" t="s">
        <v>105</v>
      </c>
      <c r="J3485" s="60">
        <v>211</v>
      </c>
      <c r="K3485" s="60">
        <v>0</v>
      </c>
      <c r="L3485" s="60">
        <v>0</v>
      </c>
      <c r="M3485" s="60">
        <v>122</v>
      </c>
      <c r="N3485" s="494">
        <v>44</v>
      </c>
      <c r="O3485" s="60">
        <v>31</v>
      </c>
      <c r="P3485" s="494">
        <v>14</v>
      </c>
      <c r="Q3485" s="182">
        <f t="shared" si="4157"/>
        <v>0</v>
      </c>
      <c r="R3485" s="182">
        <f t="shared" si="4158"/>
        <v>0.20853080568720378</v>
      </c>
      <c r="S3485" s="183">
        <f t="shared" si="4148"/>
        <v>6.6350710900473939E-2</v>
      </c>
      <c r="T3485" s="183">
        <f t="shared" si="4149"/>
        <v>0.14691943127962084</v>
      </c>
      <c r="U3485" s="184">
        <f t="shared" si="4150"/>
        <v>0.4218009478672986</v>
      </c>
      <c r="V3485" s="386"/>
    </row>
    <row r="3486" spans="2:22" ht="15.75" hidden="1" x14ac:dyDescent="0.2">
      <c r="B3486" s="711">
        <v>46302</v>
      </c>
      <c r="C3486" s="711" t="s">
        <v>106</v>
      </c>
      <c r="D3486" s="711" t="s">
        <v>189</v>
      </c>
      <c r="E3486" s="711">
        <v>46303</v>
      </c>
      <c r="G3486" s="774"/>
      <c r="H3486" s="497" t="s">
        <v>25</v>
      </c>
      <c r="I3486" s="60" t="s">
        <v>18</v>
      </c>
      <c r="J3486" s="60">
        <v>169</v>
      </c>
      <c r="K3486" s="60">
        <v>4</v>
      </c>
      <c r="L3486" s="60">
        <v>0</v>
      </c>
      <c r="M3486" s="60">
        <v>135</v>
      </c>
      <c r="N3486" s="494">
        <v>0</v>
      </c>
      <c r="O3486" s="60">
        <v>22</v>
      </c>
      <c r="P3486" s="494">
        <v>12</v>
      </c>
      <c r="Q3486" s="182">
        <f t="shared" si="4157"/>
        <v>2.3668639053254437E-2</v>
      </c>
      <c r="R3486" s="182">
        <f t="shared" si="4158"/>
        <v>0</v>
      </c>
      <c r="S3486" s="183">
        <f t="shared" si="4148"/>
        <v>7.1005917159763315E-2</v>
      </c>
      <c r="T3486" s="183">
        <f t="shared" si="4149"/>
        <v>0.13017751479289941</v>
      </c>
      <c r="U3486" s="184">
        <f t="shared" si="4150"/>
        <v>0.22485207100591714</v>
      </c>
      <c r="V3486" s="386"/>
    </row>
    <row r="3487" spans="2:22" ht="15.75" hidden="1" x14ac:dyDescent="0.2">
      <c r="B3487" s="717">
        <v>46302</v>
      </c>
      <c r="C3487" s="711" t="s">
        <v>106</v>
      </c>
      <c r="D3487" s="711" t="s">
        <v>189</v>
      </c>
      <c r="E3487" s="711">
        <v>46302</v>
      </c>
      <c r="G3487" s="775" t="s">
        <v>19</v>
      </c>
      <c r="H3487" s="776"/>
      <c r="I3487" s="777"/>
      <c r="J3487" s="190">
        <f t="shared" ref="J3487:P3487" si="4166">SUM(J3476:J3486)</f>
        <v>1064</v>
      </c>
      <c r="K3487" s="190">
        <f t="shared" si="4166"/>
        <v>345</v>
      </c>
      <c r="L3487" s="190">
        <f t="shared" si="4166"/>
        <v>93</v>
      </c>
      <c r="M3487" s="190">
        <f t="shared" si="4166"/>
        <v>264</v>
      </c>
      <c r="N3487" s="190">
        <f t="shared" si="4166"/>
        <v>129</v>
      </c>
      <c r="O3487" s="190">
        <f t="shared" si="4166"/>
        <v>115</v>
      </c>
      <c r="P3487" s="190">
        <f t="shared" si="4166"/>
        <v>86</v>
      </c>
      <c r="Q3487" s="481">
        <f>(K3487+L3487)/J3487</f>
        <v>0.41165413533834588</v>
      </c>
      <c r="R3487" s="481">
        <f>N3487/J3487</f>
        <v>0.1212406015037594</v>
      </c>
      <c r="S3487" s="482">
        <f t="shared" si="4148"/>
        <v>8.0827067669172928E-2</v>
      </c>
      <c r="T3487" s="482">
        <f t="shared" si="4149"/>
        <v>0.10808270676691729</v>
      </c>
      <c r="U3487" s="483">
        <f t="shared" si="4150"/>
        <v>0.72180451127819556</v>
      </c>
      <c r="V3487" s="479"/>
    </row>
    <row r="3488" spans="2:22" ht="15.75" hidden="1" x14ac:dyDescent="0.2">
      <c r="B3488" s="717">
        <v>46302</v>
      </c>
      <c r="C3488" s="717" t="s">
        <v>105</v>
      </c>
      <c r="D3488" s="717" t="s">
        <v>13</v>
      </c>
      <c r="E3488" s="717">
        <v>46302</v>
      </c>
      <c r="G3488" s="787">
        <v>46302</v>
      </c>
      <c r="H3488" s="497" t="s">
        <v>16</v>
      </c>
      <c r="I3488" s="60" t="s">
        <v>15</v>
      </c>
      <c r="J3488" s="60">
        <v>209</v>
      </c>
      <c r="K3488" s="60">
        <f t="shared" ref="K3488:K3493" si="4167">J3488-L3488-M3488-N3488-O3488-P3488</f>
        <v>167</v>
      </c>
      <c r="L3488" s="60">
        <v>21</v>
      </c>
      <c r="M3488" s="60">
        <v>0</v>
      </c>
      <c r="N3488" s="494">
        <v>0</v>
      </c>
      <c r="O3488" s="60">
        <v>20</v>
      </c>
      <c r="P3488" s="494">
        <v>1</v>
      </c>
      <c r="Q3488" s="182">
        <f t="shared" ref="Q3488" si="4168">(K3488+L3488)/J3488</f>
        <v>0.8995215311004785</v>
      </c>
      <c r="R3488" s="182">
        <f t="shared" ref="R3488" si="4169">N3488/J3488</f>
        <v>0</v>
      </c>
      <c r="S3488" s="183">
        <f t="shared" ref="S3488:S3505" si="4170">P3488/J3488</f>
        <v>4.7846889952153108E-3</v>
      </c>
      <c r="T3488" s="183">
        <f t="shared" ref="T3488:T3505" si="4171">O3488/J3488</f>
        <v>9.569377990430622E-2</v>
      </c>
      <c r="U3488" s="184">
        <f t="shared" ref="U3488:U3505" si="4172">S3488+R3488+Q3488+T3488</f>
        <v>1</v>
      </c>
      <c r="V3488" s="386"/>
    </row>
    <row r="3489" spans="2:22" ht="15.75" hidden="1" x14ac:dyDescent="0.2">
      <c r="B3489" s="717">
        <v>46302</v>
      </c>
      <c r="C3489" s="717" t="s">
        <v>105</v>
      </c>
      <c r="D3489" s="717" t="s">
        <v>13</v>
      </c>
      <c r="E3489" s="717">
        <v>46302</v>
      </c>
      <c r="G3489" s="788"/>
      <c r="H3489" s="497" t="s">
        <v>17</v>
      </c>
      <c r="I3489" s="60" t="s">
        <v>105</v>
      </c>
      <c r="J3489" s="60">
        <v>180</v>
      </c>
      <c r="K3489" s="60">
        <f t="shared" si="4167"/>
        <v>94</v>
      </c>
      <c r="L3489" s="60">
        <v>37</v>
      </c>
      <c r="M3489" s="60">
        <v>0</v>
      </c>
      <c r="N3489" s="494">
        <v>0</v>
      </c>
      <c r="O3489" s="60">
        <v>30</v>
      </c>
      <c r="P3489" s="494">
        <v>19</v>
      </c>
      <c r="Q3489" s="182">
        <f t="shared" ref="Q3489:Q3494" si="4173">(K3489+L3489)/J3489</f>
        <v>0.72777777777777775</v>
      </c>
      <c r="R3489" s="182">
        <f t="shared" ref="R3489:R3494" si="4174">N3489/J3489</f>
        <v>0</v>
      </c>
      <c r="S3489" s="183">
        <f t="shared" ref="S3489:S3494" si="4175">P3489/J3489</f>
        <v>0.10555555555555556</v>
      </c>
      <c r="T3489" s="183">
        <f t="shared" ref="T3489:T3494" si="4176">O3489/J3489</f>
        <v>0.16666666666666666</v>
      </c>
      <c r="U3489" s="184">
        <f t="shared" ref="U3489:U3494" si="4177">S3489+R3489+Q3489+T3489</f>
        <v>0.99999999999999989</v>
      </c>
      <c r="V3489" s="386"/>
    </row>
    <row r="3490" spans="2:22" ht="15.75" hidden="1" x14ac:dyDescent="0.2">
      <c r="B3490" s="717">
        <v>46302</v>
      </c>
      <c r="C3490" s="717" t="s">
        <v>105</v>
      </c>
      <c r="D3490" s="717" t="s">
        <v>13</v>
      </c>
      <c r="E3490" s="717">
        <v>46302</v>
      </c>
      <c r="G3490" s="789"/>
      <c r="H3490" s="497" t="s">
        <v>32</v>
      </c>
      <c r="I3490" s="60" t="s">
        <v>18</v>
      </c>
      <c r="J3490" s="60">
        <v>187</v>
      </c>
      <c r="K3490" s="60">
        <f t="shared" si="4167"/>
        <v>130</v>
      </c>
      <c r="L3490" s="60">
        <v>21</v>
      </c>
      <c r="M3490" s="60">
        <v>4</v>
      </c>
      <c r="N3490" s="494">
        <v>0</v>
      </c>
      <c r="O3490" s="60">
        <v>13</v>
      </c>
      <c r="P3490" s="494">
        <v>19</v>
      </c>
      <c r="Q3490" s="182">
        <f t="shared" si="4173"/>
        <v>0.80748663101604279</v>
      </c>
      <c r="R3490" s="182">
        <f t="shared" si="4174"/>
        <v>0</v>
      </c>
      <c r="S3490" s="183">
        <f t="shared" si="4175"/>
        <v>0.10160427807486631</v>
      </c>
      <c r="T3490" s="183">
        <f t="shared" si="4176"/>
        <v>6.9518716577540107E-2</v>
      </c>
      <c r="U3490" s="184">
        <f t="shared" si="4177"/>
        <v>0.97860962566844911</v>
      </c>
      <c r="V3490" s="386"/>
    </row>
    <row r="3491" spans="2:22" ht="15.75" hidden="1" x14ac:dyDescent="0.2">
      <c r="B3491" s="717">
        <v>46302</v>
      </c>
      <c r="C3491" s="717" t="s">
        <v>105</v>
      </c>
      <c r="D3491" s="717" t="s">
        <v>13</v>
      </c>
      <c r="E3491" s="717">
        <v>46303</v>
      </c>
      <c r="G3491" s="790">
        <v>46303</v>
      </c>
      <c r="H3491" s="497" t="s">
        <v>16</v>
      </c>
      <c r="I3491" s="60" t="s">
        <v>15</v>
      </c>
      <c r="J3491" s="60">
        <v>231</v>
      </c>
      <c r="K3491" s="60">
        <f t="shared" si="4167"/>
        <v>143</v>
      </c>
      <c r="L3491" s="60">
        <v>63</v>
      </c>
      <c r="M3491" s="60">
        <v>2</v>
      </c>
      <c r="N3491" s="494">
        <v>0</v>
      </c>
      <c r="O3491" s="60">
        <v>20</v>
      </c>
      <c r="P3491" s="494">
        <v>3</v>
      </c>
      <c r="Q3491" s="182">
        <f t="shared" si="4173"/>
        <v>0.89177489177489178</v>
      </c>
      <c r="R3491" s="182">
        <f t="shared" si="4174"/>
        <v>0</v>
      </c>
      <c r="S3491" s="183">
        <f t="shared" si="4175"/>
        <v>1.2987012987012988E-2</v>
      </c>
      <c r="T3491" s="183">
        <f t="shared" si="4176"/>
        <v>8.6580086580086577E-2</v>
      </c>
      <c r="U3491" s="184">
        <f t="shared" si="4177"/>
        <v>0.9913419913419913</v>
      </c>
      <c r="V3491" s="386"/>
    </row>
    <row r="3492" spans="2:22" ht="15.75" hidden="1" x14ac:dyDescent="0.2">
      <c r="B3492" s="717">
        <v>46302</v>
      </c>
      <c r="C3492" s="717" t="s">
        <v>105</v>
      </c>
      <c r="D3492" s="717" t="s">
        <v>13</v>
      </c>
      <c r="E3492" s="717">
        <v>46303</v>
      </c>
      <c r="G3492" s="790"/>
      <c r="H3492" s="497" t="s">
        <v>17</v>
      </c>
      <c r="I3492" s="60" t="s">
        <v>106</v>
      </c>
      <c r="J3492" s="60">
        <v>211</v>
      </c>
      <c r="K3492" s="60">
        <f t="shared" si="4167"/>
        <v>124</v>
      </c>
      <c r="L3492" s="60">
        <v>36</v>
      </c>
      <c r="M3492" s="60">
        <v>7</v>
      </c>
      <c r="N3492" s="494">
        <v>0</v>
      </c>
      <c r="O3492" s="60">
        <v>30</v>
      </c>
      <c r="P3492" s="494">
        <v>14</v>
      </c>
      <c r="Q3492" s="182">
        <f t="shared" si="4173"/>
        <v>0.75829383886255919</v>
      </c>
      <c r="R3492" s="182">
        <f t="shared" si="4174"/>
        <v>0</v>
      </c>
      <c r="S3492" s="183">
        <f t="shared" si="4175"/>
        <v>6.6350710900473939E-2</v>
      </c>
      <c r="T3492" s="183">
        <f t="shared" si="4176"/>
        <v>0.14218009478672985</v>
      </c>
      <c r="U3492" s="184">
        <f t="shared" si="4177"/>
        <v>0.96682464454976302</v>
      </c>
      <c r="V3492" s="386"/>
    </row>
    <row r="3493" spans="2:22" ht="15.75" hidden="1" x14ac:dyDescent="0.2">
      <c r="B3493" s="717">
        <v>46302</v>
      </c>
      <c r="C3493" s="717" t="s">
        <v>105</v>
      </c>
      <c r="D3493" s="717" t="s">
        <v>13</v>
      </c>
      <c r="E3493" s="717">
        <v>46303</v>
      </c>
      <c r="G3493" s="790"/>
      <c r="H3493" s="497" t="s">
        <v>25</v>
      </c>
      <c r="I3493" s="60" t="s">
        <v>105</v>
      </c>
      <c r="J3493" s="60">
        <v>169</v>
      </c>
      <c r="K3493" s="60">
        <f t="shared" si="4167"/>
        <v>10</v>
      </c>
      <c r="L3493" s="60">
        <v>12</v>
      </c>
      <c r="M3493" s="60">
        <v>25</v>
      </c>
      <c r="N3493" s="494">
        <v>88</v>
      </c>
      <c r="O3493" s="60">
        <v>22</v>
      </c>
      <c r="P3493" s="494">
        <v>12</v>
      </c>
      <c r="Q3493" s="182">
        <f t="shared" si="4173"/>
        <v>0.13017751479289941</v>
      </c>
      <c r="R3493" s="182">
        <f t="shared" si="4174"/>
        <v>0.52071005917159763</v>
      </c>
      <c r="S3493" s="183">
        <f t="shared" si="4175"/>
        <v>7.1005917159763315E-2</v>
      </c>
      <c r="T3493" s="183">
        <f t="shared" si="4176"/>
        <v>0.13017751479289941</v>
      </c>
      <c r="U3493" s="184">
        <f t="shared" si="4177"/>
        <v>0.85207100591715978</v>
      </c>
      <c r="V3493" s="386"/>
    </row>
    <row r="3494" spans="2:22" ht="15.75" hidden="1" x14ac:dyDescent="0.2">
      <c r="B3494" s="717">
        <v>46302</v>
      </c>
      <c r="C3494" s="717" t="s">
        <v>105</v>
      </c>
      <c r="D3494" s="717" t="s">
        <v>13</v>
      </c>
      <c r="E3494" s="717">
        <v>46304</v>
      </c>
      <c r="G3494" s="721">
        <v>46304</v>
      </c>
      <c r="H3494" s="497" t="s">
        <v>212</v>
      </c>
      <c r="I3494" s="60" t="s">
        <v>106</v>
      </c>
      <c r="J3494" s="60">
        <v>255</v>
      </c>
      <c r="K3494" s="60">
        <v>0</v>
      </c>
      <c r="L3494" s="60">
        <v>0</v>
      </c>
      <c r="M3494" s="194">
        <v>181</v>
      </c>
      <c r="N3494" s="538">
        <v>56</v>
      </c>
      <c r="O3494" s="194">
        <v>0</v>
      </c>
      <c r="P3494" s="538">
        <v>18</v>
      </c>
      <c r="Q3494" s="182">
        <f t="shared" si="4173"/>
        <v>0</v>
      </c>
      <c r="R3494" s="182">
        <f t="shared" si="4174"/>
        <v>0.2196078431372549</v>
      </c>
      <c r="S3494" s="183">
        <f t="shared" si="4175"/>
        <v>7.0588235294117646E-2</v>
      </c>
      <c r="T3494" s="183">
        <f t="shared" si="4176"/>
        <v>0</v>
      </c>
      <c r="U3494" s="184">
        <f t="shared" si="4177"/>
        <v>0.29019607843137252</v>
      </c>
      <c r="V3494" s="386"/>
    </row>
    <row r="3495" spans="2:22" ht="15.75" hidden="1" x14ac:dyDescent="0.2">
      <c r="B3495" s="717">
        <v>46302</v>
      </c>
      <c r="C3495" s="717" t="s">
        <v>105</v>
      </c>
      <c r="D3495" s="717" t="s">
        <v>13</v>
      </c>
      <c r="E3495" s="717">
        <v>46304</v>
      </c>
      <c r="G3495" s="791" t="s">
        <v>19</v>
      </c>
      <c r="H3495" s="791"/>
      <c r="I3495" s="791"/>
      <c r="J3495" s="722">
        <f>SUM(J3488:J3494)</f>
        <v>1442</v>
      </c>
      <c r="K3495" s="722">
        <f t="shared" ref="K3495:P3495" si="4178">SUM(K3488:K3494)</f>
        <v>668</v>
      </c>
      <c r="L3495" s="722">
        <f t="shared" si="4178"/>
        <v>190</v>
      </c>
      <c r="M3495" s="722">
        <f t="shared" si="4178"/>
        <v>219</v>
      </c>
      <c r="N3495" s="722">
        <f t="shared" si="4178"/>
        <v>144</v>
      </c>
      <c r="O3495" s="722">
        <f t="shared" si="4178"/>
        <v>135</v>
      </c>
      <c r="P3495" s="722">
        <f t="shared" si="4178"/>
        <v>86</v>
      </c>
      <c r="Q3495" s="481">
        <f>(K3495+L3495)/J3495</f>
        <v>0.59500693481276001</v>
      </c>
      <c r="R3495" s="481">
        <f>N3495/J3495</f>
        <v>9.9861303744798888E-2</v>
      </c>
      <c r="S3495" s="482">
        <f t="shared" si="4170"/>
        <v>5.9639389736477116E-2</v>
      </c>
      <c r="T3495" s="482">
        <f t="shared" si="4171"/>
        <v>9.361997226074896E-2</v>
      </c>
      <c r="U3495" s="483">
        <f t="shared" si="4172"/>
        <v>0.84812760055478487</v>
      </c>
      <c r="V3495" s="479"/>
    </row>
    <row r="3496" spans="2:22" ht="15.75" hidden="1" x14ac:dyDescent="0.2">
      <c r="B3496" s="720">
        <v>46303</v>
      </c>
      <c r="C3496" s="720" t="s">
        <v>106</v>
      </c>
      <c r="D3496" s="720" t="s">
        <v>189</v>
      </c>
      <c r="E3496" s="720">
        <v>46303</v>
      </c>
      <c r="G3496" s="778">
        <v>46303</v>
      </c>
      <c r="H3496" s="497" t="s">
        <v>16</v>
      </c>
      <c r="I3496" s="60" t="s">
        <v>15</v>
      </c>
      <c r="J3496" s="60">
        <f>SUM(K3496:P3496)</f>
        <v>37</v>
      </c>
      <c r="K3496" s="60">
        <f>146-124</f>
        <v>22</v>
      </c>
      <c r="L3496" s="60">
        <f>49-34</f>
        <v>15</v>
      </c>
      <c r="M3496" s="60">
        <v>0</v>
      </c>
      <c r="N3496" s="494">
        <v>0</v>
      </c>
      <c r="O3496" s="60">
        <v>0</v>
      </c>
      <c r="P3496" s="494">
        <v>0</v>
      </c>
      <c r="Q3496" s="182">
        <f t="shared" ref="Q3496:Q3502" si="4179">(K3496+L3496)/J3496</f>
        <v>1</v>
      </c>
      <c r="R3496" s="182">
        <f t="shared" ref="R3496:R3502" si="4180">N3496/J3496</f>
        <v>0</v>
      </c>
      <c r="S3496" s="183">
        <f t="shared" si="4170"/>
        <v>0</v>
      </c>
      <c r="T3496" s="183">
        <f t="shared" si="4171"/>
        <v>0</v>
      </c>
      <c r="U3496" s="184">
        <f t="shared" si="4172"/>
        <v>1</v>
      </c>
      <c r="V3496" s="386"/>
    </row>
    <row r="3497" spans="2:22" ht="15.75" hidden="1" x14ac:dyDescent="0.2">
      <c r="B3497" s="720">
        <v>46303</v>
      </c>
      <c r="C3497" s="720" t="s">
        <v>106</v>
      </c>
      <c r="D3497" s="720" t="s">
        <v>189</v>
      </c>
      <c r="E3497" s="720">
        <v>46303</v>
      </c>
      <c r="G3497" s="786"/>
      <c r="H3497" s="497" t="s">
        <v>120</v>
      </c>
      <c r="I3497" s="60" t="s">
        <v>106</v>
      </c>
      <c r="J3497" s="60">
        <f t="shared" ref="J3497:J3498" si="4181">SUM(K3497:P3497)</f>
        <v>2</v>
      </c>
      <c r="K3497" s="60">
        <v>2</v>
      </c>
      <c r="L3497" s="60">
        <v>0</v>
      </c>
      <c r="M3497" s="60">
        <v>0</v>
      </c>
      <c r="N3497" s="494">
        <v>0</v>
      </c>
      <c r="O3497" s="60">
        <v>0</v>
      </c>
      <c r="P3497" s="494">
        <v>0</v>
      </c>
      <c r="Q3497" s="182">
        <f t="shared" si="4179"/>
        <v>1</v>
      </c>
      <c r="R3497" s="182">
        <f t="shared" si="4180"/>
        <v>0</v>
      </c>
      <c r="S3497" s="183">
        <f t="shared" si="4170"/>
        <v>0</v>
      </c>
      <c r="T3497" s="183">
        <f t="shared" si="4171"/>
        <v>0</v>
      </c>
      <c r="U3497" s="184">
        <f t="shared" si="4172"/>
        <v>1</v>
      </c>
      <c r="V3497" s="386"/>
    </row>
    <row r="3498" spans="2:22" ht="15.75" hidden="1" x14ac:dyDescent="0.2">
      <c r="B3498" s="720">
        <v>46303</v>
      </c>
      <c r="C3498" s="720" t="s">
        <v>106</v>
      </c>
      <c r="D3498" s="720" t="s">
        <v>189</v>
      </c>
      <c r="E3498" s="720">
        <v>46303</v>
      </c>
      <c r="G3498" s="786"/>
      <c r="H3498" s="497" t="s">
        <v>17</v>
      </c>
      <c r="I3498" s="60" t="s">
        <v>106</v>
      </c>
      <c r="J3498" s="60">
        <f t="shared" si="4181"/>
        <v>52</v>
      </c>
      <c r="K3498" s="60">
        <v>23</v>
      </c>
      <c r="L3498" s="60">
        <v>29</v>
      </c>
      <c r="M3498" s="60">
        <v>0</v>
      </c>
      <c r="N3498" s="494">
        <v>0</v>
      </c>
      <c r="O3498" s="60">
        <v>0</v>
      </c>
      <c r="P3498" s="494">
        <v>0</v>
      </c>
      <c r="Q3498" s="182">
        <f t="shared" si="4179"/>
        <v>1</v>
      </c>
      <c r="R3498" s="182">
        <f t="shared" si="4180"/>
        <v>0</v>
      </c>
      <c r="S3498" s="183">
        <f t="shared" si="4170"/>
        <v>0</v>
      </c>
      <c r="T3498" s="183">
        <f t="shared" si="4171"/>
        <v>0</v>
      </c>
      <c r="U3498" s="184">
        <f t="shared" si="4172"/>
        <v>1</v>
      </c>
      <c r="V3498" s="386"/>
    </row>
    <row r="3499" spans="2:22" ht="15.75" hidden="1" x14ac:dyDescent="0.2">
      <c r="B3499" s="720">
        <v>46303</v>
      </c>
      <c r="C3499" s="720" t="s">
        <v>106</v>
      </c>
      <c r="D3499" s="720" t="s">
        <v>189</v>
      </c>
      <c r="E3499" s="720">
        <v>46303</v>
      </c>
      <c r="G3499" s="786"/>
      <c r="H3499" s="497" t="s">
        <v>25</v>
      </c>
      <c r="I3499" s="60" t="s">
        <v>105</v>
      </c>
      <c r="J3499" s="60">
        <v>147</v>
      </c>
      <c r="K3499" s="60">
        <v>8</v>
      </c>
      <c r="L3499" s="60">
        <v>2</v>
      </c>
      <c r="M3499" s="60">
        <v>0</v>
      </c>
      <c r="N3499" s="494">
        <v>100</v>
      </c>
      <c r="O3499" s="60">
        <v>20</v>
      </c>
      <c r="P3499" s="494">
        <v>13</v>
      </c>
      <c r="Q3499" s="182">
        <f t="shared" si="4179"/>
        <v>6.8027210884353748E-2</v>
      </c>
      <c r="R3499" s="182">
        <f t="shared" si="4180"/>
        <v>0.68027210884353739</v>
      </c>
      <c r="S3499" s="183">
        <f t="shared" si="4170"/>
        <v>8.8435374149659865E-2</v>
      </c>
      <c r="T3499" s="183">
        <f t="shared" si="4171"/>
        <v>0.1360544217687075</v>
      </c>
      <c r="U3499" s="184">
        <f t="shared" si="4172"/>
        <v>0.97278911564625847</v>
      </c>
      <c r="V3499" s="386"/>
    </row>
    <row r="3500" spans="2:22" ht="15.75" hidden="1" x14ac:dyDescent="0.2">
      <c r="B3500" s="720">
        <v>46303</v>
      </c>
      <c r="C3500" s="720" t="s">
        <v>106</v>
      </c>
      <c r="D3500" s="720" t="s">
        <v>189</v>
      </c>
      <c r="E3500" s="720">
        <v>46304</v>
      </c>
      <c r="G3500" s="773">
        <v>46304</v>
      </c>
      <c r="H3500" s="497" t="s">
        <v>16</v>
      </c>
      <c r="I3500" s="60" t="s">
        <v>15</v>
      </c>
      <c r="J3500" s="60">
        <v>217</v>
      </c>
      <c r="K3500" s="60">
        <v>124</v>
      </c>
      <c r="L3500" s="60">
        <v>34</v>
      </c>
      <c r="M3500" s="60">
        <v>29</v>
      </c>
      <c r="N3500" s="494">
        <v>6</v>
      </c>
      <c r="O3500" s="60">
        <v>20</v>
      </c>
      <c r="P3500" s="494">
        <v>5</v>
      </c>
      <c r="Q3500" s="182">
        <f t="shared" si="4179"/>
        <v>0.72811059907834097</v>
      </c>
      <c r="R3500" s="182">
        <f t="shared" si="4180"/>
        <v>2.7649769585253458E-2</v>
      </c>
      <c r="S3500" s="183">
        <f t="shared" si="4170"/>
        <v>2.3041474654377881E-2</v>
      </c>
      <c r="T3500" s="183">
        <f t="shared" si="4171"/>
        <v>9.2165898617511524E-2</v>
      </c>
      <c r="U3500" s="184">
        <f t="shared" si="4172"/>
        <v>0.87096774193548387</v>
      </c>
      <c r="V3500" s="386"/>
    </row>
    <row r="3501" spans="2:22" ht="15.75" hidden="1" x14ac:dyDescent="0.2">
      <c r="B3501" s="720">
        <v>46303</v>
      </c>
      <c r="C3501" s="720" t="s">
        <v>106</v>
      </c>
      <c r="D3501" s="720" t="s">
        <v>189</v>
      </c>
      <c r="E3501" s="720">
        <v>46304</v>
      </c>
      <c r="G3501" s="780"/>
      <c r="H3501" s="497" t="s">
        <v>14</v>
      </c>
      <c r="I3501" s="60" t="s">
        <v>106</v>
      </c>
      <c r="J3501" s="60">
        <v>198</v>
      </c>
      <c r="K3501" s="60">
        <v>1</v>
      </c>
      <c r="L3501" s="60">
        <v>0</v>
      </c>
      <c r="M3501" s="60">
        <v>153</v>
      </c>
      <c r="N3501" s="494">
        <v>10</v>
      </c>
      <c r="O3501" s="60">
        <v>12</v>
      </c>
      <c r="P3501" s="494">
        <v>24</v>
      </c>
      <c r="Q3501" s="182">
        <f t="shared" si="4179"/>
        <v>5.0505050505050509E-3</v>
      </c>
      <c r="R3501" s="182">
        <f t="shared" si="4180"/>
        <v>5.0505050505050504E-2</v>
      </c>
      <c r="S3501" s="183">
        <f t="shared" si="4170"/>
        <v>0.12121212121212122</v>
      </c>
      <c r="T3501" s="183">
        <f t="shared" si="4171"/>
        <v>6.0606060606060608E-2</v>
      </c>
      <c r="U3501" s="184">
        <f t="shared" si="4172"/>
        <v>0.23737373737373738</v>
      </c>
      <c r="V3501" s="386"/>
    </row>
    <row r="3502" spans="2:22" ht="15.75" hidden="1" x14ac:dyDescent="0.2">
      <c r="B3502" s="720">
        <v>46303</v>
      </c>
      <c r="C3502" s="720" t="s">
        <v>106</v>
      </c>
      <c r="D3502" s="720" t="s">
        <v>189</v>
      </c>
      <c r="E3502" s="720">
        <v>46304</v>
      </c>
      <c r="G3502" s="780"/>
      <c r="H3502" s="497" t="s">
        <v>212</v>
      </c>
      <c r="I3502" s="60" t="s">
        <v>106</v>
      </c>
      <c r="J3502" s="60">
        <v>258</v>
      </c>
      <c r="K3502" s="60">
        <v>225</v>
      </c>
      <c r="L3502" s="60">
        <v>11</v>
      </c>
      <c r="M3502" s="60">
        <v>2</v>
      </c>
      <c r="N3502" s="494">
        <v>0</v>
      </c>
      <c r="O3502" s="60">
        <v>0</v>
      </c>
      <c r="P3502" s="494">
        <v>18</v>
      </c>
      <c r="Q3502" s="182">
        <f t="shared" si="4179"/>
        <v>0.9147286821705426</v>
      </c>
      <c r="R3502" s="182">
        <f t="shared" si="4180"/>
        <v>0</v>
      </c>
      <c r="S3502" s="183">
        <f t="shared" si="4170"/>
        <v>6.9767441860465115E-2</v>
      </c>
      <c r="T3502" s="183">
        <f t="shared" si="4171"/>
        <v>0</v>
      </c>
      <c r="U3502" s="184">
        <f t="shared" si="4172"/>
        <v>0.98449612403100772</v>
      </c>
      <c r="V3502" s="386"/>
    </row>
    <row r="3503" spans="2:22" ht="15.75" hidden="1" x14ac:dyDescent="0.2">
      <c r="B3503" s="720">
        <v>46303</v>
      </c>
      <c r="C3503" s="720" t="s">
        <v>106</v>
      </c>
      <c r="D3503" s="720" t="s">
        <v>189</v>
      </c>
      <c r="E3503" s="720">
        <v>46303</v>
      </c>
      <c r="G3503" s="775" t="s">
        <v>19</v>
      </c>
      <c r="H3503" s="776"/>
      <c r="I3503" s="777"/>
      <c r="J3503" s="190">
        <f t="shared" ref="J3503:P3503" si="4182">SUM(J3496:J3502)</f>
        <v>911</v>
      </c>
      <c r="K3503" s="190">
        <f t="shared" si="4182"/>
        <v>405</v>
      </c>
      <c r="L3503" s="190">
        <f t="shared" si="4182"/>
        <v>91</v>
      </c>
      <c r="M3503" s="190">
        <f t="shared" si="4182"/>
        <v>184</v>
      </c>
      <c r="N3503" s="190">
        <f t="shared" si="4182"/>
        <v>116</v>
      </c>
      <c r="O3503" s="190">
        <f t="shared" si="4182"/>
        <v>52</v>
      </c>
      <c r="P3503" s="190">
        <f t="shared" si="4182"/>
        <v>60</v>
      </c>
      <c r="Q3503" s="481">
        <f>(K3503+L3503)/J3503</f>
        <v>0.54445664105378699</v>
      </c>
      <c r="R3503" s="481">
        <f>N3503/J3503</f>
        <v>0.12733260153677278</v>
      </c>
      <c r="S3503" s="482">
        <f t="shared" si="4170"/>
        <v>6.5861690450054883E-2</v>
      </c>
      <c r="T3503" s="482">
        <f t="shared" si="4171"/>
        <v>5.7080131723380903E-2</v>
      </c>
      <c r="U3503" s="483">
        <f t="shared" si="4172"/>
        <v>0.79473106476399558</v>
      </c>
      <c r="V3503" s="479"/>
    </row>
    <row r="3504" spans="2:22" ht="15.75" hidden="1" x14ac:dyDescent="0.2">
      <c r="B3504" s="724">
        <v>46303</v>
      </c>
      <c r="C3504" s="724" t="s">
        <v>105</v>
      </c>
      <c r="D3504" s="724" t="s">
        <v>13</v>
      </c>
      <c r="E3504" s="724">
        <v>46303</v>
      </c>
      <c r="G3504" s="781">
        <v>46303</v>
      </c>
      <c r="H3504" s="497" t="s">
        <v>16</v>
      </c>
      <c r="I3504" s="60" t="s">
        <v>15</v>
      </c>
      <c r="J3504" s="60">
        <v>231</v>
      </c>
      <c r="K3504" s="60">
        <f t="shared" ref="K3504:K3510" si="4183">J3504-L3504-M3504-N3504-O3504-P3504</f>
        <v>162</v>
      </c>
      <c r="L3504" s="60">
        <v>46</v>
      </c>
      <c r="M3504" s="60">
        <v>0</v>
      </c>
      <c r="N3504" s="494">
        <v>0</v>
      </c>
      <c r="O3504" s="60">
        <v>20</v>
      </c>
      <c r="P3504" s="494">
        <v>3</v>
      </c>
      <c r="Q3504" s="182">
        <f t="shared" ref="Q3504:Q3510" si="4184">(K3504+L3504)/J3504</f>
        <v>0.90043290043290047</v>
      </c>
      <c r="R3504" s="182">
        <f t="shared" ref="R3504:R3510" si="4185">N3504/J3504</f>
        <v>0</v>
      </c>
      <c r="S3504" s="183">
        <f t="shared" si="4170"/>
        <v>1.2987012987012988E-2</v>
      </c>
      <c r="T3504" s="183">
        <f t="shared" si="4171"/>
        <v>8.6580086580086577E-2</v>
      </c>
      <c r="U3504" s="184">
        <f t="shared" si="4172"/>
        <v>1</v>
      </c>
      <c r="V3504" s="386"/>
    </row>
    <row r="3505" spans="2:22" ht="15.75" hidden="1" x14ac:dyDescent="0.2">
      <c r="B3505" s="724">
        <v>46303</v>
      </c>
      <c r="C3505" s="724" t="s">
        <v>105</v>
      </c>
      <c r="D3505" s="724" t="s">
        <v>13</v>
      </c>
      <c r="E3505" s="724">
        <v>46303</v>
      </c>
      <c r="G3505" s="781"/>
      <c r="H3505" s="497" t="s">
        <v>25</v>
      </c>
      <c r="I3505" s="60" t="s">
        <v>105</v>
      </c>
      <c r="J3505" s="60">
        <v>169</v>
      </c>
      <c r="K3505" s="60">
        <f t="shared" si="4183"/>
        <v>105</v>
      </c>
      <c r="L3505" s="60">
        <v>29</v>
      </c>
      <c r="M3505" s="60">
        <v>0</v>
      </c>
      <c r="N3505" s="494">
        <v>0</v>
      </c>
      <c r="O3505" s="60">
        <v>22</v>
      </c>
      <c r="P3505" s="494">
        <v>13</v>
      </c>
      <c r="Q3505" s="182">
        <f t="shared" si="4184"/>
        <v>0.79289940828402372</v>
      </c>
      <c r="R3505" s="182">
        <f t="shared" si="4185"/>
        <v>0</v>
      </c>
      <c r="S3505" s="183">
        <f t="shared" si="4170"/>
        <v>7.6923076923076927E-2</v>
      </c>
      <c r="T3505" s="183">
        <f t="shared" si="4171"/>
        <v>0.13017751479289941</v>
      </c>
      <c r="U3505" s="184">
        <f t="shared" si="4172"/>
        <v>1</v>
      </c>
      <c r="V3505" s="386"/>
    </row>
    <row r="3506" spans="2:22" ht="15.75" hidden="1" x14ac:dyDescent="0.2">
      <c r="B3506" s="724">
        <v>46303</v>
      </c>
      <c r="C3506" s="724" t="s">
        <v>105</v>
      </c>
      <c r="D3506" s="724" t="s">
        <v>13</v>
      </c>
      <c r="E3506" s="724">
        <v>46304</v>
      </c>
      <c r="G3506" s="782">
        <v>46304</v>
      </c>
      <c r="H3506" s="497" t="s">
        <v>16</v>
      </c>
      <c r="I3506" s="60" t="s">
        <v>15</v>
      </c>
      <c r="J3506" s="60">
        <v>217</v>
      </c>
      <c r="K3506" s="60">
        <f t="shared" si="4183"/>
        <v>129</v>
      </c>
      <c r="L3506" s="60">
        <v>35</v>
      </c>
      <c r="M3506" s="60">
        <v>29</v>
      </c>
      <c r="N3506" s="494">
        <v>0</v>
      </c>
      <c r="O3506" s="60">
        <v>20</v>
      </c>
      <c r="P3506" s="494">
        <v>4</v>
      </c>
      <c r="Q3506" s="182">
        <f t="shared" si="4184"/>
        <v>0.75576036866359442</v>
      </c>
      <c r="R3506" s="182">
        <f t="shared" si="4185"/>
        <v>0</v>
      </c>
      <c r="S3506" s="183">
        <f t="shared" ref="S3506:S3519" si="4186">P3506/J3506</f>
        <v>1.8433179723502304E-2</v>
      </c>
      <c r="T3506" s="183">
        <f t="shared" ref="T3506:T3519" si="4187">O3506/J3506</f>
        <v>9.2165898617511524E-2</v>
      </c>
      <c r="U3506" s="184">
        <f t="shared" ref="U3506:U3519" si="4188">S3506+R3506+Q3506+T3506</f>
        <v>0.86635944700460832</v>
      </c>
      <c r="V3506" s="386"/>
    </row>
    <row r="3507" spans="2:22" ht="15.75" hidden="1" x14ac:dyDescent="0.2">
      <c r="B3507" s="724">
        <v>46303</v>
      </c>
      <c r="C3507" s="724" t="s">
        <v>105</v>
      </c>
      <c r="D3507" s="724" t="s">
        <v>13</v>
      </c>
      <c r="E3507" s="724">
        <v>46304</v>
      </c>
      <c r="G3507" s="783"/>
      <c r="H3507" s="497" t="s">
        <v>14</v>
      </c>
      <c r="I3507" s="60" t="s">
        <v>106</v>
      </c>
      <c r="J3507" s="60">
        <v>199</v>
      </c>
      <c r="K3507" s="60">
        <f t="shared" si="4183"/>
        <v>116</v>
      </c>
      <c r="L3507" s="60">
        <v>38</v>
      </c>
      <c r="M3507" s="60">
        <v>18</v>
      </c>
      <c r="N3507" s="494">
        <v>0</v>
      </c>
      <c r="O3507" s="60">
        <v>12</v>
      </c>
      <c r="P3507" s="494">
        <v>15</v>
      </c>
      <c r="Q3507" s="182">
        <f t="shared" si="4184"/>
        <v>0.77386934673366836</v>
      </c>
      <c r="R3507" s="182">
        <f t="shared" si="4185"/>
        <v>0</v>
      </c>
      <c r="S3507" s="183">
        <f t="shared" si="4186"/>
        <v>7.5376884422110546E-2</v>
      </c>
      <c r="T3507" s="183">
        <f t="shared" si="4187"/>
        <v>6.030150753768844E-2</v>
      </c>
      <c r="U3507" s="184">
        <f t="shared" si="4188"/>
        <v>0.90954773869346739</v>
      </c>
      <c r="V3507" s="386"/>
    </row>
    <row r="3508" spans="2:22" ht="15.75" hidden="1" x14ac:dyDescent="0.2">
      <c r="B3508" s="724">
        <v>46303</v>
      </c>
      <c r="C3508" s="724" t="s">
        <v>105</v>
      </c>
      <c r="D3508" s="724" t="s">
        <v>13</v>
      </c>
      <c r="E3508" s="724">
        <v>46304</v>
      </c>
      <c r="G3508" s="783"/>
      <c r="H3508" s="715" t="s">
        <v>17</v>
      </c>
      <c r="I3508" s="62" t="s">
        <v>105</v>
      </c>
      <c r="J3508" s="62">
        <v>170</v>
      </c>
      <c r="K3508" s="60">
        <f t="shared" si="4183"/>
        <v>3</v>
      </c>
      <c r="L3508" s="60">
        <v>6</v>
      </c>
      <c r="M3508" s="60">
        <v>25</v>
      </c>
      <c r="N3508" s="494">
        <v>90</v>
      </c>
      <c r="O3508" s="60">
        <v>30</v>
      </c>
      <c r="P3508" s="494">
        <v>16</v>
      </c>
      <c r="Q3508" s="182">
        <f t="shared" si="4184"/>
        <v>5.2941176470588235E-2</v>
      </c>
      <c r="R3508" s="182">
        <f t="shared" si="4185"/>
        <v>0.52941176470588236</v>
      </c>
      <c r="S3508" s="183">
        <f t="shared" si="4186"/>
        <v>9.4117647058823528E-2</v>
      </c>
      <c r="T3508" s="183">
        <f t="shared" si="4187"/>
        <v>0.17647058823529413</v>
      </c>
      <c r="U3508" s="184">
        <f t="shared" si="4188"/>
        <v>0.85294117647058831</v>
      </c>
      <c r="V3508" s="386"/>
    </row>
    <row r="3509" spans="2:22" ht="15.75" hidden="1" x14ac:dyDescent="0.2">
      <c r="B3509" s="724">
        <v>46303</v>
      </c>
      <c r="C3509" s="724" t="s">
        <v>105</v>
      </c>
      <c r="D3509" s="724" t="s">
        <v>13</v>
      </c>
      <c r="E3509" s="724">
        <v>46305</v>
      </c>
      <c r="G3509" s="784">
        <v>46305</v>
      </c>
      <c r="H3509" s="497" t="s">
        <v>16</v>
      </c>
      <c r="I3509" s="60" t="s">
        <v>15</v>
      </c>
      <c r="J3509" s="60">
        <v>227</v>
      </c>
      <c r="K3509" s="60">
        <f t="shared" si="4183"/>
        <v>0</v>
      </c>
      <c r="L3509" s="194">
        <v>0</v>
      </c>
      <c r="M3509" s="194">
        <v>202</v>
      </c>
      <c r="N3509" s="538">
        <v>0</v>
      </c>
      <c r="O3509" s="194">
        <v>20</v>
      </c>
      <c r="P3509" s="538">
        <v>5</v>
      </c>
      <c r="Q3509" s="182">
        <f t="shared" si="4184"/>
        <v>0</v>
      </c>
      <c r="R3509" s="182">
        <f t="shared" si="4185"/>
        <v>0</v>
      </c>
      <c r="S3509" s="183">
        <f t="shared" si="4186"/>
        <v>2.2026431718061675E-2</v>
      </c>
      <c r="T3509" s="183">
        <f t="shared" si="4187"/>
        <v>8.8105726872246701E-2</v>
      </c>
      <c r="U3509" s="184">
        <f t="shared" si="4188"/>
        <v>0.11013215859030838</v>
      </c>
      <c r="V3509" s="386"/>
    </row>
    <row r="3510" spans="2:22" ht="15.75" hidden="1" x14ac:dyDescent="0.2">
      <c r="B3510" s="724">
        <v>46303</v>
      </c>
      <c r="C3510" s="724" t="s">
        <v>105</v>
      </c>
      <c r="D3510" s="724" t="s">
        <v>13</v>
      </c>
      <c r="E3510" s="724">
        <v>46306</v>
      </c>
      <c r="G3510" s="785"/>
      <c r="H3510" s="497" t="s">
        <v>180</v>
      </c>
      <c r="I3510" s="60" t="s">
        <v>106</v>
      </c>
      <c r="J3510" s="60">
        <v>269</v>
      </c>
      <c r="K3510" s="60">
        <f t="shared" si="4183"/>
        <v>0</v>
      </c>
      <c r="L3510" s="194">
        <v>0</v>
      </c>
      <c r="M3510" s="194">
        <v>230</v>
      </c>
      <c r="N3510" s="538">
        <v>0</v>
      </c>
      <c r="O3510" s="194">
        <v>0</v>
      </c>
      <c r="P3510" s="538">
        <v>39</v>
      </c>
      <c r="Q3510" s="182">
        <f t="shared" si="4184"/>
        <v>0</v>
      </c>
      <c r="R3510" s="182">
        <f t="shared" si="4185"/>
        <v>0</v>
      </c>
      <c r="S3510" s="183">
        <f t="shared" si="4186"/>
        <v>0.1449814126394052</v>
      </c>
      <c r="T3510" s="183">
        <f t="shared" si="4187"/>
        <v>0</v>
      </c>
      <c r="U3510" s="184">
        <f t="shared" si="4188"/>
        <v>0.1449814126394052</v>
      </c>
      <c r="V3510" s="386"/>
    </row>
    <row r="3511" spans="2:22" ht="15.75" hidden="1" x14ac:dyDescent="0.2">
      <c r="B3511" s="724">
        <v>46303</v>
      </c>
      <c r="C3511" s="724" t="s">
        <v>105</v>
      </c>
      <c r="D3511" s="724" t="s">
        <v>13</v>
      </c>
      <c r="E3511" s="724"/>
      <c r="G3511" s="775" t="s">
        <v>19</v>
      </c>
      <c r="H3511" s="776"/>
      <c r="I3511" s="777"/>
      <c r="J3511" s="190">
        <f>SUM(J3504:J3510)</f>
        <v>1482</v>
      </c>
      <c r="K3511" s="190">
        <f t="shared" ref="K3511:P3511" si="4189">SUM(K3504:K3510)</f>
        <v>515</v>
      </c>
      <c r="L3511" s="190">
        <f t="shared" si="4189"/>
        <v>154</v>
      </c>
      <c r="M3511" s="190">
        <f t="shared" si="4189"/>
        <v>504</v>
      </c>
      <c r="N3511" s="190">
        <f t="shared" si="4189"/>
        <v>90</v>
      </c>
      <c r="O3511" s="190">
        <f t="shared" si="4189"/>
        <v>124</v>
      </c>
      <c r="P3511" s="190">
        <f t="shared" si="4189"/>
        <v>95</v>
      </c>
      <c r="Q3511" s="481">
        <f>(K3511+L3511)/J3511</f>
        <v>0.45141700404858298</v>
      </c>
      <c r="R3511" s="481">
        <f>N3511/J3511</f>
        <v>6.0728744939271252E-2</v>
      </c>
      <c r="S3511" s="482">
        <f t="shared" si="4186"/>
        <v>6.4102564102564097E-2</v>
      </c>
      <c r="T3511" s="482">
        <f t="shared" si="4187"/>
        <v>8.3670715249662617E-2</v>
      </c>
      <c r="U3511" s="483">
        <f t="shared" si="4188"/>
        <v>0.65991902834008098</v>
      </c>
      <c r="V3511" s="479"/>
    </row>
    <row r="3512" spans="2:22" ht="15.75" hidden="1" x14ac:dyDescent="0.2">
      <c r="B3512" s="725">
        <v>46304</v>
      </c>
      <c r="C3512" s="725" t="s">
        <v>106</v>
      </c>
      <c r="D3512" s="725" t="s">
        <v>189</v>
      </c>
      <c r="E3512" s="725">
        <v>46303</v>
      </c>
      <c r="G3512" s="778">
        <v>46304</v>
      </c>
      <c r="H3512" s="497" t="s">
        <v>16</v>
      </c>
      <c r="I3512" s="60" t="s">
        <v>15</v>
      </c>
      <c r="J3512" s="60">
        <f>SUM(K3512:P3512)</f>
        <v>71</v>
      </c>
      <c r="K3512" s="60">
        <f>105-53</f>
        <v>52</v>
      </c>
      <c r="L3512" s="60">
        <f>37-18</f>
        <v>19</v>
      </c>
      <c r="M3512" s="60">
        <v>0</v>
      </c>
      <c r="N3512" s="494">
        <v>0</v>
      </c>
      <c r="O3512" s="60">
        <v>0</v>
      </c>
      <c r="P3512" s="494">
        <v>0</v>
      </c>
      <c r="Q3512" s="182">
        <f t="shared" ref="Q3512:Q3518" si="4190">(K3512+L3512)/J3512</f>
        <v>1</v>
      </c>
      <c r="R3512" s="182">
        <f t="shared" ref="R3512:R3518" si="4191">N3512/J3512</f>
        <v>0</v>
      </c>
      <c r="S3512" s="183">
        <f t="shared" si="4186"/>
        <v>0</v>
      </c>
      <c r="T3512" s="183">
        <f t="shared" si="4187"/>
        <v>0</v>
      </c>
      <c r="U3512" s="184">
        <f t="shared" si="4188"/>
        <v>1</v>
      </c>
      <c r="V3512" s="386"/>
    </row>
    <row r="3513" spans="2:22" ht="15.75" hidden="1" x14ac:dyDescent="0.2">
      <c r="B3513" s="725">
        <v>46304</v>
      </c>
      <c r="C3513" s="725" t="s">
        <v>106</v>
      </c>
      <c r="D3513" s="725" t="s">
        <v>189</v>
      </c>
      <c r="E3513" s="725">
        <v>46303</v>
      </c>
      <c r="G3513" s="786"/>
      <c r="H3513" s="497" t="s">
        <v>14</v>
      </c>
      <c r="I3513" s="60" t="s">
        <v>106</v>
      </c>
      <c r="J3513" s="60">
        <f t="shared" ref="J3513:J3514" si="4192">SUM(K3513:P3513)</f>
        <v>59</v>
      </c>
      <c r="K3513" s="60">
        <v>43</v>
      </c>
      <c r="L3513" s="60">
        <v>16</v>
      </c>
      <c r="M3513" s="60">
        <v>0</v>
      </c>
      <c r="N3513" s="494">
        <v>0</v>
      </c>
      <c r="O3513" s="60">
        <v>0</v>
      </c>
      <c r="P3513" s="494">
        <v>0</v>
      </c>
      <c r="Q3513" s="182">
        <f t="shared" si="4190"/>
        <v>1</v>
      </c>
      <c r="R3513" s="182">
        <f t="shared" si="4191"/>
        <v>0</v>
      </c>
      <c r="S3513" s="183">
        <f t="shared" si="4186"/>
        <v>0</v>
      </c>
      <c r="T3513" s="183">
        <f t="shared" si="4187"/>
        <v>0</v>
      </c>
      <c r="U3513" s="184">
        <f t="shared" si="4188"/>
        <v>1</v>
      </c>
      <c r="V3513" s="386"/>
    </row>
    <row r="3514" spans="2:22" ht="15.75" hidden="1" x14ac:dyDescent="0.2">
      <c r="B3514" s="725">
        <v>46304</v>
      </c>
      <c r="C3514" s="725" t="s">
        <v>106</v>
      </c>
      <c r="D3514" s="725" t="s">
        <v>189</v>
      </c>
      <c r="E3514" s="725">
        <v>46303</v>
      </c>
      <c r="G3514" s="786"/>
      <c r="H3514" s="497" t="s">
        <v>17</v>
      </c>
      <c r="I3514" s="60" t="s">
        <v>105</v>
      </c>
      <c r="J3514" s="60">
        <f t="shared" si="4192"/>
        <v>159</v>
      </c>
      <c r="K3514" s="60">
        <v>80</v>
      </c>
      <c r="L3514" s="60">
        <v>26</v>
      </c>
      <c r="M3514" s="60">
        <v>6</v>
      </c>
      <c r="N3514" s="494">
        <v>0</v>
      </c>
      <c r="O3514" s="60">
        <v>30</v>
      </c>
      <c r="P3514" s="494">
        <v>17</v>
      </c>
      <c r="Q3514" s="182">
        <f t="shared" si="4190"/>
        <v>0.66666666666666663</v>
      </c>
      <c r="R3514" s="182">
        <f t="shared" si="4191"/>
        <v>0</v>
      </c>
      <c r="S3514" s="183">
        <f t="shared" si="4186"/>
        <v>0.1069182389937107</v>
      </c>
      <c r="T3514" s="183">
        <f t="shared" si="4187"/>
        <v>0.18867924528301888</v>
      </c>
      <c r="U3514" s="184">
        <f t="shared" si="4188"/>
        <v>0.96226415094339623</v>
      </c>
      <c r="V3514" s="386"/>
    </row>
    <row r="3515" spans="2:22" ht="15.75" hidden="1" x14ac:dyDescent="0.2">
      <c r="B3515" s="725">
        <v>46304</v>
      </c>
      <c r="C3515" s="725" t="s">
        <v>106</v>
      </c>
      <c r="D3515" s="725" t="s">
        <v>189</v>
      </c>
      <c r="E3515" s="725">
        <v>46304</v>
      </c>
      <c r="G3515" s="773">
        <v>46305</v>
      </c>
      <c r="H3515" s="497" t="s">
        <v>16</v>
      </c>
      <c r="I3515" s="60" t="s">
        <v>15</v>
      </c>
      <c r="J3515" s="60">
        <v>222</v>
      </c>
      <c r="K3515" s="60">
        <v>53</v>
      </c>
      <c r="L3515" s="60">
        <v>18</v>
      </c>
      <c r="M3515" s="60">
        <v>82</v>
      </c>
      <c r="N3515" s="494">
        <v>50</v>
      </c>
      <c r="O3515" s="60">
        <v>20</v>
      </c>
      <c r="P3515" s="494">
        <v>5</v>
      </c>
      <c r="Q3515" s="182">
        <f t="shared" si="4190"/>
        <v>0.31981981981981983</v>
      </c>
      <c r="R3515" s="182">
        <f t="shared" si="4191"/>
        <v>0.22522522522522523</v>
      </c>
      <c r="S3515" s="183">
        <f t="shared" si="4186"/>
        <v>2.2522522522522521E-2</v>
      </c>
      <c r="T3515" s="183">
        <f t="shared" si="4187"/>
        <v>9.0090090090090086E-2</v>
      </c>
      <c r="U3515" s="184">
        <f t="shared" si="4188"/>
        <v>0.6576576576576576</v>
      </c>
      <c r="V3515" s="386"/>
    </row>
    <row r="3516" spans="2:22" ht="15.75" hidden="1" x14ac:dyDescent="0.2">
      <c r="B3516" s="725">
        <v>46304</v>
      </c>
      <c r="C3516" s="725" t="s">
        <v>106</v>
      </c>
      <c r="D3516" s="725" t="s">
        <v>189</v>
      </c>
      <c r="E3516" s="725">
        <v>46304</v>
      </c>
      <c r="G3516" s="780"/>
      <c r="H3516" s="497" t="s">
        <v>118</v>
      </c>
      <c r="I3516" s="60" t="s">
        <v>106</v>
      </c>
      <c r="J3516" s="60">
        <v>186</v>
      </c>
      <c r="K3516" s="60">
        <v>1</v>
      </c>
      <c r="L3516" s="60">
        <v>0</v>
      </c>
      <c r="M3516" s="60">
        <v>169</v>
      </c>
      <c r="N3516" s="494">
        <v>0</v>
      </c>
      <c r="O3516" s="60">
        <v>7</v>
      </c>
      <c r="P3516" s="494">
        <v>10</v>
      </c>
      <c r="Q3516" s="182">
        <f t="shared" si="4190"/>
        <v>5.3763440860215058E-3</v>
      </c>
      <c r="R3516" s="182">
        <f t="shared" si="4191"/>
        <v>0</v>
      </c>
      <c r="S3516" s="183">
        <f t="shared" si="4186"/>
        <v>5.3763440860215055E-2</v>
      </c>
      <c r="T3516" s="183">
        <f t="shared" si="4187"/>
        <v>3.7634408602150539E-2</v>
      </c>
      <c r="U3516" s="184">
        <f t="shared" si="4188"/>
        <v>9.6774193548387094E-2</v>
      </c>
      <c r="V3516" s="386"/>
    </row>
    <row r="3517" spans="2:22" ht="15.75" hidden="1" x14ac:dyDescent="0.2">
      <c r="B3517" s="725">
        <v>46304</v>
      </c>
      <c r="C3517" s="725" t="s">
        <v>106</v>
      </c>
      <c r="D3517" s="725" t="s">
        <v>189</v>
      </c>
      <c r="E3517" s="725">
        <v>46304</v>
      </c>
      <c r="G3517" s="780"/>
      <c r="H3517" s="497" t="s">
        <v>212</v>
      </c>
      <c r="I3517" s="60" t="s">
        <v>106</v>
      </c>
      <c r="J3517" s="60">
        <v>271</v>
      </c>
      <c r="K3517" s="60">
        <v>174</v>
      </c>
      <c r="L3517" s="60">
        <v>6</v>
      </c>
      <c r="M3517" s="60">
        <v>5</v>
      </c>
      <c r="N3517" s="494">
        <v>47</v>
      </c>
      <c r="O3517" s="60">
        <v>0</v>
      </c>
      <c r="P3517" s="494">
        <v>39</v>
      </c>
      <c r="Q3517" s="182">
        <f t="shared" ref="Q3517" si="4193">(K3517+L3517)/J3517</f>
        <v>0.66420664206642066</v>
      </c>
      <c r="R3517" s="182">
        <f t="shared" ref="R3517" si="4194">N3517/J3517</f>
        <v>0.17343173431734318</v>
      </c>
      <c r="S3517" s="183">
        <f t="shared" ref="S3517" si="4195">P3517/J3517</f>
        <v>0.14391143911439114</v>
      </c>
      <c r="T3517" s="183">
        <f t="shared" ref="T3517" si="4196">O3517/J3517</f>
        <v>0</v>
      </c>
      <c r="U3517" s="184">
        <f t="shared" ref="U3517" si="4197">S3517+R3517+Q3517+T3517</f>
        <v>0.98154981549815501</v>
      </c>
      <c r="V3517" s="386"/>
    </row>
    <row r="3518" spans="2:22" ht="15.75" hidden="1" x14ac:dyDescent="0.2">
      <c r="B3518" s="725">
        <v>46304</v>
      </c>
      <c r="C3518" s="725" t="s">
        <v>106</v>
      </c>
      <c r="D3518" s="725" t="s">
        <v>189</v>
      </c>
      <c r="E3518" s="725">
        <v>46304</v>
      </c>
      <c r="G3518" s="780"/>
      <c r="H3518" s="497" t="s">
        <v>25</v>
      </c>
      <c r="I3518" s="60" t="s">
        <v>105</v>
      </c>
      <c r="J3518" s="60">
        <v>215</v>
      </c>
      <c r="K3518" s="60">
        <v>1</v>
      </c>
      <c r="L3518" s="60">
        <v>0</v>
      </c>
      <c r="M3518" s="60">
        <v>167</v>
      </c>
      <c r="N3518" s="494">
        <v>0</v>
      </c>
      <c r="O3518" s="60">
        <v>23</v>
      </c>
      <c r="P3518" s="494">
        <v>25</v>
      </c>
      <c r="Q3518" s="182">
        <f t="shared" si="4190"/>
        <v>4.6511627906976744E-3</v>
      </c>
      <c r="R3518" s="182">
        <f t="shared" si="4191"/>
        <v>0</v>
      </c>
      <c r="S3518" s="183">
        <f t="shared" si="4186"/>
        <v>0.11627906976744186</v>
      </c>
      <c r="T3518" s="183">
        <f t="shared" si="4187"/>
        <v>0.10697674418604651</v>
      </c>
      <c r="U3518" s="184">
        <f t="shared" si="4188"/>
        <v>0.22790697674418603</v>
      </c>
      <c r="V3518" s="386"/>
    </row>
    <row r="3519" spans="2:22" ht="15.75" hidden="1" x14ac:dyDescent="0.2">
      <c r="B3519" s="725">
        <v>46304</v>
      </c>
      <c r="C3519" s="725" t="s">
        <v>106</v>
      </c>
      <c r="D3519" s="725" t="s">
        <v>189</v>
      </c>
      <c r="E3519" s="725">
        <v>46303</v>
      </c>
      <c r="G3519" s="775" t="s">
        <v>19</v>
      </c>
      <c r="H3519" s="776"/>
      <c r="I3519" s="777"/>
      <c r="J3519" s="190">
        <f t="shared" ref="J3519:P3519" si="4198">SUM(J3512:J3518)</f>
        <v>1183</v>
      </c>
      <c r="K3519" s="190">
        <f t="shared" si="4198"/>
        <v>404</v>
      </c>
      <c r="L3519" s="190">
        <f t="shared" si="4198"/>
        <v>85</v>
      </c>
      <c r="M3519" s="190">
        <f t="shared" si="4198"/>
        <v>429</v>
      </c>
      <c r="N3519" s="190">
        <f t="shared" si="4198"/>
        <v>97</v>
      </c>
      <c r="O3519" s="190">
        <f t="shared" si="4198"/>
        <v>80</v>
      </c>
      <c r="P3519" s="190">
        <f t="shared" si="4198"/>
        <v>96</v>
      </c>
      <c r="Q3519" s="481">
        <f>(K3519+L3519)/J3519</f>
        <v>0.41335587489433645</v>
      </c>
      <c r="R3519" s="481">
        <f>N3519/J3519</f>
        <v>8.1994928148774307E-2</v>
      </c>
      <c r="S3519" s="482">
        <f t="shared" si="4186"/>
        <v>8.1149619611158075E-2</v>
      </c>
      <c r="T3519" s="482">
        <f t="shared" si="4187"/>
        <v>6.76246830092984E-2</v>
      </c>
      <c r="U3519" s="483">
        <f t="shared" si="4188"/>
        <v>0.64412510566356718</v>
      </c>
      <c r="V3519" s="479"/>
    </row>
    <row r="3520" spans="2:22" ht="15.75" hidden="1" x14ac:dyDescent="0.2">
      <c r="B3520" s="726">
        <v>46304</v>
      </c>
      <c r="C3520" s="726" t="s">
        <v>105</v>
      </c>
      <c r="D3520" s="726" t="s">
        <v>13</v>
      </c>
      <c r="E3520" s="726">
        <v>46304</v>
      </c>
      <c r="G3520" s="782">
        <v>46304</v>
      </c>
      <c r="H3520" s="497" t="s">
        <v>16</v>
      </c>
      <c r="I3520" s="60" t="s">
        <v>15</v>
      </c>
      <c r="J3520" s="60">
        <v>217</v>
      </c>
      <c r="K3520" s="60">
        <f t="shared" ref="K3520:K3525" si="4199">J3520-L3520-M3520-N3520-O3520-P3520</f>
        <v>159</v>
      </c>
      <c r="L3520" s="60">
        <v>32</v>
      </c>
      <c r="M3520" s="60">
        <v>0</v>
      </c>
      <c r="N3520" s="494">
        <v>3</v>
      </c>
      <c r="O3520" s="60">
        <v>20</v>
      </c>
      <c r="P3520" s="494">
        <v>3</v>
      </c>
      <c r="Q3520" s="182">
        <f t="shared" ref="Q3520:Q3525" si="4200">(K3520+L3520)/J3520</f>
        <v>0.88018433179723499</v>
      </c>
      <c r="R3520" s="182">
        <f t="shared" ref="R3520:R3525" si="4201">N3520/J3520</f>
        <v>1.3824884792626729E-2</v>
      </c>
      <c r="S3520" s="183">
        <f t="shared" ref="S3520:S3534" si="4202">P3520/J3520</f>
        <v>1.3824884792626729E-2</v>
      </c>
      <c r="T3520" s="183">
        <f t="shared" ref="T3520:T3534" si="4203">O3520/J3520</f>
        <v>9.2165898617511524E-2</v>
      </c>
      <c r="U3520" s="184">
        <f t="shared" ref="U3520:U3534" si="4204">S3520+R3520+Q3520+T3520</f>
        <v>1</v>
      </c>
      <c r="V3520" s="386"/>
    </row>
    <row r="3521" spans="2:22" ht="15.75" hidden="1" x14ac:dyDescent="0.2">
      <c r="B3521" s="726">
        <v>46304</v>
      </c>
      <c r="C3521" s="726" t="s">
        <v>105</v>
      </c>
      <c r="D3521" s="726" t="s">
        <v>13</v>
      </c>
      <c r="E3521" s="726">
        <v>46304</v>
      </c>
      <c r="G3521" s="783"/>
      <c r="H3521" s="715" t="s">
        <v>17</v>
      </c>
      <c r="I3521" s="62" t="s">
        <v>105</v>
      </c>
      <c r="J3521" s="62">
        <v>170</v>
      </c>
      <c r="K3521" s="60">
        <f t="shared" si="4199"/>
        <v>95</v>
      </c>
      <c r="L3521" s="60">
        <v>30</v>
      </c>
      <c r="M3521" s="60">
        <v>0</v>
      </c>
      <c r="N3521" s="494">
        <v>0</v>
      </c>
      <c r="O3521" s="60">
        <v>30</v>
      </c>
      <c r="P3521" s="494">
        <v>15</v>
      </c>
      <c r="Q3521" s="182">
        <f t="shared" si="4200"/>
        <v>0.73529411764705888</v>
      </c>
      <c r="R3521" s="182">
        <f t="shared" si="4201"/>
        <v>0</v>
      </c>
      <c r="S3521" s="183">
        <f t="shared" si="4202"/>
        <v>8.8235294117647065E-2</v>
      </c>
      <c r="T3521" s="183">
        <f t="shared" si="4203"/>
        <v>0.17647058823529413</v>
      </c>
      <c r="U3521" s="184">
        <f t="shared" si="4204"/>
        <v>1</v>
      </c>
      <c r="V3521" s="386"/>
    </row>
    <row r="3522" spans="2:22" ht="15.75" hidden="1" x14ac:dyDescent="0.2">
      <c r="B3522" s="726">
        <v>46304</v>
      </c>
      <c r="C3522" s="726" t="s">
        <v>105</v>
      </c>
      <c r="D3522" s="726" t="s">
        <v>13</v>
      </c>
      <c r="E3522" s="726">
        <v>46305</v>
      </c>
      <c r="G3522" s="784">
        <v>46305</v>
      </c>
      <c r="H3522" s="497" t="s">
        <v>16</v>
      </c>
      <c r="I3522" s="60" t="s">
        <v>15</v>
      </c>
      <c r="J3522" s="60">
        <v>227</v>
      </c>
      <c r="K3522" s="60">
        <f t="shared" si="4199"/>
        <v>132</v>
      </c>
      <c r="L3522" s="60">
        <v>47</v>
      </c>
      <c r="M3522" s="60">
        <v>3</v>
      </c>
      <c r="N3522" s="494">
        <v>21</v>
      </c>
      <c r="O3522" s="60">
        <v>20</v>
      </c>
      <c r="P3522" s="494">
        <v>4</v>
      </c>
      <c r="Q3522" s="182">
        <f t="shared" si="4200"/>
        <v>0.78854625550660795</v>
      </c>
      <c r="R3522" s="182">
        <f t="shared" si="4201"/>
        <v>9.2511013215859028E-2</v>
      </c>
      <c r="S3522" s="183">
        <f t="shared" si="4202"/>
        <v>1.7621145374449341E-2</v>
      </c>
      <c r="T3522" s="183">
        <f t="shared" si="4203"/>
        <v>8.8105726872246701E-2</v>
      </c>
      <c r="U3522" s="184">
        <f t="shared" si="4204"/>
        <v>0.986784140969163</v>
      </c>
      <c r="V3522" s="386"/>
    </row>
    <row r="3523" spans="2:22" ht="15.75" hidden="1" x14ac:dyDescent="0.2">
      <c r="B3523" s="726">
        <v>46304</v>
      </c>
      <c r="C3523" s="726" t="s">
        <v>105</v>
      </c>
      <c r="D3523" s="726" t="s">
        <v>13</v>
      </c>
      <c r="E3523" s="726">
        <v>46305</v>
      </c>
      <c r="G3523" s="882"/>
      <c r="H3523" s="497" t="s">
        <v>180</v>
      </c>
      <c r="I3523" s="60" t="s">
        <v>106</v>
      </c>
      <c r="J3523" s="60">
        <v>271</v>
      </c>
      <c r="K3523" s="60">
        <f t="shared" si="4199"/>
        <v>176</v>
      </c>
      <c r="L3523" s="60">
        <v>4</v>
      </c>
      <c r="M3523" s="60">
        <v>10</v>
      </c>
      <c r="N3523" s="494">
        <v>47</v>
      </c>
      <c r="O3523" s="60">
        <v>0</v>
      </c>
      <c r="P3523" s="494">
        <v>34</v>
      </c>
      <c r="Q3523" s="182">
        <f t="shared" si="4200"/>
        <v>0.66420664206642066</v>
      </c>
      <c r="R3523" s="182">
        <f t="shared" si="4201"/>
        <v>0.17343173431734318</v>
      </c>
      <c r="S3523" s="183">
        <f t="shared" si="4202"/>
        <v>0.12546125461254612</v>
      </c>
      <c r="T3523" s="183">
        <f t="shared" si="4203"/>
        <v>0</v>
      </c>
      <c r="U3523" s="184">
        <f t="shared" si="4204"/>
        <v>0.96309963099631002</v>
      </c>
      <c r="V3523" s="386"/>
    </row>
    <row r="3524" spans="2:22" ht="15.75" hidden="1" x14ac:dyDescent="0.2">
      <c r="B3524" s="726">
        <v>46304</v>
      </c>
      <c r="C3524" s="726" t="s">
        <v>105</v>
      </c>
      <c r="D3524" s="726" t="s">
        <v>13</v>
      </c>
      <c r="E3524" s="726">
        <v>46305</v>
      </c>
      <c r="G3524" s="882"/>
      <c r="H3524" s="497" t="s">
        <v>118</v>
      </c>
      <c r="I3524" s="60" t="s">
        <v>106</v>
      </c>
      <c r="J3524" s="60">
        <v>186</v>
      </c>
      <c r="K3524" s="60">
        <f t="shared" si="4199"/>
        <v>141</v>
      </c>
      <c r="L3524" s="60">
        <v>25</v>
      </c>
      <c r="M3524" s="60">
        <v>2</v>
      </c>
      <c r="N3524" s="494">
        <v>0</v>
      </c>
      <c r="O3524" s="60">
        <v>10</v>
      </c>
      <c r="P3524" s="494">
        <v>8</v>
      </c>
      <c r="Q3524" s="182">
        <f t="shared" si="4200"/>
        <v>0.89247311827956988</v>
      </c>
      <c r="R3524" s="182">
        <f t="shared" si="4201"/>
        <v>0</v>
      </c>
      <c r="S3524" s="183">
        <f t="shared" si="4202"/>
        <v>4.3010752688172046E-2</v>
      </c>
      <c r="T3524" s="183">
        <f t="shared" si="4203"/>
        <v>5.3763440860215055E-2</v>
      </c>
      <c r="U3524" s="184">
        <f t="shared" si="4204"/>
        <v>0.98924731182795689</v>
      </c>
      <c r="V3524" s="386"/>
    </row>
    <row r="3525" spans="2:22" ht="15.75" hidden="1" x14ac:dyDescent="0.2">
      <c r="B3525" s="726">
        <v>46304</v>
      </c>
      <c r="C3525" s="726" t="s">
        <v>105</v>
      </c>
      <c r="D3525" s="726" t="s">
        <v>13</v>
      </c>
      <c r="E3525" s="726">
        <v>46305</v>
      </c>
      <c r="G3525" s="785"/>
      <c r="H3525" s="497" t="s">
        <v>25</v>
      </c>
      <c r="I3525" s="60" t="s">
        <v>105</v>
      </c>
      <c r="J3525" s="60">
        <v>214</v>
      </c>
      <c r="K3525" s="60">
        <f t="shared" si="4199"/>
        <v>3</v>
      </c>
      <c r="L3525" s="60">
        <v>4</v>
      </c>
      <c r="M3525" s="60">
        <v>57</v>
      </c>
      <c r="N3525" s="494">
        <v>102</v>
      </c>
      <c r="O3525" s="60">
        <v>23</v>
      </c>
      <c r="P3525" s="494">
        <v>25</v>
      </c>
      <c r="Q3525" s="182">
        <f t="shared" si="4200"/>
        <v>3.2710280373831772E-2</v>
      </c>
      <c r="R3525" s="182">
        <f t="shared" si="4201"/>
        <v>0.47663551401869159</v>
      </c>
      <c r="S3525" s="183">
        <f t="shared" si="4202"/>
        <v>0.11682242990654206</v>
      </c>
      <c r="T3525" s="183">
        <f t="shared" si="4203"/>
        <v>0.10747663551401869</v>
      </c>
      <c r="U3525" s="184">
        <f t="shared" si="4204"/>
        <v>0.73364485981308403</v>
      </c>
      <c r="V3525" s="386"/>
    </row>
    <row r="3526" spans="2:22" ht="15.75" hidden="1" x14ac:dyDescent="0.2">
      <c r="B3526" s="726">
        <v>46304</v>
      </c>
      <c r="C3526" s="726" t="s">
        <v>105</v>
      </c>
      <c r="D3526" s="726" t="s">
        <v>13</v>
      </c>
      <c r="E3526" s="726">
        <v>46305</v>
      </c>
      <c r="G3526" s="775" t="s">
        <v>19</v>
      </c>
      <c r="H3526" s="776"/>
      <c r="I3526" s="777"/>
      <c r="J3526" s="190">
        <f>SUM(J3520:J3525)</f>
        <v>1285</v>
      </c>
      <c r="K3526" s="190">
        <f t="shared" ref="K3526:P3526" si="4205">SUM(K3520:K3525)</f>
        <v>706</v>
      </c>
      <c r="L3526" s="190">
        <f t="shared" si="4205"/>
        <v>142</v>
      </c>
      <c r="M3526" s="190">
        <f t="shared" si="4205"/>
        <v>72</v>
      </c>
      <c r="N3526" s="190">
        <f t="shared" si="4205"/>
        <v>173</v>
      </c>
      <c r="O3526" s="190">
        <f t="shared" si="4205"/>
        <v>103</v>
      </c>
      <c r="P3526" s="190">
        <f t="shared" si="4205"/>
        <v>89</v>
      </c>
      <c r="Q3526" s="481">
        <f>(K3526+L3526)/J3526</f>
        <v>0.65992217898832684</v>
      </c>
      <c r="R3526" s="481">
        <f>N3526/J3526</f>
        <v>0.13463035019455252</v>
      </c>
      <c r="S3526" s="482">
        <f t="shared" si="4202"/>
        <v>6.9260700389105062E-2</v>
      </c>
      <c r="T3526" s="482">
        <f t="shared" si="4203"/>
        <v>8.015564202334631E-2</v>
      </c>
      <c r="U3526" s="483">
        <f t="shared" si="4204"/>
        <v>0.94396887159533083</v>
      </c>
      <c r="V3526" s="479"/>
    </row>
    <row r="3527" spans="2:22" ht="15.75" hidden="1" x14ac:dyDescent="0.2">
      <c r="B3527" s="727">
        <v>46305</v>
      </c>
      <c r="C3527" s="727" t="s">
        <v>106</v>
      </c>
      <c r="D3527" s="727" t="s">
        <v>189</v>
      </c>
      <c r="E3527" s="727">
        <v>46305</v>
      </c>
      <c r="G3527" s="880">
        <v>46305</v>
      </c>
      <c r="H3527" s="497" t="s">
        <v>16</v>
      </c>
      <c r="I3527" s="60" t="s">
        <v>15</v>
      </c>
      <c r="J3527" s="60">
        <f>SUM(K3527:P3527)</f>
        <v>85</v>
      </c>
      <c r="K3527" s="60">
        <f>145-80</f>
        <v>65</v>
      </c>
      <c r="L3527" s="60">
        <f>90-73</f>
        <v>17</v>
      </c>
      <c r="M3527" s="60">
        <v>0</v>
      </c>
      <c r="N3527" s="494">
        <v>0</v>
      </c>
      <c r="O3527" s="60">
        <v>0</v>
      </c>
      <c r="P3527" s="494">
        <v>3</v>
      </c>
      <c r="Q3527" s="182">
        <f t="shared" ref="Q3527:Q3531" si="4206">(K3527+L3527)/J3527</f>
        <v>0.96470588235294119</v>
      </c>
      <c r="R3527" s="182">
        <f t="shared" ref="R3527:R3531" si="4207">N3527/J3527</f>
        <v>0</v>
      </c>
      <c r="S3527" s="183">
        <f t="shared" si="4202"/>
        <v>3.5294117647058823E-2</v>
      </c>
      <c r="T3527" s="183">
        <f t="shared" si="4203"/>
        <v>0</v>
      </c>
      <c r="U3527" s="184">
        <f t="shared" si="4204"/>
        <v>1</v>
      </c>
      <c r="V3527" s="386"/>
    </row>
    <row r="3528" spans="2:22" ht="15.75" hidden="1" x14ac:dyDescent="0.2">
      <c r="B3528" s="727">
        <v>46305</v>
      </c>
      <c r="C3528" s="727" t="s">
        <v>106</v>
      </c>
      <c r="D3528" s="727" t="s">
        <v>189</v>
      </c>
      <c r="E3528" s="727">
        <v>46305</v>
      </c>
      <c r="G3528" s="880"/>
      <c r="H3528" s="497" t="s">
        <v>14</v>
      </c>
      <c r="I3528" s="60" t="s">
        <v>106</v>
      </c>
      <c r="J3528" s="60">
        <f t="shared" ref="J3528:J3531" si="4208">SUM(K3528:P3528)</f>
        <v>15</v>
      </c>
      <c r="K3528" s="60">
        <v>12</v>
      </c>
      <c r="L3528" s="60">
        <v>3</v>
      </c>
      <c r="M3528" s="60">
        <v>0</v>
      </c>
      <c r="N3528" s="494">
        <v>0</v>
      </c>
      <c r="O3528" s="60">
        <v>0</v>
      </c>
      <c r="P3528" s="494">
        <v>0</v>
      </c>
      <c r="Q3528" s="182">
        <f t="shared" si="4206"/>
        <v>1</v>
      </c>
      <c r="R3528" s="182">
        <f t="shared" si="4207"/>
        <v>0</v>
      </c>
      <c r="S3528" s="183">
        <f t="shared" si="4202"/>
        <v>0</v>
      </c>
      <c r="T3528" s="183">
        <f t="shared" si="4203"/>
        <v>0</v>
      </c>
      <c r="U3528" s="184">
        <f t="shared" si="4204"/>
        <v>1</v>
      </c>
      <c r="V3528" s="386"/>
    </row>
    <row r="3529" spans="2:22" ht="15.75" hidden="1" x14ac:dyDescent="0.2">
      <c r="B3529" s="727">
        <v>46305</v>
      </c>
      <c r="C3529" s="727" t="s">
        <v>106</v>
      </c>
      <c r="D3529" s="727" t="s">
        <v>189</v>
      </c>
      <c r="E3529" s="727">
        <v>46305</v>
      </c>
      <c r="G3529" s="880"/>
      <c r="H3529" s="497" t="s">
        <v>118</v>
      </c>
      <c r="I3529" s="60" t="s">
        <v>106</v>
      </c>
      <c r="J3529" s="60">
        <f t="shared" si="4208"/>
        <v>40</v>
      </c>
      <c r="K3529" s="60">
        <v>25</v>
      </c>
      <c r="L3529" s="60">
        <v>7</v>
      </c>
      <c r="M3529" s="60">
        <v>0</v>
      </c>
      <c r="N3529" s="494">
        <v>0</v>
      </c>
      <c r="O3529" s="60">
        <v>0</v>
      </c>
      <c r="P3529" s="494">
        <v>8</v>
      </c>
      <c r="Q3529" s="182">
        <f t="shared" si="4206"/>
        <v>0.8</v>
      </c>
      <c r="R3529" s="182">
        <f t="shared" si="4207"/>
        <v>0</v>
      </c>
      <c r="S3529" s="183">
        <f t="shared" si="4202"/>
        <v>0.2</v>
      </c>
      <c r="T3529" s="183">
        <f t="shared" si="4203"/>
        <v>0</v>
      </c>
      <c r="U3529" s="184">
        <f t="shared" si="4204"/>
        <v>1</v>
      </c>
      <c r="V3529" s="386"/>
    </row>
    <row r="3530" spans="2:22" ht="15.75" hidden="1" x14ac:dyDescent="0.2">
      <c r="B3530" s="727">
        <v>46305</v>
      </c>
      <c r="C3530" s="727" t="s">
        <v>106</v>
      </c>
      <c r="D3530" s="727" t="s">
        <v>189</v>
      </c>
      <c r="E3530" s="727">
        <v>46305</v>
      </c>
      <c r="G3530" s="880"/>
      <c r="H3530" s="497" t="s">
        <v>212</v>
      </c>
      <c r="I3530" s="60" t="s">
        <v>22</v>
      </c>
      <c r="J3530" s="60">
        <f t="shared" si="4208"/>
        <v>81</v>
      </c>
      <c r="K3530" s="60">
        <v>81</v>
      </c>
      <c r="L3530" s="60">
        <v>0</v>
      </c>
      <c r="M3530" s="60">
        <v>0</v>
      </c>
      <c r="N3530" s="494">
        <v>0</v>
      </c>
      <c r="O3530" s="60">
        <v>0</v>
      </c>
      <c r="P3530" s="494">
        <v>0</v>
      </c>
      <c r="Q3530" s="182">
        <f t="shared" si="4206"/>
        <v>1</v>
      </c>
      <c r="R3530" s="182">
        <f t="shared" si="4207"/>
        <v>0</v>
      </c>
      <c r="S3530" s="183">
        <f t="shared" si="4202"/>
        <v>0</v>
      </c>
      <c r="T3530" s="183">
        <f t="shared" si="4203"/>
        <v>0</v>
      </c>
      <c r="U3530" s="184">
        <f t="shared" si="4204"/>
        <v>1</v>
      </c>
      <c r="V3530" s="386"/>
    </row>
    <row r="3531" spans="2:22" ht="15.75" hidden="1" x14ac:dyDescent="0.2">
      <c r="B3531" s="727">
        <v>46305</v>
      </c>
      <c r="C3531" s="727" t="s">
        <v>106</v>
      </c>
      <c r="D3531" s="727" t="s">
        <v>189</v>
      </c>
      <c r="E3531" s="727">
        <v>46305</v>
      </c>
      <c r="G3531" s="880"/>
      <c r="H3531" s="497" t="s">
        <v>25</v>
      </c>
      <c r="I3531" s="60" t="s">
        <v>105</v>
      </c>
      <c r="J3531" s="60">
        <f t="shared" si="4208"/>
        <v>205</v>
      </c>
      <c r="K3531" s="60">
        <v>135</v>
      </c>
      <c r="L3531" s="60">
        <v>22</v>
      </c>
      <c r="M3531" s="60">
        <v>0</v>
      </c>
      <c r="N3531" s="494">
        <v>0</v>
      </c>
      <c r="O3531" s="60">
        <v>23</v>
      </c>
      <c r="P3531" s="494">
        <v>25</v>
      </c>
      <c r="Q3531" s="182">
        <f t="shared" si="4206"/>
        <v>0.76585365853658538</v>
      </c>
      <c r="R3531" s="182">
        <f t="shared" si="4207"/>
        <v>0</v>
      </c>
      <c r="S3531" s="183">
        <f t="shared" si="4202"/>
        <v>0.12195121951219512</v>
      </c>
      <c r="T3531" s="183">
        <f t="shared" si="4203"/>
        <v>0.11219512195121951</v>
      </c>
      <c r="U3531" s="184">
        <f t="shared" si="4204"/>
        <v>1</v>
      </c>
      <c r="V3531" s="386"/>
    </row>
    <row r="3532" spans="2:22" ht="15.75" hidden="1" x14ac:dyDescent="0.2">
      <c r="B3532" s="727">
        <v>46305</v>
      </c>
      <c r="C3532" s="727" t="s">
        <v>106</v>
      </c>
      <c r="D3532" s="727" t="s">
        <v>189</v>
      </c>
      <c r="E3532" s="727">
        <v>46306</v>
      </c>
      <c r="G3532" s="692">
        <v>46306</v>
      </c>
      <c r="H3532" s="497" t="s">
        <v>17</v>
      </c>
      <c r="I3532" s="60" t="s">
        <v>106</v>
      </c>
      <c r="J3532" s="60">
        <v>173</v>
      </c>
      <c r="K3532" s="60">
        <v>11</v>
      </c>
      <c r="L3532" s="60">
        <v>15</v>
      </c>
      <c r="M3532" s="60">
        <v>51</v>
      </c>
      <c r="N3532" s="494">
        <v>38</v>
      </c>
      <c r="O3532" s="60">
        <v>30</v>
      </c>
      <c r="P3532" s="494">
        <v>26</v>
      </c>
      <c r="Q3532" s="182">
        <f t="shared" ref="Q3532:Q3533" si="4209">(K3532+L3532)/J3532</f>
        <v>0.15028901734104047</v>
      </c>
      <c r="R3532" s="182">
        <f t="shared" ref="R3532:R3533" si="4210">N3532/J3532</f>
        <v>0.21965317919075145</v>
      </c>
      <c r="S3532" s="183">
        <f t="shared" ref="S3532:S3533" si="4211">P3532/J3532</f>
        <v>0.15028901734104047</v>
      </c>
      <c r="T3532" s="183">
        <f t="shared" ref="T3532:T3533" si="4212">O3532/J3532</f>
        <v>0.17341040462427745</v>
      </c>
      <c r="U3532" s="184">
        <f t="shared" ref="U3532:U3533" si="4213">S3532+R3532+Q3532+T3532</f>
        <v>0.69364161849710992</v>
      </c>
      <c r="V3532" s="386"/>
    </row>
    <row r="3533" spans="2:22" ht="15.75" hidden="1" x14ac:dyDescent="0.2">
      <c r="B3533" s="727">
        <v>46305</v>
      </c>
      <c r="C3533" s="727" t="s">
        <v>106</v>
      </c>
      <c r="D3533" s="727" t="s">
        <v>189</v>
      </c>
      <c r="E3533" s="727">
        <v>46307</v>
      </c>
      <c r="G3533" s="692">
        <v>46307</v>
      </c>
      <c r="H3533" s="497" t="s">
        <v>16</v>
      </c>
      <c r="I3533" s="60" t="s">
        <v>127</v>
      </c>
      <c r="J3533" s="60">
        <v>250</v>
      </c>
      <c r="K3533" s="60">
        <v>80</v>
      </c>
      <c r="L3533" s="60">
        <v>73</v>
      </c>
      <c r="M3533" s="60">
        <v>14</v>
      </c>
      <c r="N3533" s="494">
        <v>60</v>
      </c>
      <c r="O3533" s="60">
        <v>20</v>
      </c>
      <c r="P3533" s="494">
        <v>4</v>
      </c>
      <c r="Q3533" s="182">
        <f t="shared" si="4209"/>
        <v>0.61199999999999999</v>
      </c>
      <c r="R3533" s="182">
        <f t="shared" si="4210"/>
        <v>0.24</v>
      </c>
      <c r="S3533" s="183">
        <f t="shared" si="4211"/>
        <v>1.6E-2</v>
      </c>
      <c r="T3533" s="183">
        <f t="shared" si="4212"/>
        <v>0.08</v>
      </c>
      <c r="U3533" s="184">
        <f t="shared" si="4213"/>
        <v>0.94799999999999995</v>
      </c>
      <c r="V3533" s="386"/>
    </row>
    <row r="3534" spans="2:22" ht="15.75" hidden="1" x14ac:dyDescent="0.2">
      <c r="B3534" s="727">
        <v>46305</v>
      </c>
      <c r="C3534" s="727" t="s">
        <v>106</v>
      </c>
      <c r="D3534" s="727" t="s">
        <v>189</v>
      </c>
      <c r="E3534" s="727">
        <v>46305</v>
      </c>
      <c r="G3534" s="775" t="s">
        <v>19</v>
      </c>
      <c r="H3534" s="776"/>
      <c r="I3534" s="777"/>
      <c r="J3534" s="190">
        <f t="shared" ref="J3534:P3534" si="4214">SUM(J3527:J3533)</f>
        <v>849</v>
      </c>
      <c r="K3534" s="190">
        <f t="shared" si="4214"/>
        <v>409</v>
      </c>
      <c r="L3534" s="190">
        <f t="shared" si="4214"/>
        <v>137</v>
      </c>
      <c r="M3534" s="190">
        <f t="shared" si="4214"/>
        <v>65</v>
      </c>
      <c r="N3534" s="190">
        <f t="shared" si="4214"/>
        <v>98</v>
      </c>
      <c r="O3534" s="190">
        <f t="shared" si="4214"/>
        <v>73</v>
      </c>
      <c r="P3534" s="190">
        <f t="shared" si="4214"/>
        <v>66</v>
      </c>
      <c r="Q3534" s="481">
        <f>(K3534+L3534)/J3534</f>
        <v>0.64310954063604242</v>
      </c>
      <c r="R3534" s="481">
        <f>N3534/J3534</f>
        <v>0.11542991755005889</v>
      </c>
      <c r="S3534" s="482">
        <f t="shared" si="4202"/>
        <v>7.7738515901060068E-2</v>
      </c>
      <c r="T3534" s="482">
        <f t="shared" si="4203"/>
        <v>8.5983510011778563E-2</v>
      </c>
      <c r="U3534" s="483">
        <f t="shared" si="4204"/>
        <v>0.92226148409893982</v>
      </c>
      <c r="V3534" s="479"/>
    </row>
    <row r="3535" spans="2:22" ht="15.75" hidden="1" x14ac:dyDescent="0.2">
      <c r="B3535" s="729">
        <v>46305</v>
      </c>
      <c r="C3535" s="729" t="s">
        <v>105</v>
      </c>
      <c r="D3535" s="729" t="s">
        <v>13</v>
      </c>
      <c r="E3535" s="729">
        <v>46305</v>
      </c>
      <c r="G3535" s="809">
        <v>46305</v>
      </c>
      <c r="H3535" s="497" t="s">
        <v>16</v>
      </c>
      <c r="I3535" s="60" t="s">
        <v>15</v>
      </c>
      <c r="J3535" s="60">
        <v>227</v>
      </c>
      <c r="K3535" s="60">
        <f t="shared" ref="K3535:K3540" si="4215">J3535-L3535-M3535-N3535-O3535-P3535</f>
        <v>157</v>
      </c>
      <c r="L3535" s="60">
        <v>47</v>
      </c>
      <c r="M3535" s="60">
        <v>0</v>
      </c>
      <c r="N3535" s="494">
        <v>0</v>
      </c>
      <c r="O3535" s="60">
        <v>20</v>
      </c>
      <c r="P3535" s="494">
        <v>3</v>
      </c>
      <c r="Q3535" s="182">
        <f t="shared" ref="Q3535:Q3538" si="4216">(K3535+L3535)/J3535</f>
        <v>0.89867841409691629</v>
      </c>
      <c r="R3535" s="182">
        <f t="shared" ref="R3535:R3538" si="4217">N3535/J3535</f>
        <v>0</v>
      </c>
      <c r="S3535" s="183">
        <f t="shared" ref="S3535:S3553" si="4218">P3535/J3535</f>
        <v>1.3215859030837005E-2</v>
      </c>
      <c r="T3535" s="183">
        <f t="shared" ref="T3535:T3553" si="4219">O3535/J3535</f>
        <v>8.8105726872246701E-2</v>
      </c>
      <c r="U3535" s="184">
        <f t="shared" ref="U3535:U3553" si="4220">S3535+R3535+Q3535+T3535</f>
        <v>1</v>
      </c>
      <c r="V3535" s="386"/>
    </row>
    <row r="3536" spans="2:22" ht="15.75" hidden="1" x14ac:dyDescent="0.2">
      <c r="B3536" s="729">
        <v>46305</v>
      </c>
      <c r="C3536" s="729" t="s">
        <v>105</v>
      </c>
      <c r="D3536" s="729" t="s">
        <v>13</v>
      </c>
      <c r="E3536" s="729">
        <v>46305</v>
      </c>
      <c r="G3536" s="811"/>
      <c r="H3536" s="497" t="s">
        <v>25</v>
      </c>
      <c r="I3536" s="60" t="s">
        <v>105</v>
      </c>
      <c r="J3536" s="60">
        <v>214</v>
      </c>
      <c r="K3536" s="60">
        <f t="shared" si="4215"/>
        <v>145</v>
      </c>
      <c r="L3536" s="60">
        <v>22</v>
      </c>
      <c r="M3536" s="60">
        <v>0</v>
      </c>
      <c r="N3536" s="494">
        <v>0</v>
      </c>
      <c r="O3536" s="60">
        <v>23</v>
      </c>
      <c r="P3536" s="494">
        <v>24</v>
      </c>
      <c r="Q3536" s="182">
        <f t="shared" si="4216"/>
        <v>0.78037383177570097</v>
      </c>
      <c r="R3536" s="182">
        <f t="shared" si="4217"/>
        <v>0</v>
      </c>
      <c r="S3536" s="183">
        <f t="shared" si="4218"/>
        <v>0.11214953271028037</v>
      </c>
      <c r="T3536" s="183">
        <f t="shared" si="4219"/>
        <v>0.10747663551401869</v>
      </c>
      <c r="U3536" s="184">
        <f t="shared" si="4220"/>
        <v>1</v>
      </c>
      <c r="V3536" s="386"/>
    </row>
    <row r="3537" spans="2:22" ht="15.75" hidden="1" x14ac:dyDescent="0.2">
      <c r="B3537" s="729">
        <v>46305</v>
      </c>
      <c r="C3537" s="729" t="s">
        <v>105</v>
      </c>
      <c r="D3537" s="729" t="s">
        <v>13</v>
      </c>
      <c r="E3537" s="729">
        <v>46306</v>
      </c>
      <c r="G3537" s="692">
        <v>46306</v>
      </c>
      <c r="H3537" s="497" t="s">
        <v>17</v>
      </c>
      <c r="I3537" s="60" t="s">
        <v>106</v>
      </c>
      <c r="J3537" s="60">
        <v>173</v>
      </c>
      <c r="K3537" s="60">
        <f t="shared" si="4215"/>
        <v>60</v>
      </c>
      <c r="L3537" s="60">
        <v>40</v>
      </c>
      <c r="M3537" s="60">
        <v>11</v>
      </c>
      <c r="N3537" s="494">
        <v>0</v>
      </c>
      <c r="O3537" s="60">
        <v>30</v>
      </c>
      <c r="P3537" s="494">
        <v>32</v>
      </c>
      <c r="Q3537" s="182">
        <f t="shared" si="4216"/>
        <v>0.5780346820809249</v>
      </c>
      <c r="R3537" s="182">
        <f t="shared" si="4217"/>
        <v>0</v>
      </c>
      <c r="S3537" s="183">
        <f t="shared" si="4218"/>
        <v>0.18497109826589594</v>
      </c>
      <c r="T3537" s="183">
        <f t="shared" si="4219"/>
        <v>0.17341040462427745</v>
      </c>
      <c r="U3537" s="184">
        <f t="shared" si="4220"/>
        <v>0.93641618497109835</v>
      </c>
      <c r="V3537" s="386"/>
    </row>
    <row r="3538" spans="2:22" ht="15.75" hidden="1" x14ac:dyDescent="0.2">
      <c r="B3538" s="729">
        <v>46305</v>
      </c>
      <c r="C3538" s="729" t="s">
        <v>105</v>
      </c>
      <c r="D3538" s="729" t="s">
        <v>13</v>
      </c>
      <c r="E3538" s="729">
        <v>46307</v>
      </c>
      <c r="G3538" s="813">
        <v>46307</v>
      </c>
      <c r="H3538" s="497" t="s">
        <v>16</v>
      </c>
      <c r="I3538" s="60" t="s">
        <v>127</v>
      </c>
      <c r="J3538" s="60">
        <v>250</v>
      </c>
      <c r="K3538" s="60">
        <f t="shared" si="4215"/>
        <v>120</v>
      </c>
      <c r="L3538" s="60">
        <v>94</v>
      </c>
      <c r="M3538" s="60">
        <v>12</v>
      </c>
      <c r="N3538" s="494">
        <v>0</v>
      </c>
      <c r="O3538" s="60">
        <v>20</v>
      </c>
      <c r="P3538" s="494">
        <v>4</v>
      </c>
      <c r="Q3538" s="182">
        <f t="shared" si="4216"/>
        <v>0.85599999999999998</v>
      </c>
      <c r="R3538" s="182">
        <f t="shared" si="4217"/>
        <v>0</v>
      </c>
      <c r="S3538" s="183">
        <f t="shared" si="4218"/>
        <v>1.6E-2</v>
      </c>
      <c r="T3538" s="183">
        <f t="shared" si="4219"/>
        <v>0.08</v>
      </c>
      <c r="U3538" s="184">
        <f t="shared" si="4220"/>
        <v>0.95199999999999996</v>
      </c>
      <c r="V3538" s="386"/>
    </row>
    <row r="3539" spans="2:22" ht="15.75" hidden="1" x14ac:dyDescent="0.2">
      <c r="B3539" s="729">
        <v>46305</v>
      </c>
      <c r="C3539" s="729" t="s">
        <v>105</v>
      </c>
      <c r="D3539" s="729" t="s">
        <v>13</v>
      </c>
      <c r="E3539" s="729">
        <v>46307</v>
      </c>
      <c r="G3539" s="814"/>
      <c r="H3539" s="497" t="s">
        <v>216</v>
      </c>
      <c r="I3539" s="60" t="s">
        <v>217</v>
      </c>
      <c r="J3539" s="194">
        <v>80</v>
      </c>
      <c r="K3539" s="60">
        <f t="shared" si="4215"/>
        <v>46</v>
      </c>
      <c r="L3539" s="194">
        <v>7</v>
      </c>
      <c r="M3539" s="194">
        <v>5</v>
      </c>
      <c r="N3539" s="538">
        <v>0</v>
      </c>
      <c r="O3539" s="194">
        <v>7</v>
      </c>
      <c r="P3539" s="538">
        <v>15</v>
      </c>
      <c r="Q3539" s="182">
        <f t="shared" ref="Q3539:Q3540" si="4221">(K3539+L3539)/J3539</f>
        <v>0.66249999999999998</v>
      </c>
      <c r="R3539" s="182">
        <f t="shared" ref="R3539:R3540" si="4222">N3539/J3539</f>
        <v>0</v>
      </c>
      <c r="S3539" s="183">
        <f t="shared" ref="S3539:S3540" si="4223">P3539/J3539</f>
        <v>0.1875</v>
      </c>
      <c r="T3539" s="183">
        <f t="shared" ref="T3539:T3540" si="4224">O3539/J3539</f>
        <v>8.7499999999999994E-2</v>
      </c>
      <c r="U3539" s="184">
        <f t="shared" ref="U3539:U3540" si="4225">S3539+R3539+Q3539+T3539</f>
        <v>0.9375</v>
      </c>
      <c r="V3539" s="386"/>
    </row>
    <row r="3540" spans="2:22" ht="15.75" hidden="1" x14ac:dyDescent="0.2">
      <c r="B3540" s="729">
        <v>46305</v>
      </c>
      <c r="C3540" s="729" t="s">
        <v>105</v>
      </c>
      <c r="D3540" s="729" t="s">
        <v>13</v>
      </c>
      <c r="E3540" s="729">
        <v>46307</v>
      </c>
      <c r="G3540" s="814"/>
      <c r="H3540" s="497" t="s">
        <v>215</v>
      </c>
      <c r="I3540" s="60" t="s">
        <v>106</v>
      </c>
      <c r="J3540" s="194">
        <v>206</v>
      </c>
      <c r="K3540" s="60">
        <f t="shared" si="4215"/>
        <v>0</v>
      </c>
      <c r="L3540" s="194">
        <v>0</v>
      </c>
      <c r="M3540" s="194">
        <v>8</v>
      </c>
      <c r="N3540" s="538">
        <v>174</v>
      </c>
      <c r="O3540" s="194">
        <v>0</v>
      </c>
      <c r="P3540" s="538">
        <v>24</v>
      </c>
      <c r="Q3540" s="182">
        <f t="shared" si="4221"/>
        <v>0</v>
      </c>
      <c r="R3540" s="182">
        <f t="shared" si="4222"/>
        <v>0.84466019417475724</v>
      </c>
      <c r="S3540" s="183">
        <f t="shared" si="4223"/>
        <v>0.11650485436893204</v>
      </c>
      <c r="T3540" s="183">
        <f t="shared" si="4224"/>
        <v>0</v>
      </c>
      <c r="U3540" s="184">
        <f t="shared" si="4225"/>
        <v>0.96116504854368934</v>
      </c>
      <c r="V3540" s="386"/>
    </row>
    <row r="3541" spans="2:22" ht="15.75" hidden="1" x14ac:dyDescent="0.2">
      <c r="B3541" s="729">
        <v>46305</v>
      </c>
      <c r="C3541" s="729" t="s">
        <v>105</v>
      </c>
      <c r="D3541" s="729" t="s">
        <v>13</v>
      </c>
      <c r="E3541" s="729">
        <v>46307</v>
      </c>
      <c r="G3541" s="814"/>
      <c r="H3541" s="497" t="s">
        <v>14</v>
      </c>
      <c r="I3541" s="60" t="s">
        <v>106</v>
      </c>
      <c r="J3541" s="194">
        <v>188</v>
      </c>
      <c r="K3541" s="194">
        <v>0</v>
      </c>
      <c r="L3541" s="194">
        <v>0</v>
      </c>
      <c r="M3541" s="194">
        <v>95</v>
      </c>
      <c r="N3541" s="538">
        <v>61</v>
      </c>
      <c r="O3541" s="194">
        <v>15</v>
      </c>
      <c r="P3541" s="538">
        <v>17</v>
      </c>
      <c r="Q3541" s="182">
        <f t="shared" ref="Q3541:Q3542" si="4226">(K3541+L3541)/J3541</f>
        <v>0</v>
      </c>
      <c r="R3541" s="182">
        <f t="shared" ref="R3541:R3542" si="4227">N3541/J3541</f>
        <v>0.32446808510638298</v>
      </c>
      <c r="S3541" s="183">
        <f t="shared" ref="S3541:S3542" si="4228">P3541/J3541</f>
        <v>9.0425531914893623E-2</v>
      </c>
      <c r="T3541" s="183">
        <f t="shared" ref="T3541:T3542" si="4229">O3541/J3541</f>
        <v>7.9787234042553196E-2</v>
      </c>
      <c r="U3541" s="184">
        <f t="shared" ref="U3541:U3542" si="4230">S3541+R3541+Q3541+T3541</f>
        <v>0.49468085106382975</v>
      </c>
      <c r="V3541" s="386"/>
    </row>
    <row r="3542" spans="2:22" ht="15.75" hidden="1" x14ac:dyDescent="0.2">
      <c r="B3542" s="729">
        <v>46305</v>
      </c>
      <c r="C3542" s="729" t="s">
        <v>105</v>
      </c>
      <c r="D3542" s="729" t="s">
        <v>13</v>
      </c>
      <c r="E3542" s="729">
        <v>46307</v>
      </c>
      <c r="G3542" s="815"/>
      <c r="H3542" s="497" t="s">
        <v>118</v>
      </c>
      <c r="I3542" s="60" t="s">
        <v>105</v>
      </c>
      <c r="J3542" s="194">
        <v>235</v>
      </c>
      <c r="K3542" s="194">
        <v>0</v>
      </c>
      <c r="L3542" s="194">
        <v>1</v>
      </c>
      <c r="M3542" s="194">
        <v>206</v>
      </c>
      <c r="N3542" s="538">
        <v>0</v>
      </c>
      <c r="O3542" s="194">
        <v>16</v>
      </c>
      <c r="P3542" s="538">
        <v>12</v>
      </c>
      <c r="Q3542" s="182">
        <f t="shared" si="4226"/>
        <v>4.2553191489361703E-3</v>
      </c>
      <c r="R3542" s="182">
        <f t="shared" si="4227"/>
        <v>0</v>
      </c>
      <c r="S3542" s="183">
        <f t="shared" si="4228"/>
        <v>5.106382978723404E-2</v>
      </c>
      <c r="T3542" s="183">
        <f t="shared" si="4229"/>
        <v>6.8085106382978725E-2</v>
      </c>
      <c r="U3542" s="184">
        <f t="shared" si="4230"/>
        <v>0.12340425531914893</v>
      </c>
      <c r="V3542" s="386"/>
    </row>
    <row r="3543" spans="2:22" ht="15.75" hidden="1" x14ac:dyDescent="0.2">
      <c r="B3543" s="729">
        <v>46305</v>
      </c>
      <c r="C3543" s="729" t="s">
        <v>105</v>
      </c>
      <c r="D3543" s="729" t="s">
        <v>13</v>
      </c>
      <c r="E3543" s="729">
        <v>46307</v>
      </c>
      <c r="G3543" s="775" t="s">
        <v>19</v>
      </c>
      <c r="H3543" s="776"/>
      <c r="I3543" s="777"/>
      <c r="J3543" s="190">
        <f>SUM(J3535:J3542)</f>
        <v>1573</v>
      </c>
      <c r="K3543" s="190">
        <f t="shared" ref="K3543:P3543" si="4231">SUM(K3535:K3542)</f>
        <v>528</v>
      </c>
      <c r="L3543" s="190">
        <f t="shared" si="4231"/>
        <v>211</v>
      </c>
      <c r="M3543" s="190">
        <f t="shared" si="4231"/>
        <v>337</v>
      </c>
      <c r="N3543" s="190">
        <f t="shared" si="4231"/>
        <v>235</v>
      </c>
      <c r="O3543" s="190">
        <f t="shared" si="4231"/>
        <v>131</v>
      </c>
      <c r="P3543" s="190">
        <f t="shared" si="4231"/>
        <v>131</v>
      </c>
      <c r="Q3543" s="481">
        <f>(K3543+L3543)/J3543</f>
        <v>0.46980292434837889</v>
      </c>
      <c r="R3543" s="481">
        <f>N3543/J3543</f>
        <v>0.14939605848696758</v>
      </c>
      <c r="S3543" s="482">
        <f t="shared" si="4218"/>
        <v>8.3280356007628731E-2</v>
      </c>
      <c r="T3543" s="482">
        <f t="shared" si="4219"/>
        <v>8.3280356007628731E-2</v>
      </c>
      <c r="U3543" s="483">
        <f t="shared" si="4220"/>
        <v>0.78575969485060393</v>
      </c>
      <c r="V3543" s="479"/>
    </row>
    <row r="3544" spans="2:22" ht="15.75" hidden="1" x14ac:dyDescent="0.2">
      <c r="B3544" s="733">
        <v>46306</v>
      </c>
      <c r="C3544" s="733" t="s">
        <v>106</v>
      </c>
      <c r="D3544" s="733" t="s">
        <v>189</v>
      </c>
      <c r="E3544" s="733">
        <v>46306</v>
      </c>
      <c r="G3544" s="731">
        <v>46306</v>
      </c>
      <c r="H3544" s="497" t="s">
        <v>17</v>
      </c>
      <c r="I3544" s="60" t="s">
        <v>106</v>
      </c>
      <c r="J3544" s="60">
        <v>98</v>
      </c>
      <c r="K3544" s="60">
        <f>J3544-L3544-M3544-N3544-O3544-P3544</f>
        <v>34</v>
      </c>
      <c r="L3544" s="60">
        <v>28</v>
      </c>
      <c r="M3544" s="60">
        <v>4</v>
      </c>
      <c r="N3544" s="494">
        <v>0</v>
      </c>
      <c r="O3544" s="60">
        <v>0</v>
      </c>
      <c r="P3544" s="494">
        <v>32</v>
      </c>
      <c r="Q3544" s="182">
        <f t="shared" ref="Q3544:Q3552" si="4232">(K3544+L3544)/J3544</f>
        <v>0.63265306122448983</v>
      </c>
      <c r="R3544" s="182">
        <f t="shared" ref="R3544:R3552" si="4233">N3544/J3544</f>
        <v>0</v>
      </c>
      <c r="S3544" s="183">
        <f t="shared" si="4218"/>
        <v>0.32653061224489793</v>
      </c>
      <c r="T3544" s="183">
        <f t="shared" si="4219"/>
        <v>0</v>
      </c>
      <c r="U3544" s="184">
        <f t="shared" si="4220"/>
        <v>0.95918367346938771</v>
      </c>
      <c r="V3544" s="386"/>
    </row>
    <row r="3545" spans="2:22" ht="15.75" hidden="1" x14ac:dyDescent="0.2">
      <c r="B3545" s="733">
        <v>46306</v>
      </c>
      <c r="C3545" s="733" t="s">
        <v>106</v>
      </c>
      <c r="D3545" s="733" t="s">
        <v>189</v>
      </c>
      <c r="E3545" s="733">
        <v>46307</v>
      </c>
      <c r="G3545" s="778">
        <v>46307</v>
      </c>
      <c r="H3545" s="497" t="s">
        <v>16</v>
      </c>
      <c r="I3545" s="60" t="s">
        <v>127</v>
      </c>
      <c r="J3545" s="60">
        <v>86</v>
      </c>
      <c r="K3545" s="60">
        <f t="shared" ref="K3545:K3552" si="4234">J3545-L3545-M3545-N3545-O3545-P3545</f>
        <v>0</v>
      </c>
      <c r="L3545" s="60"/>
      <c r="M3545" s="60">
        <v>20</v>
      </c>
      <c r="N3545" s="494">
        <v>58</v>
      </c>
      <c r="O3545" s="60">
        <v>0</v>
      </c>
      <c r="P3545" s="494">
        <v>8</v>
      </c>
      <c r="Q3545" s="182">
        <f t="shared" si="4232"/>
        <v>0</v>
      </c>
      <c r="R3545" s="182">
        <f t="shared" si="4233"/>
        <v>0.67441860465116277</v>
      </c>
      <c r="S3545" s="183">
        <f t="shared" si="4218"/>
        <v>9.3023255813953487E-2</v>
      </c>
      <c r="T3545" s="183">
        <f t="shared" si="4219"/>
        <v>0</v>
      </c>
      <c r="U3545" s="184">
        <f t="shared" si="4220"/>
        <v>0.76744186046511631</v>
      </c>
      <c r="V3545" s="386" t="s">
        <v>219</v>
      </c>
    </row>
    <row r="3546" spans="2:22" ht="15.75" hidden="1" x14ac:dyDescent="0.2">
      <c r="B3546" s="733">
        <v>46306</v>
      </c>
      <c r="C3546" s="733" t="s">
        <v>106</v>
      </c>
      <c r="D3546" s="733" t="s">
        <v>189</v>
      </c>
      <c r="E3546" s="733">
        <v>46307</v>
      </c>
      <c r="G3546" s="786"/>
      <c r="H3546" s="497" t="s">
        <v>14</v>
      </c>
      <c r="I3546" s="60" t="s">
        <v>106</v>
      </c>
      <c r="J3546" s="60">
        <v>188</v>
      </c>
      <c r="K3546" s="60">
        <f t="shared" si="4234"/>
        <v>124</v>
      </c>
      <c r="L3546" s="60">
        <v>31</v>
      </c>
      <c r="M3546" s="60">
        <v>15</v>
      </c>
      <c r="N3546" s="494">
        <v>0</v>
      </c>
      <c r="O3546" s="60">
        <v>0</v>
      </c>
      <c r="P3546" s="494">
        <v>18</v>
      </c>
      <c r="Q3546" s="182">
        <f t="shared" si="4232"/>
        <v>0.82446808510638303</v>
      </c>
      <c r="R3546" s="182">
        <f t="shared" si="4233"/>
        <v>0</v>
      </c>
      <c r="S3546" s="183">
        <f t="shared" si="4218"/>
        <v>9.5744680851063829E-2</v>
      </c>
      <c r="T3546" s="183">
        <f t="shared" si="4219"/>
        <v>0</v>
      </c>
      <c r="U3546" s="184">
        <f t="shared" si="4220"/>
        <v>0.92021276595744683</v>
      </c>
      <c r="V3546" s="386"/>
    </row>
    <row r="3547" spans="2:22" ht="15.75" hidden="1" x14ac:dyDescent="0.2">
      <c r="B3547" s="733">
        <v>46306</v>
      </c>
      <c r="C3547" s="733" t="s">
        <v>106</v>
      </c>
      <c r="D3547" s="733" t="s">
        <v>189</v>
      </c>
      <c r="E3547" s="733">
        <v>46307</v>
      </c>
      <c r="G3547" s="786"/>
      <c r="H3547" s="497" t="s">
        <v>212</v>
      </c>
      <c r="I3547" s="60" t="s">
        <v>22</v>
      </c>
      <c r="J3547" s="60">
        <v>206</v>
      </c>
      <c r="K3547" s="60">
        <f t="shared" si="4234"/>
        <v>169</v>
      </c>
      <c r="L3547" s="60">
        <v>2</v>
      </c>
      <c r="M3547" s="60">
        <v>4</v>
      </c>
      <c r="N3547" s="494">
        <v>7</v>
      </c>
      <c r="O3547" s="60">
        <v>0</v>
      </c>
      <c r="P3547" s="494">
        <v>24</v>
      </c>
      <c r="Q3547" s="182">
        <f t="shared" si="4232"/>
        <v>0.83009708737864074</v>
      </c>
      <c r="R3547" s="182">
        <f t="shared" si="4233"/>
        <v>3.3980582524271843E-2</v>
      </c>
      <c r="S3547" s="183">
        <f t="shared" si="4218"/>
        <v>0.11650485436893204</v>
      </c>
      <c r="T3547" s="183">
        <f t="shared" si="4219"/>
        <v>0</v>
      </c>
      <c r="U3547" s="184">
        <f t="shared" si="4220"/>
        <v>0.98058252427184467</v>
      </c>
      <c r="V3547" s="386"/>
    </row>
    <row r="3548" spans="2:22" ht="15.75" hidden="1" x14ac:dyDescent="0.2">
      <c r="B3548" s="733">
        <v>46306</v>
      </c>
      <c r="C3548" s="733" t="s">
        <v>106</v>
      </c>
      <c r="D3548" s="733" t="s">
        <v>189</v>
      </c>
      <c r="E3548" s="733">
        <v>46307</v>
      </c>
      <c r="G3548" s="786"/>
      <c r="H3548" s="497" t="s">
        <v>109</v>
      </c>
      <c r="I3548" s="60" t="s">
        <v>22</v>
      </c>
      <c r="J3548" s="60">
        <v>2</v>
      </c>
      <c r="K3548" s="60">
        <f t="shared" si="4234"/>
        <v>0</v>
      </c>
      <c r="L3548" s="60">
        <v>0</v>
      </c>
      <c r="M3548" s="60">
        <v>0</v>
      </c>
      <c r="N3548" s="494">
        <v>2</v>
      </c>
      <c r="O3548" s="60">
        <v>0</v>
      </c>
      <c r="P3548" s="494">
        <v>0</v>
      </c>
      <c r="Q3548" s="182">
        <f t="shared" ref="Q3548" si="4235">(K3548+L3548)/J3548</f>
        <v>0</v>
      </c>
      <c r="R3548" s="182">
        <f t="shared" ref="R3548" si="4236">N3548/J3548</f>
        <v>1</v>
      </c>
      <c r="S3548" s="183">
        <f t="shared" ref="S3548" si="4237">P3548/J3548</f>
        <v>0</v>
      </c>
      <c r="T3548" s="183">
        <f t="shared" ref="T3548" si="4238">O3548/J3548</f>
        <v>0</v>
      </c>
      <c r="U3548" s="184">
        <f t="shared" ref="U3548" si="4239">S3548+R3548+Q3548+T3548</f>
        <v>1</v>
      </c>
      <c r="V3548" s="386"/>
    </row>
    <row r="3549" spans="2:22" ht="15.75" hidden="1" x14ac:dyDescent="0.2">
      <c r="B3549" s="733">
        <v>46306</v>
      </c>
      <c r="C3549" s="733" t="s">
        <v>106</v>
      </c>
      <c r="D3549" s="733" t="s">
        <v>189</v>
      </c>
      <c r="E3549" s="733">
        <v>46307</v>
      </c>
      <c r="G3549" s="786"/>
      <c r="H3549" s="497" t="s">
        <v>32</v>
      </c>
      <c r="I3549" s="60" t="s">
        <v>18</v>
      </c>
      <c r="J3549" s="60">
        <v>30</v>
      </c>
      <c r="K3549" s="60">
        <f t="shared" si="4234"/>
        <v>0</v>
      </c>
      <c r="L3549" s="60">
        <v>0</v>
      </c>
      <c r="M3549" s="60">
        <v>12</v>
      </c>
      <c r="N3549" s="494">
        <v>5</v>
      </c>
      <c r="O3549" s="60">
        <v>0</v>
      </c>
      <c r="P3549" s="494">
        <v>13</v>
      </c>
      <c r="Q3549" s="182">
        <f t="shared" ref="Q3549" si="4240">(K3549+L3549)/J3549</f>
        <v>0</v>
      </c>
      <c r="R3549" s="182">
        <f t="shared" ref="R3549" si="4241">N3549/J3549</f>
        <v>0.16666666666666666</v>
      </c>
      <c r="S3549" s="183">
        <f t="shared" ref="S3549" si="4242">P3549/J3549</f>
        <v>0.43333333333333335</v>
      </c>
      <c r="T3549" s="183">
        <f t="shared" ref="T3549" si="4243">O3549/J3549</f>
        <v>0</v>
      </c>
      <c r="U3549" s="184">
        <f t="shared" ref="U3549" si="4244">S3549+R3549+Q3549+T3549</f>
        <v>0.6</v>
      </c>
      <c r="V3549" s="386"/>
    </row>
    <row r="3550" spans="2:22" ht="15.75" hidden="1" x14ac:dyDescent="0.2">
      <c r="B3550" s="733">
        <v>46306</v>
      </c>
      <c r="C3550" s="733" t="s">
        <v>106</v>
      </c>
      <c r="D3550" s="733" t="s">
        <v>189</v>
      </c>
      <c r="E3550" s="733">
        <v>46307</v>
      </c>
      <c r="G3550" s="779"/>
      <c r="H3550" s="497" t="s">
        <v>118</v>
      </c>
      <c r="I3550" s="60" t="s">
        <v>105</v>
      </c>
      <c r="J3550" s="60">
        <v>233</v>
      </c>
      <c r="K3550" s="60">
        <f t="shared" si="4234"/>
        <v>0</v>
      </c>
      <c r="L3550" s="60">
        <v>0</v>
      </c>
      <c r="M3550" s="60">
        <v>16</v>
      </c>
      <c r="N3550" s="494">
        <v>206</v>
      </c>
      <c r="O3550" s="60">
        <v>0</v>
      </c>
      <c r="P3550" s="494">
        <v>11</v>
      </c>
      <c r="Q3550" s="182">
        <f t="shared" si="4232"/>
        <v>0</v>
      </c>
      <c r="R3550" s="182">
        <f t="shared" si="4233"/>
        <v>0.88412017167381973</v>
      </c>
      <c r="S3550" s="183">
        <f t="shared" si="4218"/>
        <v>4.7210300429184553E-2</v>
      </c>
      <c r="T3550" s="183">
        <f t="shared" si="4219"/>
        <v>0</v>
      </c>
      <c r="U3550" s="184">
        <f t="shared" si="4220"/>
        <v>0.93133047210300424</v>
      </c>
      <c r="V3550" s="386"/>
    </row>
    <row r="3551" spans="2:22" ht="15.75" hidden="1" x14ac:dyDescent="0.2">
      <c r="B3551" s="733">
        <v>46306</v>
      </c>
      <c r="C3551" s="733" t="s">
        <v>106</v>
      </c>
      <c r="D3551" s="733" t="s">
        <v>189</v>
      </c>
      <c r="E3551" s="733">
        <v>46307</v>
      </c>
      <c r="G3551" s="773">
        <v>46308</v>
      </c>
      <c r="H3551" s="497" t="s">
        <v>16</v>
      </c>
      <c r="I3551" s="60" t="s">
        <v>218</v>
      </c>
      <c r="J3551" s="60">
        <v>253</v>
      </c>
      <c r="K3551" s="60">
        <f t="shared" si="4234"/>
        <v>0</v>
      </c>
      <c r="L3551" s="60">
        <v>0</v>
      </c>
      <c r="M3551" s="60">
        <v>129</v>
      </c>
      <c r="N3551" s="494">
        <v>113</v>
      </c>
      <c r="O3551" s="60">
        <v>0</v>
      </c>
      <c r="P3551" s="494">
        <v>11</v>
      </c>
      <c r="Q3551" s="182">
        <f t="shared" si="4232"/>
        <v>0</v>
      </c>
      <c r="R3551" s="182">
        <f t="shared" si="4233"/>
        <v>0.44664031620553357</v>
      </c>
      <c r="S3551" s="183">
        <f t="shared" si="4218"/>
        <v>4.3478260869565216E-2</v>
      </c>
      <c r="T3551" s="183">
        <f t="shared" si="4219"/>
        <v>0</v>
      </c>
      <c r="U3551" s="184">
        <f t="shared" si="4220"/>
        <v>0.49011857707509876</v>
      </c>
      <c r="V3551" s="386"/>
    </row>
    <row r="3552" spans="2:22" ht="15.75" hidden="1" x14ac:dyDescent="0.2">
      <c r="B3552" s="733">
        <v>46306</v>
      </c>
      <c r="C3552" s="733" t="s">
        <v>106</v>
      </c>
      <c r="D3552" s="733" t="s">
        <v>189</v>
      </c>
      <c r="E3552" s="733">
        <v>46307</v>
      </c>
      <c r="G3552" s="774"/>
      <c r="H3552" s="497" t="s">
        <v>17</v>
      </c>
      <c r="I3552" s="60" t="s">
        <v>105</v>
      </c>
      <c r="J3552" s="60">
        <v>182</v>
      </c>
      <c r="K3552" s="60">
        <f t="shared" si="4234"/>
        <v>0</v>
      </c>
      <c r="L3552" s="60">
        <v>0</v>
      </c>
      <c r="M3552" s="60">
        <v>129</v>
      </c>
      <c r="N3552" s="494">
        <v>35</v>
      </c>
      <c r="O3552" s="60">
        <v>0</v>
      </c>
      <c r="P3552" s="494">
        <v>18</v>
      </c>
      <c r="Q3552" s="182">
        <f t="shared" si="4232"/>
        <v>0</v>
      </c>
      <c r="R3552" s="182">
        <f t="shared" si="4233"/>
        <v>0.19230769230769232</v>
      </c>
      <c r="S3552" s="183">
        <f t="shared" si="4218"/>
        <v>9.8901098901098897E-2</v>
      </c>
      <c r="T3552" s="183">
        <f t="shared" si="4219"/>
        <v>0</v>
      </c>
      <c r="U3552" s="184">
        <f t="shared" si="4220"/>
        <v>0.29120879120879123</v>
      </c>
      <c r="V3552" s="386"/>
    </row>
    <row r="3553" spans="2:22" ht="15.75" hidden="1" x14ac:dyDescent="0.2">
      <c r="B3553" s="733">
        <v>46306</v>
      </c>
      <c r="C3553" s="733" t="s">
        <v>106</v>
      </c>
      <c r="D3553" s="733" t="s">
        <v>189</v>
      </c>
      <c r="E3553" s="733">
        <v>46306</v>
      </c>
      <c r="G3553" s="775" t="s">
        <v>19</v>
      </c>
      <c r="H3553" s="776"/>
      <c r="I3553" s="777"/>
      <c r="J3553" s="190">
        <f t="shared" ref="J3553:P3553" si="4245">SUM(J3544:J3552)</f>
        <v>1278</v>
      </c>
      <c r="K3553" s="190">
        <f t="shared" si="4245"/>
        <v>327</v>
      </c>
      <c r="L3553" s="190">
        <f t="shared" si="4245"/>
        <v>61</v>
      </c>
      <c r="M3553" s="190">
        <f t="shared" si="4245"/>
        <v>329</v>
      </c>
      <c r="N3553" s="190">
        <f t="shared" si="4245"/>
        <v>426</v>
      </c>
      <c r="O3553" s="190">
        <f t="shared" si="4245"/>
        <v>0</v>
      </c>
      <c r="P3553" s="190">
        <f t="shared" si="4245"/>
        <v>135</v>
      </c>
      <c r="Q3553" s="481">
        <f>(K3553+L3553)/J3553</f>
        <v>0.30359937402190923</v>
      </c>
      <c r="R3553" s="481">
        <f>N3553/J3553</f>
        <v>0.33333333333333331</v>
      </c>
      <c r="S3553" s="482">
        <f t="shared" si="4218"/>
        <v>0.10563380281690141</v>
      </c>
      <c r="T3553" s="482">
        <f t="shared" si="4219"/>
        <v>0</v>
      </c>
      <c r="U3553" s="483">
        <f t="shared" si="4220"/>
        <v>0.74256651017214392</v>
      </c>
      <c r="V3553" s="479"/>
    </row>
    <row r="3554" spans="2:22" ht="15.75" hidden="1" x14ac:dyDescent="0.2">
      <c r="B3554" s="734">
        <v>46307</v>
      </c>
      <c r="C3554" s="734" t="s">
        <v>106</v>
      </c>
      <c r="D3554" s="734" t="s">
        <v>189</v>
      </c>
      <c r="E3554" s="734">
        <v>46307</v>
      </c>
      <c r="G3554" s="778">
        <v>46307</v>
      </c>
      <c r="H3554" s="497" t="s">
        <v>16</v>
      </c>
      <c r="I3554" s="60" t="s">
        <v>127</v>
      </c>
      <c r="J3554" s="60">
        <f>SUM(K3554:P3554)</f>
        <v>112</v>
      </c>
      <c r="K3554" s="60">
        <f>104-42</f>
        <v>62</v>
      </c>
      <c r="L3554" s="60">
        <f>59-38</f>
        <v>21</v>
      </c>
      <c r="M3554" s="60">
        <v>0</v>
      </c>
      <c r="N3554" s="494">
        <v>0</v>
      </c>
      <c r="O3554" s="60">
        <v>20</v>
      </c>
      <c r="P3554" s="494">
        <v>9</v>
      </c>
      <c r="Q3554" s="182">
        <f t="shared" ref="Q3554:Q3561" si="4246">(K3554+L3554)/J3554</f>
        <v>0.7410714285714286</v>
      </c>
      <c r="R3554" s="182">
        <f t="shared" ref="R3554:R3561" si="4247">N3554/J3554</f>
        <v>0</v>
      </c>
      <c r="S3554" s="183">
        <f t="shared" ref="S3554:S3562" si="4248">P3554/J3554</f>
        <v>8.0357142857142863E-2</v>
      </c>
      <c r="T3554" s="183">
        <f t="shared" ref="T3554:T3562" si="4249">O3554/J3554</f>
        <v>0.17857142857142858</v>
      </c>
      <c r="U3554" s="184">
        <f t="shared" ref="U3554:U3562" si="4250">S3554+R3554+Q3554+T3554</f>
        <v>1</v>
      </c>
      <c r="V3554" s="386"/>
    </row>
    <row r="3555" spans="2:22" ht="15.75" hidden="1" x14ac:dyDescent="0.2">
      <c r="B3555" s="734">
        <v>46307</v>
      </c>
      <c r="C3555" s="734" t="s">
        <v>106</v>
      </c>
      <c r="D3555" s="734" t="s">
        <v>189</v>
      </c>
      <c r="E3555" s="734">
        <v>46307</v>
      </c>
      <c r="G3555" s="786"/>
      <c r="H3555" s="497" t="s">
        <v>14</v>
      </c>
      <c r="I3555" s="60" t="s">
        <v>106</v>
      </c>
      <c r="J3555" s="60">
        <f t="shared" ref="J3555:J3558" si="4251">SUM(K3555:P3555)</f>
        <v>44</v>
      </c>
      <c r="K3555" s="60">
        <v>25</v>
      </c>
      <c r="L3555" s="60">
        <v>2</v>
      </c>
      <c r="M3555" s="60">
        <v>0</v>
      </c>
      <c r="N3555" s="494">
        <v>0</v>
      </c>
      <c r="O3555" s="60">
        <v>0</v>
      </c>
      <c r="P3555" s="494">
        <v>17</v>
      </c>
      <c r="Q3555" s="182">
        <f t="shared" si="4246"/>
        <v>0.61363636363636365</v>
      </c>
      <c r="R3555" s="182">
        <f t="shared" si="4247"/>
        <v>0</v>
      </c>
      <c r="S3555" s="183">
        <f t="shared" si="4248"/>
        <v>0.38636363636363635</v>
      </c>
      <c r="T3555" s="183">
        <f t="shared" si="4249"/>
        <v>0</v>
      </c>
      <c r="U3555" s="184">
        <f t="shared" si="4250"/>
        <v>1</v>
      </c>
      <c r="V3555" s="386"/>
    </row>
    <row r="3556" spans="2:22" ht="15.75" hidden="1" x14ac:dyDescent="0.2">
      <c r="B3556" s="734">
        <v>46307</v>
      </c>
      <c r="C3556" s="734" t="s">
        <v>106</v>
      </c>
      <c r="D3556" s="734" t="s">
        <v>189</v>
      </c>
      <c r="E3556" s="734">
        <v>46307</v>
      </c>
      <c r="G3556" s="786"/>
      <c r="H3556" s="497" t="s">
        <v>212</v>
      </c>
      <c r="I3556" s="60" t="s">
        <v>22</v>
      </c>
      <c r="J3556" s="60">
        <f t="shared" si="4251"/>
        <v>36</v>
      </c>
      <c r="K3556" s="60">
        <v>14</v>
      </c>
      <c r="L3556" s="60">
        <v>0</v>
      </c>
      <c r="M3556" s="60">
        <v>0</v>
      </c>
      <c r="N3556" s="494">
        <v>0</v>
      </c>
      <c r="O3556" s="60">
        <v>0</v>
      </c>
      <c r="P3556" s="494">
        <v>22</v>
      </c>
      <c r="Q3556" s="182">
        <f t="shared" si="4246"/>
        <v>0.3888888888888889</v>
      </c>
      <c r="R3556" s="182">
        <f t="shared" si="4247"/>
        <v>0</v>
      </c>
      <c r="S3556" s="183">
        <f t="shared" si="4248"/>
        <v>0.61111111111111116</v>
      </c>
      <c r="T3556" s="183">
        <f t="shared" si="4249"/>
        <v>0</v>
      </c>
      <c r="U3556" s="184">
        <f t="shared" si="4250"/>
        <v>1</v>
      </c>
      <c r="V3556" s="386"/>
    </row>
    <row r="3557" spans="2:22" ht="15.75" hidden="1" x14ac:dyDescent="0.2">
      <c r="B3557" s="734">
        <v>46307</v>
      </c>
      <c r="C3557" s="734" t="s">
        <v>106</v>
      </c>
      <c r="D3557" s="734" t="s">
        <v>189</v>
      </c>
      <c r="E3557" s="734">
        <v>46307</v>
      </c>
      <c r="G3557" s="786"/>
      <c r="H3557" s="497" t="s">
        <v>32</v>
      </c>
      <c r="I3557" s="60" t="s">
        <v>18</v>
      </c>
      <c r="J3557" s="60">
        <f t="shared" si="4251"/>
        <v>31</v>
      </c>
      <c r="K3557" s="60">
        <v>10</v>
      </c>
      <c r="L3557" s="60">
        <v>1</v>
      </c>
      <c r="M3557" s="60">
        <v>0</v>
      </c>
      <c r="N3557" s="494">
        <v>0</v>
      </c>
      <c r="O3557" s="60">
        <v>7</v>
      </c>
      <c r="P3557" s="494">
        <v>13</v>
      </c>
      <c r="Q3557" s="182">
        <f t="shared" si="4246"/>
        <v>0.35483870967741937</v>
      </c>
      <c r="R3557" s="182">
        <f t="shared" si="4247"/>
        <v>0</v>
      </c>
      <c r="S3557" s="183">
        <f t="shared" si="4248"/>
        <v>0.41935483870967744</v>
      </c>
      <c r="T3557" s="183">
        <f t="shared" si="4249"/>
        <v>0.22580645161290322</v>
      </c>
      <c r="U3557" s="184">
        <f t="shared" si="4250"/>
        <v>1</v>
      </c>
      <c r="V3557" s="386"/>
    </row>
    <row r="3558" spans="2:22" ht="15.75" hidden="1" x14ac:dyDescent="0.2">
      <c r="B3558" s="734">
        <v>46307</v>
      </c>
      <c r="C3558" s="734" t="s">
        <v>106</v>
      </c>
      <c r="D3558" s="734" t="s">
        <v>189</v>
      </c>
      <c r="E3558" s="734">
        <v>46307</v>
      </c>
      <c r="G3558" s="779"/>
      <c r="H3558" s="497" t="s">
        <v>118</v>
      </c>
      <c r="I3558" s="60" t="s">
        <v>105</v>
      </c>
      <c r="J3558" s="60">
        <f t="shared" si="4251"/>
        <v>227</v>
      </c>
      <c r="K3558" s="60">
        <v>168</v>
      </c>
      <c r="L3558" s="60">
        <v>33</v>
      </c>
      <c r="M3558" s="60">
        <v>0</v>
      </c>
      <c r="N3558" s="494">
        <v>0</v>
      </c>
      <c r="O3558" s="60">
        <v>16</v>
      </c>
      <c r="P3558" s="494">
        <v>10</v>
      </c>
      <c r="Q3558" s="182">
        <f t="shared" si="4246"/>
        <v>0.88546255506607929</v>
      </c>
      <c r="R3558" s="182">
        <f t="shared" si="4247"/>
        <v>0</v>
      </c>
      <c r="S3558" s="183">
        <f t="shared" si="4248"/>
        <v>4.405286343612335E-2</v>
      </c>
      <c r="T3558" s="183">
        <f t="shared" si="4249"/>
        <v>7.0484581497797363E-2</v>
      </c>
      <c r="U3558" s="184">
        <f t="shared" si="4250"/>
        <v>1</v>
      </c>
      <c r="V3558" s="386"/>
    </row>
    <row r="3559" spans="2:22" ht="15.75" hidden="1" x14ac:dyDescent="0.2">
      <c r="B3559" s="734">
        <v>46307</v>
      </c>
      <c r="C3559" s="734" t="s">
        <v>106</v>
      </c>
      <c r="D3559" s="734" t="s">
        <v>189</v>
      </c>
      <c r="E3559" s="734">
        <v>46308</v>
      </c>
      <c r="G3559" s="773">
        <v>46308</v>
      </c>
      <c r="H3559" s="497" t="s">
        <v>16</v>
      </c>
      <c r="I3559" s="60" t="s">
        <v>218</v>
      </c>
      <c r="J3559" s="60">
        <v>253</v>
      </c>
      <c r="K3559" s="60">
        <v>42</v>
      </c>
      <c r="L3559" s="60">
        <v>38</v>
      </c>
      <c r="M3559" s="60">
        <v>3</v>
      </c>
      <c r="N3559" s="494">
        <v>139</v>
      </c>
      <c r="O3559" s="60">
        <v>20</v>
      </c>
      <c r="P3559" s="494">
        <v>11</v>
      </c>
      <c r="Q3559" s="182">
        <f t="shared" si="4246"/>
        <v>0.31620553359683795</v>
      </c>
      <c r="R3559" s="182">
        <f t="shared" si="4247"/>
        <v>0.54940711462450598</v>
      </c>
      <c r="S3559" s="183">
        <f t="shared" si="4248"/>
        <v>4.3478260869565216E-2</v>
      </c>
      <c r="T3559" s="183">
        <f t="shared" si="4249"/>
        <v>7.9051383399209488E-2</v>
      </c>
      <c r="U3559" s="184">
        <f t="shared" si="4250"/>
        <v>0.98814229249011865</v>
      </c>
      <c r="V3559" s="386"/>
    </row>
    <row r="3560" spans="2:22" ht="15.75" hidden="1" x14ac:dyDescent="0.2">
      <c r="B3560" s="734">
        <v>46307</v>
      </c>
      <c r="C3560" s="734" t="s">
        <v>106</v>
      </c>
      <c r="D3560" s="734" t="s">
        <v>189</v>
      </c>
      <c r="E3560" s="734">
        <v>46308</v>
      </c>
      <c r="G3560" s="780"/>
      <c r="H3560" s="497" t="s">
        <v>14</v>
      </c>
      <c r="I3560" s="60" t="s">
        <v>106</v>
      </c>
      <c r="J3560" s="60">
        <v>174</v>
      </c>
      <c r="K3560" s="60">
        <v>0</v>
      </c>
      <c r="L3560" s="60">
        <v>0</v>
      </c>
      <c r="M3560" s="60">
        <v>109</v>
      </c>
      <c r="N3560" s="494">
        <v>38</v>
      </c>
      <c r="O3560" s="60">
        <v>10</v>
      </c>
      <c r="P3560" s="494">
        <v>17</v>
      </c>
      <c r="Q3560" s="182">
        <f t="shared" ref="Q3560" si="4252">(K3560+L3560)/J3560</f>
        <v>0</v>
      </c>
      <c r="R3560" s="182">
        <f t="shared" ref="R3560" si="4253">N3560/J3560</f>
        <v>0.21839080459770116</v>
      </c>
      <c r="S3560" s="183">
        <f t="shared" ref="S3560" si="4254">P3560/J3560</f>
        <v>9.7701149425287362E-2</v>
      </c>
      <c r="T3560" s="183">
        <f t="shared" ref="T3560" si="4255">O3560/J3560</f>
        <v>5.7471264367816091E-2</v>
      </c>
      <c r="U3560" s="184">
        <f t="shared" ref="U3560" si="4256">S3560+R3560+Q3560+T3560</f>
        <v>0.37356321839080459</v>
      </c>
      <c r="V3560" s="386"/>
    </row>
    <row r="3561" spans="2:22" ht="15.75" hidden="1" x14ac:dyDescent="0.2">
      <c r="B3561" s="734">
        <v>46307</v>
      </c>
      <c r="C3561" s="734" t="s">
        <v>106</v>
      </c>
      <c r="D3561" s="734" t="s">
        <v>189</v>
      </c>
      <c r="E3561" s="734">
        <v>46308</v>
      </c>
      <c r="G3561" s="774"/>
      <c r="H3561" s="497" t="s">
        <v>17</v>
      </c>
      <c r="I3561" s="60" t="s">
        <v>105</v>
      </c>
      <c r="J3561" s="60">
        <v>182</v>
      </c>
      <c r="K3561" s="60">
        <v>20</v>
      </c>
      <c r="L3561" s="60">
        <v>2</v>
      </c>
      <c r="M3561" s="60">
        <v>1</v>
      </c>
      <c r="N3561" s="494">
        <v>119</v>
      </c>
      <c r="O3561" s="60">
        <v>39</v>
      </c>
      <c r="P3561" s="494">
        <v>18</v>
      </c>
      <c r="Q3561" s="182">
        <f t="shared" si="4246"/>
        <v>0.12087912087912088</v>
      </c>
      <c r="R3561" s="182">
        <f t="shared" si="4247"/>
        <v>0.65384615384615385</v>
      </c>
      <c r="S3561" s="183">
        <f t="shared" si="4248"/>
        <v>9.8901098901098897E-2</v>
      </c>
      <c r="T3561" s="183">
        <f t="shared" si="4249"/>
        <v>0.21428571428571427</v>
      </c>
      <c r="U3561" s="184">
        <f t="shared" si="4250"/>
        <v>1.0879120879120878</v>
      </c>
      <c r="V3561" s="386"/>
    </row>
    <row r="3562" spans="2:22" ht="15.75" hidden="1" x14ac:dyDescent="0.2">
      <c r="B3562" s="734">
        <v>46307</v>
      </c>
      <c r="C3562" s="734" t="s">
        <v>106</v>
      </c>
      <c r="D3562" s="734" t="s">
        <v>189</v>
      </c>
      <c r="E3562" s="734">
        <v>46307</v>
      </c>
      <c r="G3562" s="775" t="s">
        <v>19</v>
      </c>
      <c r="H3562" s="776"/>
      <c r="I3562" s="777"/>
      <c r="J3562" s="190">
        <f t="shared" ref="J3562:P3562" si="4257">SUM(J3554:J3561)</f>
        <v>1059</v>
      </c>
      <c r="K3562" s="190">
        <f t="shared" si="4257"/>
        <v>341</v>
      </c>
      <c r="L3562" s="190">
        <f t="shared" si="4257"/>
        <v>97</v>
      </c>
      <c r="M3562" s="190">
        <f t="shared" si="4257"/>
        <v>113</v>
      </c>
      <c r="N3562" s="190">
        <f t="shared" si="4257"/>
        <v>296</v>
      </c>
      <c r="O3562" s="190">
        <f t="shared" si="4257"/>
        <v>112</v>
      </c>
      <c r="P3562" s="190">
        <f t="shared" si="4257"/>
        <v>117</v>
      </c>
      <c r="Q3562" s="481">
        <f>(K3562+L3562)/J3562</f>
        <v>0.41359773371104813</v>
      </c>
      <c r="R3562" s="481">
        <f>N3562/J3562</f>
        <v>0.27950897072710101</v>
      </c>
      <c r="S3562" s="482">
        <f t="shared" si="4248"/>
        <v>0.11048158640226628</v>
      </c>
      <c r="T3562" s="482">
        <f t="shared" si="4249"/>
        <v>0.10576015108593012</v>
      </c>
      <c r="U3562" s="483">
        <f t="shared" si="4250"/>
        <v>0.90934844192634556</v>
      </c>
      <c r="V3562" s="479"/>
    </row>
    <row r="3563" spans="2:22" ht="15.75" hidden="1" x14ac:dyDescent="0.2">
      <c r="B3563" s="735">
        <v>46307</v>
      </c>
      <c r="C3563" s="735" t="s">
        <v>105</v>
      </c>
      <c r="D3563" s="735" t="s">
        <v>13</v>
      </c>
      <c r="E3563" s="735">
        <v>46307</v>
      </c>
      <c r="G3563" s="782">
        <v>46307</v>
      </c>
      <c r="H3563" s="497" t="s">
        <v>16</v>
      </c>
      <c r="I3563" s="60" t="s">
        <v>127</v>
      </c>
      <c r="J3563" s="60">
        <v>250</v>
      </c>
      <c r="K3563" s="60">
        <f>J3563-L3563-M3563-N3563-O3563-P3563</f>
        <v>153</v>
      </c>
      <c r="L3563" s="60">
        <v>71</v>
      </c>
      <c r="M3563" s="60">
        <v>0</v>
      </c>
      <c r="N3563" s="494">
        <v>0</v>
      </c>
      <c r="O3563" s="60">
        <v>20</v>
      </c>
      <c r="P3563" s="494">
        <v>6</v>
      </c>
      <c r="Q3563" s="182">
        <f t="shared" ref="Q3563:Q3567" si="4258">(K3563+L3563)/J3563</f>
        <v>0.89600000000000002</v>
      </c>
      <c r="R3563" s="182">
        <f t="shared" ref="R3563:R3567" si="4259">N3563/J3563</f>
        <v>0</v>
      </c>
      <c r="S3563" s="183">
        <f t="shared" ref="S3563:S3581" si="4260">P3563/J3563</f>
        <v>2.4E-2</v>
      </c>
      <c r="T3563" s="183">
        <f t="shared" ref="T3563:T3581" si="4261">O3563/J3563</f>
        <v>0.08</v>
      </c>
      <c r="U3563" s="184">
        <f t="shared" ref="U3563:U3581" si="4262">S3563+R3563+Q3563+T3563</f>
        <v>1</v>
      </c>
      <c r="V3563" s="386"/>
    </row>
    <row r="3564" spans="2:22" ht="15.75" hidden="1" x14ac:dyDescent="0.2">
      <c r="B3564" s="735">
        <v>46307</v>
      </c>
      <c r="C3564" s="735" t="s">
        <v>105</v>
      </c>
      <c r="D3564" s="735" t="s">
        <v>13</v>
      </c>
      <c r="E3564" s="735">
        <v>46307</v>
      </c>
      <c r="G3564" s="818"/>
      <c r="H3564" s="497" t="s">
        <v>118</v>
      </c>
      <c r="I3564" s="60" t="s">
        <v>105</v>
      </c>
      <c r="J3564" s="60">
        <v>224</v>
      </c>
      <c r="K3564" s="60">
        <f t="shared" ref="K3564:K3569" si="4263">J3564-L3564-M3564-N3564-O3564-P3564</f>
        <v>166</v>
      </c>
      <c r="L3564" s="60">
        <v>35</v>
      </c>
      <c r="M3564" s="60">
        <v>0</v>
      </c>
      <c r="N3564" s="494">
        <v>0</v>
      </c>
      <c r="O3564" s="60">
        <v>16</v>
      </c>
      <c r="P3564" s="494">
        <v>7</v>
      </c>
      <c r="Q3564" s="182">
        <f t="shared" si="4258"/>
        <v>0.8973214285714286</v>
      </c>
      <c r="R3564" s="182">
        <f t="shared" si="4259"/>
        <v>0</v>
      </c>
      <c r="S3564" s="183">
        <f t="shared" si="4260"/>
        <v>3.125E-2</v>
      </c>
      <c r="T3564" s="183">
        <f t="shared" si="4261"/>
        <v>7.1428571428571425E-2</v>
      </c>
      <c r="U3564" s="184">
        <f t="shared" si="4262"/>
        <v>1</v>
      </c>
      <c r="V3564" s="386"/>
    </row>
    <row r="3565" spans="2:22" ht="15.75" hidden="1" x14ac:dyDescent="0.2">
      <c r="B3565" s="735">
        <v>46307</v>
      </c>
      <c r="C3565" s="735" t="s">
        <v>105</v>
      </c>
      <c r="D3565" s="735" t="s">
        <v>13</v>
      </c>
      <c r="E3565" s="735">
        <v>46308</v>
      </c>
      <c r="G3565" s="773">
        <v>46308</v>
      </c>
      <c r="H3565" s="497" t="s">
        <v>16</v>
      </c>
      <c r="I3565" s="60" t="s">
        <v>218</v>
      </c>
      <c r="J3565" s="60">
        <v>253</v>
      </c>
      <c r="K3565" s="60">
        <f t="shared" si="4263"/>
        <v>125</v>
      </c>
      <c r="L3565" s="60">
        <v>91</v>
      </c>
      <c r="M3565" s="60">
        <v>6</v>
      </c>
      <c r="N3565" s="494">
        <v>0</v>
      </c>
      <c r="O3565" s="60">
        <v>20</v>
      </c>
      <c r="P3565" s="494">
        <v>11</v>
      </c>
      <c r="Q3565" s="182">
        <f t="shared" si="4258"/>
        <v>0.85375494071146241</v>
      </c>
      <c r="R3565" s="182">
        <f t="shared" si="4259"/>
        <v>0</v>
      </c>
      <c r="S3565" s="183">
        <f t="shared" si="4260"/>
        <v>4.3478260869565216E-2</v>
      </c>
      <c r="T3565" s="183">
        <f t="shared" si="4261"/>
        <v>7.9051383399209488E-2</v>
      </c>
      <c r="U3565" s="184">
        <f t="shared" si="4262"/>
        <v>0.97628458498023707</v>
      </c>
      <c r="V3565" s="386"/>
    </row>
    <row r="3566" spans="2:22" ht="15.75" hidden="1" x14ac:dyDescent="0.2">
      <c r="B3566" s="735">
        <v>46307</v>
      </c>
      <c r="C3566" s="735" t="s">
        <v>105</v>
      </c>
      <c r="D3566" s="735" t="s">
        <v>13</v>
      </c>
      <c r="E3566" s="735">
        <v>46308</v>
      </c>
      <c r="G3566" s="780"/>
      <c r="H3566" s="497" t="s">
        <v>14</v>
      </c>
      <c r="I3566" s="60" t="s">
        <v>106</v>
      </c>
      <c r="J3566" s="60">
        <v>174</v>
      </c>
      <c r="K3566" s="60">
        <f t="shared" si="4263"/>
        <v>106</v>
      </c>
      <c r="L3566" s="60">
        <v>31</v>
      </c>
      <c r="M3566" s="60">
        <v>14</v>
      </c>
      <c r="N3566" s="494">
        <v>0</v>
      </c>
      <c r="O3566" s="60">
        <v>10</v>
      </c>
      <c r="P3566" s="494">
        <v>13</v>
      </c>
      <c r="Q3566" s="182">
        <f t="shared" si="4258"/>
        <v>0.78735632183908044</v>
      </c>
      <c r="R3566" s="182">
        <f t="shared" si="4259"/>
        <v>0</v>
      </c>
      <c r="S3566" s="183">
        <f t="shared" si="4260"/>
        <v>7.4712643678160925E-2</v>
      </c>
      <c r="T3566" s="183">
        <f t="shared" si="4261"/>
        <v>5.7471264367816091E-2</v>
      </c>
      <c r="U3566" s="184">
        <f t="shared" si="4262"/>
        <v>0.91954022988505746</v>
      </c>
      <c r="V3566" s="386"/>
    </row>
    <row r="3567" spans="2:22" ht="15.75" hidden="1" x14ac:dyDescent="0.2">
      <c r="B3567" s="735">
        <v>46307</v>
      </c>
      <c r="C3567" s="735" t="s">
        <v>105</v>
      </c>
      <c r="D3567" s="735" t="s">
        <v>13</v>
      </c>
      <c r="E3567" s="735">
        <v>46308</v>
      </c>
      <c r="G3567" s="774"/>
      <c r="H3567" s="497" t="s">
        <v>17</v>
      </c>
      <c r="I3567" s="60" t="s">
        <v>105</v>
      </c>
      <c r="J3567" s="60">
        <v>182</v>
      </c>
      <c r="K3567" s="60">
        <f t="shared" si="4263"/>
        <v>16</v>
      </c>
      <c r="L3567" s="60">
        <v>8</v>
      </c>
      <c r="M3567" s="60">
        <v>0</v>
      </c>
      <c r="N3567" s="494">
        <v>119</v>
      </c>
      <c r="O3567" s="60">
        <v>30</v>
      </c>
      <c r="P3567" s="494">
        <v>9</v>
      </c>
      <c r="Q3567" s="182">
        <f t="shared" si="4258"/>
        <v>0.13186813186813187</v>
      </c>
      <c r="R3567" s="182">
        <f t="shared" si="4259"/>
        <v>0.65384615384615385</v>
      </c>
      <c r="S3567" s="183">
        <f t="shared" si="4260"/>
        <v>4.9450549450549448E-2</v>
      </c>
      <c r="T3567" s="183">
        <f t="shared" si="4261"/>
        <v>0.16483516483516483</v>
      </c>
      <c r="U3567" s="184">
        <f t="shared" si="4262"/>
        <v>1</v>
      </c>
      <c r="V3567" s="386"/>
    </row>
    <row r="3568" spans="2:22" ht="15.75" hidden="1" x14ac:dyDescent="0.2">
      <c r="B3568" s="736">
        <v>46307</v>
      </c>
      <c r="C3568" s="736" t="s">
        <v>105</v>
      </c>
      <c r="D3568" s="736" t="s">
        <v>13</v>
      </c>
      <c r="E3568" s="736">
        <v>46309</v>
      </c>
      <c r="G3568" s="784">
        <v>46309</v>
      </c>
      <c r="H3568" s="497" t="s">
        <v>84</v>
      </c>
      <c r="I3568" s="60" t="s">
        <v>12</v>
      </c>
      <c r="J3568" s="194">
        <v>45</v>
      </c>
      <c r="K3568" s="60">
        <f t="shared" si="4263"/>
        <v>0</v>
      </c>
      <c r="L3568" s="194">
        <v>0</v>
      </c>
      <c r="M3568" s="194">
        <v>0</v>
      </c>
      <c r="N3568" s="538">
        <v>35</v>
      </c>
      <c r="O3568" s="194">
        <v>2</v>
      </c>
      <c r="P3568" s="538">
        <v>8</v>
      </c>
      <c r="Q3568" s="182">
        <f t="shared" ref="Q3568:Q3569" si="4264">(K3568+L3568)/J3568</f>
        <v>0</v>
      </c>
      <c r="R3568" s="182">
        <f t="shared" ref="R3568:R3569" si="4265">N3568/J3568</f>
        <v>0.77777777777777779</v>
      </c>
      <c r="S3568" s="183">
        <f t="shared" ref="S3568:S3569" si="4266">P3568/J3568</f>
        <v>0.17777777777777778</v>
      </c>
      <c r="T3568" s="183">
        <f t="shared" ref="T3568:T3569" si="4267">O3568/J3568</f>
        <v>4.4444444444444446E-2</v>
      </c>
      <c r="U3568" s="184">
        <f t="shared" ref="U3568:U3569" si="4268">S3568+R3568+Q3568+T3568</f>
        <v>1</v>
      </c>
      <c r="V3568" s="386"/>
    </row>
    <row r="3569" spans="2:22" ht="15.75" hidden="1" x14ac:dyDescent="0.2">
      <c r="B3569" s="736">
        <v>46307</v>
      </c>
      <c r="C3569" s="736" t="s">
        <v>105</v>
      </c>
      <c r="D3569" s="736" t="s">
        <v>13</v>
      </c>
      <c r="E3569" s="737">
        <v>46309</v>
      </c>
      <c r="G3569" s="785"/>
      <c r="H3569" s="497" t="s">
        <v>180</v>
      </c>
      <c r="I3569" s="60" t="s">
        <v>106</v>
      </c>
      <c r="J3569" s="194">
        <v>218</v>
      </c>
      <c r="K3569" s="60">
        <f t="shared" si="4263"/>
        <v>0</v>
      </c>
      <c r="L3569" s="194">
        <v>0</v>
      </c>
      <c r="M3569" s="194">
        <v>30</v>
      </c>
      <c r="N3569" s="538">
        <v>164</v>
      </c>
      <c r="O3569" s="194">
        <v>24</v>
      </c>
      <c r="P3569" s="538">
        <v>0</v>
      </c>
      <c r="Q3569" s="182">
        <f t="shared" si="4264"/>
        <v>0</v>
      </c>
      <c r="R3569" s="182">
        <f t="shared" si="4265"/>
        <v>0.75229357798165142</v>
      </c>
      <c r="S3569" s="183">
        <f t="shared" si="4266"/>
        <v>0</v>
      </c>
      <c r="T3569" s="183">
        <f t="shared" si="4267"/>
        <v>0.11009174311926606</v>
      </c>
      <c r="U3569" s="184">
        <f t="shared" si="4268"/>
        <v>0.86238532110091748</v>
      </c>
      <c r="V3569" s="386"/>
    </row>
    <row r="3570" spans="2:22" ht="15.75" hidden="1" x14ac:dyDescent="0.2">
      <c r="B3570" s="735">
        <v>46307</v>
      </c>
      <c r="C3570" s="735" t="s">
        <v>105</v>
      </c>
      <c r="D3570" s="735" t="s">
        <v>13</v>
      </c>
      <c r="E3570" s="737">
        <v>46309</v>
      </c>
      <c r="G3570" s="791" t="s">
        <v>19</v>
      </c>
      <c r="H3570" s="791"/>
      <c r="I3570" s="791"/>
      <c r="J3570" s="190">
        <f>SUM(J3563:J3569)</f>
        <v>1346</v>
      </c>
      <c r="K3570" s="190">
        <f t="shared" ref="K3570:P3570" si="4269">SUM(K3563:K3569)</f>
        <v>566</v>
      </c>
      <c r="L3570" s="190">
        <f t="shared" si="4269"/>
        <v>236</v>
      </c>
      <c r="M3570" s="190">
        <f t="shared" si="4269"/>
        <v>50</v>
      </c>
      <c r="N3570" s="190">
        <f t="shared" si="4269"/>
        <v>318</v>
      </c>
      <c r="O3570" s="190">
        <f t="shared" si="4269"/>
        <v>122</v>
      </c>
      <c r="P3570" s="190">
        <f t="shared" si="4269"/>
        <v>54</v>
      </c>
      <c r="Q3570" s="481">
        <f>(K3570+L3570)/J3570</f>
        <v>0.59583952451708766</v>
      </c>
      <c r="R3570" s="481">
        <f>N3570/J3570</f>
        <v>0.23625557206537889</v>
      </c>
      <c r="S3570" s="482">
        <f t="shared" si="4260"/>
        <v>4.0118870728083213E-2</v>
      </c>
      <c r="T3570" s="482">
        <f t="shared" si="4261"/>
        <v>9.0638930163447248E-2</v>
      </c>
      <c r="U3570" s="483">
        <f t="shared" si="4262"/>
        <v>0.96285289747399705</v>
      </c>
      <c r="V3570" s="479"/>
    </row>
    <row r="3571" spans="2:22" ht="15.75" hidden="1" x14ac:dyDescent="0.2">
      <c r="B3571" s="738">
        <v>46308</v>
      </c>
      <c r="C3571" s="738" t="s">
        <v>106</v>
      </c>
      <c r="D3571" s="738" t="s">
        <v>189</v>
      </c>
      <c r="E3571" s="738">
        <v>46308</v>
      </c>
      <c r="G3571" s="778">
        <v>46308</v>
      </c>
      <c r="H3571" s="497" t="s">
        <v>16</v>
      </c>
      <c r="I3571" s="60" t="s">
        <v>127</v>
      </c>
      <c r="J3571" s="60">
        <f>SUM(K3571:P3571)</f>
        <v>79</v>
      </c>
      <c r="K3571" s="60">
        <f>45-19</f>
        <v>26</v>
      </c>
      <c r="L3571" s="60">
        <f>39-15</f>
        <v>24</v>
      </c>
      <c r="M3571" s="60">
        <v>0</v>
      </c>
      <c r="N3571" s="494">
        <v>0</v>
      </c>
      <c r="O3571" s="60">
        <v>20</v>
      </c>
      <c r="P3571" s="494">
        <v>9</v>
      </c>
      <c r="Q3571" s="182">
        <f t="shared" ref="Q3571:Q3580" si="4270">(K3571+L3571)/J3571</f>
        <v>0.63291139240506333</v>
      </c>
      <c r="R3571" s="182">
        <f t="shared" ref="R3571:R3580" si="4271">N3571/J3571</f>
        <v>0</v>
      </c>
      <c r="S3571" s="183">
        <f t="shared" si="4260"/>
        <v>0.11392405063291139</v>
      </c>
      <c r="T3571" s="183">
        <f t="shared" si="4261"/>
        <v>0.25316455696202533</v>
      </c>
      <c r="U3571" s="184">
        <f t="shared" si="4262"/>
        <v>1</v>
      </c>
      <c r="V3571" s="386"/>
    </row>
    <row r="3572" spans="2:22" ht="15.75" hidden="1" x14ac:dyDescent="0.2">
      <c r="B3572" s="738">
        <v>46308</v>
      </c>
      <c r="C3572" s="738" t="s">
        <v>106</v>
      </c>
      <c r="D3572" s="738" t="s">
        <v>189</v>
      </c>
      <c r="E3572" s="738">
        <v>46308</v>
      </c>
      <c r="G3572" s="786"/>
      <c r="H3572" s="497" t="s">
        <v>14</v>
      </c>
      <c r="I3572" s="60" t="s">
        <v>106</v>
      </c>
      <c r="J3572" s="60">
        <f t="shared" ref="J3572:J3575" si="4272">SUM(K3572:P3572)</f>
        <v>48</v>
      </c>
      <c r="K3572" s="60">
        <v>27</v>
      </c>
      <c r="L3572" s="60">
        <v>9</v>
      </c>
      <c r="M3572" s="60">
        <v>0</v>
      </c>
      <c r="N3572" s="494">
        <v>0</v>
      </c>
      <c r="O3572" s="60">
        <v>0</v>
      </c>
      <c r="P3572" s="494">
        <v>12</v>
      </c>
      <c r="Q3572" s="182">
        <f t="shared" si="4270"/>
        <v>0.75</v>
      </c>
      <c r="R3572" s="182">
        <f t="shared" si="4271"/>
        <v>0</v>
      </c>
      <c r="S3572" s="183">
        <f t="shared" si="4260"/>
        <v>0.25</v>
      </c>
      <c r="T3572" s="183">
        <f t="shared" si="4261"/>
        <v>0</v>
      </c>
      <c r="U3572" s="184">
        <f t="shared" si="4262"/>
        <v>1</v>
      </c>
      <c r="V3572" s="386"/>
    </row>
    <row r="3573" spans="2:22" ht="15.75" hidden="1" x14ac:dyDescent="0.2">
      <c r="B3573" s="738">
        <v>46308</v>
      </c>
      <c r="C3573" s="738" t="s">
        <v>106</v>
      </c>
      <c r="D3573" s="738" t="s">
        <v>189</v>
      </c>
      <c r="E3573" s="738">
        <v>46308</v>
      </c>
      <c r="G3573" s="786"/>
      <c r="H3573" s="497" t="s">
        <v>212</v>
      </c>
      <c r="I3573" s="60" t="s">
        <v>22</v>
      </c>
      <c r="J3573" s="60">
        <f t="shared" si="4272"/>
        <v>33</v>
      </c>
      <c r="K3573" s="60">
        <f>216-185</f>
        <v>31</v>
      </c>
      <c r="L3573" s="60">
        <v>2</v>
      </c>
      <c r="M3573" s="60">
        <v>0</v>
      </c>
      <c r="N3573" s="494">
        <v>0</v>
      </c>
      <c r="O3573" s="60">
        <v>0</v>
      </c>
      <c r="P3573" s="494">
        <v>0</v>
      </c>
      <c r="Q3573" s="182">
        <f t="shared" si="4270"/>
        <v>1</v>
      </c>
      <c r="R3573" s="182">
        <f t="shared" si="4271"/>
        <v>0</v>
      </c>
      <c r="S3573" s="183">
        <f t="shared" si="4260"/>
        <v>0</v>
      </c>
      <c r="T3573" s="183">
        <f t="shared" si="4261"/>
        <v>0</v>
      </c>
      <c r="U3573" s="184">
        <f t="shared" si="4262"/>
        <v>1</v>
      </c>
      <c r="V3573" s="386"/>
    </row>
    <row r="3574" spans="2:22" ht="15.75" hidden="1" x14ac:dyDescent="0.2">
      <c r="B3574" s="738">
        <v>46308</v>
      </c>
      <c r="C3574" s="738" t="s">
        <v>106</v>
      </c>
      <c r="D3574" s="738" t="s">
        <v>189</v>
      </c>
      <c r="E3574" s="738">
        <v>46308</v>
      </c>
      <c r="G3574" s="786"/>
      <c r="H3574" s="497" t="s">
        <v>25</v>
      </c>
      <c r="I3574" s="60" t="s">
        <v>106</v>
      </c>
      <c r="J3574" s="60">
        <f t="shared" si="4272"/>
        <v>4</v>
      </c>
      <c r="K3574" s="60">
        <v>2</v>
      </c>
      <c r="L3574" s="60">
        <v>2</v>
      </c>
      <c r="M3574" s="60">
        <v>0</v>
      </c>
      <c r="N3574" s="494">
        <v>0</v>
      </c>
      <c r="O3574" s="60">
        <v>0</v>
      </c>
      <c r="P3574" s="494">
        <v>0</v>
      </c>
      <c r="Q3574" s="182">
        <f t="shared" si="4270"/>
        <v>1</v>
      </c>
      <c r="R3574" s="182">
        <f t="shared" si="4271"/>
        <v>0</v>
      </c>
      <c r="S3574" s="183">
        <f t="shared" si="4260"/>
        <v>0</v>
      </c>
      <c r="T3574" s="183">
        <f t="shared" si="4261"/>
        <v>0</v>
      </c>
      <c r="U3574" s="184">
        <f t="shared" si="4262"/>
        <v>1</v>
      </c>
      <c r="V3574" s="386"/>
    </row>
    <row r="3575" spans="2:22" ht="15.75" hidden="1" x14ac:dyDescent="0.2">
      <c r="B3575" s="738">
        <v>46308</v>
      </c>
      <c r="C3575" s="738" t="s">
        <v>106</v>
      </c>
      <c r="D3575" s="738" t="s">
        <v>189</v>
      </c>
      <c r="E3575" s="738">
        <v>46308</v>
      </c>
      <c r="G3575" s="779"/>
      <c r="H3575" s="497" t="s">
        <v>17</v>
      </c>
      <c r="I3575" s="60" t="s">
        <v>105</v>
      </c>
      <c r="J3575" s="60">
        <f t="shared" si="4272"/>
        <v>156</v>
      </c>
      <c r="K3575" s="60">
        <v>82</v>
      </c>
      <c r="L3575" s="60">
        <v>33</v>
      </c>
      <c r="M3575" s="60">
        <v>2</v>
      </c>
      <c r="N3575" s="494">
        <v>0</v>
      </c>
      <c r="O3575" s="60">
        <v>30</v>
      </c>
      <c r="P3575" s="494">
        <v>9</v>
      </c>
      <c r="Q3575" s="182">
        <f t="shared" si="4270"/>
        <v>0.73717948717948723</v>
      </c>
      <c r="R3575" s="182">
        <f t="shared" si="4271"/>
        <v>0</v>
      </c>
      <c r="S3575" s="183">
        <f t="shared" si="4260"/>
        <v>5.7692307692307696E-2</v>
      </c>
      <c r="T3575" s="183">
        <f t="shared" si="4261"/>
        <v>0.19230769230769232</v>
      </c>
      <c r="U3575" s="184">
        <f t="shared" si="4262"/>
        <v>0.98717948717948723</v>
      </c>
      <c r="V3575" s="386"/>
    </row>
    <row r="3576" spans="2:22" ht="15.75" hidden="1" x14ac:dyDescent="0.2">
      <c r="B3576" s="738">
        <v>46308</v>
      </c>
      <c r="C3576" s="738" t="s">
        <v>106</v>
      </c>
      <c r="D3576" s="738" t="s">
        <v>189</v>
      </c>
      <c r="E3576" s="738">
        <v>46309</v>
      </c>
      <c r="G3576" s="773">
        <v>46309</v>
      </c>
      <c r="H3576" s="497" t="s">
        <v>16</v>
      </c>
      <c r="I3576" s="60" t="s">
        <v>218</v>
      </c>
      <c r="J3576" s="60">
        <v>246</v>
      </c>
      <c r="K3576" s="60">
        <v>19</v>
      </c>
      <c r="L3576" s="60">
        <v>15</v>
      </c>
      <c r="M3576" s="60">
        <v>17</v>
      </c>
      <c r="N3576" s="494">
        <v>165</v>
      </c>
      <c r="O3576" s="60">
        <v>20</v>
      </c>
      <c r="P3576" s="494">
        <v>9</v>
      </c>
      <c r="Q3576" s="182">
        <f t="shared" si="4270"/>
        <v>0.13821138211382114</v>
      </c>
      <c r="R3576" s="182">
        <f t="shared" si="4271"/>
        <v>0.67073170731707321</v>
      </c>
      <c r="S3576" s="183">
        <f t="shared" si="4260"/>
        <v>3.6585365853658534E-2</v>
      </c>
      <c r="T3576" s="183">
        <f t="shared" si="4261"/>
        <v>8.1300813008130079E-2</v>
      </c>
      <c r="U3576" s="184">
        <f t="shared" si="4262"/>
        <v>0.92682926829268297</v>
      </c>
      <c r="V3576" s="386"/>
    </row>
    <row r="3577" spans="2:22" ht="15.75" hidden="1" x14ac:dyDescent="0.2">
      <c r="B3577" s="738">
        <v>46308</v>
      </c>
      <c r="C3577" s="738" t="s">
        <v>106</v>
      </c>
      <c r="D3577" s="738" t="s">
        <v>189</v>
      </c>
      <c r="E3577" s="738">
        <v>46309</v>
      </c>
      <c r="G3577" s="780"/>
      <c r="H3577" s="497" t="s">
        <v>25</v>
      </c>
      <c r="I3577" s="60" t="s">
        <v>106</v>
      </c>
      <c r="J3577" s="60">
        <v>212</v>
      </c>
      <c r="K3577" s="60">
        <v>0</v>
      </c>
      <c r="L3577" s="60">
        <v>0</v>
      </c>
      <c r="M3577" s="60">
        <v>151</v>
      </c>
      <c r="N3577" s="494">
        <v>11</v>
      </c>
      <c r="O3577" s="60">
        <v>23</v>
      </c>
      <c r="P3577" s="494">
        <v>27</v>
      </c>
      <c r="Q3577" s="182">
        <f t="shared" si="4270"/>
        <v>0</v>
      </c>
      <c r="R3577" s="182">
        <f t="shared" si="4271"/>
        <v>5.1886792452830191E-2</v>
      </c>
      <c r="S3577" s="183">
        <f t="shared" si="4260"/>
        <v>0.12735849056603774</v>
      </c>
      <c r="T3577" s="183">
        <f t="shared" si="4261"/>
        <v>0.10849056603773585</v>
      </c>
      <c r="U3577" s="184">
        <f t="shared" si="4262"/>
        <v>0.28773584905660377</v>
      </c>
      <c r="V3577" s="386"/>
    </row>
    <row r="3578" spans="2:22" ht="15.75" hidden="1" x14ac:dyDescent="0.2">
      <c r="B3578" s="738">
        <v>46308</v>
      </c>
      <c r="C3578" s="738" t="s">
        <v>106</v>
      </c>
      <c r="D3578" s="738" t="s">
        <v>189</v>
      </c>
      <c r="E3578" s="738">
        <v>46309</v>
      </c>
      <c r="G3578" s="780"/>
      <c r="H3578" s="497" t="s">
        <v>212</v>
      </c>
      <c r="I3578" s="60" t="s">
        <v>106</v>
      </c>
      <c r="J3578" s="60">
        <v>218</v>
      </c>
      <c r="K3578" s="60">
        <v>185</v>
      </c>
      <c r="L3578" s="60">
        <v>3</v>
      </c>
      <c r="M3578" s="60">
        <v>7</v>
      </c>
      <c r="N3578" s="494">
        <v>0</v>
      </c>
      <c r="O3578" s="60">
        <v>0</v>
      </c>
      <c r="P3578" s="494">
        <v>23</v>
      </c>
      <c r="Q3578" s="182">
        <f t="shared" ref="Q3578:Q3579" si="4273">(K3578+L3578)/J3578</f>
        <v>0.86238532110091748</v>
      </c>
      <c r="R3578" s="182">
        <f t="shared" ref="R3578:R3579" si="4274">N3578/J3578</f>
        <v>0</v>
      </c>
      <c r="S3578" s="183">
        <f t="shared" ref="S3578:S3579" si="4275">P3578/J3578</f>
        <v>0.10550458715596331</v>
      </c>
      <c r="T3578" s="183">
        <f t="shared" ref="T3578:T3579" si="4276">O3578/J3578</f>
        <v>0</v>
      </c>
      <c r="U3578" s="184">
        <f t="shared" ref="U3578:U3579" si="4277">S3578+R3578+Q3578+T3578</f>
        <v>0.96788990825688082</v>
      </c>
      <c r="V3578" s="386"/>
    </row>
    <row r="3579" spans="2:22" ht="15.75" hidden="1" x14ac:dyDescent="0.2">
      <c r="B3579" s="738">
        <v>46308</v>
      </c>
      <c r="C3579" s="738" t="s">
        <v>106</v>
      </c>
      <c r="D3579" s="738" t="s">
        <v>189</v>
      </c>
      <c r="E3579" s="738">
        <v>46309</v>
      </c>
      <c r="G3579" s="780"/>
      <c r="H3579" s="497" t="s">
        <v>84</v>
      </c>
      <c r="I3579" s="60" t="s">
        <v>12</v>
      </c>
      <c r="J3579" s="60">
        <v>45</v>
      </c>
      <c r="K3579" s="60">
        <v>29</v>
      </c>
      <c r="L3579" s="60">
        <v>10</v>
      </c>
      <c r="M3579" s="60">
        <v>0</v>
      </c>
      <c r="N3579" s="494">
        <v>0</v>
      </c>
      <c r="O3579" s="60">
        <v>2</v>
      </c>
      <c r="P3579" s="494">
        <v>8</v>
      </c>
      <c r="Q3579" s="182">
        <f t="shared" si="4273"/>
        <v>0.8666666666666667</v>
      </c>
      <c r="R3579" s="182">
        <f t="shared" si="4274"/>
        <v>0</v>
      </c>
      <c r="S3579" s="183">
        <f t="shared" si="4275"/>
        <v>0.17777777777777778</v>
      </c>
      <c r="T3579" s="183">
        <f t="shared" si="4276"/>
        <v>4.4444444444444446E-2</v>
      </c>
      <c r="U3579" s="184">
        <f t="shared" si="4277"/>
        <v>1.088888888888889</v>
      </c>
      <c r="V3579" s="386"/>
    </row>
    <row r="3580" spans="2:22" ht="15.75" hidden="1" x14ac:dyDescent="0.2">
      <c r="B3580" s="738">
        <v>46308</v>
      </c>
      <c r="C3580" s="738" t="s">
        <v>106</v>
      </c>
      <c r="D3580" s="738" t="s">
        <v>189</v>
      </c>
      <c r="E3580" s="738">
        <v>46309</v>
      </c>
      <c r="G3580" s="774"/>
      <c r="H3580" s="497" t="s">
        <v>17</v>
      </c>
      <c r="I3580" s="60" t="s">
        <v>105</v>
      </c>
      <c r="J3580" s="60">
        <v>143</v>
      </c>
      <c r="K3580" s="60">
        <v>0</v>
      </c>
      <c r="L3580" s="60">
        <v>0</v>
      </c>
      <c r="M3580" s="60">
        <v>104</v>
      </c>
      <c r="N3580" s="494">
        <v>0</v>
      </c>
      <c r="O3580" s="60">
        <v>25</v>
      </c>
      <c r="P3580" s="494">
        <v>14</v>
      </c>
      <c r="Q3580" s="182">
        <f t="shared" si="4270"/>
        <v>0</v>
      </c>
      <c r="R3580" s="182">
        <f t="shared" si="4271"/>
        <v>0</v>
      </c>
      <c r="S3580" s="183">
        <f t="shared" si="4260"/>
        <v>9.7902097902097904E-2</v>
      </c>
      <c r="T3580" s="183">
        <f t="shared" si="4261"/>
        <v>0.17482517482517482</v>
      </c>
      <c r="U3580" s="184">
        <f t="shared" si="4262"/>
        <v>0.27272727272727271</v>
      </c>
      <c r="V3580" s="386"/>
    </row>
    <row r="3581" spans="2:22" ht="15.75" hidden="1" x14ac:dyDescent="0.2">
      <c r="B3581" s="738">
        <v>46308</v>
      </c>
      <c r="C3581" s="738" t="s">
        <v>106</v>
      </c>
      <c r="D3581" s="738" t="s">
        <v>189</v>
      </c>
      <c r="E3581" s="738">
        <v>46308</v>
      </c>
      <c r="G3581" s="775" t="s">
        <v>19</v>
      </c>
      <c r="H3581" s="776"/>
      <c r="I3581" s="777"/>
      <c r="J3581" s="190">
        <f t="shared" ref="J3581:P3581" si="4278">SUM(J3571:J3580)</f>
        <v>1184</v>
      </c>
      <c r="K3581" s="190">
        <f t="shared" si="4278"/>
        <v>401</v>
      </c>
      <c r="L3581" s="190">
        <f t="shared" si="4278"/>
        <v>98</v>
      </c>
      <c r="M3581" s="190">
        <f t="shared" si="4278"/>
        <v>281</v>
      </c>
      <c r="N3581" s="190">
        <f t="shared" si="4278"/>
        <v>176</v>
      </c>
      <c r="O3581" s="190">
        <f t="shared" si="4278"/>
        <v>120</v>
      </c>
      <c r="P3581" s="190">
        <f t="shared" si="4278"/>
        <v>111</v>
      </c>
      <c r="Q3581" s="481">
        <f>(K3581+L3581)/J3581</f>
        <v>0.42145270270270269</v>
      </c>
      <c r="R3581" s="481">
        <f>N3581/J3581</f>
        <v>0.14864864864864866</v>
      </c>
      <c r="S3581" s="482">
        <f t="shared" si="4260"/>
        <v>9.375E-2</v>
      </c>
      <c r="T3581" s="482">
        <f t="shared" si="4261"/>
        <v>0.10135135135135136</v>
      </c>
      <c r="U3581" s="483">
        <f t="shared" si="4262"/>
        <v>0.76520270270270263</v>
      </c>
      <c r="V3581" s="479"/>
    </row>
    <row r="3582" spans="2:22" ht="15.75" hidden="1" x14ac:dyDescent="0.2">
      <c r="B3582" s="740">
        <v>46308</v>
      </c>
      <c r="C3582" s="740" t="s">
        <v>105</v>
      </c>
      <c r="D3582" s="740" t="s">
        <v>13</v>
      </c>
      <c r="E3582" s="740">
        <v>46308</v>
      </c>
      <c r="G3582" s="773">
        <v>46308</v>
      </c>
      <c r="H3582" s="497" t="s">
        <v>16</v>
      </c>
      <c r="I3582" s="60" t="s">
        <v>218</v>
      </c>
      <c r="J3582" s="60">
        <v>253</v>
      </c>
      <c r="K3582" s="60">
        <f t="shared" ref="K3582:K3589" si="4279">J3582-L3582-M3582-N3582-O3582-P3582</f>
        <v>160</v>
      </c>
      <c r="L3582" s="60">
        <v>62</v>
      </c>
      <c r="M3582" s="60">
        <v>0</v>
      </c>
      <c r="N3582" s="494">
        <v>0</v>
      </c>
      <c r="O3582" s="60">
        <v>20</v>
      </c>
      <c r="P3582" s="494">
        <v>11</v>
      </c>
      <c r="Q3582" s="182">
        <f t="shared" ref="Q3582:Q3589" si="4280">(K3582+L3582)/J3582</f>
        <v>0.87747035573122534</v>
      </c>
      <c r="R3582" s="182">
        <f t="shared" ref="R3582:R3586" si="4281">N3582/J3582</f>
        <v>0</v>
      </c>
      <c r="S3582" s="183">
        <f t="shared" ref="S3582:S3601" si="4282">P3582/J3582</f>
        <v>4.3478260869565216E-2</v>
      </c>
      <c r="T3582" s="183">
        <f t="shared" ref="T3582:T3601" si="4283">O3582/J3582</f>
        <v>7.9051383399209488E-2</v>
      </c>
      <c r="U3582" s="184">
        <f t="shared" ref="U3582:U3601" si="4284">S3582+R3582+Q3582+T3582</f>
        <v>1</v>
      </c>
      <c r="V3582" s="386"/>
    </row>
    <row r="3583" spans="2:22" ht="15.75" hidden="1" x14ac:dyDescent="0.2">
      <c r="B3583" s="740">
        <v>46308</v>
      </c>
      <c r="C3583" s="740" t="s">
        <v>105</v>
      </c>
      <c r="D3583" s="740" t="s">
        <v>13</v>
      </c>
      <c r="E3583" s="740">
        <v>46308</v>
      </c>
      <c r="G3583" s="774"/>
      <c r="H3583" s="497" t="s">
        <v>17</v>
      </c>
      <c r="I3583" s="60" t="s">
        <v>105</v>
      </c>
      <c r="J3583" s="60">
        <v>182</v>
      </c>
      <c r="K3583" s="60">
        <f t="shared" si="4279"/>
        <v>109</v>
      </c>
      <c r="L3583" s="60">
        <v>35</v>
      </c>
      <c r="M3583" s="60">
        <v>0</v>
      </c>
      <c r="N3583" s="494">
        <v>0</v>
      </c>
      <c r="O3583" s="60">
        <v>30</v>
      </c>
      <c r="P3583" s="494">
        <v>8</v>
      </c>
      <c r="Q3583" s="182">
        <f t="shared" si="4280"/>
        <v>0.79120879120879117</v>
      </c>
      <c r="R3583" s="182">
        <f t="shared" si="4281"/>
        <v>0</v>
      </c>
      <c r="S3583" s="183">
        <f t="shared" si="4282"/>
        <v>4.3956043956043959E-2</v>
      </c>
      <c r="T3583" s="183">
        <f t="shared" si="4283"/>
        <v>0.16483516483516483</v>
      </c>
      <c r="U3583" s="184">
        <f t="shared" si="4284"/>
        <v>0.99999999999999989</v>
      </c>
      <c r="V3583" s="386"/>
    </row>
    <row r="3584" spans="2:22" ht="15.75" hidden="1" x14ac:dyDescent="0.2">
      <c r="B3584" s="740">
        <v>46308</v>
      </c>
      <c r="C3584" s="740" t="s">
        <v>105</v>
      </c>
      <c r="D3584" s="740" t="s">
        <v>13</v>
      </c>
      <c r="E3584" s="740">
        <v>46309</v>
      </c>
      <c r="G3584" s="882">
        <v>46309</v>
      </c>
      <c r="H3584" s="497" t="s">
        <v>16</v>
      </c>
      <c r="I3584" s="60" t="s">
        <v>218</v>
      </c>
      <c r="J3584" s="60">
        <v>246</v>
      </c>
      <c r="K3584" s="60">
        <f t="shared" si="4279"/>
        <v>112</v>
      </c>
      <c r="L3584" s="60">
        <v>98</v>
      </c>
      <c r="M3584" s="60">
        <v>6</v>
      </c>
      <c r="N3584" s="494">
        <v>0</v>
      </c>
      <c r="O3584" s="60">
        <v>20</v>
      </c>
      <c r="P3584" s="494">
        <v>10</v>
      </c>
      <c r="Q3584" s="182">
        <f t="shared" si="4280"/>
        <v>0.85365853658536583</v>
      </c>
      <c r="R3584" s="182">
        <f t="shared" si="4281"/>
        <v>0</v>
      </c>
      <c r="S3584" s="183">
        <f t="shared" si="4282"/>
        <v>4.065040650406504E-2</v>
      </c>
      <c r="T3584" s="183">
        <f t="shared" si="4283"/>
        <v>8.1300813008130079E-2</v>
      </c>
      <c r="U3584" s="184">
        <f t="shared" si="4284"/>
        <v>0.97560975609756095</v>
      </c>
      <c r="V3584" s="386"/>
    </row>
    <row r="3585" spans="2:22" ht="15.75" hidden="1" x14ac:dyDescent="0.2">
      <c r="B3585" s="740">
        <v>46308</v>
      </c>
      <c r="C3585" s="740" t="s">
        <v>105</v>
      </c>
      <c r="D3585" s="740" t="s">
        <v>13</v>
      </c>
      <c r="E3585" s="740">
        <v>46309</v>
      </c>
      <c r="G3585" s="882"/>
      <c r="H3585" s="497" t="s">
        <v>25</v>
      </c>
      <c r="I3585" s="60" t="s">
        <v>106</v>
      </c>
      <c r="J3585" s="60">
        <v>212</v>
      </c>
      <c r="K3585" s="60">
        <f t="shared" si="4279"/>
        <v>105</v>
      </c>
      <c r="L3585" s="60">
        <v>42</v>
      </c>
      <c r="M3585" s="60">
        <v>8</v>
      </c>
      <c r="N3585" s="494">
        <v>10</v>
      </c>
      <c r="O3585" s="60">
        <v>23</v>
      </c>
      <c r="P3585" s="494">
        <v>24</v>
      </c>
      <c r="Q3585" s="182">
        <f t="shared" si="4280"/>
        <v>0.69339622641509435</v>
      </c>
      <c r="R3585" s="182">
        <f t="shared" si="4281"/>
        <v>4.716981132075472E-2</v>
      </c>
      <c r="S3585" s="183">
        <f t="shared" si="4282"/>
        <v>0.11320754716981132</v>
      </c>
      <c r="T3585" s="183">
        <f t="shared" si="4283"/>
        <v>0.10849056603773585</v>
      </c>
      <c r="U3585" s="184">
        <f t="shared" si="4284"/>
        <v>0.96226415094339635</v>
      </c>
      <c r="V3585" s="386"/>
    </row>
    <row r="3586" spans="2:22" ht="15.75" hidden="1" x14ac:dyDescent="0.2">
      <c r="B3586" s="740">
        <v>46308</v>
      </c>
      <c r="C3586" s="740" t="s">
        <v>105</v>
      </c>
      <c r="D3586" s="740" t="s">
        <v>13</v>
      </c>
      <c r="E3586" s="740">
        <v>46309</v>
      </c>
      <c r="G3586" s="785"/>
      <c r="H3586" s="497" t="s">
        <v>17</v>
      </c>
      <c r="I3586" s="60" t="s">
        <v>105</v>
      </c>
      <c r="J3586" s="60">
        <v>143</v>
      </c>
      <c r="K3586" s="60">
        <f t="shared" si="4279"/>
        <v>2</v>
      </c>
      <c r="L3586" s="60">
        <v>2</v>
      </c>
      <c r="M3586" s="60">
        <v>4</v>
      </c>
      <c r="N3586" s="494">
        <v>94</v>
      </c>
      <c r="O3586" s="60">
        <v>25</v>
      </c>
      <c r="P3586" s="494">
        <v>16</v>
      </c>
      <c r="Q3586" s="182">
        <f t="shared" si="4280"/>
        <v>2.7972027972027972E-2</v>
      </c>
      <c r="R3586" s="182">
        <f t="shared" si="4281"/>
        <v>0.65734265734265729</v>
      </c>
      <c r="S3586" s="183">
        <f t="shared" si="4282"/>
        <v>0.11188811188811189</v>
      </c>
      <c r="T3586" s="183">
        <f t="shared" si="4283"/>
        <v>0.17482517482517482</v>
      </c>
      <c r="U3586" s="184">
        <f t="shared" si="4284"/>
        <v>0.97202797202797198</v>
      </c>
      <c r="V3586" s="386"/>
    </row>
    <row r="3587" spans="2:22" ht="15.75" hidden="1" x14ac:dyDescent="0.2">
      <c r="B3587" s="740">
        <v>46308</v>
      </c>
      <c r="C3587" s="740" t="s">
        <v>105</v>
      </c>
      <c r="D3587" s="740" t="s">
        <v>13</v>
      </c>
      <c r="E3587" s="740">
        <v>46310</v>
      </c>
      <c r="G3587" s="771">
        <v>46310</v>
      </c>
      <c r="H3587" s="497" t="s">
        <v>16</v>
      </c>
      <c r="I3587" s="60" t="s">
        <v>218</v>
      </c>
      <c r="J3587" s="60">
        <v>237</v>
      </c>
      <c r="K3587" s="60">
        <f t="shared" si="4279"/>
        <v>237</v>
      </c>
      <c r="L3587" s="194">
        <v>0</v>
      </c>
      <c r="M3587" s="194">
        <v>0</v>
      </c>
      <c r="N3587" s="538">
        <v>0</v>
      </c>
      <c r="O3587" s="194">
        <v>0</v>
      </c>
      <c r="P3587" s="538">
        <v>0</v>
      </c>
      <c r="Q3587" s="182">
        <f t="shared" si="4280"/>
        <v>1</v>
      </c>
      <c r="R3587" s="182">
        <f t="shared" ref="R3587:R3589" si="4285">N3587/J3587</f>
        <v>0</v>
      </c>
      <c r="S3587" s="183">
        <f t="shared" ref="S3587:S3589" si="4286">P3587/J3587</f>
        <v>0</v>
      </c>
      <c r="T3587" s="183">
        <f t="shared" ref="T3587:T3589" si="4287">O3587/J3587</f>
        <v>0</v>
      </c>
      <c r="U3587" s="184">
        <f t="shared" ref="U3587:U3589" si="4288">S3587+R3587+Q3587+T3587</f>
        <v>1</v>
      </c>
      <c r="V3587" s="386"/>
    </row>
    <row r="3588" spans="2:22" ht="15.75" hidden="1" x14ac:dyDescent="0.2">
      <c r="B3588" s="740">
        <v>46308</v>
      </c>
      <c r="C3588" s="740" t="s">
        <v>105</v>
      </c>
      <c r="D3588" s="740" t="s">
        <v>13</v>
      </c>
      <c r="E3588" s="740">
        <v>46310</v>
      </c>
      <c r="G3588" s="771"/>
      <c r="H3588" s="497" t="s">
        <v>118</v>
      </c>
      <c r="I3588" s="60" t="s">
        <v>106</v>
      </c>
      <c r="J3588" s="60">
        <v>205</v>
      </c>
      <c r="K3588" s="60">
        <f t="shared" si="4279"/>
        <v>205</v>
      </c>
      <c r="L3588" s="194">
        <v>0</v>
      </c>
      <c r="M3588" s="194">
        <v>0</v>
      </c>
      <c r="N3588" s="538">
        <v>0</v>
      </c>
      <c r="O3588" s="194">
        <v>0</v>
      </c>
      <c r="P3588" s="538">
        <v>0</v>
      </c>
      <c r="Q3588" s="182">
        <f t="shared" si="4280"/>
        <v>1</v>
      </c>
      <c r="R3588" s="182">
        <f t="shared" si="4285"/>
        <v>0</v>
      </c>
      <c r="S3588" s="183">
        <f t="shared" si="4286"/>
        <v>0</v>
      </c>
      <c r="T3588" s="183">
        <f t="shared" si="4287"/>
        <v>0</v>
      </c>
      <c r="U3588" s="184">
        <f t="shared" si="4288"/>
        <v>1</v>
      </c>
      <c r="V3588" s="386"/>
    </row>
    <row r="3589" spans="2:22" ht="15.75" hidden="1" x14ac:dyDescent="0.2">
      <c r="B3589" s="740">
        <v>46308</v>
      </c>
      <c r="C3589" s="740" t="s">
        <v>105</v>
      </c>
      <c r="D3589" s="740" t="s">
        <v>13</v>
      </c>
      <c r="E3589" s="740">
        <v>46310</v>
      </c>
      <c r="G3589" s="772"/>
      <c r="H3589" s="497" t="s">
        <v>215</v>
      </c>
      <c r="I3589" s="60" t="s">
        <v>106</v>
      </c>
      <c r="J3589" s="60">
        <v>232</v>
      </c>
      <c r="K3589" s="60">
        <f t="shared" si="4279"/>
        <v>0</v>
      </c>
      <c r="L3589" s="194">
        <v>0</v>
      </c>
      <c r="M3589" s="194">
        <v>151</v>
      </c>
      <c r="N3589" s="538">
        <v>54</v>
      </c>
      <c r="O3589" s="194">
        <v>0</v>
      </c>
      <c r="P3589" s="538">
        <v>27</v>
      </c>
      <c r="Q3589" s="182">
        <f t="shared" si="4280"/>
        <v>0</v>
      </c>
      <c r="R3589" s="182">
        <f t="shared" si="4285"/>
        <v>0.23275862068965517</v>
      </c>
      <c r="S3589" s="183">
        <f t="shared" si="4286"/>
        <v>0.11637931034482758</v>
      </c>
      <c r="T3589" s="183">
        <f t="shared" si="4287"/>
        <v>0</v>
      </c>
      <c r="U3589" s="184">
        <f t="shared" si="4288"/>
        <v>0.34913793103448276</v>
      </c>
      <c r="V3589" s="386"/>
    </row>
    <row r="3590" spans="2:22" ht="15.75" hidden="1" x14ac:dyDescent="0.2">
      <c r="B3590" s="740">
        <v>46308</v>
      </c>
      <c r="C3590" s="740" t="s">
        <v>105</v>
      </c>
      <c r="D3590" s="740" t="s">
        <v>13</v>
      </c>
      <c r="E3590" s="740">
        <v>46310</v>
      </c>
      <c r="G3590" s="791" t="s">
        <v>19</v>
      </c>
      <c r="H3590" s="791"/>
      <c r="I3590" s="791"/>
      <c r="J3590" s="739">
        <f>SUM(J3582:J3589)</f>
        <v>1710</v>
      </c>
      <c r="K3590" s="739">
        <f t="shared" ref="K3590:P3590" si="4289">SUM(K3582:K3589)</f>
        <v>930</v>
      </c>
      <c r="L3590" s="739">
        <f t="shared" si="4289"/>
        <v>239</v>
      </c>
      <c r="M3590" s="739">
        <f t="shared" si="4289"/>
        <v>169</v>
      </c>
      <c r="N3590" s="739">
        <f t="shared" si="4289"/>
        <v>158</v>
      </c>
      <c r="O3590" s="739">
        <f t="shared" si="4289"/>
        <v>118</v>
      </c>
      <c r="P3590" s="739">
        <f t="shared" si="4289"/>
        <v>96</v>
      </c>
      <c r="Q3590" s="481">
        <f>(K3590+L3590)/J3590</f>
        <v>0.68362573099415203</v>
      </c>
      <c r="R3590" s="481">
        <f>N3590/J3590</f>
        <v>9.2397660818713451E-2</v>
      </c>
      <c r="S3590" s="482">
        <f t="shared" si="4282"/>
        <v>5.6140350877192984E-2</v>
      </c>
      <c r="T3590" s="482">
        <f t="shared" si="4283"/>
        <v>6.9005847953216376E-2</v>
      </c>
      <c r="U3590" s="483">
        <f t="shared" si="4284"/>
        <v>0.90116959064327484</v>
      </c>
      <c r="V3590" s="479"/>
    </row>
    <row r="3591" spans="2:22" ht="15.75" hidden="1" x14ac:dyDescent="0.2">
      <c r="B3591" s="742">
        <v>46309</v>
      </c>
      <c r="C3591" s="742" t="s">
        <v>106</v>
      </c>
      <c r="D3591" s="742" t="s">
        <v>189</v>
      </c>
      <c r="E3591" s="742">
        <v>46308</v>
      </c>
      <c r="G3591" s="778">
        <v>46309</v>
      </c>
      <c r="H3591" s="497" t="s">
        <v>16</v>
      </c>
      <c r="I3591" s="60" t="s">
        <v>127</v>
      </c>
      <c r="J3591" s="60">
        <f>SUM(K3591:P3591)</f>
        <v>93</v>
      </c>
      <c r="K3591" s="60">
        <v>45</v>
      </c>
      <c r="L3591" s="60">
        <v>21</v>
      </c>
      <c r="M3591" s="60">
        <v>0</v>
      </c>
      <c r="N3591" s="494">
        <v>0</v>
      </c>
      <c r="O3591" s="60">
        <v>20</v>
      </c>
      <c r="P3591" s="494">
        <v>7</v>
      </c>
      <c r="Q3591" s="182">
        <f t="shared" ref="Q3591:Q3600" si="4290">(K3591+L3591)/J3591</f>
        <v>0.70967741935483875</v>
      </c>
      <c r="R3591" s="182">
        <f t="shared" ref="R3591:R3600" si="4291">N3591/J3591</f>
        <v>0</v>
      </c>
      <c r="S3591" s="183">
        <f t="shared" si="4282"/>
        <v>7.5268817204301078E-2</v>
      </c>
      <c r="T3591" s="183">
        <f t="shared" si="4283"/>
        <v>0.21505376344086022</v>
      </c>
      <c r="U3591" s="184">
        <f t="shared" si="4284"/>
        <v>1</v>
      </c>
      <c r="V3591" s="386"/>
    </row>
    <row r="3592" spans="2:22" ht="15.75" hidden="1" x14ac:dyDescent="0.2">
      <c r="B3592" s="742">
        <v>46309</v>
      </c>
      <c r="C3592" s="742" t="s">
        <v>106</v>
      </c>
      <c r="D3592" s="742" t="s">
        <v>189</v>
      </c>
      <c r="E3592" s="742">
        <v>46308</v>
      </c>
      <c r="G3592" s="786"/>
      <c r="H3592" s="497" t="s">
        <v>14</v>
      </c>
      <c r="I3592" s="60" t="s">
        <v>106</v>
      </c>
      <c r="J3592" s="60">
        <f t="shared" ref="J3592:J3595" si="4292">SUM(K3592:P3592)</f>
        <v>1</v>
      </c>
      <c r="K3592" s="60">
        <v>1</v>
      </c>
      <c r="L3592" s="60">
        <v>0</v>
      </c>
      <c r="M3592" s="60">
        <v>0</v>
      </c>
      <c r="N3592" s="494">
        <v>0</v>
      </c>
      <c r="O3592" s="60">
        <v>0</v>
      </c>
      <c r="P3592" s="494">
        <v>0</v>
      </c>
      <c r="Q3592" s="182">
        <f t="shared" si="4290"/>
        <v>1</v>
      </c>
      <c r="R3592" s="182">
        <f t="shared" si="4291"/>
        <v>0</v>
      </c>
      <c r="S3592" s="183">
        <f t="shared" si="4282"/>
        <v>0</v>
      </c>
      <c r="T3592" s="183">
        <f t="shared" si="4283"/>
        <v>0</v>
      </c>
      <c r="U3592" s="184">
        <f t="shared" si="4284"/>
        <v>1</v>
      </c>
      <c r="V3592" s="386"/>
    </row>
    <row r="3593" spans="2:22" ht="15.75" hidden="1" x14ac:dyDescent="0.2">
      <c r="B3593" s="742">
        <v>46309</v>
      </c>
      <c r="C3593" s="742" t="s">
        <v>106</v>
      </c>
      <c r="D3593" s="742" t="s">
        <v>189</v>
      </c>
      <c r="E3593" s="742">
        <v>46308</v>
      </c>
      <c r="G3593" s="786"/>
      <c r="H3593" s="497" t="s">
        <v>212</v>
      </c>
      <c r="I3593" s="60" t="s">
        <v>22</v>
      </c>
      <c r="J3593" s="60">
        <f t="shared" si="4292"/>
        <v>28</v>
      </c>
      <c r="K3593" s="60">
        <f>167-152</f>
        <v>15</v>
      </c>
      <c r="L3593" s="60">
        <v>0</v>
      </c>
      <c r="M3593" s="60">
        <v>0</v>
      </c>
      <c r="N3593" s="494">
        <v>0</v>
      </c>
      <c r="O3593" s="60">
        <v>0</v>
      </c>
      <c r="P3593" s="494">
        <v>13</v>
      </c>
      <c r="Q3593" s="182">
        <f t="shared" si="4290"/>
        <v>0.5357142857142857</v>
      </c>
      <c r="R3593" s="182">
        <f t="shared" si="4291"/>
        <v>0</v>
      </c>
      <c r="S3593" s="183">
        <f t="shared" si="4282"/>
        <v>0.4642857142857143</v>
      </c>
      <c r="T3593" s="183">
        <f t="shared" si="4283"/>
        <v>0</v>
      </c>
      <c r="U3593" s="184">
        <f t="shared" si="4284"/>
        <v>1</v>
      </c>
      <c r="V3593" s="386"/>
    </row>
    <row r="3594" spans="2:22" ht="15.75" hidden="1" x14ac:dyDescent="0.2">
      <c r="B3594" s="742">
        <v>46309</v>
      </c>
      <c r="C3594" s="742" t="s">
        <v>106</v>
      </c>
      <c r="D3594" s="742" t="s">
        <v>189</v>
      </c>
      <c r="E3594" s="742">
        <v>46308</v>
      </c>
      <c r="G3594" s="786"/>
      <c r="H3594" s="497" t="s">
        <v>25</v>
      </c>
      <c r="I3594" s="60" t="s">
        <v>106</v>
      </c>
      <c r="J3594" s="60">
        <f t="shared" si="4292"/>
        <v>88</v>
      </c>
      <c r="K3594" s="60">
        <v>33</v>
      </c>
      <c r="L3594" s="60">
        <v>33</v>
      </c>
      <c r="M3594" s="60">
        <v>0</v>
      </c>
      <c r="N3594" s="494">
        <v>0</v>
      </c>
      <c r="O3594" s="60">
        <v>0</v>
      </c>
      <c r="P3594" s="494">
        <v>22</v>
      </c>
      <c r="Q3594" s="182">
        <f t="shared" si="4290"/>
        <v>0.75</v>
      </c>
      <c r="R3594" s="182">
        <f t="shared" si="4291"/>
        <v>0</v>
      </c>
      <c r="S3594" s="183">
        <f t="shared" si="4282"/>
        <v>0.25</v>
      </c>
      <c r="T3594" s="183">
        <f t="shared" si="4283"/>
        <v>0</v>
      </c>
      <c r="U3594" s="184">
        <f t="shared" si="4284"/>
        <v>1</v>
      </c>
      <c r="V3594" s="386"/>
    </row>
    <row r="3595" spans="2:22" ht="15.75" hidden="1" x14ac:dyDescent="0.2">
      <c r="B3595" s="742">
        <v>46309</v>
      </c>
      <c r="C3595" s="742" t="s">
        <v>106</v>
      </c>
      <c r="D3595" s="742" t="s">
        <v>189</v>
      </c>
      <c r="E3595" s="742">
        <v>46308</v>
      </c>
      <c r="G3595" s="779"/>
      <c r="H3595" s="497" t="s">
        <v>17</v>
      </c>
      <c r="I3595" s="60" t="s">
        <v>105</v>
      </c>
      <c r="J3595" s="60">
        <f t="shared" si="4292"/>
        <v>142</v>
      </c>
      <c r="K3595" s="60">
        <v>74</v>
      </c>
      <c r="L3595" s="60">
        <v>28</v>
      </c>
      <c r="M3595" s="60">
        <v>0</v>
      </c>
      <c r="N3595" s="494">
        <v>0</v>
      </c>
      <c r="O3595" s="60">
        <v>25</v>
      </c>
      <c r="P3595" s="494">
        <v>15</v>
      </c>
      <c r="Q3595" s="182">
        <f t="shared" si="4290"/>
        <v>0.71830985915492962</v>
      </c>
      <c r="R3595" s="182">
        <f t="shared" si="4291"/>
        <v>0</v>
      </c>
      <c r="S3595" s="183">
        <f t="shared" si="4282"/>
        <v>0.10563380281690141</v>
      </c>
      <c r="T3595" s="183">
        <f t="shared" si="4283"/>
        <v>0.176056338028169</v>
      </c>
      <c r="U3595" s="184">
        <f t="shared" si="4284"/>
        <v>1</v>
      </c>
      <c r="V3595" s="386"/>
    </row>
    <row r="3596" spans="2:22" ht="15.75" hidden="1" x14ac:dyDescent="0.2">
      <c r="B3596" s="742">
        <v>46309</v>
      </c>
      <c r="C3596" s="742" t="s">
        <v>106</v>
      </c>
      <c r="D3596" s="742" t="s">
        <v>189</v>
      </c>
      <c r="E3596" s="742">
        <v>46309</v>
      </c>
      <c r="G3596" s="773">
        <v>46310</v>
      </c>
      <c r="H3596" s="497" t="s">
        <v>16</v>
      </c>
      <c r="I3596" s="60" t="s">
        <v>218</v>
      </c>
      <c r="J3596" s="60">
        <v>237</v>
      </c>
      <c r="K3596" s="60">
        <v>0</v>
      </c>
      <c r="L3596" s="60">
        <v>0</v>
      </c>
      <c r="M3596" s="60">
        <v>208</v>
      </c>
      <c r="N3596" s="494">
        <v>0</v>
      </c>
      <c r="O3596" s="60">
        <v>20</v>
      </c>
      <c r="P3596" s="494">
        <v>12</v>
      </c>
      <c r="Q3596" s="182">
        <f t="shared" si="4290"/>
        <v>0</v>
      </c>
      <c r="R3596" s="182">
        <f t="shared" si="4291"/>
        <v>0</v>
      </c>
      <c r="S3596" s="183">
        <f t="shared" si="4282"/>
        <v>5.0632911392405063E-2</v>
      </c>
      <c r="T3596" s="183">
        <f t="shared" si="4283"/>
        <v>8.4388185654008435E-2</v>
      </c>
      <c r="U3596" s="184">
        <f t="shared" si="4284"/>
        <v>0.13502109704641349</v>
      </c>
      <c r="V3596" s="386"/>
    </row>
    <row r="3597" spans="2:22" ht="15.75" hidden="1" x14ac:dyDescent="0.2">
      <c r="B3597" s="742">
        <v>46309</v>
      </c>
      <c r="C3597" s="742" t="s">
        <v>106</v>
      </c>
      <c r="D3597" s="742" t="s">
        <v>189</v>
      </c>
      <c r="E3597" s="742">
        <v>46309</v>
      </c>
      <c r="G3597" s="780"/>
      <c r="H3597" s="497" t="s">
        <v>118</v>
      </c>
      <c r="I3597" s="60" t="s">
        <v>106</v>
      </c>
      <c r="J3597" s="60">
        <v>195</v>
      </c>
      <c r="K3597" s="60">
        <v>0</v>
      </c>
      <c r="L3597" s="60">
        <v>4</v>
      </c>
      <c r="M3597" s="60">
        <v>61</v>
      </c>
      <c r="N3597" s="494">
        <v>111</v>
      </c>
      <c r="O3597" s="60">
        <v>14</v>
      </c>
      <c r="P3597" s="494">
        <v>9</v>
      </c>
      <c r="Q3597" s="182">
        <f t="shared" si="4290"/>
        <v>2.0512820512820513E-2</v>
      </c>
      <c r="R3597" s="182">
        <f t="shared" si="4291"/>
        <v>0.56923076923076921</v>
      </c>
      <c r="S3597" s="183">
        <f t="shared" si="4282"/>
        <v>4.6153846153846156E-2</v>
      </c>
      <c r="T3597" s="183">
        <f t="shared" si="4283"/>
        <v>7.179487179487179E-2</v>
      </c>
      <c r="U3597" s="184">
        <f t="shared" si="4284"/>
        <v>0.70769230769230773</v>
      </c>
      <c r="V3597" s="386"/>
    </row>
    <row r="3598" spans="2:22" ht="15.75" hidden="1" x14ac:dyDescent="0.2">
      <c r="B3598" s="742">
        <v>46309</v>
      </c>
      <c r="C3598" s="742" t="s">
        <v>106</v>
      </c>
      <c r="D3598" s="742" t="s">
        <v>189</v>
      </c>
      <c r="E3598" s="742">
        <v>46309</v>
      </c>
      <c r="G3598" s="780"/>
      <c r="H3598" s="497" t="s">
        <v>212</v>
      </c>
      <c r="I3598" s="60" t="s">
        <v>106</v>
      </c>
      <c r="J3598" s="60">
        <v>232</v>
      </c>
      <c r="K3598" s="60">
        <v>152</v>
      </c>
      <c r="L3598" s="60">
        <v>3</v>
      </c>
      <c r="M3598" s="60">
        <v>7</v>
      </c>
      <c r="N3598" s="494">
        <v>44</v>
      </c>
      <c r="O3598" s="60">
        <v>0</v>
      </c>
      <c r="P3598" s="494">
        <v>26</v>
      </c>
      <c r="Q3598" s="182">
        <f t="shared" si="4290"/>
        <v>0.6681034482758621</v>
      </c>
      <c r="R3598" s="182">
        <f t="shared" si="4291"/>
        <v>0.18965517241379309</v>
      </c>
      <c r="S3598" s="183">
        <f t="shared" si="4282"/>
        <v>0.11206896551724138</v>
      </c>
      <c r="T3598" s="183">
        <f t="shared" si="4283"/>
        <v>0</v>
      </c>
      <c r="U3598" s="184">
        <f t="shared" si="4284"/>
        <v>0.96982758620689657</v>
      </c>
      <c r="V3598" s="386"/>
    </row>
    <row r="3599" spans="2:22" ht="15.75" hidden="1" x14ac:dyDescent="0.2">
      <c r="B3599" s="742">
        <v>46309</v>
      </c>
      <c r="C3599" s="742" t="s">
        <v>106</v>
      </c>
      <c r="D3599" s="742" t="s">
        <v>189</v>
      </c>
      <c r="E3599" s="742">
        <v>46309</v>
      </c>
      <c r="G3599" s="780"/>
      <c r="H3599" s="497" t="s">
        <v>84</v>
      </c>
      <c r="I3599" s="60" t="s">
        <v>12</v>
      </c>
      <c r="J3599" s="60">
        <v>33</v>
      </c>
      <c r="K3599" s="60">
        <v>5</v>
      </c>
      <c r="L3599" s="60">
        <v>1</v>
      </c>
      <c r="M3599" s="60">
        <v>18</v>
      </c>
      <c r="N3599" s="494">
        <v>0</v>
      </c>
      <c r="O3599" s="60">
        <v>2</v>
      </c>
      <c r="P3599" s="494">
        <v>7</v>
      </c>
      <c r="Q3599" s="182">
        <f t="shared" si="4290"/>
        <v>0.18181818181818182</v>
      </c>
      <c r="R3599" s="182">
        <f t="shared" si="4291"/>
        <v>0</v>
      </c>
      <c r="S3599" s="183">
        <f t="shared" si="4282"/>
        <v>0.21212121212121213</v>
      </c>
      <c r="T3599" s="183">
        <f t="shared" si="4283"/>
        <v>6.0606060606060608E-2</v>
      </c>
      <c r="U3599" s="184">
        <f t="shared" si="4284"/>
        <v>0.45454545454545453</v>
      </c>
      <c r="V3599" s="386"/>
    </row>
    <row r="3600" spans="2:22" ht="15.75" hidden="1" x14ac:dyDescent="0.2">
      <c r="B3600" s="742">
        <v>46309</v>
      </c>
      <c r="C3600" s="742" t="s">
        <v>106</v>
      </c>
      <c r="D3600" s="742" t="s">
        <v>189</v>
      </c>
      <c r="E3600" s="742">
        <v>46309</v>
      </c>
      <c r="G3600" s="774"/>
      <c r="H3600" s="497" t="s">
        <v>25</v>
      </c>
      <c r="I3600" s="60" t="s">
        <v>105</v>
      </c>
      <c r="J3600" s="60">
        <v>221</v>
      </c>
      <c r="K3600" s="60">
        <v>0</v>
      </c>
      <c r="L3600" s="60">
        <v>0</v>
      </c>
      <c r="M3600" s="60">
        <v>173</v>
      </c>
      <c r="N3600" s="494">
        <v>0</v>
      </c>
      <c r="O3600" s="60">
        <v>26</v>
      </c>
      <c r="P3600" s="494">
        <v>22</v>
      </c>
      <c r="Q3600" s="182">
        <f t="shared" si="4290"/>
        <v>0</v>
      </c>
      <c r="R3600" s="182">
        <f t="shared" si="4291"/>
        <v>0</v>
      </c>
      <c r="S3600" s="183">
        <f t="shared" si="4282"/>
        <v>9.9547511312217188E-2</v>
      </c>
      <c r="T3600" s="183">
        <f t="shared" si="4283"/>
        <v>0.11764705882352941</v>
      </c>
      <c r="U3600" s="184">
        <f t="shared" si="4284"/>
        <v>0.21719457013574661</v>
      </c>
      <c r="V3600" s="386"/>
    </row>
    <row r="3601" spans="2:22" ht="15.75" hidden="1" x14ac:dyDescent="0.2">
      <c r="B3601" s="742">
        <v>46309</v>
      </c>
      <c r="C3601" s="742" t="s">
        <v>106</v>
      </c>
      <c r="D3601" s="742" t="s">
        <v>189</v>
      </c>
      <c r="E3601" s="742">
        <v>46308</v>
      </c>
      <c r="G3601" s="775" t="s">
        <v>19</v>
      </c>
      <c r="H3601" s="776"/>
      <c r="I3601" s="777"/>
      <c r="J3601" s="190">
        <f t="shared" ref="J3601:P3601" si="4293">SUM(J3591:J3600)</f>
        <v>1270</v>
      </c>
      <c r="K3601" s="190">
        <f t="shared" si="4293"/>
        <v>325</v>
      </c>
      <c r="L3601" s="190">
        <f t="shared" si="4293"/>
        <v>90</v>
      </c>
      <c r="M3601" s="190">
        <f t="shared" si="4293"/>
        <v>467</v>
      </c>
      <c r="N3601" s="190">
        <f t="shared" si="4293"/>
        <v>155</v>
      </c>
      <c r="O3601" s="190">
        <f t="shared" si="4293"/>
        <v>107</v>
      </c>
      <c r="P3601" s="190">
        <f t="shared" si="4293"/>
        <v>133</v>
      </c>
      <c r="Q3601" s="481">
        <f>(K3601+L3601)/J3601</f>
        <v>0.32677165354330706</v>
      </c>
      <c r="R3601" s="481">
        <f>N3601/J3601</f>
        <v>0.12204724409448819</v>
      </c>
      <c r="S3601" s="482">
        <f t="shared" si="4282"/>
        <v>0.1047244094488189</v>
      </c>
      <c r="T3601" s="482">
        <f t="shared" si="4283"/>
        <v>8.4251968503937014E-2</v>
      </c>
      <c r="U3601" s="483">
        <f t="shared" si="4284"/>
        <v>0.63779527559055116</v>
      </c>
      <c r="V3601" s="479"/>
    </row>
    <row r="3602" spans="2:22" ht="15.75" hidden="1" x14ac:dyDescent="0.2">
      <c r="B3602" s="744">
        <v>46309</v>
      </c>
      <c r="C3602" s="744" t="s">
        <v>105</v>
      </c>
      <c r="D3602" s="744" t="s">
        <v>13</v>
      </c>
      <c r="E3602" s="744">
        <v>46309</v>
      </c>
      <c r="G3602" s="882">
        <v>46309</v>
      </c>
      <c r="H3602" s="497" t="s">
        <v>16</v>
      </c>
      <c r="I3602" s="60" t="s">
        <v>218</v>
      </c>
      <c r="J3602" s="60">
        <v>246</v>
      </c>
      <c r="K3602" s="60">
        <f t="shared" ref="K3602:K3607" si="4294">J3602-L3602-M3602-N3602-O3602-P3602</f>
        <v>159</v>
      </c>
      <c r="L3602" s="60">
        <v>60</v>
      </c>
      <c r="M3602" s="60">
        <v>0</v>
      </c>
      <c r="N3602" s="494">
        <v>0</v>
      </c>
      <c r="O3602" s="60">
        <v>20</v>
      </c>
      <c r="P3602" s="494">
        <v>7</v>
      </c>
      <c r="Q3602" s="182">
        <f t="shared" ref="Q3602" si="4295">(K3602+L3602)/J3602</f>
        <v>0.8902439024390244</v>
      </c>
      <c r="R3602" s="182">
        <f t="shared" ref="R3602" si="4296">N3602/J3602</f>
        <v>0</v>
      </c>
      <c r="S3602" s="183">
        <f t="shared" ref="S3602" si="4297">P3602/J3602</f>
        <v>2.8455284552845527E-2</v>
      </c>
      <c r="T3602" s="183">
        <f t="shared" ref="T3602" si="4298">O3602/J3602</f>
        <v>8.1300813008130079E-2</v>
      </c>
      <c r="U3602" s="184">
        <f t="shared" ref="U3602:U3622" si="4299">S3602+R3602+Q3602+T3602</f>
        <v>1</v>
      </c>
      <c r="V3602" s="386"/>
    </row>
    <row r="3603" spans="2:22" ht="15.75" hidden="1" x14ac:dyDescent="0.2">
      <c r="B3603" s="744">
        <v>46309</v>
      </c>
      <c r="C3603" s="744" t="s">
        <v>105</v>
      </c>
      <c r="D3603" s="744" t="s">
        <v>13</v>
      </c>
      <c r="E3603" s="744">
        <v>46309</v>
      </c>
      <c r="G3603" s="785"/>
      <c r="H3603" s="497" t="s">
        <v>17</v>
      </c>
      <c r="I3603" s="60" t="s">
        <v>105</v>
      </c>
      <c r="J3603" s="60">
        <v>143</v>
      </c>
      <c r="K3603" s="60">
        <f t="shared" si="4294"/>
        <v>78</v>
      </c>
      <c r="L3603" s="60">
        <v>28</v>
      </c>
      <c r="M3603" s="60">
        <v>0</v>
      </c>
      <c r="N3603" s="494">
        <v>0</v>
      </c>
      <c r="O3603" s="60">
        <v>25</v>
      </c>
      <c r="P3603" s="494">
        <v>12</v>
      </c>
      <c r="Q3603" s="182">
        <f t="shared" ref="Q3603:Q3607" si="4300">(K3603+L3603)/J3603</f>
        <v>0.74125874125874125</v>
      </c>
      <c r="R3603" s="182">
        <f t="shared" ref="R3603:R3607" si="4301">N3603/J3603</f>
        <v>0</v>
      </c>
      <c r="S3603" s="183">
        <f t="shared" ref="S3603:S3607" si="4302">P3603/J3603</f>
        <v>8.3916083916083919E-2</v>
      </c>
      <c r="T3603" s="183">
        <f t="shared" ref="T3603:T3607" si="4303">O3603/J3603</f>
        <v>0.17482517482517482</v>
      </c>
      <c r="U3603" s="184">
        <f t="shared" ref="U3603:U3607" si="4304">S3603+R3603+Q3603+T3603</f>
        <v>1</v>
      </c>
      <c r="V3603" s="386"/>
    </row>
    <row r="3604" spans="2:22" ht="15.75" hidden="1" x14ac:dyDescent="0.2">
      <c r="B3604" s="744">
        <v>46309</v>
      </c>
      <c r="C3604" s="744" t="s">
        <v>105</v>
      </c>
      <c r="D3604" s="744" t="s">
        <v>13</v>
      </c>
      <c r="E3604" s="744">
        <v>46310</v>
      </c>
      <c r="G3604" s="770">
        <v>46310</v>
      </c>
      <c r="H3604" s="497" t="s">
        <v>16</v>
      </c>
      <c r="I3604" s="60" t="s">
        <v>218</v>
      </c>
      <c r="J3604" s="60">
        <v>240</v>
      </c>
      <c r="K3604" s="60">
        <f t="shared" si="4294"/>
        <v>128</v>
      </c>
      <c r="L3604" s="194">
        <v>76</v>
      </c>
      <c r="M3604" s="194">
        <v>8</v>
      </c>
      <c r="N3604" s="538">
        <v>0</v>
      </c>
      <c r="O3604" s="60">
        <v>20</v>
      </c>
      <c r="P3604" s="494">
        <v>8</v>
      </c>
      <c r="Q3604" s="182">
        <f t="shared" si="4300"/>
        <v>0.85</v>
      </c>
      <c r="R3604" s="182">
        <f t="shared" si="4301"/>
        <v>0</v>
      </c>
      <c r="S3604" s="183">
        <f t="shared" si="4302"/>
        <v>3.3333333333333333E-2</v>
      </c>
      <c r="T3604" s="183">
        <f t="shared" si="4303"/>
        <v>8.3333333333333329E-2</v>
      </c>
      <c r="U3604" s="184">
        <f t="shared" si="4304"/>
        <v>0.96666666666666667</v>
      </c>
      <c r="V3604" s="386"/>
    </row>
    <row r="3605" spans="2:22" ht="15.75" hidden="1" x14ac:dyDescent="0.2">
      <c r="B3605" s="744">
        <v>46309</v>
      </c>
      <c r="C3605" s="744" t="s">
        <v>105</v>
      </c>
      <c r="D3605" s="744" t="s">
        <v>13</v>
      </c>
      <c r="E3605" s="744">
        <v>46310</v>
      </c>
      <c r="G3605" s="771"/>
      <c r="H3605" s="497" t="s">
        <v>118</v>
      </c>
      <c r="I3605" s="60" t="s">
        <v>106</v>
      </c>
      <c r="J3605" s="60">
        <v>196</v>
      </c>
      <c r="K3605" s="60">
        <f t="shared" si="4294"/>
        <v>139</v>
      </c>
      <c r="L3605" s="60">
        <v>33</v>
      </c>
      <c r="M3605" s="60">
        <v>3</v>
      </c>
      <c r="N3605" s="494">
        <v>0</v>
      </c>
      <c r="O3605" s="60">
        <v>14</v>
      </c>
      <c r="P3605" s="494">
        <v>7</v>
      </c>
      <c r="Q3605" s="182">
        <f t="shared" si="4300"/>
        <v>0.87755102040816324</v>
      </c>
      <c r="R3605" s="182">
        <f t="shared" si="4301"/>
        <v>0</v>
      </c>
      <c r="S3605" s="183">
        <f t="shared" si="4302"/>
        <v>3.5714285714285712E-2</v>
      </c>
      <c r="T3605" s="183">
        <f t="shared" si="4303"/>
        <v>7.1428571428571425E-2</v>
      </c>
      <c r="U3605" s="184">
        <f t="shared" si="4304"/>
        <v>0.98469387755102034</v>
      </c>
      <c r="V3605" s="386"/>
    </row>
    <row r="3606" spans="2:22" ht="15.75" hidden="1" x14ac:dyDescent="0.2">
      <c r="B3606" s="744">
        <v>46309</v>
      </c>
      <c r="C3606" s="744" t="s">
        <v>105</v>
      </c>
      <c r="D3606" s="744" t="s">
        <v>13</v>
      </c>
      <c r="E3606" s="744">
        <v>46310</v>
      </c>
      <c r="G3606" s="771"/>
      <c r="H3606" s="497" t="s">
        <v>215</v>
      </c>
      <c r="I3606" s="60" t="s">
        <v>106</v>
      </c>
      <c r="J3606" s="60">
        <v>232</v>
      </c>
      <c r="K3606" s="60">
        <f t="shared" si="4294"/>
        <v>152</v>
      </c>
      <c r="L3606" s="60">
        <v>3</v>
      </c>
      <c r="M3606" s="60">
        <v>8</v>
      </c>
      <c r="N3606" s="494">
        <v>43</v>
      </c>
      <c r="O3606" s="60">
        <v>0</v>
      </c>
      <c r="P3606" s="494">
        <v>26</v>
      </c>
      <c r="Q3606" s="182">
        <f t="shared" si="4300"/>
        <v>0.6681034482758621</v>
      </c>
      <c r="R3606" s="182">
        <f t="shared" si="4301"/>
        <v>0.18534482758620691</v>
      </c>
      <c r="S3606" s="183">
        <f t="shared" si="4302"/>
        <v>0.11206896551724138</v>
      </c>
      <c r="T3606" s="183">
        <f t="shared" si="4303"/>
        <v>0</v>
      </c>
      <c r="U3606" s="184">
        <f t="shared" si="4304"/>
        <v>0.96551724137931039</v>
      </c>
      <c r="V3606" s="386"/>
    </row>
    <row r="3607" spans="2:22" ht="15.75" hidden="1" x14ac:dyDescent="0.2">
      <c r="B3607" s="744">
        <v>46309</v>
      </c>
      <c r="C3607" s="744" t="s">
        <v>105</v>
      </c>
      <c r="D3607" s="744" t="s">
        <v>13</v>
      </c>
      <c r="E3607" s="744">
        <v>46310</v>
      </c>
      <c r="G3607" s="772"/>
      <c r="H3607" s="497" t="s">
        <v>25</v>
      </c>
      <c r="I3607" s="60" t="s">
        <v>105</v>
      </c>
      <c r="J3607" s="60">
        <v>228</v>
      </c>
      <c r="K3607" s="60">
        <f t="shared" si="4294"/>
        <v>4</v>
      </c>
      <c r="L3607" s="60">
        <v>0</v>
      </c>
      <c r="M3607" s="60">
        <v>97</v>
      </c>
      <c r="N3607" s="494">
        <v>79</v>
      </c>
      <c r="O3607" s="60">
        <v>26</v>
      </c>
      <c r="P3607" s="494">
        <v>22</v>
      </c>
      <c r="Q3607" s="182">
        <f t="shared" si="4300"/>
        <v>1.7543859649122806E-2</v>
      </c>
      <c r="R3607" s="182">
        <f t="shared" si="4301"/>
        <v>0.34649122807017546</v>
      </c>
      <c r="S3607" s="183">
        <f t="shared" si="4302"/>
        <v>9.6491228070175433E-2</v>
      </c>
      <c r="T3607" s="183">
        <f t="shared" si="4303"/>
        <v>0.11403508771929824</v>
      </c>
      <c r="U3607" s="184">
        <f t="shared" si="4304"/>
        <v>0.57456140350877194</v>
      </c>
      <c r="V3607" s="386"/>
    </row>
    <row r="3608" spans="2:22" ht="15.75" hidden="1" x14ac:dyDescent="0.2">
      <c r="B3608" s="744">
        <v>46309</v>
      </c>
      <c r="C3608" s="744" t="s">
        <v>105</v>
      </c>
      <c r="D3608" s="744" t="s">
        <v>13</v>
      </c>
      <c r="E3608" s="744">
        <v>46310</v>
      </c>
      <c r="G3608" s="791" t="s">
        <v>19</v>
      </c>
      <c r="H3608" s="791"/>
      <c r="I3608" s="791"/>
      <c r="J3608" s="743">
        <f>SUM(J3602:J3607)</f>
        <v>1285</v>
      </c>
      <c r="K3608" s="743">
        <f t="shared" ref="K3608:P3608" si="4305">SUM(K3602:K3607)</f>
        <v>660</v>
      </c>
      <c r="L3608" s="743">
        <f t="shared" si="4305"/>
        <v>200</v>
      </c>
      <c r="M3608" s="743">
        <f t="shared" si="4305"/>
        <v>116</v>
      </c>
      <c r="N3608" s="743">
        <f t="shared" si="4305"/>
        <v>122</v>
      </c>
      <c r="O3608" s="743">
        <f t="shared" si="4305"/>
        <v>105</v>
      </c>
      <c r="P3608" s="743">
        <f t="shared" si="4305"/>
        <v>82</v>
      </c>
      <c r="Q3608" s="481">
        <f>(K3608+L3608)/J3608</f>
        <v>0.66926070038910501</v>
      </c>
      <c r="R3608" s="481">
        <f>N3608/J3608</f>
        <v>9.4941634241245132E-2</v>
      </c>
      <c r="S3608" s="482">
        <f>P3608/J3608</f>
        <v>6.3813229571984431E-2</v>
      </c>
      <c r="T3608" s="482">
        <f>O3608/J3608</f>
        <v>8.171206225680934E-2</v>
      </c>
      <c r="U3608" s="483">
        <f t="shared" si="4299"/>
        <v>0.90972762645914396</v>
      </c>
      <c r="V3608" s="479"/>
    </row>
    <row r="3609" spans="2:22" ht="15.75" hidden="1" x14ac:dyDescent="0.2">
      <c r="B3609" s="746">
        <v>46310</v>
      </c>
      <c r="C3609" s="746" t="s">
        <v>106</v>
      </c>
      <c r="D3609" s="746" t="s">
        <v>189</v>
      </c>
      <c r="E3609" s="746">
        <v>46310</v>
      </c>
      <c r="G3609" s="880">
        <v>46310</v>
      </c>
      <c r="H3609" s="497" t="s">
        <v>16</v>
      </c>
      <c r="I3609" s="60" t="s">
        <v>127</v>
      </c>
      <c r="J3609" s="60">
        <f>SUM(K3609:P3609)</f>
        <v>90</v>
      </c>
      <c r="K3609" s="60">
        <v>31</v>
      </c>
      <c r="L3609" s="60">
        <v>21</v>
      </c>
      <c r="M3609" s="60">
        <v>0</v>
      </c>
      <c r="N3609" s="494">
        <v>11</v>
      </c>
      <c r="O3609" s="60">
        <v>20</v>
      </c>
      <c r="P3609" s="494">
        <v>7</v>
      </c>
      <c r="Q3609" s="182">
        <f t="shared" ref="Q3609:Q3619" si="4306">(K3609+L3609)/J3609</f>
        <v>0.57777777777777772</v>
      </c>
      <c r="R3609" s="182">
        <f t="shared" ref="R3609:R3619" si="4307">N3609/J3609</f>
        <v>0.12222222222222222</v>
      </c>
      <c r="S3609" s="183">
        <f t="shared" ref="S3609:S3622" si="4308">P3609/J3609</f>
        <v>7.7777777777777779E-2</v>
      </c>
      <c r="T3609" s="183">
        <f t="shared" ref="T3609:T3622" si="4309">O3609/J3609</f>
        <v>0.22222222222222221</v>
      </c>
      <c r="U3609" s="184">
        <f t="shared" si="4299"/>
        <v>0.99999999999999989</v>
      </c>
      <c r="V3609" s="386" t="s">
        <v>221</v>
      </c>
    </row>
    <row r="3610" spans="2:22" ht="15.75" hidden="1" x14ac:dyDescent="0.2">
      <c r="B3610" s="746">
        <v>46310</v>
      </c>
      <c r="C3610" s="746" t="s">
        <v>106</v>
      </c>
      <c r="D3610" s="746" t="s">
        <v>189</v>
      </c>
      <c r="E3610" s="746">
        <v>46310</v>
      </c>
      <c r="G3610" s="880"/>
      <c r="H3610" s="497" t="s">
        <v>14</v>
      </c>
      <c r="I3610" s="60" t="s">
        <v>106</v>
      </c>
      <c r="J3610" s="60">
        <f t="shared" ref="J3610:J3619" si="4310">SUM(K3610:P3610)</f>
        <v>22</v>
      </c>
      <c r="K3610" s="60">
        <v>20</v>
      </c>
      <c r="L3610" s="60">
        <v>2</v>
      </c>
      <c r="M3610" s="60">
        <v>0</v>
      </c>
      <c r="N3610" s="494">
        <v>0</v>
      </c>
      <c r="O3610" s="60">
        <v>0</v>
      </c>
      <c r="P3610" s="494">
        <v>0</v>
      </c>
      <c r="Q3610" s="182">
        <f t="shared" si="4306"/>
        <v>1</v>
      </c>
      <c r="R3610" s="182">
        <f t="shared" si="4307"/>
        <v>0</v>
      </c>
      <c r="S3610" s="183">
        <f t="shared" si="4308"/>
        <v>0</v>
      </c>
      <c r="T3610" s="183">
        <f t="shared" si="4309"/>
        <v>0</v>
      </c>
      <c r="U3610" s="184">
        <f t="shared" si="4299"/>
        <v>1</v>
      </c>
      <c r="V3610" s="386"/>
    </row>
    <row r="3611" spans="2:22" ht="15.75" hidden="1" x14ac:dyDescent="0.2">
      <c r="B3611" s="746">
        <v>46310</v>
      </c>
      <c r="C3611" s="746" t="s">
        <v>106</v>
      </c>
      <c r="D3611" s="746" t="s">
        <v>189</v>
      </c>
      <c r="E3611" s="746">
        <v>46310</v>
      </c>
      <c r="G3611" s="880"/>
      <c r="H3611" s="497" t="s">
        <v>212</v>
      </c>
      <c r="I3611" s="60" t="s">
        <v>22</v>
      </c>
      <c r="J3611" s="60">
        <f t="shared" si="4310"/>
        <v>80</v>
      </c>
      <c r="K3611" s="60">
        <f>117-52</f>
        <v>65</v>
      </c>
      <c r="L3611" s="60">
        <v>1</v>
      </c>
      <c r="M3611" s="60">
        <v>0</v>
      </c>
      <c r="N3611" s="494">
        <v>0</v>
      </c>
      <c r="O3611" s="60">
        <v>0</v>
      </c>
      <c r="P3611" s="494">
        <v>14</v>
      </c>
      <c r="Q3611" s="182">
        <f t="shared" si="4306"/>
        <v>0.82499999999999996</v>
      </c>
      <c r="R3611" s="182">
        <f t="shared" si="4307"/>
        <v>0</v>
      </c>
      <c r="S3611" s="183">
        <f t="shared" si="4308"/>
        <v>0.17499999999999999</v>
      </c>
      <c r="T3611" s="183">
        <f t="shared" si="4309"/>
        <v>0</v>
      </c>
      <c r="U3611" s="184">
        <f t="shared" si="4299"/>
        <v>1</v>
      </c>
      <c r="V3611" s="386"/>
    </row>
    <row r="3612" spans="2:22" ht="15.75" hidden="1" x14ac:dyDescent="0.2">
      <c r="B3612" s="746">
        <v>46310</v>
      </c>
      <c r="C3612" s="746" t="s">
        <v>106</v>
      </c>
      <c r="D3612" s="746" t="s">
        <v>189</v>
      </c>
      <c r="E3612" s="746">
        <v>46310</v>
      </c>
      <c r="G3612" s="880"/>
      <c r="H3612" s="497" t="s">
        <v>17</v>
      </c>
      <c r="I3612" s="60" t="s">
        <v>106</v>
      </c>
      <c r="J3612" s="60">
        <f t="shared" si="4310"/>
        <v>2</v>
      </c>
      <c r="K3612" s="60">
        <v>1</v>
      </c>
      <c r="L3612" s="60">
        <v>1</v>
      </c>
      <c r="M3612" s="60">
        <v>0</v>
      </c>
      <c r="N3612" s="494">
        <v>0</v>
      </c>
      <c r="O3612" s="60">
        <v>0</v>
      </c>
      <c r="P3612" s="494">
        <v>0</v>
      </c>
      <c r="Q3612" s="182">
        <f t="shared" si="4306"/>
        <v>1</v>
      </c>
      <c r="R3612" s="182">
        <f t="shared" si="4307"/>
        <v>0</v>
      </c>
      <c r="S3612" s="183">
        <f t="shared" si="4308"/>
        <v>0</v>
      </c>
      <c r="T3612" s="183">
        <f t="shared" si="4309"/>
        <v>0</v>
      </c>
      <c r="U3612" s="184">
        <f t="shared" si="4299"/>
        <v>1</v>
      </c>
      <c r="V3612" s="386"/>
    </row>
    <row r="3613" spans="2:22" ht="15.75" hidden="1" x14ac:dyDescent="0.2">
      <c r="B3613" s="746">
        <v>46310</v>
      </c>
      <c r="C3613" s="746" t="s">
        <v>106</v>
      </c>
      <c r="D3613" s="746" t="s">
        <v>189</v>
      </c>
      <c r="E3613" s="746">
        <v>46310</v>
      </c>
      <c r="G3613" s="880"/>
      <c r="H3613" s="497" t="s">
        <v>118</v>
      </c>
      <c r="I3613" s="60" t="s">
        <v>106</v>
      </c>
      <c r="J3613" s="60">
        <f t="shared" si="4310"/>
        <v>26</v>
      </c>
      <c r="K3613" s="60">
        <v>10</v>
      </c>
      <c r="L3613" s="60">
        <v>12</v>
      </c>
      <c r="M3613" s="60">
        <v>0</v>
      </c>
      <c r="N3613" s="494">
        <v>0</v>
      </c>
      <c r="O3613" s="60">
        <v>0</v>
      </c>
      <c r="P3613" s="494">
        <v>4</v>
      </c>
      <c r="Q3613" s="182">
        <f t="shared" si="4306"/>
        <v>0.84615384615384615</v>
      </c>
      <c r="R3613" s="182">
        <f t="shared" si="4307"/>
        <v>0</v>
      </c>
      <c r="S3613" s="183">
        <f t="shared" si="4308"/>
        <v>0.15384615384615385</v>
      </c>
      <c r="T3613" s="183">
        <f t="shared" si="4309"/>
        <v>0</v>
      </c>
      <c r="U3613" s="184">
        <f t="shared" si="4299"/>
        <v>1</v>
      </c>
      <c r="V3613" s="386"/>
    </row>
    <row r="3614" spans="2:22" ht="15.75" hidden="1" x14ac:dyDescent="0.2">
      <c r="B3614" s="746">
        <v>46310</v>
      </c>
      <c r="C3614" s="746" t="s">
        <v>106</v>
      </c>
      <c r="D3614" s="746" t="s">
        <v>189</v>
      </c>
      <c r="E3614" s="746">
        <v>46310</v>
      </c>
      <c r="G3614" s="880"/>
      <c r="H3614" s="497" t="s">
        <v>84</v>
      </c>
      <c r="I3614" s="60" t="s">
        <v>12</v>
      </c>
      <c r="J3614" s="60">
        <f t="shared" si="4310"/>
        <v>49</v>
      </c>
      <c r="K3614" s="60">
        <v>36</v>
      </c>
      <c r="L3614" s="60">
        <v>4</v>
      </c>
      <c r="M3614" s="60">
        <v>0</v>
      </c>
      <c r="N3614" s="494">
        <v>0</v>
      </c>
      <c r="O3614" s="60">
        <v>3</v>
      </c>
      <c r="P3614" s="494">
        <v>6</v>
      </c>
      <c r="Q3614" s="182">
        <f t="shared" si="4306"/>
        <v>0.81632653061224492</v>
      </c>
      <c r="R3614" s="182">
        <f t="shared" si="4307"/>
        <v>0</v>
      </c>
      <c r="S3614" s="183">
        <f t="shared" si="4308"/>
        <v>0.12244897959183673</v>
      </c>
      <c r="T3614" s="183">
        <f t="shared" si="4309"/>
        <v>6.1224489795918366E-2</v>
      </c>
      <c r="U3614" s="184">
        <f t="shared" si="4299"/>
        <v>1</v>
      </c>
      <c r="V3614" s="386"/>
    </row>
    <row r="3615" spans="2:22" ht="15.75" hidden="1" x14ac:dyDescent="0.2">
      <c r="B3615" s="746">
        <v>46310</v>
      </c>
      <c r="C3615" s="746" t="s">
        <v>106</v>
      </c>
      <c r="D3615" s="746" t="s">
        <v>189</v>
      </c>
      <c r="E3615" s="746">
        <v>46310</v>
      </c>
      <c r="G3615" s="880"/>
      <c r="H3615" s="497" t="s">
        <v>25</v>
      </c>
      <c r="I3615" s="60" t="s">
        <v>105</v>
      </c>
      <c r="J3615" s="60">
        <f t="shared" si="4310"/>
        <v>225</v>
      </c>
      <c r="K3615" s="60">
        <v>90</v>
      </c>
      <c r="L3615" s="60">
        <v>40</v>
      </c>
      <c r="M3615" s="60">
        <v>0</v>
      </c>
      <c r="N3615" s="494">
        <v>47</v>
      </c>
      <c r="O3615" s="60">
        <v>28</v>
      </c>
      <c r="P3615" s="494">
        <v>20</v>
      </c>
      <c r="Q3615" s="182">
        <f t="shared" si="4306"/>
        <v>0.57777777777777772</v>
      </c>
      <c r="R3615" s="182">
        <f t="shared" si="4307"/>
        <v>0.2088888888888889</v>
      </c>
      <c r="S3615" s="183">
        <f t="shared" si="4308"/>
        <v>8.8888888888888892E-2</v>
      </c>
      <c r="T3615" s="183">
        <f t="shared" si="4309"/>
        <v>0.12444444444444444</v>
      </c>
      <c r="U3615" s="184">
        <f t="shared" si="4299"/>
        <v>1</v>
      </c>
      <c r="V3615" s="386"/>
    </row>
    <row r="3616" spans="2:22" ht="15.75" hidden="1" x14ac:dyDescent="0.2">
      <c r="B3616" s="746">
        <v>46310</v>
      </c>
      <c r="C3616" s="746" t="s">
        <v>106</v>
      </c>
      <c r="D3616" s="746" t="s">
        <v>189</v>
      </c>
      <c r="E3616" s="746">
        <v>46311</v>
      </c>
      <c r="G3616" s="881">
        <v>46311</v>
      </c>
      <c r="H3616" s="497" t="s">
        <v>16</v>
      </c>
      <c r="I3616" s="60" t="s">
        <v>127</v>
      </c>
      <c r="J3616" s="60">
        <v>239</v>
      </c>
      <c r="K3616" s="60">
        <v>0</v>
      </c>
      <c r="L3616" s="60">
        <v>0</v>
      </c>
      <c r="M3616" s="60">
        <v>211</v>
      </c>
      <c r="N3616" s="494">
        <v>0</v>
      </c>
      <c r="O3616" s="60">
        <v>20</v>
      </c>
      <c r="P3616" s="494">
        <v>9</v>
      </c>
      <c r="Q3616" s="182">
        <f t="shared" si="4306"/>
        <v>0</v>
      </c>
      <c r="R3616" s="182">
        <f t="shared" si="4307"/>
        <v>0</v>
      </c>
      <c r="S3616" s="183">
        <f t="shared" si="4308"/>
        <v>3.7656903765690378E-2</v>
      </c>
      <c r="T3616" s="183">
        <f t="shared" si="4309"/>
        <v>8.3682008368200833E-2</v>
      </c>
      <c r="U3616" s="184">
        <f t="shared" si="4299"/>
        <v>0.12133891213389121</v>
      </c>
      <c r="V3616" s="386"/>
    </row>
    <row r="3617" spans="2:22" ht="15.75" hidden="1" x14ac:dyDescent="0.2">
      <c r="B3617" s="746">
        <v>46310</v>
      </c>
      <c r="C3617" s="746" t="s">
        <v>106</v>
      </c>
      <c r="D3617" s="746" t="s">
        <v>189</v>
      </c>
      <c r="E3617" s="746">
        <v>46311</v>
      </c>
      <c r="G3617" s="881"/>
      <c r="H3617" s="497" t="s">
        <v>180</v>
      </c>
      <c r="I3617" s="60" t="s">
        <v>106</v>
      </c>
      <c r="J3617" s="60">
        <f t="shared" si="4310"/>
        <v>39</v>
      </c>
      <c r="K3617" s="60">
        <v>19</v>
      </c>
      <c r="L3617" s="60">
        <v>1</v>
      </c>
      <c r="M3617" s="60">
        <v>2</v>
      </c>
      <c r="N3617" s="494">
        <v>16</v>
      </c>
      <c r="O3617" s="60">
        <v>0</v>
      </c>
      <c r="P3617" s="494">
        <v>1</v>
      </c>
      <c r="Q3617" s="182">
        <f t="shared" si="4306"/>
        <v>0.51282051282051277</v>
      </c>
      <c r="R3617" s="182">
        <f t="shared" si="4307"/>
        <v>0.41025641025641024</v>
      </c>
      <c r="S3617" s="183">
        <f t="shared" si="4308"/>
        <v>2.564102564102564E-2</v>
      </c>
      <c r="T3617" s="183">
        <f t="shared" si="4309"/>
        <v>0</v>
      </c>
      <c r="U3617" s="184">
        <f t="shared" si="4299"/>
        <v>0.94871794871794868</v>
      </c>
      <c r="V3617" s="386"/>
    </row>
    <row r="3618" spans="2:22" ht="15.75" hidden="1" x14ac:dyDescent="0.2">
      <c r="B3618" s="746">
        <v>46310</v>
      </c>
      <c r="C3618" s="746" t="s">
        <v>106</v>
      </c>
      <c r="D3618" s="746" t="s">
        <v>189</v>
      </c>
      <c r="E3618" s="746">
        <v>46311</v>
      </c>
      <c r="G3618" s="881"/>
      <c r="H3618" s="497" t="s">
        <v>212</v>
      </c>
      <c r="I3618" s="60" t="s">
        <v>106</v>
      </c>
      <c r="J3618" s="60">
        <f t="shared" si="4310"/>
        <v>100</v>
      </c>
      <c r="K3618" s="60">
        <v>52</v>
      </c>
      <c r="L3618" s="60">
        <v>2</v>
      </c>
      <c r="M3618" s="60">
        <v>2</v>
      </c>
      <c r="N3618" s="494">
        <v>37</v>
      </c>
      <c r="O3618" s="60">
        <v>0</v>
      </c>
      <c r="P3618" s="494">
        <v>7</v>
      </c>
      <c r="Q3618" s="182">
        <f t="shared" si="4306"/>
        <v>0.54</v>
      </c>
      <c r="R3618" s="182">
        <f t="shared" si="4307"/>
        <v>0.37</v>
      </c>
      <c r="S3618" s="183">
        <f t="shared" si="4308"/>
        <v>7.0000000000000007E-2</v>
      </c>
      <c r="T3618" s="183">
        <f t="shared" si="4309"/>
        <v>0</v>
      </c>
      <c r="U3618" s="184">
        <f t="shared" si="4299"/>
        <v>0.98</v>
      </c>
      <c r="V3618" s="386"/>
    </row>
    <row r="3619" spans="2:22" ht="15.75" hidden="1" x14ac:dyDescent="0.2">
      <c r="B3619" s="746">
        <v>46310</v>
      </c>
      <c r="C3619" s="746" t="s">
        <v>106</v>
      </c>
      <c r="D3619" s="746" t="s">
        <v>189</v>
      </c>
      <c r="E3619" s="746">
        <v>46311</v>
      </c>
      <c r="G3619" s="881"/>
      <c r="H3619" s="497" t="s">
        <v>14</v>
      </c>
      <c r="I3619" s="60" t="s">
        <v>106</v>
      </c>
      <c r="J3619" s="60">
        <f t="shared" si="4310"/>
        <v>197</v>
      </c>
      <c r="K3619" s="60">
        <v>0</v>
      </c>
      <c r="L3619" s="60">
        <v>0</v>
      </c>
      <c r="M3619" s="60">
        <v>84</v>
      </c>
      <c r="N3619" s="494">
        <v>94</v>
      </c>
      <c r="O3619" s="60">
        <v>11</v>
      </c>
      <c r="P3619" s="494">
        <v>8</v>
      </c>
      <c r="Q3619" s="182">
        <f t="shared" si="4306"/>
        <v>0</v>
      </c>
      <c r="R3619" s="182">
        <f t="shared" si="4307"/>
        <v>0.47715736040609136</v>
      </c>
      <c r="S3619" s="183">
        <f t="shared" si="4308"/>
        <v>4.060913705583756E-2</v>
      </c>
      <c r="T3619" s="183">
        <f t="shared" si="4309"/>
        <v>5.5837563451776651E-2</v>
      </c>
      <c r="U3619" s="184">
        <f t="shared" si="4299"/>
        <v>0.57360406091370564</v>
      </c>
      <c r="V3619" s="386"/>
    </row>
    <row r="3620" spans="2:22" ht="15.75" hidden="1" x14ac:dyDescent="0.2">
      <c r="B3620" s="746">
        <v>46310</v>
      </c>
      <c r="C3620" s="746" t="s">
        <v>106</v>
      </c>
      <c r="D3620" s="746" t="s">
        <v>189</v>
      </c>
      <c r="E3620" s="746">
        <v>46310</v>
      </c>
      <c r="G3620" s="775" t="s">
        <v>19</v>
      </c>
      <c r="H3620" s="776"/>
      <c r="I3620" s="777"/>
      <c r="J3620" s="190">
        <f t="shared" ref="J3620:P3620" si="4311">SUM(J3609:J3619)</f>
        <v>1069</v>
      </c>
      <c r="K3620" s="190">
        <f t="shared" si="4311"/>
        <v>324</v>
      </c>
      <c r="L3620" s="190">
        <f t="shared" si="4311"/>
        <v>84</v>
      </c>
      <c r="M3620" s="190">
        <f t="shared" si="4311"/>
        <v>299</v>
      </c>
      <c r="N3620" s="190">
        <f t="shared" si="4311"/>
        <v>205</v>
      </c>
      <c r="O3620" s="190">
        <f t="shared" si="4311"/>
        <v>82</v>
      </c>
      <c r="P3620" s="190">
        <f t="shared" si="4311"/>
        <v>76</v>
      </c>
      <c r="Q3620" s="481">
        <f>(K3620+L3620)/J3620</f>
        <v>0.38166510757717492</v>
      </c>
      <c r="R3620" s="481">
        <f>N3620/J3620</f>
        <v>0.19176800748362957</v>
      </c>
      <c r="S3620" s="482">
        <f t="shared" si="4308"/>
        <v>7.1094480823199246E-2</v>
      </c>
      <c r="T3620" s="482">
        <f t="shared" si="4309"/>
        <v>7.6707202993451823E-2</v>
      </c>
      <c r="U3620" s="483">
        <f t="shared" si="4299"/>
        <v>0.72123479887745556</v>
      </c>
      <c r="V3620" s="479"/>
    </row>
    <row r="3621" spans="2:22" ht="15.75" hidden="1" x14ac:dyDescent="0.2">
      <c r="B3621" s="747">
        <v>46310</v>
      </c>
      <c r="C3621" s="747" t="s">
        <v>105</v>
      </c>
      <c r="D3621" s="747" t="s">
        <v>13</v>
      </c>
      <c r="E3621" s="747">
        <v>46310</v>
      </c>
      <c r="G3621" s="770">
        <v>46310</v>
      </c>
      <c r="H3621" s="497" t="s">
        <v>16</v>
      </c>
      <c r="I3621" s="60" t="s">
        <v>218</v>
      </c>
      <c r="J3621" s="60">
        <v>240</v>
      </c>
      <c r="K3621" s="60">
        <f t="shared" ref="K3621:K3622" si="4312">J3621-L3621-M3621-N3621-O3621-P3621</f>
        <v>172</v>
      </c>
      <c r="L3621" s="194">
        <v>41</v>
      </c>
      <c r="M3621" s="194">
        <v>0</v>
      </c>
      <c r="N3621" s="538">
        <v>0</v>
      </c>
      <c r="O3621" s="60">
        <v>20</v>
      </c>
      <c r="P3621" s="494">
        <v>7</v>
      </c>
      <c r="Q3621" s="182">
        <f t="shared" ref="Q3621:Q3626" si="4313">(K3621+L3621)/J3621</f>
        <v>0.88749999999999996</v>
      </c>
      <c r="R3621" s="182">
        <f t="shared" ref="R3621:R3626" si="4314">N3621/J3621</f>
        <v>0</v>
      </c>
      <c r="S3621" s="183">
        <f t="shared" si="4308"/>
        <v>2.9166666666666667E-2</v>
      </c>
      <c r="T3621" s="183">
        <f t="shared" si="4309"/>
        <v>8.3333333333333329E-2</v>
      </c>
      <c r="U3621" s="184">
        <f t="shared" si="4299"/>
        <v>1</v>
      </c>
      <c r="V3621" s="386"/>
    </row>
    <row r="3622" spans="2:22" ht="15.75" hidden="1" x14ac:dyDescent="0.2">
      <c r="B3622" s="747">
        <v>46310</v>
      </c>
      <c r="C3622" s="747" t="s">
        <v>105</v>
      </c>
      <c r="D3622" s="747" t="s">
        <v>13</v>
      </c>
      <c r="E3622" s="747">
        <v>46310</v>
      </c>
      <c r="G3622" s="772"/>
      <c r="H3622" s="497" t="s">
        <v>25</v>
      </c>
      <c r="I3622" s="60" t="s">
        <v>105</v>
      </c>
      <c r="J3622" s="60">
        <v>228</v>
      </c>
      <c r="K3622" s="60">
        <f t="shared" si="4312"/>
        <v>134</v>
      </c>
      <c r="L3622" s="60">
        <v>45</v>
      </c>
      <c r="M3622" s="60">
        <v>0</v>
      </c>
      <c r="N3622" s="494">
        <v>0</v>
      </c>
      <c r="O3622" s="60">
        <v>28</v>
      </c>
      <c r="P3622" s="494">
        <v>21</v>
      </c>
      <c r="Q3622" s="182">
        <f t="shared" si="4313"/>
        <v>0.78508771929824561</v>
      </c>
      <c r="R3622" s="182">
        <f t="shared" si="4314"/>
        <v>0</v>
      </c>
      <c r="S3622" s="183">
        <f t="shared" si="4308"/>
        <v>9.2105263157894732E-2</v>
      </c>
      <c r="T3622" s="183">
        <f t="shared" si="4309"/>
        <v>0.12280701754385964</v>
      </c>
      <c r="U3622" s="184">
        <f t="shared" si="4299"/>
        <v>1</v>
      </c>
      <c r="V3622" s="386"/>
    </row>
    <row r="3623" spans="2:22" ht="15.75" hidden="1" x14ac:dyDescent="0.2">
      <c r="B3623" s="747">
        <v>46310</v>
      </c>
      <c r="C3623" s="747" t="s">
        <v>105</v>
      </c>
      <c r="D3623" s="747" t="s">
        <v>13</v>
      </c>
      <c r="E3623" s="747">
        <v>46311</v>
      </c>
      <c r="G3623" s="886">
        <v>46311</v>
      </c>
      <c r="H3623" s="497" t="s">
        <v>16</v>
      </c>
      <c r="I3623" s="60" t="s">
        <v>127</v>
      </c>
      <c r="J3623" s="60">
        <v>240</v>
      </c>
      <c r="K3623" s="60">
        <f>J3623-L3623-M3623-N3623-O3623-P3623</f>
        <v>128</v>
      </c>
      <c r="L3623" s="60">
        <v>79</v>
      </c>
      <c r="M3623" s="60">
        <v>5</v>
      </c>
      <c r="N3623" s="494">
        <v>0</v>
      </c>
      <c r="O3623" s="60">
        <v>20</v>
      </c>
      <c r="P3623" s="494">
        <v>8</v>
      </c>
      <c r="Q3623" s="182">
        <f t="shared" si="4313"/>
        <v>0.86250000000000004</v>
      </c>
      <c r="R3623" s="182">
        <f t="shared" si="4314"/>
        <v>0</v>
      </c>
      <c r="S3623" s="183">
        <f t="shared" ref="S3623:S3640" si="4315">P3623/J3623</f>
        <v>3.3333333333333333E-2</v>
      </c>
      <c r="T3623" s="183">
        <f t="shared" ref="T3623:T3640" si="4316">O3623/J3623</f>
        <v>8.3333333333333329E-2</v>
      </c>
      <c r="U3623" s="184">
        <f t="shared" ref="U3623:U3640" si="4317">S3623+R3623+Q3623+T3623</f>
        <v>0.97916666666666674</v>
      </c>
      <c r="V3623" s="386"/>
    </row>
    <row r="3624" spans="2:22" ht="15.75" hidden="1" x14ac:dyDescent="0.2">
      <c r="B3624" s="747">
        <v>46310</v>
      </c>
      <c r="C3624" s="747" t="s">
        <v>105</v>
      </c>
      <c r="D3624" s="747" t="s">
        <v>13</v>
      </c>
      <c r="E3624" s="747">
        <v>46311</v>
      </c>
      <c r="G3624" s="887"/>
      <c r="H3624" s="497" t="s">
        <v>180</v>
      </c>
      <c r="I3624" s="60" t="s">
        <v>106</v>
      </c>
      <c r="J3624" s="60">
        <v>39</v>
      </c>
      <c r="K3624" s="60">
        <f t="shared" ref="K3624:K3626" si="4318">J3624-L3624-M3624-N3624-O3624-P3624</f>
        <v>19</v>
      </c>
      <c r="L3624" s="60">
        <v>1</v>
      </c>
      <c r="M3624" s="60">
        <v>2</v>
      </c>
      <c r="N3624" s="494">
        <v>16</v>
      </c>
      <c r="O3624" s="60">
        <v>0</v>
      </c>
      <c r="P3624" s="494">
        <v>1</v>
      </c>
      <c r="Q3624" s="182">
        <f t="shared" si="4313"/>
        <v>0.51282051282051277</v>
      </c>
      <c r="R3624" s="182">
        <f t="shared" si="4314"/>
        <v>0.41025641025641024</v>
      </c>
      <c r="S3624" s="183">
        <f t="shared" si="4315"/>
        <v>2.564102564102564E-2</v>
      </c>
      <c r="T3624" s="183">
        <f t="shared" si="4316"/>
        <v>0</v>
      </c>
      <c r="U3624" s="184">
        <f t="shared" si="4317"/>
        <v>0.94871794871794868</v>
      </c>
      <c r="V3624" s="386"/>
    </row>
    <row r="3625" spans="2:22" ht="15.75" hidden="1" x14ac:dyDescent="0.2">
      <c r="B3625" s="747">
        <v>46310</v>
      </c>
      <c r="C3625" s="747" t="s">
        <v>105</v>
      </c>
      <c r="D3625" s="747" t="s">
        <v>13</v>
      </c>
      <c r="E3625" s="747">
        <v>46311</v>
      </c>
      <c r="G3625" s="887"/>
      <c r="H3625" s="497" t="s">
        <v>212</v>
      </c>
      <c r="I3625" s="60" t="s">
        <v>106</v>
      </c>
      <c r="J3625" s="60">
        <v>100</v>
      </c>
      <c r="K3625" s="60">
        <f t="shared" si="4318"/>
        <v>62</v>
      </c>
      <c r="L3625" s="60">
        <v>2</v>
      </c>
      <c r="M3625" s="60">
        <v>2</v>
      </c>
      <c r="N3625" s="494">
        <v>27</v>
      </c>
      <c r="O3625" s="60">
        <v>0</v>
      </c>
      <c r="P3625" s="494">
        <v>7</v>
      </c>
      <c r="Q3625" s="182">
        <f t="shared" si="4313"/>
        <v>0.64</v>
      </c>
      <c r="R3625" s="182">
        <f t="shared" si="4314"/>
        <v>0.27</v>
      </c>
      <c r="S3625" s="183">
        <f t="shared" si="4315"/>
        <v>7.0000000000000007E-2</v>
      </c>
      <c r="T3625" s="183">
        <f t="shared" si="4316"/>
        <v>0</v>
      </c>
      <c r="U3625" s="184">
        <f t="shared" si="4317"/>
        <v>0.98</v>
      </c>
      <c r="V3625" s="386"/>
    </row>
    <row r="3626" spans="2:22" ht="15.75" hidden="1" x14ac:dyDescent="0.2">
      <c r="B3626" s="747">
        <v>46310</v>
      </c>
      <c r="C3626" s="747" t="s">
        <v>105</v>
      </c>
      <c r="D3626" s="747" t="s">
        <v>13</v>
      </c>
      <c r="E3626" s="747">
        <v>46311</v>
      </c>
      <c r="G3626" s="887"/>
      <c r="H3626" s="497" t="s">
        <v>14</v>
      </c>
      <c r="I3626" s="60" t="s">
        <v>106</v>
      </c>
      <c r="J3626" s="60">
        <v>197</v>
      </c>
      <c r="K3626" s="60">
        <f t="shared" si="4318"/>
        <v>131</v>
      </c>
      <c r="L3626" s="60">
        <v>36</v>
      </c>
      <c r="M3626" s="60">
        <v>9</v>
      </c>
      <c r="N3626" s="494">
        <v>0</v>
      </c>
      <c r="O3626" s="60">
        <v>11</v>
      </c>
      <c r="P3626" s="494">
        <v>10</v>
      </c>
      <c r="Q3626" s="182">
        <f t="shared" si="4313"/>
        <v>0.84771573604060912</v>
      </c>
      <c r="R3626" s="182">
        <f t="shared" si="4314"/>
        <v>0</v>
      </c>
      <c r="S3626" s="183">
        <f t="shared" si="4315"/>
        <v>5.0761421319796954E-2</v>
      </c>
      <c r="T3626" s="183">
        <f t="shared" si="4316"/>
        <v>5.5837563451776651E-2</v>
      </c>
      <c r="U3626" s="184">
        <f t="shared" si="4317"/>
        <v>0.95431472081218272</v>
      </c>
      <c r="V3626" s="386"/>
    </row>
    <row r="3627" spans="2:22" ht="15.75" hidden="1" x14ac:dyDescent="0.2">
      <c r="B3627" s="747">
        <v>46310</v>
      </c>
      <c r="C3627" s="747" t="s">
        <v>105</v>
      </c>
      <c r="D3627" s="747" t="s">
        <v>13</v>
      </c>
      <c r="E3627" s="747">
        <v>46311</v>
      </c>
      <c r="G3627" s="888"/>
      <c r="H3627" s="497" t="s">
        <v>17</v>
      </c>
      <c r="I3627" s="60" t="s">
        <v>105</v>
      </c>
      <c r="J3627" s="194">
        <v>138</v>
      </c>
      <c r="K3627" s="60">
        <f t="shared" ref="K3627" si="4319">J3627-L3627-M3627-N3627-O3627-P3627</f>
        <v>0</v>
      </c>
      <c r="L3627" s="60">
        <v>1</v>
      </c>
      <c r="M3627" s="194">
        <v>97</v>
      </c>
      <c r="N3627" s="538">
        <v>0</v>
      </c>
      <c r="O3627" s="194">
        <v>27</v>
      </c>
      <c r="P3627" s="538">
        <v>13</v>
      </c>
      <c r="Q3627" s="182">
        <f t="shared" ref="Q3627" si="4320">(K3627+L3627)/J3627</f>
        <v>7.246376811594203E-3</v>
      </c>
      <c r="R3627" s="182">
        <f t="shared" ref="R3627" si="4321">N3627/J3627</f>
        <v>0</v>
      </c>
      <c r="S3627" s="183">
        <f t="shared" ref="S3627" si="4322">P3627/J3627</f>
        <v>9.420289855072464E-2</v>
      </c>
      <c r="T3627" s="183">
        <f t="shared" ref="T3627" si="4323">O3627/J3627</f>
        <v>0.19565217391304349</v>
      </c>
      <c r="U3627" s="184">
        <f t="shared" ref="U3627" si="4324">S3627+R3627+Q3627+T3627</f>
        <v>0.29710144927536231</v>
      </c>
      <c r="V3627" s="386"/>
    </row>
    <row r="3628" spans="2:22" ht="15.75" hidden="1" x14ac:dyDescent="0.2">
      <c r="B3628" s="747">
        <v>46310</v>
      </c>
      <c r="C3628" s="747" t="s">
        <v>105</v>
      </c>
      <c r="D3628" s="747" t="s">
        <v>13</v>
      </c>
      <c r="E3628" s="747">
        <v>46311</v>
      </c>
      <c r="G3628" s="775" t="s">
        <v>19</v>
      </c>
      <c r="H3628" s="776"/>
      <c r="I3628" s="777"/>
      <c r="J3628" s="190">
        <f>SUM(J3621:J3627)</f>
        <v>1182</v>
      </c>
      <c r="K3628" s="190">
        <f t="shared" ref="K3628:P3628" si="4325">SUM(K3621:K3627)</f>
        <v>646</v>
      </c>
      <c r="L3628" s="190">
        <f t="shared" si="4325"/>
        <v>205</v>
      </c>
      <c r="M3628" s="190">
        <f t="shared" si="4325"/>
        <v>115</v>
      </c>
      <c r="N3628" s="190">
        <f t="shared" si="4325"/>
        <v>43</v>
      </c>
      <c r="O3628" s="190">
        <f t="shared" si="4325"/>
        <v>106</v>
      </c>
      <c r="P3628" s="190">
        <f t="shared" si="4325"/>
        <v>67</v>
      </c>
      <c r="Q3628" s="481">
        <f>(K3628+L3628)/J3628</f>
        <v>0.71996615905245342</v>
      </c>
      <c r="R3628" s="481">
        <f>N3628/J3628</f>
        <v>3.6379018612521151E-2</v>
      </c>
      <c r="S3628" s="482">
        <f t="shared" si="4315"/>
        <v>5.6683587140439931E-2</v>
      </c>
      <c r="T3628" s="482">
        <f t="shared" si="4316"/>
        <v>8.9678510998307953E-2</v>
      </c>
      <c r="U3628" s="483">
        <f t="shared" si="4317"/>
        <v>0.90270727580372245</v>
      </c>
      <c r="V3628" s="479"/>
    </row>
    <row r="3629" spans="2:22" ht="15.75" hidden="1" x14ac:dyDescent="0.2">
      <c r="B3629" s="749">
        <v>46311</v>
      </c>
      <c r="C3629" s="749" t="s">
        <v>106</v>
      </c>
      <c r="D3629" s="749" t="s">
        <v>189</v>
      </c>
      <c r="E3629" s="749">
        <v>46310</v>
      </c>
      <c r="G3629" s="880">
        <v>46311</v>
      </c>
      <c r="H3629" s="497" t="s">
        <v>16</v>
      </c>
      <c r="I3629" s="60" t="s">
        <v>127</v>
      </c>
      <c r="J3629" s="60">
        <f>SUM(K3629:P3629)</f>
        <v>76</v>
      </c>
      <c r="K3629" s="60">
        <v>27</v>
      </c>
      <c r="L3629" s="60">
        <v>21</v>
      </c>
      <c r="M3629" s="60">
        <v>0</v>
      </c>
      <c r="N3629" s="494">
        <v>0</v>
      </c>
      <c r="O3629" s="60">
        <v>20</v>
      </c>
      <c r="P3629" s="494">
        <v>8</v>
      </c>
      <c r="Q3629" s="182">
        <f t="shared" ref="Q3629:Q3639" si="4326">(K3629+L3629)/J3629</f>
        <v>0.63157894736842102</v>
      </c>
      <c r="R3629" s="182">
        <f t="shared" ref="R3629:R3639" si="4327">N3629/J3629</f>
        <v>0</v>
      </c>
      <c r="S3629" s="183">
        <f t="shared" si="4315"/>
        <v>0.10526315789473684</v>
      </c>
      <c r="T3629" s="183">
        <f t="shared" si="4316"/>
        <v>0.26315789473684209</v>
      </c>
      <c r="U3629" s="184">
        <f t="shared" si="4317"/>
        <v>1</v>
      </c>
      <c r="V3629" s="386" t="s">
        <v>221</v>
      </c>
    </row>
    <row r="3630" spans="2:22" ht="15.75" hidden="1" x14ac:dyDescent="0.2">
      <c r="B3630" s="749">
        <v>46311</v>
      </c>
      <c r="C3630" s="749" t="s">
        <v>106</v>
      </c>
      <c r="D3630" s="749" t="s">
        <v>189</v>
      </c>
      <c r="E3630" s="749">
        <v>46310</v>
      </c>
      <c r="G3630" s="880"/>
      <c r="H3630" s="497" t="s">
        <v>14</v>
      </c>
      <c r="I3630" s="60" t="s">
        <v>106</v>
      </c>
      <c r="J3630" s="60">
        <f t="shared" ref="J3630:J3634" si="4328">SUM(K3630:P3630)</f>
        <v>62</v>
      </c>
      <c r="K3630" s="60">
        <v>43</v>
      </c>
      <c r="L3630" s="60">
        <v>9</v>
      </c>
      <c r="M3630" s="60">
        <v>0</v>
      </c>
      <c r="N3630" s="494">
        <v>0</v>
      </c>
      <c r="O3630" s="60">
        <v>0</v>
      </c>
      <c r="P3630" s="494">
        <v>10</v>
      </c>
      <c r="Q3630" s="182">
        <f t="shared" si="4326"/>
        <v>0.83870967741935487</v>
      </c>
      <c r="R3630" s="182">
        <f t="shared" si="4327"/>
        <v>0</v>
      </c>
      <c r="S3630" s="183">
        <f t="shared" si="4315"/>
        <v>0.16129032258064516</v>
      </c>
      <c r="T3630" s="183">
        <f t="shared" si="4316"/>
        <v>0</v>
      </c>
      <c r="U3630" s="184">
        <f t="shared" si="4317"/>
        <v>1</v>
      </c>
      <c r="V3630" s="386"/>
    </row>
    <row r="3631" spans="2:22" ht="15.75" hidden="1" x14ac:dyDescent="0.2">
      <c r="B3631" s="749">
        <v>46311</v>
      </c>
      <c r="C3631" s="749" t="s">
        <v>106</v>
      </c>
      <c r="D3631" s="749" t="s">
        <v>189</v>
      </c>
      <c r="E3631" s="749">
        <v>46310</v>
      </c>
      <c r="G3631" s="880"/>
      <c r="H3631" s="497" t="s">
        <v>212</v>
      </c>
      <c r="I3631" s="60" t="s">
        <v>22</v>
      </c>
      <c r="J3631" s="60">
        <f t="shared" si="4328"/>
        <v>34</v>
      </c>
      <c r="K3631" s="60">
        <f>89-66</f>
        <v>23</v>
      </c>
      <c r="L3631" s="60">
        <v>4</v>
      </c>
      <c r="M3631" s="60">
        <v>0</v>
      </c>
      <c r="N3631" s="494">
        <v>0</v>
      </c>
      <c r="O3631" s="60">
        <v>0</v>
      </c>
      <c r="P3631" s="494">
        <v>7</v>
      </c>
      <c r="Q3631" s="182">
        <f t="shared" si="4326"/>
        <v>0.79411764705882348</v>
      </c>
      <c r="R3631" s="182">
        <f t="shared" si="4327"/>
        <v>0</v>
      </c>
      <c r="S3631" s="183">
        <f t="shared" si="4315"/>
        <v>0.20588235294117646</v>
      </c>
      <c r="T3631" s="183">
        <f t="shared" si="4316"/>
        <v>0</v>
      </c>
      <c r="U3631" s="184">
        <f t="shared" si="4317"/>
        <v>1</v>
      </c>
      <c r="V3631" s="386"/>
    </row>
    <row r="3632" spans="2:22" ht="15.75" hidden="1" x14ac:dyDescent="0.2">
      <c r="B3632" s="749">
        <v>46311</v>
      </c>
      <c r="C3632" s="749" t="s">
        <v>106</v>
      </c>
      <c r="D3632" s="749" t="s">
        <v>189</v>
      </c>
      <c r="E3632" s="749">
        <v>46310</v>
      </c>
      <c r="G3632" s="880"/>
      <c r="H3632" s="497" t="s">
        <v>180</v>
      </c>
      <c r="I3632" s="60" t="s">
        <v>22</v>
      </c>
      <c r="J3632" s="60">
        <f t="shared" si="4328"/>
        <v>17</v>
      </c>
      <c r="K3632" s="60">
        <v>13</v>
      </c>
      <c r="L3632" s="60">
        <v>3</v>
      </c>
      <c r="M3632" s="60">
        <v>0</v>
      </c>
      <c r="N3632" s="494">
        <v>0</v>
      </c>
      <c r="O3632" s="60">
        <v>0</v>
      </c>
      <c r="P3632" s="494">
        <v>1</v>
      </c>
      <c r="Q3632" s="182">
        <f t="shared" si="4326"/>
        <v>0.94117647058823528</v>
      </c>
      <c r="R3632" s="182">
        <f t="shared" si="4327"/>
        <v>0</v>
      </c>
      <c r="S3632" s="183">
        <f t="shared" si="4315"/>
        <v>5.8823529411764705E-2</v>
      </c>
      <c r="T3632" s="183">
        <f t="shared" si="4316"/>
        <v>0</v>
      </c>
      <c r="U3632" s="184">
        <f t="shared" si="4317"/>
        <v>1</v>
      </c>
      <c r="V3632" s="386"/>
    </row>
    <row r="3633" spans="2:22" ht="15.75" hidden="1" x14ac:dyDescent="0.2">
      <c r="B3633" s="749">
        <v>46311</v>
      </c>
      <c r="C3633" s="749" t="s">
        <v>106</v>
      </c>
      <c r="D3633" s="749" t="s">
        <v>189</v>
      </c>
      <c r="E3633" s="749">
        <v>46310</v>
      </c>
      <c r="G3633" s="880"/>
      <c r="H3633" s="497" t="s">
        <v>84</v>
      </c>
      <c r="I3633" s="60" t="s">
        <v>12</v>
      </c>
      <c r="J3633" s="60">
        <f t="shared" si="4328"/>
        <v>11</v>
      </c>
      <c r="K3633" s="60">
        <v>2</v>
      </c>
      <c r="L3633" s="60">
        <v>0</v>
      </c>
      <c r="M3633" s="60">
        <v>0</v>
      </c>
      <c r="N3633" s="494">
        <v>0</v>
      </c>
      <c r="O3633" s="60">
        <v>0</v>
      </c>
      <c r="P3633" s="494">
        <v>9</v>
      </c>
      <c r="Q3633" s="182">
        <f t="shared" si="4326"/>
        <v>0.18181818181818182</v>
      </c>
      <c r="R3633" s="182">
        <f t="shared" si="4327"/>
        <v>0</v>
      </c>
      <c r="S3633" s="183">
        <f t="shared" si="4315"/>
        <v>0.81818181818181823</v>
      </c>
      <c r="T3633" s="183">
        <f t="shared" si="4316"/>
        <v>0</v>
      </c>
      <c r="U3633" s="184">
        <f t="shared" si="4317"/>
        <v>1</v>
      </c>
      <c r="V3633" s="386"/>
    </row>
    <row r="3634" spans="2:22" ht="15.75" hidden="1" x14ac:dyDescent="0.2">
      <c r="B3634" s="749">
        <v>46311</v>
      </c>
      <c r="C3634" s="749" t="s">
        <v>106</v>
      </c>
      <c r="D3634" s="749" t="s">
        <v>189</v>
      </c>
      <c r="E3634" s="749">
        <v>46310</v>
      </c>
      <c r="G3634" s="880"/>
      <c r="H3634" s="497" t="s">
        <v>17</v>
      </c>
      <c r="I3634" s="60" t="s">
        <v>105</v>
      </c>
      <c r="J3634" s="60">
        <f t="shared" si="4328"/>
        <v>136</v>
      </c>
      <c r="K3634" s="60">
        <v>75</v>
      </c>
      <c r="L3634" s="60">
        <v>21</v>
      </c>
      <c r="M3634" s="60">
        <v>0</v>
      </c>
      <c r="N3634" s="494">
        <v>0</v>
      </c>
      <c r="O3634" s="60">
        <v>27</v>
      </c>
      <c r="P3634" s="494">
        <v>13</v>
      </c>
      <c r="Q3634" s="182">
        <f t="shared" si="4326"/>
        <v>0.70588235294117652</v>
      </c>
      <c r="R3634" s="182">
        <f t="shared" si="4327"/>
        <v>0</v>
      </c>
      <c r="S3634" s="183">
        <f t="shared" si="4315"/>
        <v>9.5588235294117641E-2</v>
      </c>
      <c r="T3634" s="183">
        <f t="shared" si="4316"/>
        <v>0.19852941176470587</v>
      </c>
      <c r="U3634" s="184">
        <f t="shared" si="4317"/>
        <v>1</v>
      </c>
      <c r="V3634" s="386"/>
    </row>
    <row r="3635" spans="2:22" ht="15.75" hidden="1" x14ac:dyDescent="0.2">
      <c r="B3635" s="749">
        <v>46311</v>
      </c>
      <c r="C3635" s="749" t="s">
        <v>106</v>
      </c>
      <c r="D3635" s="749" t="s">
        <v>189</v>
      </c>
      <c r="E3635" s="749">
        <v>46311</v>
      </c>
      <c r="G3635" s="773">
        <v>46312</v>
      </c>
      <c r="H3635" s="497" t="s">
        <v>16</v>
      </c>
      <c r="I3635" s="60" t="s">
        <v>127</v>
      </c>
      <c r="J3635" s="60">
        <v>239</v>
      </c>
      <c r="K3635" s="60">
        <v>0</v>
      </c>
      <c r="L3635" s="60">
        <v>0</v>
      </c>
      <c r="M3635" s="60">
        <v>204</v>
      </c>
      <c r="N3635" s="494">
        <v>0</v>
      </c>
      <c r="O3635" s="60">
        <v>20</v>
      </c>
      <c r="P3635" s="494">
        <v>12</v>
      </c>
      <c r="Q3635" s="182">
        <f t="shared" si="4326"/>
        <v>0</v>
      </c>
      <c r="R3635" s="182">
        <f t="shared" si="4327"/>
        <v>0</v>
      </c>
      <c r="S3635" s="183">
        <f t="shared" si="4315"/>
        <v>5.0209205020920501E-2</v>
      </c>
      <c r="T3635" s="183">
        <f t="shared" si="4316"/>
        <v>8.3682008368200833E-2</v>
      </c>
      <c r="U3635" s="184">
        <f t="shared" si="4317"/>
        <v>0.13389121338912133</v>
      </c>
      <c r="V3635" s="386"/>
    </row>
    <row r="3636" spans="2:22" ht="15.75" hidden="1" x14ac:dyDescent="0.2">
      <c r="B3636" s="749">
        <v>46311</v>
      </c>
      <c r="C3636" s="749" t="s">
        <v>106</v>
      </c>
      <c r="D3636" s="749" t="s">
        <v>189</v>
      </c>
      <c r="E3636" s="749">
        <v>46311</v>
      </c>
      <c r="G3636" s="780"/>
      <c r="H3636" s="497" t="s">
        <v>212</v>
      </c>
      <c r="I3636" s="60" t="s">
        <v>106</v>
      </c>
      <c r="J3636" s="60">
        <f t="shared" ref="J3636:J3639" si="4329">SUM(K3636:P3636)</f>
        <v>85</v>
      </c>
      <c r="K3636" s="60">
        <v>66</v>
      </c>
      <c r="L3636" s="60">
        <v>10</v>
      </c>
      <c r="M3636" s="60">
        <v>3</v>
      </c>
      <c r="N3636" s="494">
        <v>0</v>
      </c>
      <c r="O3636" s="60">
        <v>0</v>
      </c>
      <c r="P3636" s="494">
        <v>6</v>
      </c>
      <c r="Q3636" s="182">
        <f t="shared" si="4326"/>
        <v>0.89411764705882357</v>
      </c>
      <c r="R3636" s="182">
        <f t="shared" si="4327"/>
        <v>0</v>
      </c>
      <c r="S3636" s="183">
        <f t="shared" si="4315"/>
        <v>7.0588235294117646E-2</v>
      </c>
      <c r="T3636" s="183">
        <f t="shared" si="4316"/>
        <v>0</v>
      </c>
      <c r="U3636" s="184">
        <f t="shared" si="4317"/>
        <v>0.96470588235294119</v>
      </c>
      <c r="V3636" s="386"/>
    </row>
    <row r="3637" spans="2:22" ht="15.75" hidden="1" x14ac:dyDescent="0.2">
      <c r="B3637" s="749">
        <v>46311</v>
      </c>
      <c r="C3637" s="749" t="s">
        <v>106</v>
      </c>
      <c r="D3637" s="749" t="s">
        <v>189</v>
      </c>
      <c r="E3637" s="749">
        <v>46311</v>
      </c>
      <c r="G3637" s="780"/>
      <c r="H3637" s="497" t="s">
        <v>14</v>
      </c>
      <c r="I3637" s="60" t="s">
        <v>106</v>
      </c>
      <c r="J3637" s="60">
        <f t="shared" si="4329"/>
        <v>196</v>
      </c>
      <c r="K3637" s="60">
        <v>0</v>
      </c>
      <c r="L3637" s="60">
        <v>0</v>
      </c>
      <c r="M3637" s="60">
        <v>69</v>
      </c>
      <c r="N3637" s="494">
        <v>103</v>
      </c>
      <c r="O3637" s="60">
        <v>13</v>
      </c>
      <c r="P3637" s="494">
        <v>11</v>
      </c>
      <c r="Q3637" s="182">
        <f t="shared" si="4326"/>
        <v>0</v>
      </c>
      <c r="R3637" s="182">
        <f t="shared" si="4327"/>
        <v>0.52551020408163263</v>
      </c>
      <c r="S3637" s="183">
        <f t="shared" si="4315"/>
        <v>5.6122448979591837E-2</v>
      </c>
      <c r="T3637" s="183">
        <f t="shared" si="4316"/>
        <v>6.6326530612244902E-2</v>
      </c>
      <c r="U3637" s="184">
        <f t="shared" si="4317"/>
        <v>0.64795918367346939</v>
      </c>
      <c r="V3637" s="386"/>
    </row>
    <row r="3638" spans="2:22" ht="15.75" hidden="1" x14ac:dyDescent="0.2">
      <c r="B3638" s="749">
        <v>46311</v>
      </c>
      <c r="C3638" s="749" t="s">
        <v>106</v>
      </c>
      <c r="D3638" s="749" t="s">
        <v>189</v>
      </c>
      <c r="E3638" s="749">
        <v>46311</v>
      </c>
      <c r="G3638" s="774"/>
      <c r="H3638" s="497" t="s">
        <v>84</v>
      </c>
      <c r="I3638" s="60" t="s">
        <v>12</v>
      </c>
      <c r="J3638" s="60">
        <f t="shared" si="4329"/>
        <v>35</v>
      </c>
      <c r="K3638" s="60">
        <v>27</v>
      </c>
      <c r="L3638" s="60">
        <v>0</v>
      </c>
      <c r="M3638" s="60">
        <v>0</v>
      </c>
      <c r="N3638" s="494">
        <v>0</v>
      </c>
      <c r="O3638" s="60">
        <v>8</v>
      </c>
      <c r="P3638" s="494">
        <v>0</v>
      </c>
      <c r="Q3638" s="182">
        <f t="shared" ref="Q3638" si="4330">(K3638+L3638)/J3638</f>
        <v>0.77142857142857146</v>
      </c>
      <c r="R3638" s="182">
        <f t="shared" ref="R3638" si="4331">N3638/J3638</f>
        <v>0</v>
      </c>
      <c r="S3638" s="183">
        <f t="shared" ref="S3638" si="4332">P3638/J3638</f>
        <v>0</v>
      </c>
      <c r="T3638" s="183">
        <f t="shared" ref="T3638" si="4333">O3638/J3638</f>
        <v>0.22857142857142856</v>
      </c>
      <c r="U3638" s="184">
        <f t="shared" ref="U3638" si="4334">S3638+R3638+Q3638+T3638</f>
        <v>1</v>
      </c>
      <c r="V3638" s="386"/>
    </row>
    <row r="3639" spans="2:22" ht="15.75" hidden="1" x14ac:dyDescent="0.2">
      <c r="B3639" s="749">
        <v>46311</v>
      </c>
      <c r="C3639" s="749" t="s">
        <v>106</v>
      </c>
      <c r="D3639" s="749" t="s">
        <v>189</v>
      </c>
      <c r="E3639" s="749">
        <v>46311</v>
      </c>
      <c r="G3639" s="750">
        <v>46314</v>
      </c>
      <c r="H3639" s="497" t="s">
        <v>25</v>
      </c>
      <c r="I3639" s="60" t="s">
        <v>106</v>
      </c>
      <c r="J3639" s="60">
        <f t="shared" si="4329"/>
        <v>189</v>
      </c>
      <c r="K3639" s="60">
        <v>1</v>
      </c>
      <c r="L3639" s="60">
        <v>0</v>
      </c>
      <c r="M3639" s="60">
        <v>84</v>
      </c>
      <c r="N3639" s="494">
        <v>50</v>
      </c>
      <c r="O3639" s="60">
        <v>25</v>
      </c>
      <c r="P3639" s="494">
        <v>29</v>
      </c>
      <c r="Q3639" s="182">
        <f t="shared" si="4326"/>
        <v>5.2910052910052907E-3</v>
      </c>
      <c r="R3639" s="182">
        <f t="shared" si="4327"/>
        <v>0.26455026455026454</v>
      </c>
      <c r="S3639" s="183">
        <f t="shared" si="4315"/>
        <v>0.15343915343915343</v>
      </c>
      <c r="T3639" s="183">
        <f t="shared" si="4316"/>
        <v>0.13227513227513227</v>
      </c>
      <c r="U3639" s="184">
        <f t="shared" si="4317"/>
        <v>0.55555555555555558</v>
      </c>
      <c r="V3639" s="386"/>
    </row>
    <row r="3640" spans="2:22" ht="15.75" hidden="1" x14ac:dyDescent="0.2">
      <c r="B3640" s="749">
        <v>46311</v>
      </c>
      <c r="C3640" s="749" t="s">
        <v>106</v>
      </c>
      <c r="D3640" s="749" t="s">
        <v>189</v>
      </c>
      <c r="E3640" s="749">
        <v>46310</v>
      </c>
      <c r="G3640" s="775" t="s">
        <v>19</v>
      </c>
      <c r="H3640" s="776"/>
      <c r="I3640" s="777"/>
      <c r="J3640" s="190">
        <f t="shared" ref="J3640:P3640" si="4335">SUM(J3629:J3639)</f>
        <v>1080</v>
      </c>
      <c r="K3640" s="190">
        <f t="shared" si="4335"/>
        <v>277</v>
      </c>
      <c r="L3640" s="190">
        <f t="shared" si="4335"/>
        <v>68</v>
      </c>
      <c r="M3640" s="190">
        <f t="shared" si="4335"/>
        <v>360</v>
      </c>
      <c r="N3640" s="190">
        <f t="shared" si="4335"/>
        <v>153</v>
      </c>
      <c r="O3640" s="190">
        <f t="shared" si="4335"/>
        <v>113</v>
      </c>
      <c r="P3640" s="190">
        <f t="shared" si="4335"/>
        <v>106</v>
      </c>
      <c r="Q3640" s="481">
        <f>(K3640+L3640)/J3640</f>
        <v>0.31944444444444442</v>
      </c>
      <c r="R3640" s="481">
        <f>N3640/J3640</f>
        <v>0.14166666666666666</v>
      </c>
      <c r="S3640" s="482">
        <f t="shared" si="4315"/>
        <v>9.8148148148148151E-2</v>
      </c>
      <c r="T3640" s="482">
        <f t="shared" si="4316"/>
        <v>0.10462962962962963</v>
      </c>
      <c r="U3640" s="483">
        <f t="shared" si="4317"/>
        <v>0.66388888888888886</v>
      </c>
      <c r="V3640" s="479"/>
    </row>
    <row r="3641" spans="2:22" ht="15.75" hidden="1" x14ac:dyDescent="0.2">
      <c r="B3641" s="752">
        <v>46311</v>
      </c>
      <c r="C3641" s="752" t="s">
        <v>105</v>
      </c>
      <c r="D3641" s="752" t="s">
        <v>13</v>
      </c>
      <c r="E3641" s="752">
        <v>46311</v>
      </c>
      <c r="G3641" s="884">
        <v>46311</v>
      </c>
      <c r="H3641" s="497" t="s">
        <v>16</v>
      </c>
      <c r="I3641" s="60" t="s">
        <v>127</v>
      </c>
      <c r="J3641" s="60">
        <v>240</v>
      </c>
      <c r="K3641" s="60">
        <f>J3641-L3641-M3641-N3641-O3641-P3641</f>
        <v>152</v>
      </c>
      <c r="L3641" s="60">
        <v>60</v>
      </c>
      <c r="M3641" s="60">
        <v>0</v>
      </c>
      <c r="N3641" s="494">
        <v>0</v>
      </c>
      <c r="O3641" s="60">
        <v>20</v>
      </c>
      <c r="P3641" s="494">
        <v>8</v>
      </c>
      <c r="Q3641" s="182">
        <f t="shared" ref="Q3641:Q3646" si="4336">(K3641+L3641)/J3641</f>
        <v>0.8833333333333333</v>
      </c>
      <c r="R3641" s="182">
        <f t="shared" ref="R3641:R3646" si="4337">N3641/J3641</f>
        <v>0</v>
      </c>
      <c r="S3641" s="183">
        <f t="shared" ref="S3641:S3647" si="4338">P3641/J3641</f>
        <v>3.3333333333333333E-2</v>
      </c>
      <c r="T3641" s="183">
        <f t="shared" ref="T3641:T3647" si="4339">O3641/J3641</f>
        <v>8.3333333333333329E-2</v>
      </c>
      <c r="U3641" s="184">
        <f t="shared" ref="U3641:U3647" si="4340">S3641+R3641+Q3641+T3641</f>
        <v>1</v>
      </c>
      <c r="V3641" s="386"/>
    </row>
    <row r="3642" spans="2:22" ht="15.75" hidden="1" x14ac:dyDescent="0.2">
      <c r="B3642" s="752">
        <v>46311</v>
      </c>
      <c r="C3642" s="752" t="s">
        <v>105</v>
      </c>
      <c r="D3642" s="752" t="s">
        <v>13</v>
      </c>
      <c r="E3642" s="752">
        <v>46311</v>
      </c>
      <c r="G3642" s="885"/>
      <c r="H3642" s="497" t="s">
        <v>17</v>
      </c>
      <c r="I3642" s="60" t="s">
        <v>105</v>
      </c>
      <c r="J3642" s="194">
        <v>138</v>
      </c>
      <c r="K3642" s="60">
        <f t="shared" ref="K3642:K3646" si="4341">J3642-L3642-M3642-N3642-O3642-P3642</f>
        <v>74</v>
      </c>
      <c r="L3642" s="60">
        <v>24</v>
      </c>
      <c r="M3642" s="194">
        <v>0</v>
      </c>
      <c r="N3642" s="538">
        <v>0</v>
      </c>
      <c r="O3642" s="194">
        <v>27</v>
      </c>
      <c r="P3642" s="538">
        <v>13</v>
      </c>
      <c r="Q3642" s="182">
        <f t="shared" si="4336"/>
        <v>0.71014492753623193</v>
      </c>
      <c r="R3642" s="182">
        <f t="shared" si="4337"/>
        <v>0</v>
      </c>
      <c r="S3642" s="183">
        <f t="shared" si="4338"/>
        <v>9.420289855072464E-2</v>
      </c>
      <c r="T3642" s="183">
        <f t="shared" si="4339"/>
        <v>0.19565217391304349</v>
      </c>
      <c r="U3642" s="184">
        <f t="shared" si="4340"/>
        <v>1</v>
      </c>
      <c r="V3642" s="386"/>
    </row>
    <row r="3643" spans="2:22" ht="15.75" hidden="1" x14ac:dyDescent="0.2">
      <c r="B3643" s="752">
        <v>46311</v>
      </c>
      <c r="C3643" s="752" t="s">
        <v>105</v>
      </c>
      <c r="D3643" s="752" t="s">
        <v>13</v>
      </c>
      <c r="E3643" s="752">
        <v>46311</v>
      </c>
      <c r="G3643" s="773">
        <v>46312</v>
      </c>
      <c r="H3643" s="497" t="s">
        <v>16</v>
      </c>
      <c r="I3643" s="60" t="s">
        <v>127</v>
      </c>
      <c r="J3643" s="60">
        <v>239</v>
      </c>
      <c r="K3643" s="60">
        <f t="shared" si="4341"/>
        <v>140</v>
      </c>
      <c r="L3643" s="60">
        <v>64</v>
      </c>
      <c r="M3643" s="60">
        <v>3</v>
      </c>
      <c r="N3643" s="494">
        <v>0</v>
      </c>
      <c r="O3643" s="60">
        <v>20</v>
      </c>
      <c r="P3643" s="494">
        <v>12</v>
      </c>
      <c r="Q3643" s="182">
        <f t="shared" si="4336"/>
        <v>0.85355648535564854</v>
      </c>
      <c r="R3643" s="182">
        <f t="shared" si="4337"/>
        <v>0</v>
      </c>
      <c r="S3643" s="183">
        <f t="shared" si="4338"/>
        <v>5.0209205020920501E-2</v>
      </c>
      <c r="T3643" s="183">
        <f t="shared" si="4339"/>
        <v>8.3682008368200833E-2</v>
      </c>
      <c r="U3643" s="184">
        <f t="shared" si="4340"/>
        <v>0.9874476987447699</v>
      </c>
      <c r="V3643" s="386"/>
    </row>
    <row r="3644" spans="2:22" ht="15.75" hidden="1" x14ac:dyDescent="0.2">
      <c r="B3644" s="752">
        <v>46311</v>
      </c>
      <c r="C3644" s="752" t="s">
        <v>105</v>
      </c>
      <c r="D3644" s="752" t="s">
        <v>13</v>
      </c>
      <c r="E3644" s="752">
        <v>46311</v>
      </c>
      <c r="G3644" s="780"/>
      <c r="H3644" s="497" t="s">
        <v>212</v>
      </c>
      <c r="I3644" s="60" t="s">
        <v>106</v>
      </c>
      <c r="J3644" s="60">
        <v>85</v>
      </c>
      <c r="K3644" s="60">
        <f t="shared" si="4341"/>
        <v>66</v>
      </c>
      <c r="L3644" s="60">
        <v>10</v>
      </c>
      <c r="M3644" s="60">
        <v>3</v>
      </c>
      <c r="N3644" s="494">
        <v>0</v>
      </c>
      <c r="O3644" s="60">
        <v>0</v>
      </c>
      <c r="P3644" s="494">
        <v>6</v>
      </c>
      <c r="Q3644" s="182">
        <f t="shared" si="4336"/>
        <v>0.89411764705882357</v>
      </c>
      <c r="R3644" s="182">
        <f t="shared" si="4337"/>
        <v>0</v>
      </c>
      <c r="S3644" s="183">
        <f t="shared" si="4338"/>
        <v>7.0588235294117646E-2</v>
      </c>
      <c r="T3644" s="183">
        <f t="shared" si="4339"/>
        <v>0</v>
      </c>
      <c r="U3644" s="184">
        <f t="shared" si="4340"/>
        <v>0.96470588235294119</v>
      </c>
      <c r="V3644" s="386"/>
    </row>
    <row r="3645" spans="2:22" ht="15.75" hidden="1" x14ac:dyDescent="0.2">
      <c r="B3645" s="752">
        <v>46311</v>
      </c>
      <c r="C3645" s="752" t="s">
        <v>105</v>
      </c>
      <c r="D3645" s="752" t="s">
        <v>13</v>
      </c>
      <c r="E3645" s="752">
        <v>46311</v>
      </c>
      <c r="G3645" s="780"/>
      <c r="H3645" s="497" t="s">
        <v>14</v>
      </c>
      <c r="I3645" s="60" t="s">
        <v>106</v>
      </c>
      <c r="J3645" s="60">
        <v>196</v>
      </c>
      <c r="K3645" s="60">
        <f t="shared" si="4341"/>
        <v>147</v>
      </c>
      <c r="L3645" s="60">
        <v>21</v>
      </c>
      <c r="M3645" s="60">
        <v>1</v>
      </c>
      <c r="N3645" s="494">
        <v>0</v>
      </c>
      <c r="O3645" s="60">
        <v>13</v>
      </c>
      <c r="P3645" s="494">
        <v>14</v>
      </c>
      <c r="Q3645" s="182">
        <f t="shared" si="4336"/>
        <v>0.8571428571428571</v>
      </c>
      <c r="R3645" s="182">
        <f t="shared" si="4337"/>
        <v>0</v>
      </c>
      <c r="S3645" s="183">
        <f t="shared" si="4338"/>
        <v>7.1428571428571425E-2</v>
      </c>
      <c r="T3645" s="183">
        <f t="shared" si="4339"/>
        <v>6.6326530612244902E-2</v>
      </c>
      <c r="U3645" s="184">
        <f t="shared" si="4340"/>
        <v>0.99489795918367341</v>
      </c>
      <c r="V3645" s="386"/>
    </row>
    <row r="3646" spans="2:22" ht="15.75" hidden="1" x14ac:dyDescent="0.2">
      <c r="B3646" s="752">
        <v>46311</v>
      </c>
      <c r="C3646" s="752" t="s">
        <v>105</v>
      </c>
      <c r="D3646" s="752" t="s">
        <v>13</v>
      </c>
      <c r="E3646" s="752">
        <v>46311</v>
      </c>
      <c r="G3646" s="774"/>
      <c r="H3646" s="497" t="s">
        <v>17</v>
      </c>
      <c r="I3646" s="60" t="s">
        <v>105</v>
      </c>
      <c r="J3646" s="60">
        <v>192</v>
      </c>
      <c r="K3646" s="60">
        <f t="shared" si="4341"/>
        <v>0</v>
      </c>
      <c r="L3646" s="60">
        <v>0</v>
      </c>
      <c r="M3646" s="60">
        <v>104</v>
      </c>
      <c r="N3646" s="494">
        <v>29</v>
      </c>
      <c r="O3646" s="60">
        <v>36</v>
      </c>
      <c r="P3646" s="494">
        <v>23</v>
      </c>
      <c r="Q3646" s="182">
        <f t="shared" si="4336"/>
        <v>0</v>
      </c>
      <c r="R3646" s="182">
        <f t="shared" si="4337"/>
        <v>0.15104166666666666</v>
      </c>
      <c r="S3646" s="183">
        <f t="shared" si="4338"/>
        <v>0.11979166666666667</v>
      </c>
      <c r="T3646" s="183">
        <f t="shared" si="4339"/>
        <v>0.1875</v>
      </c>
      <c r="U3646" s="184">
        <f t="shared" si="4340"/>
        <v>0.45833333333333331</v>
      </c>
      <c r="V3646" s="386"/>
    </row>
    <row r="3647" spans="2:22" ht="15.75" hidden="1" x14ac:dyDescent="0.2">
      <c r="B3647" s="752">
        <v>46311</v>
      </c>
      <c r="C3647" s="752" t="s">
        <v>105</v>
      </c>
      <c r="D3647" s="752" t="s">
        <v>13</v>
      </c>
      <c r="E3647" s="752">
        <v>46310</v>
      </c>
      <c r="G3647" s="775" t="s">
        <v>19</v>
      </c>
      <c r="H3647" s="776"/>
      <c r="I3647" s="777"/>
      <c r="J3647" s="190">
        <f>SUM(J3641:J3646)</f>
        <v>1090</v>
      </c>
      <c r="K3647" s="190">
        <f t="shared" ref="K3647:P3647" si="4342">SUM(K3641:K3646)</f>
        <v>579</v>
      </c>
      <c r="L3647" s="190">
        <f t="shared" si="4342"/>
        <v>179</v>
      </c>
      <c r="M3647" s="190">
        <f t="shared" si="4342"/>
        <v>111</v>
      </c>
      <c r="N3647" s="190">
        <f t="shared" si="4342"/>
        <v>29</v>
      </c>
      <c r="O3647" s="190">
        <f t="shared" si="4342"/>
        <v>116</v>
      </c>
      <c r="P3647" s="190">
        <f t="shared" si="4342"/>
        <v>76</v>
      </c>
      <c r="Q3647" s="481">
        <f>(K3647+L3647)/J3647</f>
        <v>0.69541284403669723</v>
      </c>
      <c r="R3647" s="481">
        <f>N3647/J3647</f>
        <v>2.6605504587155965E-2</v>
      </c>
      <c r="S3647" s="482">
        <f t="shared" si="4338"/>
        <v>6.9724770642201839E-2</v>
      </c>
      <c r="T3647" s="482">
        <f t="shared" si="4339"/>
        <v>0.10642201834862386</v>
      </c>
      <c r="U3647" s="483">
        <f t="shared" si="4340"/>
        <v>0.89816513761467887</v>
      </c>
      <c r="V3647" s="479"/>
    </row>
    <row r="3648" spans="2:22" ht="15.75" hidden="1" x14ac:dyDescent="0.2">
      <c r="B3648" s="757">
        <v>46312</v>
      </c>
      <c r="C3648" s="757" t="s">
        <v>106</v>
      </c>
      <c r="D3648" s="757" t="s">
        <v>189</v>
      </c>
      <c r="E3648" s="757">
        <v>46312</v>
      </c>
      <c r="G3648" s="786"/>
      <c r="H3648" s="497" t="s">
        <v>212</v>
      </c>
      <c r="I3648" s="60" t="s">
        <v>106</v>
      </c>
      <c r="J3648" s="60">
        <v>7</v>
      </c>
      <c r="K3648" s="60">
        <f t="shared" ref="K3648:K3655" si="4343">J3648-L3648-M3648-N3648-O3648-P3648</f>
        <v>2</v>
      </c>
      <c r="L3648" s="60">
        <v>0</v>
      </c>
      <c r="M3648" s="60">
        <v>0</v>
      </c>
      <c r="N3648" s="494">
        <v>0</v>
      </c>
      <c r="O3648" s="60">
        <v>0</v>
      </c>
      <c r="P3648" s="494">
        <v>5</v>
      </c>
      <c r="Q3648" s="182">
        <f t="shared" ref="Q3648:Q3650" si="4344">(K3648+L3648)/J3648</f>
        <v>0.2857142857142857</v>
      </c>
      <c r="R3648" s="182">
        <f t="shared" ref="R3648:R3650" si="4345">N3648/J3648</f>
        <v>0</v>
      </c>
      <c r="S3648" s="183">
        <f t="shared" ref="S3648:S3650" si="4346">P3648/J3648</f>
        <v>0.7142857142857143</v>
      </c>
      <c r="T3648" s="183">
        <f t="shared" ref="T3648:T3650" si="4347">O3648/J3648</f>
        <v>0</v>
      </c>
      <c r="U3648" s="184">
        <f t="shared" ref="U3648:U3650" si="4348">S3648+R3648+Q3648+T3648</f>
        <v>1</v>
      </c>
      <c r="V3648" s="386"/>
    </row>
    <row r="3649" spans="2:22" ht="15.75" hidden="1" x14ac:dyDescent="0.2">
      <c r="B3649" s="757">
        <v>46312</v>
      </c>
      <c r="C3649" s="757" t="s">
        <v>106</v>
      </c>
      <c r="D3649" s="757" t="s">
        <v>189</v>
      </c>
      <c r="E3649" s="757">
        <v>46312</v>
      </c>
      <c r="G3649" s="786"/>
      <c r="H3649" s="497" t="s">
        <v>14</v>
      </c>
      <c r="I3649" s="60" t="s">
        <v>106</v>
      </c>
      <c r="J3649" s="60">
        <v>54</v>
      </c>
      <c r="K3649" s="60">
        <f t="shared" si="4343"/>
        <v>21</v>
      </c>
      <c r="L3649" s="60">
        <v>8</v>
      </c>
      <c r="M3649" s="60">
        <v>0</v>
      </c>
      <c r="N3649" s="494">
        <v>0</v>
      </c>
      <c r="O3649" s="60">
        <v>13</v>
      </c>
      <c r="P3649" s="494">
        <v>12</v>
      </c>
      <c r="Q3649" s="182">
        <f t="shared" si="4344"/>
        <v>0.53703703703703709</v>
      </c>
      <c r="R3649" s="182">
        <f t="shared" si="4345"/>
        <v>0</v>
      </c>
      <c r="S3649" s="183">
        <f t="shared" si="4346"/>
        <v>0.22222222222222221</v>
      </c>
      <c r="T3649" s="183">
        <f t="shared" si="4347"/>
        <v>0.24074074074074073</v>
      </c>
      <c r="U3649" s="184">
        <f t="shared" si="4348"/>
        <v>1</v>
      </c>
      <c r="V3649" s="386"/>
    </row>
    <row r="3650" spans="2:22" ht="16.5" hidden="1" thickBot="1" x14ac:dyDescent="0.25">
      <c r="B3650" s="757">
        <v>46312</v>
      </c>
      <c r="C3650" s="757" t="s">
        <v>106</v>
      </c>
      <c r="D3650" s="757" t="s">
        <v>189</v>
      </c>
      <c r="E3650" s="757">
        <v>46312</v>
      </c>
      <c r="G3650" s="883"/>
      <c r="H3650" s="640" t="s">
        <v>17</v>
      </c>
      <c r="I3650" s="641" t="s">
        <v>105</v>
      </c>
      <c r="J3650" s="641">
        <v>192</v>
      </c>
      <c r="K3650" s="641">
        <f t="shared" si="4343"/>
        <v>95</v>
      </c>
      <c r="L3650" s="641">
        <v>30</v>
      </c>
      <c r="M3650" s="641">
        <v>44</v>
      </c>
      <c r="N3650" s="642">
        <v>0</v>
      </c>
      <c r="O3650" s="641">
        <v>0</v>
      </c>
      <c r="P3650" s="642">
        <v>23</v>
      </c>
      <c r="Q3650" s="643">
        <f t="shared" si="4344"/>
        <v>0.65104166666666663</v>
      </c>
      <c r="R3650" s="643">
        <f t="shared" si="4345"/>
        <v>0</v>
      </c>
      <c r="S3650" s="644">
        <f t="shared" si="4346"/>
        <v>0.11979166666666667</v>
      </c>
      <c r="T3650" s="644">
        <f t="shared" si="4347"/>
        <v>0</v>
      </c>
      <c r="U3650" s="645">
        <f t="shared" si="4348"/>
        <v>0.77083333333333326</v>
      </c>
      <c r="V3650" s="764"/>
    </row>
    <row r="3651" spans="2:22" ht="15.75" hidden="1" x14ac:dyDescent="0.2">
      <c r="B3651" s="757">
        <v>46312</v>
      </c>
      <c r="C3651" s="757" t="s">
        <v>106</v>
      </c>
      <c r="D3651" s="757" t="s">
        <v>189</v>
      </c>
      <c r="E3651" s="757">
        <v>46314</v>
      </c>
      <c r="G3651" s="786">
        <v>46314</v>
      </c>
      <c r="H3651" s="575" t="s">
        <v>118</v>
      </c>
      <c r="I3651" s="194" t="s">
        <v>106</v>
      </c>
      <c r="J3651" s="194">
        <v>251</v>
      </c>
      <c r="K3651" s="194">
        <f t="shared" si="4343"/>
        <v>0</v>
      </c>
      <c r="L3651" s="194">
        <v>0</v>
      </c>
      <c r="M3651" s="194">
        <v>20</v>
      </c>
      <c r="N3651" s="538">
        <v>215</v>
      </c>
      <c r="O3651" s="194">
        <v>0</v>
      </c>
      <c r="P3651" s="538">
        <v>16</v>
      </c>
      <c r="Q3651" s="195">
        <f t="shared" ref="Q3651:Q3655" si="4349">(K3651+L3651)/J3651</f>
        <v>0</v>
      </c>
      <c r="R3651" s="195">
        <f t="shared" ref="R3651:R3655" si="4350">N3651/J3651</f>
        <v>0.85657370517928288</v>
      </c>
      <c r="S3651" s="196">
        <f t="shared" ref="S3651:S3658" si="4351">P3651/J3651</f>
        <v>6.3745019920318724E-2</v>
      </c>
      <c r="T3651" s="196">
        <f t="shared" ref="T3651:T3658" si="4352">O3651/J3651</f>
        <v>0</v>
      </c>
      <c r="U3651" s="197">
        <f t="shared" ref="U3651:U3658" si="4353">S3651+R3651+Q3651+T3651</f>
        <v>0.92031872509960166</v>
      </c>
      <c r="V3651" s="763"/>
    </row>
    <row r="3652" spans="2:22" ht="15.75" hidden="1" x14ac:dyDescent="0.2">
      <c r="B3652" s="757">
        <v>46312</v>
      </c>
      <c r="C3652" s="757" t="s">
        <v>106</v>
      </c>
      <c r="D3652" s="757" t="s">
        <v>189</v>
      </c>
      <c r="E3652" s="757">
        <v>46314</v>
      </c>
      <c r="G3652" s="786"/>
      <c r="H3652" s="575" t="s">
        <v>16</v>
      </c>
      <c r="I3652" s="194" t="s">
        <v>15</v>
      </c>
      <c r="J3652" s="194">
        <v>233</v>
      </c>
      <c r="K3652" s="194">
        <f t="shared" ref="K3652" si="4354">J3652-L3652-M3652-N3652-O3652-P3652</f>
        <v>0</v>
      </c>
      <c r="L3652" s="194">
        <v>0</v>
      </c>
      <c r="M3652" s="194">
        <v>225</v>
      </c>
      <c r="N3652" s="538">
        <v>0</v>
      </c>
      <c r="O3652" s="194">
        <v>0</v>
      </c>
      <c r="P3652" s="538">
        <v>8</v>
      </c>
      <c r="Q3652" s="195">
        <f t="shared" ref="Q3652" si="4355">(K3652+L3652)/J3652</f>
        <v>0</v>
      </c>
      <c r="R3652" s="195">
        <f t="shared" ref="R3652" si="4356">N3652/J3652</f>
        <v>0</v>
      </c>
      <c r="S3652" s="196">
        <f t="shared" ref="S3652" si="4357">P3652/J3652</f>
        <v>3.4334763948497854E-2</v>
      </c>
      <c r="T3652" s="196">
        <f t="shared" ref="T3652" si="4358">O3652/J3652</f>
        <v>0</v>
      </c>
      <c r="U3652" s="197">
        <f t="shared" ref="U3652" si="4359">S3652+R3652+Q3652+T3652</f>
        <v>3.4334763948497854E-2</v>
      </c>
      <c r="V3652" s="763"/>
    </row>
    <row r="3653" spans="2:22" ht="15.75" hidden="1" x14ac:dyDescent="0.2">
      <c r="B3653" s="757">
        <v>46312</v>
      </c>
      <c r="C3653" s="757" t="s">
        <v>106</v>
      </c>
      <c r="D3653" s="757" t="s">
        <v>189</v>
      </c>
      <c r="E3653" s="757">
        <v>46314</v>
      </c>
      <c r="G3653" s="786"/>
      <c r="H3653" s="575" t="s">
        <v>180</v>
      </c>
      <c r="I3653" s="194" t="s">
        <v>12</v>
      </c>
      <c r="J3653" s="194">
        <v>114</v>
      </c>
      <c r="K3653" s="194">
        <f t="shared" ref="K3653" si="4360">J3653-L3653-M3653-N3653-O3653-P3653</f>
        <v>0</v>
      </c>
      <c r="L3653" s="194">
        <v>0</v>
      </c>
      <c r="M3653" s="194">
        <v>26</v>
      </c>
      <c r="N3653" s="538">
        <v>59</v>
      </c>
      <c r="O3653" s="194">
        <v>0</v>
      </c>
      <c r="P3653" s="538">
        <v>29</v>
      </c>
      <c r="Q3653" s="195">
        <f t="shared" ref="Q3653" si="4361">(K3653+L3653)/J3653</f>
        <v>0</v>
      </c>
      <c r="R3653" s="195">
        <f t="shared" ref="R3653" si="4362">N3653/J3653</f>
        <v>0.51754385964912286</v>
      </c>
      <c r="S3653" s="196">
        <f t="shared" ref="S3653" si="4363">P3653/J3653</f>
        <v>0.25438596491228072</v>
      </c>
      <c r="T3653" s="196">
        <f t="shared" ref="T3653" si="4364">O3653/J3653</f>
        <v>0</v>
      </c>
      <c r="U3653" s="197">
        <f t="shared" ref="U3653" si="4365">S3653+R3653+Q3653+T3653</f>
        <v>0.77192982456140358</v>
      </c>
      <c r="V3653" s="763"/>
    </row>
    <row r="3654" spans="2:22" ht="15.75" hidden="1" x14ac:dyDescent="0.2">
      <c r="B3654" s="757">
        <v>46312</v>
      </c>
      <c r="C3654" s="757" t="s">
        <v>106</v>
      </c>
      <c r="D3654" s="757" t="s">
        <v>189</v>
      </c>
      <c r="E3654" s="757">
        <v>46314</v>
      </c>
      <c r="G3654" s="786"/>
      <c r="H3654" s="497" t="s">
        <v>222</v>
      </c>
      <c r="I3654" s="60" t="s">
        <v>12</v>
      </c>
      <c r="J3654" s="60">
        <v>230</v>
      </c>
      <c r="K3654" s="60">
        <f t="shared" si="4343"/>
        <v>31</v>
      </c>
      <c r="L3654" s="194">
        <v>3</v>
      </c>
      <c r="M3654" s="194">
        <v>169</v>
      </c>
      <c r="N3654" s="538">
        <v>0</v>
      </c>
      <c r="O3654" s="194">
        <v>0</v>
      </c>
      <c r="P3654" s="538">
        <v>27</v>
      </c>
      <c r="Q3654" s="182">
        <f t="shared" si="4349"/>
        <v>0.14782608695652175</v>
      </c>
      <c r="R3654" s="182">
        <f t="shared" si="4350"/>
        <v>0</v>
      </c>
      <c r="S3654" s="183">
        <f t="shared" si="4351"/>
        <v>0.11739130434782609</v>
      </c>
      <c r="T3654" s="183">
        <f t="shared" si="4352"/>
        <v>0</v>
      </c>
      <c r="U3654" s="184">
        <f t="shared" si="4353"/>
        <v>0.26521739130434785</v>
      </c>
      <c r="V3654" s="386"/>
    </row>
    <row r="3655" spans="2:22" ht="15.75" hidden="1" x14ac:dyDescent="0.2">
      <c r="B3655" s="757">
        <v>46312</v>
      </c>
      <c r="C3655" s="757" t="s">
        <v>106</v>
      </c>
      <c r="D3655" s="757" t="s">
        <v>189</v>
      </c>
      <c r="E3655" s="757">
        <v>46314</v>
      </c>
      <c r="G3655" s="779"/>
      <c r="H3655" s="497" t="s">
        <v>25</v>
      </c>
      <c r="I3655" s="60" t="s">
        <v>105</v>
      </c>
      <c r="J3655" s="60">
        <v>205</v>
      </c>
      <c r="K3655" s="60">
        <f t="shared" si="4343"/>
        <v>35</v>
      </c>
      <c r="L3655" s="194">
        <v>2</v>
      </c>
      <c r="M3655" s="194">
        <v>145</v>
      </c>
      <c r="N3655" s="538">
        <v>0</v>
      </c>
      <c r="O3655" s="194">
        <v>0</v>
      </c>
      <c r="P3655" s="538">
        <v>23</v>
      </c>
      <c r="Q3655" s="182">
        <f t="shared" si="4349"/>
        <v>0.18048780487804877</v>
      </c>
      <c r="R3655" s="182">
        <f t="shared" si="4350"/>
        <v>0</v>
      </c>
      <c r="S3655" s="183">
        <f t="shared" si="4351"/>
        <v>0.11219512195121951</v>
      </c>
      <c r="T3655" s="183">
        <f t="shared" si="4352"/>
        <v>0</v>
      </c>
      <c r="U3655" s="184">
        <f t="shared" si="4353"/>
        <v>0.29268292682926828</v>
      </c>
      <c r="V3655" s="386"/>
    </row>
    <row r="3656" spans="2:22" ht="15.75" hidden="1" x14ac:dyDescent="0.2">
      <c r="B3656" s="757">
        <v>46312</v>
      </c>
      <c r="C3656" s="757" t="s">
        <v>106</v>
      </c>
      <c r="D3656" s="757" t="s">
        <v>189</v>
      </c>
      <c r="E3656" s="757">
        <v>46314</v>
      </c>
      <c r="G3656" s="754" t="s">
        <v>19</v>
      </c>
      <c r="H3656" s="755"/>
      <c r="I3656" s="756"/>
      <c r="J3656" s="190">
        <f t="shared" ref="J3656:P3656" si="4366">SUM(J3648:J3655)</f>
        <v>1286</v>
      </c>
      <c r="K3656" s="190">
        <f t="shared" si="4366"/>
        <v>184</v>
      </c>
      <c r="L3656" s="190">
        <f t="shared" si="4366"/>
        <v>43</v>
      </c>
      <c r="M3656" s="190">
        <f t="shared" si="4366"/>
        <v>629</v>
      </c>
      <c r="N3656" s="190">
        <f t="shared" si="4366"/>
        <v>274</v>
      </c>
      <c r="O3656" s="190">
        <f t="shared" si="4366"/>
        <v>13</v>
      </c>
      <c r="P3656" s="190">
        <f t="shared" si="4366"/>
        <v>143</v>
      </c>
      <c r="Q3656" s="481">
        <f>(K3656+L3656)/J3656</f>
        <v>0.17651632970451012</v>
      </c>
      <c r="R3656" s="481">
        <f>N3656/J3656</f>
        <v>0.2130637636080871</v>
      </c>
      <c r="S3656" s="482">
        <f t="shared" si="4351"/>
        <v>0.11119751166407466</v>
      </c>
      <c r="T3656" s="482">
        <f t="shared" si="4352"/>
        <v>1.010886469673406E-2</v>
      </c>
      <c r="U3656" s="483">
        <f t="shared" si="4353"/>
        <v>0.51088646967340601</v>
      </c>
      <c r="V3656" s="479"/>
    </row>
    <row r="3657" spans="2:22" ht="15.75" hidden="1" x14ac:dyDescent="0.2">
      <c r="B3657" s="762">
        <v>46312</v>
      </c>
      <c r="C3657" s="762" t="s">
        <v>105</v>
      </c>
      <c r="D3657" s="762" t="s">
        <v>13</v>
      </c>
      <c r="E3657" s="762">
        <v>46312</v>
      </c>
      <c r="G3657" s="889">
        <v>46312</v>
      </c>
      <c r="H3657" s="497" t="s">
        <v>212</v>
      </c>
      <c r="I3657" s="60" t="s">
        <v>106</v>
      </c>
      <c r="J3657" s="60">
        <v>85</v>
      </c>
      <c r="K3657" s="60">
        <f t="shared" ref="K3657:K3658" si="4367">J3657-L3657-M3657-N3657-O3657-P3657</f>
        <v>69</v>
      </c>
      <c r="L3657" s="60">
        <v>10</v>
      </c>
      <c r="M3657" s="60">
        <v>0</v>
      </c>
      <c r="N3657" s="494">
        <v>0</v>
      </c>
      <c r="O3657" s="60">
        <v>0</v>
      </c>
      <c r="P3657" s="494">
        <v>6</v>
      </c>
      <c r="Q3657" s="182">
        <f t="shared" ref="Q3657:Q3658" si="4368">(K3657+L3657)/J3657</f>
        <v>0.92941176470588238</v>
      </c>
      <c r="R3657" s="182">
        <f t="shared" ref="R3657:R3658" si="4369">N3657/J3657</f>
        <v>0</v>
      </c>
      <c r="S3657" s="183">
        <f t="shared" si="4351"/>
        <v>7.0588235294117646E-2</v>
      </c>
      <c r="T3657" s="183">
        <f t="shared" si="4352"/>
        <v>0</v>
      </c>
      <c r="U3657" s="184">
        <f t="shared" si="4353"/>
        <v>1</v>
      </c>
      <c r="V3657" s="386"/>
    </row>
    <row r="3658" spans="2:22" ht="15.75" hidden="1" x14ac:dyDescent="0.2">
      <c r="B3658" s="762">
        <v>46312</v>
      </c>
      <c r="C3658" s="762" t="s">
        <v>105</v>
      </c>
      <c r="D3658" s="762" t="s">
        <v>13</v>
      </c>
      <c r="E3658" s="762">
        <v>46312</v>
      </c>
      <c r="G3658" s="889"/>
      <c r="H3658" s="497" t="s">
        <v>17</v>
      </c>
      <c r="I3658" s="60" t="s">
        <v>105</v>
      </c>
      <c r="J3658" s="60">
        <v>192</v>
      </c>
      <c r="K3658" s="60">
        <f t="shared" si="4367"/>
        <v>107</v>
      </c>
      <c r="L3658" s="60">
        <v>32</v>
      </c>
      <c r="M3658" s="60">
        <v>0</v>
      </c>
      <c r="N3658" s="494">
        <v>0</v>
      </c>
      <c r="O3658" s="60">
        <v>36</v>
      </c>
      <c r="P3658" s="494">
        <v>17</v>
      </c>
      <c r="Q3658" s="182">
        <f t="shared" si="4368"/>
        <v>0.72395833333333337</v>
      </c>
      <c r="R3658" s="182">
        <f t="shared" si="4369"/>
        <v>0</v>
      </c>
      <c r="S3658" s="183">
        <f t="shared" si="4351"/>
        <v>8.8541666666666671E-2</v>
      </c>
      <c r="T3658" s="183">
        <f t="shared" si="4352"/>
        <v>0.1875</v>
      </c>
      <c r="U3658" s="184">
        <f t="shared" si="4353"/>
        <v>1</v>
      </c>
      <c r="V3658" s="386"/>
    </row>
    <row r="3659" spans="2:22" ht="15.75" hidden="1" x14ac:dyDescent="0.2">
      <c r="B3659" s="762">
        <v>46312</v>
      </c>
      <c r="C3659" s="762" t="s">
        <v>105</v>
      </c>
      <c r="D3659" s="762" t="s">
        <v>13</v>
      </c>
      <c r="E3659" s="762">
        <v>46314</v>
      </c>
      <c r="G3659" s="882">
        <v>46314</v>
      </c>
      <c r="H3659" s="575" t="s">
        <v>118</v>
      </c>
      <c r="I3659" s="194" t="s">
        <v>106</v>
      </c>
      <c r="J3659" s="194">
        <v>251</v>
      </c>
      <c r="K3659" s="194">
        <f t="shared" ref="K3659:K3663" si="4370">J3659-L3659-M3659-N3659-O3659-P3659</f>
        <v>184</v>
      </c>
      <c r="L3659" s="194">
        <v>25</v>
      </c>
      <c r="M3659" s="194">
        <v>4</v>
      </c>
      <c r="N3659" s="538">
        <v>6</v>
      </c>
      <c r="O3659" s="194">
        <v>16</v>
      </c>
      <c r="P3659" s="538">
        <v>16</v>
      </c>
      <c r="Q3659" s="195">
        <f t="shared" ref="Q3659:Q3663" si="4371">(K3659+L3659)/J3659</f>
        <v>0.83266932270916338</v>
      </c>
      <c r="R3659" s="195">
        <f t="shared" ref="R3659:R3663" si="4372">N3659/J3659</f>
        <v>2.3904382470119521E-2</v>
      </c>
      <c r="S3659" s="196">
        <f t="shared" ref="S3659:S3664" si="4373">P3659/J3659</f>
        <v>6.3745019920318724E-2</v>
      </c>
      <c r="T3659" s="196">
        <f t="shared" ref="T3659:T3664" si="4374">O3659/J3659</f>
        <v>6.3745019920318724E-2</v>
      </c>
      <c r="U3659" s="197">
        <f t="shared" ref="U3659:U3664" si="4375">S3659+R3659+Q3659+T3659</f>
        <v>0.98406374501992033</v>
      </c>
      <c r="V3659" s="763"/>
    </row>
    <row r="3660" spans="2:22" ht="15.75" hidden="1" x14ac:dyDescent="0.2">
      <c r="B3660" s="762">
        <v>46312</v>
      </c>
      <c r="C3660" s="762" t="s">
        <v>105</v>
      </c>
      <c r="D3660" s="762" t="s">
        <v>13</v>
      </c>
      <c r="E3660" s="762">
        <v>46314</v>
      </c>
      <c r="G3660" s="882"/>
      <c r="H3660" s="575" t="s">
        <v>16</v>
      </c>
      <c r="I3660" s="194" t="s">
        <v>15</v>
      </c>
      <c r="J3660" s="194">
        <v>233</v>
      </c>
      <c r="K3660" s="194">
        <f t="shared" si="4370"/>
        <v>139</v>
      </c>
      <c r="L3660" s="194">
        <v>60</v>
      </c>
      <c r="M3660" s="194">
        <v>7</v>
      </c>
      <c r="N3660" s="538">
        <v>0</v>
      </c>
      <c r="O3660" s="194">
        <v>20</v>
      </c>
      <c r="P3660" s="538">
        <v>7</v>
      </c>
      <c r="Q3660" s="195">
        <f t="shared" si="4371"/>
        <v>0.85407725321888417</v>
      </c>
      <c r="R3660" s="195">
        <f t="shared" si="4372"/>
        <v>0</v>
      </c>
      <c r="S3660" s="196">
        <f t="shared" si="4373"/>
        <v>3.0042918454935622E-2</v>
      </c>
      <c r="T3660" s="196">
        <f t="shared" si="4374"/>
        <v>8.5836909871244635E-2</v>
      </c>
      <c r="U3660" s="197">
        <f t="shared" si="4375"/>
        <v>0.96995708154506444</v>
      </c>
      <c r="V3660" s="763"/>
    </row>
    <row r="3661" spans="2:22" ht="15.75" hidden="1" x14ac:dyDescent="0.2">
      <c r="B3661" s="762">
        <v>46312</v>
      </c>
      <c r="C3661" s="762" t="s">
        <v>105</v>
      </c>
      <c r="D3661" s="762" t="s">
        <v>13</v>
      </c>
      <c r="E3661" s="762">
        <v>46314</v>
      </c>
      <c r="G3661" s="882"/>
      <c r="H3661" s="575" t="s">
        <v>180</v>
      </c>
      <c r="I3661" s="194" t="s">
        <v>12</v>
      </c>
      <c r="J3661" s="194">
        <v>114</v>
      </c>
      <c r="K3661" s="194">
        <f t="shared" si="4370"/>
        <v>0</v>
      </c>
      <c r="L3661" s="194">
        <v>0</v>
      </c>
      <c r="M3661" s="194">
        <v>0</v>
      </c>
      <c r="N3661" s="538">
        <v>85</v>
      </c>
      <c r="O3661" s="194">
        <v>0</v>
      </c>
      <c r="P3661" s="538">
        <v>29</v>
      </c>
      <c r="Q3661" s="195">
        <f t="shared" si="4371"/>
        <v>0</v>
      </c>
      <c r="R3661" s="195">
        <f t="shared" si="4372"/>
        <v>0.74561403508771928</v>
      </c>
      <c r="S3661" s="196">
        <f t="shared" si="4373"/>
        <v>0.25438596491228072</v>
      </c>
      <c r="T3661" s="196">
        <f t="shared" si="4374"/>
        <v>0</v>
      </c>
      <c r="U3661" s="197">
        <f t="shared" si="4375"/>
        <v>1</v>
      </c>
      <c r="V3661" s="763"/>
    </row>
    <row r="3662" spans="2:22" ht="15.75" hidden="1" x14ac:dyDescent="0.2">
      <c r="B3662" s="762">
        <v>46312</v>
      </c>
      <c r="C3662" s="762" t="s">
        <v>105</v>
      </c>
      <c r="D3662" s="762" t="s">
        <v>13</v>
      </c>
      <c r="E3662" s="762">
        <v>46314</v>
      </c>
      <c r="G3662" s="882"/>
      <c r="H3662" s="497" t="s">
        <v>222</v>
      </c>
      <c r="I3662" s="60" t="s">
        <v>12</v>
      </c>
      <c r="J3662" s="60">
        <v>230</v>
      </c>
      <c r="K3662" s="60">
        <f t="shared" si="4370"/>
        <v>31</v>
      </c>
      <c r="L3662" s="194">
        <v>3</v>
      </c>
      <c r="M3662" s="194">
        <v>157</v>
      </c>
      <c r="N3662" s="538">
        <v>12</v>
      </c>
      <c r="O3662" s="194">
        <v>0</v>
      </c>
      <c r="P3662" s="538">
        <v>27</v>
      </c>
      <c r="Q3662" s="182">
        <f t="shared" si="4371"/>
        <v>0.14782608695652175</v>
      </c>
      <c r="R3662" s="182">
        <f t="shared" si="4372"/>
        <v>5.2173913043478258E-2</v>
      </c>
      <c r="S3662" s="183">
        <f t="shared" si="4373"/>
        <v>0.11739130434782609</v>
      </c>
      <c r="T3662" s="183">
        <f t="shared" si="4374"/>
        <v>0</v>
      </c>
      <c r="U3662" s="184">
        <f t="shared" si="4375"/>
        <v>0.31739130434782609</v>
      </c>
      <c r="V3662" s="386"/>
    </row>
    <row r="3663" spans="2:22" ht="15.75" hidden="1" x14ac:dyDescent="0.2">
      <c r="B3663" s="762">
        <v>46312</v>
      </c>
      <c r="C3663" s="762" t="s">
        <v>105</v>
      </c>
      <c r="D3663" s="762" t="s">
        <v>13</v>
      </c>
      <c r="E3663" s="762">
        <v>46314</v>
      </c>
      <c r="G3663" s="785"/>
      <c r="H3663" s="497" t="s">
        <v>25</v>
      </c>
      <c r="I3663" s="60" t="s">
        <v>105</v>
      </c>
      <c r="J3663" s="60">
        <v>205</v>
      </c>
      <c r="K3663" s="60">
        <f t="shared" si="4370"/>
        <v>35</v>
      </c>
      <c r="L3663" s="194">
        <v>2</v>
      </c>
      <c r="M3663" s="194">
        <v>121</v>
      </c>
      <c r="N3663" s="538">
        <v>0</v>
      </c>
      <c r="O3663" s="194">
        <v>24</v>
      </c>
      <c r="P3663" s="538">
        <v>23</v>
      </c>
      <c r="Q3663" s="182">
        <f t="shared" si="4371"/>
        <v>0.18048780487804877</v>
      </c>
      <c r="R3663" s="182">
        <f t="shared" si="4372"/>
        <v>0</v>
      </c>
      <c r="S3663" s="183">
        <f t="shared" si="4373"/>
        <v>0.11219512195121951</v>
      </c>
      <c r="T3663" s="183">
        <f t="shared" si="4374"/>
        <v>0.11707317073170732</v>
      </c>
      <c r="U3663" s="184">
        <f t="shared" si="4375"/>
        <v>0.40975609756097559</v>
      </c>
      <c r="V3663" s="386"/>
    </row>
    <row r="3664" spans="2:22" ht="15.75" hidden="1" x14ac:dyDescent="0.2">
      <c r="B3664" s="762">
        <v>46312</v>
      </c>
      <c r="C3664" s="762" t="s">
        <v>105</v>
      </c>
      <c r="D3664" s="762" t="s">
        <v>13</v>
      </c>
      <c r="E3664" s="762">
        <v>46314</v>
      </c>
      <c r="G3664" s="758" t="s">
        <v>19</v>
      </c>
      <c r="H3664" s="759"/>
      <c r="I3664" s="760"/>
      <c r="J3664" s="190">
        <f>SUM(J3657:J3663)</f>
        <v>1310</v>
      </c>
      <c r="K3664" s="190">
        <f t="shared" ref="K3664:P3664" si="4376">SUM(K3657:K3663)</f>
        <v>565</v>
      </c>
      <c r="L3664" s="190">
        <f t="shared" si="4376"/>
        <v>132</v>
      </c>
      <c r="M3664" s="190">
        <f t="shared" si="4376"/>
        <v>289</v>
      </c>
      <c r="N3664" s="190">
        <f t="shared" si="4376"/>
        <v>103</v>
      </c>
      <c r="O3664" s="190">
        <f t="shared" si="4376"/>
        <v>96</v>
      </c>
      <c r="P3664" s="190">
        <f t="shared" si="4376"/>
        <v>125</v>
      </c>
      <c r="Q3664" s="481">
        <f>(K3664+L3664)/J3664</f>
        <v>0.53206106870229009</v>
      </c>
      <c r="R3664" s="481">
        <f>N3664/J3664</f>
        <v>7.8625954198473277E-2</v>
      </c>
      <c r="S3664" s="482">
        <f t="shared" si="4373"/>
        <v>9.5419847328244281E-2</v>
      </c>
      <c r="T3664" s="482">
        <f t="shared" si="4374"/>
        <v>7.3282442748091606E-2</v>
      </c>
      <c r="U3664" s="483">
        <f t="shared" si="4375"/>
        <v>0.77938931297709924</v>
      </c>
      <c r="V3664" s="479"/>
    </row>
    <row r="3665" spans="2:22" ht="15.75" hidden="1" x14ac:dyDescent="0.2">
      <c r="B3665" s="765">
        <v>46314</v>
      </c>
      <c r="C3665" s="765" t="s">
        <v>105</v>
      </c>
      <c r="D3665" s="765" t="s">
        <v>13</v>
      </c>
      <c r="E3665" s="765">
        <v>46314</v>
      </c>
      <c r="G3665" s="783">
        <v>46314</v>
      </c>
      <c r="H3665" s="575" t="s">
        <v>118</v>
      </c>
      <c r="I3665" s="194" t="s">
        <v>106</v>
      </c>
      <c r="J3665" s="194">
        <v>251</v>
      </c>
      <c r="K3665" s="194">
        <f t="shared" ref="K3665:K3669" si="4377">J3665-L3665-M3665-N3665-O3665-P3665</f>
        <v>187</v>
      </c>
      <c r="L3665" s="194">
        <v>32</v>
      </c>
      <c r="M3665" s="194">
        <v>0</v>
      </c>
      <c r="N3665" s="538">
        <v>0</v>
      </c>
      <c r="O3665" s="194">
        <v>16</v>
      </c>
      <c r="P3665" s="538">
        <v>16</v>
      </c>
      <c r="Q3665" s="195">
        <f t="shared" ref="Q3665:Q3669" si="4378">(K3665+L3665)/J3665</f>
        <v>0.87250996015936255</v>
      </c>
      <c r="R3665" s="195">
        <f t="shared" ref="R3665:R3669" si="4379">N3665/J3665</f>
        <v>0</v>
      </c>
      <c r="S3665" s="196">
        <f t="shared" ref="S3665:S3669" si="4380">P3665/J3665</f>
        <v>6.3745019920318724E-2</v>
      </c>
      <c r="T3665" s="196">
        <f t="shared" ref="T3665:T3669" si="4381">O3665/J3665</f>
        <v>6.3745019920318724E-2</v>
      </c>
      <c r="U3665" s="197">
        <f t="shared" ref="U3665:U3669" si="4382">S3665+R3665+Q3665+T3665</f>
        <v>1</v>
      </c>
      <c r="V3665" s="763"/>
    </row>
    <row r="3666" spans="2:22" ht="15.75" hidden="1" x14ac:dyDescent="0.2">
      <c r="B3666" s="765">
        <v>46314</v>
      </c>
      <c r="C3666" s="765" t="s">
        <v>105</v>
      </c>
      <c r="D3666" s="765" t="s">
        <v>13</v>
      </c>
      <c r="E3666" s="765">
        <v>46314</v>
      </c>
      <c r="G3666" s="783"/>
      <c r="H3666" s="575" t="s">
        <v>16</v>
      </c>
      <c r="I3666" s="194" t="s">
        <v>15</v>
      </c>
      <c r="J3666" s="194">
        <v>233</v>
      </c>
      <c r="K3666" s="194">
        <f t="shared" si="4377"/>
        <v>150</v>
      </c>
      <c r="L3666" s="194">
        <v>52</v>
      </c>
      <c r="M3666" s="194">
        <v>6</v>
      </c>
      <c r="N3666" s="538">
        <v>0</v>
      </c>
      <c r="O3666" s="194">
        <v>20</v>
      </c>
      <c r="P3666" s="538">
        <v>5</v>
      </c>
      <c r="Q3666" s="195">
        <f t="shared" si="4378"/>
        <v>0.86695278969957079</v>
      </c>
      <c r="R3666" s="195">
        <f t="shared" si="4379"/>
        <v>0</v>
      </c>
      <c r="S3666" s="196">
        <f t="shared" si="4380"/>
        <v>2.1459227467811159E-2</v>
      </c>
      <c r="T3666" s="196">
        <f t="shared" si="4381"/>
        <v>8.5836909871244635E-2</v>
      </c>
      <c r="U3666" s="197">
        <f t="shared" si="4382"/>
        <v>0.97424892703862653</v>
      </c>
      <c r="V3666" s="763"/>
    </row>
    <row r="3667" spans="2:22" ht="15.75" hidden="1" x14ac:dyDescent="0.2">
      <c r="B3667" s="765">
        <v>46314</v>
      </c>
      <c r="C3667" s="765" t="s">
        <v>105</v>
      </c>
      <c r="D3667" s="765" t="s">
        <v>13</v>
      </c>
      <c r="E3667" s="765">
        <v>46314</v>
      </c>
      <c r="G3667" s="783"/>
      <c r="H3667" s="575" t="s">
        <v>180</v>
      </c>
      <c r="I3667" s="194" t="s">
        <v>22</v>
      </c>
      <c r="J3667" s="194">
        <v>114</v>
      </c>
      <c r="K3667" s="194">
        <f t="shared" si="4377"/>
        <v>70</v>
      </c>
      <c r="L3667" s="194">
        <v>15</v>
      </c>
      <c r="M3667" s="194">
        <v>0</v>
      </c>
      <c r="N3667" s="538">
        <v>0</v>
      </c>
      <c r="O3667" s="194">
        <v>0</v>
      </c>
      <c r="P3667" s="538">
        <v>29</v>
      </c>
      <c r="Q3667" s="195">
        <f t="shared" si="4378"/>
        <v>0.74561403508771928</v>
      </c>
      <c r="R3667" s="195">
        <f t="shared" si="4379"/>
        <v>0</v>
      </c>
      <c r="S3667" s="196">
        <f t="shared" si="4380"/>
        <v>0.25438596491228072</v>
      </c>
      <c r="T3667" s="196">
        <f t="shared" si="4381"/>
        <v>0</v>
      </c>
      <c r="U3667" s="197">
        <f t="shared" si="4382"/>
        <v>1</v>
      </c>
      <c r="V3667" s="763"/>
    </row>
    <row r="3668" spans="2:22" ht="15.75" hidden="1" x14ac:dyDescent="0.2">
      <c r="B3668" s="765">
        <v>46314</v>
      </c>
      <c r="C3668" s="765" t="s">
        <v>105</v>
      </c>
      <c r="D3668" s="765" t="s">
        <v>13</v>
      </c>
      <c r="E3668" s="765">
        <v>46314</v>
      </c>
      <c r="G3668" s="783"/>
      <c r="H3668" s="497" t="s">
        <v>222</v>
      </c>
      <c r="I3668" s="60" t="s">
        <v>12</v>
      </c>
      <c r="J3668" s="60">
        <v>230</v>
      </c>
      <c r="K3668" s="60">
        <f t="shared" si="4377"/>
        <v>196</v>
      </c>
      <c r="L3668" s="194">
        <v>8</v>
      </c>
      <c r="M3668" s="194">
        <v>0</v>
      </c>
      <c r="N3668" s="538">
        <v>0</v>
      </c>
      <c r="O3668" s="194">
        <v>0</v>
      </c>
      <c r="P3668" s="538">
        <v>26</v>
      </c>
      <c r="Q3668" s="182">
        <f t="shared" si="4378"/>
        <v>0.88695652173913042</v>
      </c>
      <c r="R3668" s="182">
        <f t="shared" si="4379"/>
        <v>0</v>
      </c>
      <c r="S3668" s="183">
        <f t="shared" si="4380"/>
        <v>0.11304347826086956</v>
      </c>
      <c r="T3668" s="183">
        <f t="shared" si="4381"/>
        <v>0</v>
      </c>
      <c r="U3668" s="184">
        <f t="shared" si="4382"/>
        <v>1</v>
      </c>
      <c r="V3668" s="386"/>
    </row>
    <row r="3669" spans="2:22" ht="15.75" hidden="1" x14ac:dyDescent="0.2">
      <c r="B3669" s="765">
        <v>46314</v>
      </c>
      <c r="C3669" s="765" t="s">
        <v>105</v>
      </c>
      <c r="D3669" s="765" t="s">
        <v>13</v>
      </c>
      <c r="E3669" s="765">
        <v>46314</v>
      </c>
      <c r="G3669" s="818"/>
      <c r="H3669" s="497" t="s">
        <v>25</v>
      </c>
      <c r="I3669" s="60" t="s">
        <v>105</v>
      </c>
      <c r="J3669" s="60">
        <v>205</v>
      </c>
      <c r="K3669" s="60">
        <f t="shared" si="4377"/>
        <v>119</v>
      </c>
      <c r="L3669" s="194">
        <v>29</v>
      </c>
      <c r="M3669" s="194">
        <v>6</v>
      </c>
      <c r="N3669" s="538">
        <v>0</v>
      </c>
      <c r="O3669" s="194">
        <v>24</v>
      </c>
      <c r="P3669" s="538">
        <v>27</v>
      </c>
      <c r="Q3669" s="182">
        <f t="shared" si="4378"/>
        <v>0.7219512195121951</v>
      </c>
      <c r="R3669" s="182">
        <f t="shared" si="4379"/>
        <v>0</v>
      </c>
      <c r="S3669" s="183">
        <f t="shared" si="4380"/>
        <v>0.13170731707317074</v>
      </c>
      <c r="T3669" s="183">
        <f t="shared" si="4381"/>
        <v>0.11707317073170732</v>
      </c>
      <c r="U3669" s="184">
        <f t="shared" si="4382"/>
        <v>0.97073170731707314</v>
      </c>
      <c r="V3669" s="386"/>
    </row>
    <row r="3670" spans="2:22" ht="15.75" hidden="1" x14ac:dyDescent="0.2">
      <c r="B3670" s="765">
        <v>46314</v>
      </c>
      <c r="C3670" s="765" t="s">
        <v>105</v>
      </c>
      <c r="D3670" s="765" t="s">
        <v>13</v>
      </c>
      <c r="E3670" s="765">
        <v>46315</v>
      </c>
      <c r="G3670" s="882">
        <v>46315</v>
      </c>
      <c r="H3670" s="497" t="s">
        <v>224</v>
      </c>
      <c r="I3670" s="60" t="s">
        <v>106</v>
      </c>
      <c r="J3670" s="60">
        <v>200</v>
      </c>
      <c r="K3670" s="60">
        <f t="shared" ref="K3670" si="4383">J3670-L3670-M3670-N3670-O3670-P3670</f>
        <v>14</v>
      </c>
      <c r="L3670" s="194">
        <v>4</v>
      </c>
      <c r="M3670" s="194">
        <v>68</v>
      </c>
      <c r="N3670" s="538">
        <v>63</v>
      </c>
      <c r="O3670" s="194">
        <v>29</v>
      </c>
      <c r="P3670" s="538">
        <v>22</v>
      </c>
      <c r="Q3670" s="182">
        <f t="shared" ref="Q3670" si="4384">(K3670+L3670)/J3670</f>
        <v>0.09</v>
      </c>
      <c r="R3670" s="182">
        <f t="shared" ref="R3670" si="4385">N3670/J3670</f>
        <v>0.315</v>
      </c>
      <c r="S3670" s="183">
        <f t="shared" ref="S3670:S3680" si="4386">P3670/J3670</f>
        <v>0.11</v>
      </c>
      <c r="T3670" s="183">
        <f t="shared" ref="T3670:T3680" si="4387">O3670/J3670</f>
        <v>0.14499999999999999</v>
      </c>
      <c r="U3670" s="184">
        <f t="shared" ref="U3670:U3680" si="4388">S3670+R3670+Q3670+T3670</f>
        <v>0.66</v>
      </c>
      <c r="V3670" s="386"/>
    </row>
    <row r="3671" spans="2:22" ht="15.75" hidden="1" x14ac:dyDescent="0.2">
      <c r="B3671" s="765">
        <v>46314</v>
      </c>
      <c r="C3671" s="765" t="s">
        <v>105</v>
      </c>
      <c r="D3671" s="765" t="s">
        <v>13</v>
      </c>
      <c r="E3671" s="765">
        <v>46315</v>
      </c>
      <c r="G3671" s="775" t="s">
        <v>19</v>
      </c>
      <c r="H3671" s="776"/>
      <c r="I3671" s="777"/>
      <c r="J3671" s="190">
        <f t="shared" ref="J3671:P3671" si="4389">SUM(J3665:J3670)</f>
        <v>1233</v>
      </c>
      <c r="K3671" s="190">
        <f t="shared" si="4389"/>
        <v>736</v>
      </c>
      <c r="L3671" s="190">
        <f t="shared" si="4389"/>
        <v>140</v>
      </c>
      <c r="M3671" s="190">
        <f t="shared" si="4389"/>
        <v>80</v>
      </c>
      <c r="N3671" s="190">
        <f t="shared" si="4389"/>
        <v>63</v>
      </c>
      <c r="O3671" s="190">
        <f t="shared" si="4389"/>
        <v>89</v>
      </c>
      <c r="P3671" s="190">
        <f t="shared" si="4389"/>
        <v>125</v>
      </c>
      <c r="Q3671" s="481">
        <f>(K3671+L3671)/J3671</f>
        <v>0.71046228710462289</v>
      </c>
      <c r="R3671" s="481">
        <f>N3671/J3671</f>
        <v>5.1094890510948905E-2</v>
      </c>
      <c r="S3671" s="482">
        <f t="shared" si="4386"/>
        <v>0.10137875101378752</v>
      </c>
      <c r="T3671" s="482">
        <f t="shared" si="4387"/>
        <v>7.2181670721816707E-2</v>
      </c>
      <c r="U3671" s="483">
        <f t="shared" si="4388"/>
        <v>0.935117599351176</v>
      </c>
      <c r="V3671" s="479"/>
    </row>
    <row r="3672" spans="2:22" ht="15.75" hidden="1" x14ac:dyDescent="0.2">
      <c r="B3672" s="766">
        <v>46314</v>
      </c>
      <c r="C3672" s="766" t="s">
        <v>106</v>
      </c>
      <c r="D3672" s="766" t="s">
        <v>189</v>
      </c>
      <c r="E3672" s="768">
        <v>46315</v>
      </c>
      <c r="G3672" s="778">
        <v>46314</v>
      </c>
      <c r="H3672" s="497" t="s">
        <v>16</v>
      </c>
      <c r="I3672" s="60" t="s">
        <v>15</v>
      </c>
      <c r="J3672" s="60">
        <f>SUM(K3672:P3672)</f>
        <v>14</v>
      </c>
      <c r="K3672" s="60">
        <v>1</v>
      </c>
      <c r="L3672" s="60">
        <v>4</v>
      </c>
      <c r="M3672" s="60">
        <v>0</v>
      </c>
      <c r="N3672" s="494">
        <v>0</v>
      </c>
      <c r="O3672" s="60">
        <v>0</v>
      </c>
      <c r="P3672" s="494">
        <v>9</v>
      </c>
      <c r="Q3672" s="182">
        <f t="shared" ref="Q3672:Q3679" si="4390">(K3672+L3672)/J3672</f>
        <v>0.35714285714285715</v>
      </c>
      <c r="R3672" s="182">
        <f t="shared" ref="R3672:R3679" si="4391">N3672/J3672</f>
        <v>0</v>
      </c>
      <c r="S3672" s="183">
        <f t="shared" si="4386"/>
        <v>0.6428571428571429</v>
      </c>
      <c r="T3672" s="183">
        <f t="shared" si="4387"/>
        <v>0</v>
      </c>
      <c r="U3672" s="184">
        <f t="shared" si="4388"/>
        <v>1</v>
      </c>
      <c r="V3672" s="386" t="s">
        <v>221</v>
      </c>
    </row>
    <row r="3673" spans="2:22" ht="15.75" hidden="1" x14ac:dyDescent="0.2">
      <c r="B3673" s="766">
        <v>46314</v>
      </c>
      <c r="C3673" s="766" t="s">
        <v>106</v>
      </c>
      <c r="D3673" s="766" t="s">
        <v>189</v>
      </c>
      <c r="E3673" s="768">
        <v>46315</v>
      </c>
      <c r="G3673" s="779"/>
      <c r="H3673" s="497" t="s">
        <v>25</v>
      </c>
      <c r="I3673" s="60" t="s">
        <v>105</v>
      </c>
      <c r="J3673" s="60">
        <f t="shared" ref="J3673" si="4392">SUM(K3673:P3673)</f>
        <v>50</v>
      </c>
      <c r="K3673" s="60">
        <v>9</v>
      </c>
      <c r="L3673" s="60">
        <v>16</v>
      </c>
      <c r="M3673" s="60">
        <v>0</v>
      </c>
      <c r="N3673" s="494">
        <v>0</v>
      </c>
      <c r="O3673" s="60">
        <v>0</v>
      </c>
      <c r="P3673" s="494">
        <v>25</v>
      </c>
      <c r="Q3673" s="182">
        <f t="shared" si="4390"/>
        <v>0.5</v>
      </c>
      <c r="R3673" s="182">
        <f t="shared" si="4391"/>
        <v>0</v>
      </c>
      <c r="S3673" s="183">
        <f t="shared" si="4386"/>
        <v>0.5</v>
      </c>
      <c r="T3673" s="183">
        <f t="shared" si="4387"/>
        <v>0</v>
      </c>
      <c r="U3673" s="184">
        <f t="shared" si="4388"/>
        <v>1</v>
      </c>
      <c r="V3673" s="386"/>
    </row>
    <row r="3674" spans="2:22" ht="15.75" hidden="1" x14ac:dyDescent="0.2">
      <c r="B3674" s="766">
        <v>46314</v>
      </c>
      <c r="C3674" s="766" t="s">
        <v>106</v>
      </c>
      <c r="D3674" s="766" t="s">
        <v>189</v>
      </c>
      <c r="E3674" s="768">
        <v>46315</v>
      </c>
      <c r="G3674" s="773">
        <v>46315</v>
      </c>
      <c r="H3674" s="497" t="s">
        <v>16</v>
      </c>
      <c r="I3674" s="60" t="s">
        <v>15</v>
      </c>
      <c r="J3674" s="60">
        <v>226</v>
      </c>
      <c r="K3674" s="60">
        <v>135</v>
      </c>
      <c r="L3674" s="60">
        <v>60</v>
      </c>
      <c r="M3674" s="60">
        <v>5</v>
      </c>
      <c r="N3674" s="494">
        <v>1</v>
      </c>
      <c r="O3674" s="60">
        <v>20</v>
      </c>
      <c r="P3674" s="494">
        <v>9</v>
      </c>
      <c r="Q3674" s="182">
        <f t="shared" si="4390"/>
        <v>0.86283185840707965</v>
      </c>
      <c r="R3674" s="182">
        <f t="shared" si="4391"/>
        <v>4.4247787610619468E-3</v>
      </c>
      <c r="S3674" s="183">
        <f t="shared" si="4386"/>
        <v>3.9823008849557522E-2</v>
      </c>
      <c r="T3674" s="183">
        <f t="shared" si="4387"/>
        <v>8.8495575221238937E-2</v>
      </c>
      <c r="U3674" s="184">
        <f t="shared" si="4388"/>
        <v>0.99557522123893805</v>
      </c>
      <c r="V3674" s="386"/>
    </row>
    <row r="3675" spans="2:22" ht="15.75" hidden="1" x14ac:dyDescent="0.2">
      <c r="B3675" s="766">
        <v>46314</v>
      </c>
      <c r="C3675" s="766" t="s">
        <v>106</v>
      </c>
      <c r="D3675" s="766" t="s">
        <v>189</v>
      </c>
      <c r="E3675" s="768">
        <v>46315</v>
      </c>
      <c r="G3675" s="780"/>
      <c r="H3675" s="497" t="s">
        <v>17</v>
      </c>
      <c r="I3675" s="60" t="s">
        <v>106</v>
      </c>
      <c r="J3675" s="60">
        <v>183</v>
      </c>
      <c r="K3675" s="60">
        <v>100</v>
      </c>
      <c r="L3675" s="60">
        <v>35</v>
      </c>
      <c r="M3675" s="60">
        <v>9</v>
      </c>
      <c r="N3675" s="494">
        <v>0</v>
      </c>
      <c r="O3675" s="60">
        <v>27</v>
      </c>
      <c r="P3675" s="494">
        <v>23</v>
      </c>
      <c r="Q3675" s="182">
        <f t="shared" si="4390"/>
        <v>0.73770491803278693</v>
      </c>
      <c r="R3675" s="182">
        <f t="shared" si="4391"/>
        <v>0</v>
      </c>
      <c r="S3675" s="183">
        <f t="shared" si="4386"/>
        <v>0.12568306010928962</v>
      </c>
      <c r="T3675" s="183">
        <f t="shared" si="4387"/>
        <v>0.14754098360655737</v>
      </c>
      <c r="U3675" s="184">
        <f t="shared" si="4388"/>
        <v>1.0109289617486339</v>
      </c>
      <c r="V3675" s="386"/>
    </row>
    <row r="3676" spans="2:22" ht="15.75" hidden="1" x14ac:dyDescent="0.2">
      <c r="B3676" s="766">
        <v>46314</v>
      </c>
      <c r="C3676" s="766" t="s">
        <v>106</v>
      </c>
      <c r="D3676" s="766" t="s">
        <v>189</v>
      </c>
      <c r="E3676" s="768">
        <v>46315</v>
      </c>
      <c r="G3676" s="780"/>
      <c r="H3676" s="497" t="s">
        <v>212</v>
      </c>
      <c r="I3676" s="60" t="s">
        <v>12</v>
      </c>
      <c r="J3676" s="60">
        <v>86</v>
      </c>
      <c r="K3676" s="60">
        <v>1</v>
      </c>
      <c r="L3676" s="60">
        <v>0</v>
      </c>
      <c r="M3676" s="60">
        <v>0</v>
      </c>
      <c r="N3676" s="494">
        <v>73</v>
      </c>
      <c r="O3676" s="60">
        <v>0</v>
      </c>
      <c r="P3676" s="494">
        <v>12</v>
      </c>
      <c r="Q3676" s="182">
        <f t="shared" si="4390"/>
        <v>1.1627906976744186E-2</v>
      </c>
      <c r="R3676" s="182">
        <f t="shared" si="4391"/>
        <v>0.84883720930232553</v>
      </c>
      <c r="S3676" s="183">
        <f t="shared" si="4386"/>
        <v>0.13953488372093023</v>
      </c>
      <c r="T3676" s="183">
        <f t="shared" si="4387"/>
        <v>0</v>
      </c>
      <c r="U3676" s="184">
        <f t="shared" si="4388"/>
        <v>1</v>
      </c>
      <c r="V3676" s="386"/>
    </row>
    <row r="3677" spans="2:22" ht="15.75" hidden="1" x14ac:dyDescent="0.2">
      <c r="B3677" s="766">
        <v>46314</v>
      </c>
      <c r="C3677" s="766" t="s">
        <v>106</v>
      </c>
      <c r="D3677" s="766" t="s">
        <v>189</v>
      </c>
      <c r="E3677" s="768">
        <v>46315</v>
      </c>
      <c r="G3677" s="774"/>
      <c r="H3677" s="497" t="s">
        <v>14</v>
      </c>
      <c r="I3677" s="60" t="s">
        <v>105</v>
      </c>
      <c r="J3677" s="60">
        <v>163</v>
      </c>
      <c r="K3677" s="60">
        <v>0</v>
      </c>
      <c r="L3677" s="60">
        <v>1</v>
      </c>
      <c r="M3677" s="60">
        <v>28</v>
      </c>
      <c r="N3677" s="494">
        <v>116</v>
      </c>
      <c r="O3677" s="60">
        <v>11</v>
      </c>
      <c r="P3677" s="494">
        <v>8</v>
      </c>
      <c r="Q3677" s="182">
        <f t="shared" si="4390"/>
        <v>6.1349693251533744E-3</v>
      </c>
      <c r="R3677" s="182">
        <f t="shared" si="4391"/>
        <v>0.71165644171779141</v>
      </c>
      <c r="S3677" s="183">
        <f t="shared" si="4386"/>
        <v>4.9079754601226995E-2</v>
      </c>
      <c r="T3677" s="183">
        <f t="shared" si="4387"/>
        <v>6.7484662576687116E-2</v>
      </c>
      <c r="U3677" s="184">
        <f t="shared" si="4388"/>
        <v>0.83435582822085896</v>
      </c>
      <c r="V3677" s="386"/>
    </row>
    <row r="3678" spans="2:22" ht="15.75" hidden="1" x14ac:dyDescent="0.2">
      <c r="B3678" s="766">
        <v>46314</v>
      </c>
      <c r="C3678" s="766" t="s">
        <v>106</v>
      </c>
      <c r="D3678" s="766" t="s">
        <v>189</v>
      </c>
      <c r="E3678" s="768">
        <v>46315</v>
      </c>
      <c r="G3678" s="773">
        <v>46316</v>
      </c>
      <c r="H3678" s="497" t="s">
        <v>25</v>
      </c>
      <c r="I3678" s="60" t="s">
        <v>106</v>
      </c>
      <c r="J3678" s="60">
        <v>237</v>
      </c>
      <c r="K3678" s="60">
        <v>0</v>
      </c>
      <c r="L3678" s="60">
        <v>0</v>
      </c>
      <c r="M3678" s="60">
        <v>176</v>
      </c>
      <c r="N3678" s="494">
        <v>0</v>
      </c>
      <c r="O3678" s="60">
        <v>26</v>
      </c>
      <c r="P3678" s="494">
        <v>35</v>
      </c>
      <c r="Q3678" s="182">
        <f t="shared" si="4390"/>
        <v>0</v>
      </c>
      <c r="R3678" s="182">
        <f t="shared" si="4391"/>
        <v>0</v>
      </c>
      <c r="S3678" s="183">
        <f t="shared" si="4386"/>
        <v>0.14767932489451477</v>
      </c>
      <c r="T3678" s="183">
        <f t="shared" si="4387"/>
        <v>0.10970464135021098</v>
      </c>
      <c r="U3678" s="184">
        <f t="shared" si="4388"/>
        <v>0.25738396624472576</v>
      </c>
      <c r="V3678" s="386"/>
    </row>
    <row r="3679" spans="2:22" ht="15.75" hidden="1" x14ac:dyDescent="0.2">
      <c r="B3679" s="766">
        <v>46314</v>
      </c>
      <c r="C3679" s="766" t="s">
        <v>106</v>
      </c>
      <c r="D3679" s="766" t="s">
        <v>189</v>
      </c>
      <c r="E3679" s="768">
        <v>46315</v>
      </c>
      <c r="G3679" s="774"/>
      <c r="H3679" s="497" t="s">
        <v>118</v>
      </c>
      <c r="I3679" s="60" t="s">
        <v>105</v>
      </c>
      <c r="J3679" s="60">
        <v>220</v>
      </c>
      <c r="K3679" s="60">
        <v>0</v>
      </c>
      <c r="L3679" s="60">
        <v>0</v>
      </c>
      <c r="M3679" s="60">
        <v>130</v>
      </c>
      <c r="N3679" s="494">
        <v>57</v>
      </c>
      <c r="O3679" s="60">
        <v>16</v>
      </c>
      <c r="P3679" s="494">
        <v>17</v>
      </c>
      <c r="Q3679" s="182">
        <f t="shared" si="4390"/>
        <v>0</v>
      </c>
      <c r="R3679" s="182">
        <f t="shared" si="4391"/>
        <v>0.25909090909090909</v>
      </c>
      <c r="S3679" s="183">
        <f t="shared" si="4386"/>
        <v>7.7272727272727271E-2</v>
      </c>
      <c r="T3679" s="183">
        <f t="shared" si="4387"/>
        <v>7.2727272727272724E-2</v>
      </c>
      <c r="U3679" s="184">
        <f t="shared" si="4388"/>
        <v>0.40909090909090906</v>
      </c>
      <c r="V3679" s="386"/>
    </row>
    <row r="3680" spans="2:22" ht="15.75" hidden="1" x14ac:dyDescent="0.2">
      <c r="B3680" s="766">
        <v>46314</v>
      </c>
      <c r="C3680" s="766" t="s">
        <v>106</v>
      </c>
      <c r="D3680" s="766" t="s">
        <v>189</v>
      </c>
      <c r="E3680" s="768">
        <v>46315</v>
      </c>
      <c r="G3680" s="775" t="s">
        <v>19</v>
      </c>
      <c r="H3680" s="776"/>
      <c r="I3680" s="777"/>
      <c r="J3680" s="190">
        <f t="shared" ref="J3680:P3680" si="4393">SUM(J3672:J3679)</f>
        <v>1179</v>
      </c>
      <c r="K3680" s="190">
        <f t="shared" si="4393"/>
        <v>246</v>
      </c>
      <c r="L3680" s="190">
        <f t="shared" si="4393"/>
        <v>116</v>
      </c>
      <c r="M3680" s="190">
        <f t="shared" si="4393"/>
        <v>348</v>
      </c>
      <c r="N3680" s="190">
        <f t="shared" si="4393"/>
        <v>247</v>
      </c>
      <c r="O3680" s="190">
        <f t="shared" si="4393"/>
        <v>100</v>
      </c>
      <c r="P3680" s="190">
        <f t="shared" si="4393"/>
        <v>138</v>
      </c>
      <c r="Q3680" s="481">
        <f>(K3680+L3680)/J3680</f>
        <v>0.30703986429177271</v>
      </c>
      <c r="R3680" s="481">
        <f>N3680/J3680</f>
        <v>0.20949957591178966</v>
      </c>
      <c r="S3680" s="482">
        <f t="shared" si="4386"/>
        <v>0.11704834605597965</v>
      </c>
      <c r="T3680" s="482">
        <f t="shared" si="4387"/>
        <v>8.4817642069550461E-2</v>
      </c>
      <c r="U3680" s="483">
        <f t="shared" si="4388"/>
        <v>0.71840542832909249</v>
      </c>
      <c r="V3680" s="479"/>
    </row>
    <row r="3681" spans="2:22" ht="15.75" x14ac:dyDescent="0.2">
      <c r="B3681" s="768">
        <v>46315</v>
      </c>
      <c r="C3681" s="768" t="s">
        <v>106</v>
      </c>
      <c r="D3681" s="768" t="s">
        <v>13</v>
      </c>
      <c r="E3681" s="768">
        <v>46315</v>
      </c>
      <c r="G3681" s="770">
        <v>46315</v>
      </c>
      <c r="H3681" s="497" t="s">
        <v>16</v>
      </c>
      <c r="I3681" s="60" t="s">
        <v>15</v>
      </c>
      <c r="J3681" s="60">
        <v>226</v>
      </c>
      <c r="K3681" s="60">
        <v>135</v>
      </c>
      <c r="L3681" s="60">
        <v>60</v>
      </c>
      <c r="M3681" s="60">
        <v>5</v>
      </c>
      <c r="N3681" s="494">
        <v>1</v>
      </c>
      <c r="O3681" s="60">
        <v>20</v>
      </c>
      <c r="P3681" s="494">
        <v>9</v>
      </c>
      <c r="Q3681" s="182">
        <f t="shared" ref="Q3681:Q3686" si="4394">(K3681+L3681)/J3681</f>
        <v>0.86283185840707965</v>
      </c>
      <c r="R3681" s="182">
        <f t="shared" ref="R3681:R3686" si="4395">N3681/J3681</f>
        <v>4.4247787610619468E-3</v>
      </c>
      <c r="S3681" s="183">
        <f t="shared" ref="S3681:S3687" si="4396">P3681/J3681</f>
        <v>3.9823008849557522E-2</v>
      </c>
      <c r="T3681" s="183">
        <f t="shared" ref="T3681:T3687" si="4397">O3681/J3681</f>
        <v>8.8495575221238937E-2</v>
      </c>
      <c r="U3681" s="184">
        <f t="shared" ref="U3681:U3687" si="4398">S3681+R3681+Q3681+T3681</f>
        <v>0.99557522123893805</v>
      </c>
      <c r="V3681" s="386"/>
    </row>
    <row r="3682" spans="2:22" ht="15.75" x14ac:dyDescent="0.2">
      <c r="B3682" s="768">
        <v>46315</v>
      </c>
      <c r="C3682" s="769" t="s">
        <v>106</v>
      </c>
      <c r="D3682" s="768" t="s">
        <v>13</v>
      </c>
      <c r="E3682" s="768">
        <v>46315</v>
      </c>
      <c r="G3682" s="771"/>
      <c r="H3682" s="497" t="s">
        <v>17</v>
      </c>
      <c r="I3682" s="60" t="s">
        <v>106</v>
      </c>
      <c r="J3682" s="60">
        <v>183</v>
      </c>
      <c r="K3682" s="60">
        <v>100</v>
      </c>
      <c r="L3682" s="60">
        <v>35</v>
      </c>
      <c r="M3682" s="60">
        <v>9</v>
      </c>
      <c r="N3682" s="494">
        <v>0</v>
      </c>
      <c r="O3682" s="60">
        <v>27</v>
      </c>
      <c r="P3682" s="494">
        <v>23</v>
      </c>
      <c r="Q3682" s="182">
        <f t="shared" si="4394"/>
        <v>0.73770491803278693</v>
      </c>
      <c r="R3682" s="182">
        <f t="shared" si="4395"/>
        <v>0</v>
      </c>
      <c r="S3682" s="183">
        <f t="shared" si="4396"/>
        <v>0.12568306010928962</v>
      </c>
      <c r="T3682" s="183">
        <f t="shared" si="4397"/>
        <v>0.14754098360655737</v>
      </c>
      <c r="U3682" s="184">
        <f t="shared" si="4398"/>
        <v>1.0109289617486339</v>
      </c>
      <c r="V3682" s="386"/>
    </row>
    <row r="3683" spans="2:22" ht="15.75" x14ac:dyDescent="0.2">
      <c r="B3683" s="768">
        <v>46315</v>
      </c>
      <c r="C3683" s="769" t="s">
        <v>106</v>
      </c>
      <c r="D3683" s="768" t="s">
        <v>13</v>
      </c>
      <c r="E3683" s="768">
        <v>46315</v>
      </c>
      <c r="G3683" s="771"/>
      <c r="H3683" s="497" t="s">
        <v>212</v>
      </c>
      <c r="I3683" s="60" t="s">
        <v>12</v>
      </c>
      <c r="J3683" s="60">
        <v>86</v>
      </c>
      <c r="K3683" s="60">
        <v>1</v>
      </c>
      <c r="L3683" s="60">
        <v>0</v>
      </c>
      <c r="M3683" s="60">
        <v>0</v>
      </c>
      <c r="N3683" s="494">
        <v>73</v>
      </c>
      <c r="O3683" s="60">
        <v>0</v>
      </c>
      <c r="P3683" s="494">
        <v>12</v>
      </c>
      <c r="Q3683" s="182">
        <f t="shared" si="4394"/>
        <v>1.1627906976744186E-2</v>
      </c>
      <c r="R3683" s="182">
        <f t="shared" si="4395"/>
        <v>0.84883720930232553</v>
      </c>
      <c r="S3683" s="183">
        <f t="shared" si="4396"/>
        <v>0.13953488372093023</v>
      </c>
      <c r="T3683" s="183">
        <f t="shared" si="4397"/>
        <v>0</v>
      </c>
      <c r="U3683" s="184">
        <f t="shared" si="4398"/>
        <v>1</v>
      </c>
      <c r="V3683" s="386"/>
    </row>
    <row r="3684" spans="2:22" ht="15.75" x14ac:dyDescent="0.2">
      <c r="B3684" s="768">
        <v>46315</v>
      </c>
      <c r="C3684" s="769" t="s">
        <v>106</v>
      </c>
      <c r="D3684" s="768" t="s">
        <v>13</v>
      </c>
      <c r="E3684" s="768">
        <v>46315</v>
      </c>
      <c r="G3684" s="772"/>
      <c r="H3684" s="497" t="s">
        <v>14</v>
      </c>
      <c r="I3684" s="60" t="s">
        <v>105</v>
      </c>
      <c r="J3684" s="60">
        <v>163</v>
      </c>
      <c r="K3684" s="60">
        <v>0</v>
      </c>
      <c r="L3684" s="60">
        <v>1</v>
      </c>
      <c r="M3684" s="60">
        <v>28</v>
      </c>
      <c r="N3684" s="494">
        <v>116</v>
      </c>
      <c r="O3684" s="60">
        <v>11</v>
      </c>
      <c r="P3684" s="494">
        <v>8</v>
      </c>
      <c r="Q3684" s="182">
        <f t="shared" si="4394"/>
        <v>6.1349693251533744E-3</v>
      </c>
      <c r="R3684" s="182">
        <f t="shared" si="4395"/>
        <v>0.71165644171779141</v>
      </c>
      <c r="S3684" s="183">
        <f t="shared" si="4396"/>
        <v>4.9079754601226995E-2</v>
      </c>
      <c r="T3684" s="183">
        <f t="shared" si="4397"/>
        <v>6.7484662576687116E-2</v>
      </c>
      <c r="U3684" s="184">
        <f t="shared" si="4398"/>
        <v>0.83435582822085896</v>
      </c>
      <c r="V3684" s="386"/>
    </row>
    <row r="3685" spans="2:22" ht="15.75" x14ac:dyDescent="0.2">
      <c r="B3685" s="768">
        <v>46315</v>
      </c>
      <c r="C3685" s="769" t="s">
        <v>106</v>
      </c>
      <c r="D3685" s="768" t="s">
        <v>13</v>
      </c>
      <c r="E3685" s="768">
        <v>46316</v>
      </c>
      <c r="G3685" s="773">
        <v>46316</v>
      </c>
      <c r="H3685" s="497" t="s">
        <v>25</v>
      </c>
      <c r="I3685" s="60" t="s">
        <v>106</v>
      </c>
      <c r="J3685" s="60">
        <v>237</v>
      </c>
      <c r="K3685" s="60">
        <v>0</v>
      </c>
      <c r="L3685" s="60">
        <v>0</v>
      </c>
      <c r="M3685" s="60">
        <v>176</v>
      </c>
      <c r="N3685" s="494">
        <v>0</v>
      </c>
      <c r="O3685" s="60">
        <v>26</v>
      </c>
      <c r="P3685" s="494">
        <v>35</v>
      </c>
      <c r="Q3685" s="182">
        <f t="shared" si="4394"/>
        <v>0</v>
      </c>
      <c r="R3685" s="182">
        <f t="shared" si="4395"/>
        <v>0</v>
      </c>
      <c r="S3685" s="183">
        <f t="shared" si="4396"/>
        <v>0.14767932489451477</v>
      </c>
      <c r="T3685" s="183">
        <f t="shared" si="4397"/>
        <v>0.10970464135021098</v>
      </c>
      <c r="U3685" s="184">
        <f t="shared" si="4398"/>
        <v>0.25738396624472576</v>
      </c>
      <c r="V3685" s="386"/>
    </row>
    <row r="3686" spans="2:22" ht="15.75" x14ac:dyDescent="0.2">
      <c r="B3686" s="768">
        <v>46315</v>
      </c>
      <c r="C3686" s="769" t="s">
        <v>106</v>
      </c>
      <c r="D3686" s="768" t="s">
        <v>13</v>
      </c>
      <c r="E3686" s="768">
        <v>46316</v>
      </c>
      <c r="G3686" s="774"/>
      <c r="H3686" s="497" t="s">
        <v>118</v>
      </c>
      <c r="I3686" s="60" t="s">
        <v>105</v>
      </c>
      <c r="J3686" s="60">
        <v>220</v>
      </c>
      <c r="K3686" s="60">
        <v>0</v>
      </c>
      <c r="L3686" s="60">
        <v>0</v>
      </c>
      <c r="M3686" s="60">
        <v>130</v>
      </c>
      <c r="N3686" s="494">
        <v>57</v>
      </c>
      <c r="O3686" s="60">
        <v>16</v>
      </c>
      <c r="P3686" s="494">
        <v>17</v>
      </c>
      <c r="Q3686" s="182">
        <f t="shared" si="4394"/>
        <v>0</v>
      </c>
      <c r="R3686" s="182">
        <f t="shared" si="4395"/>
        <v>0.25909090909090909</v>
      </c>
      <c r="S3686" s="183">
        <f t="shared" si="4396"/>
        <v>7.7272727272727271E-2</v>
      </c>
      <c r="T3686" s="183">
        <f t="shared" si="4397"/>
        <v>7.2727272727272724E-2</v>
      </c>
      <c r="U3686" s="184">
        <f t="shared" si="4398"/>
        <v>0.40909090909090906</v>
      </c>
      <c r="V3686" s="386"/>
    </row>
    <row r="3687" spans="2:22" ht="15.75" x14ac:dyDescent="0.2">
      <c r="B3687" s="768">
        <v>46315</v>
      </c>
      <c r="C3687" s="769" t="s">
        <v>106</v>
      </c>
      <c r="D3687" s="768" t="s">
        <v>13</v>
      </c>
      <c r="E3687" s="768">
        <v>46316</v>
      </c>
      <c r="G3687" s="775" t="s">
        <v>19</v>
      </c>
      <c r="H3687" s="776"/>
      <c r="I3687" s="777"/>
      <c r="J3687" s="190">
        <f>SUM(J3681:J3686)</f>
        <v>1115</v>
      </c>
      <c r="K3687" s="190">
        <f t="shared" ref="K3687:P3687" si="4399">SUM(K3681:K3686)</f>
        <v>236</v>
      </c>
      <c r="L3687" s="190">
        <f t="shared" si="4399"/>
        <v>96</v>
      </c>
      <c r="M3687" s="190">
        <f t="shared" si="4399"/>
        <v>348</v>
      </c>
      <c r="N3687" s="190">
        <f t="shared" si="4399"/>
        <v>247</v>
      </c>
      <c r="O3687" s="190">
        <f t="shared" si="4399"/>
        <v>100</v>
      </c>
      <c r="P3687" s="190">
        <f t="shared" si="4399"/>
        <v>104</v>
      </c>
      <c r="Q3687" s="481">
        <f>(K3687+L3687)/J3687</f>
        <v>0.29775784753363227</v>
      </c>
      <c r="R3687" s="481">
        <f>N3687/J3687</f>
        <v>0.22152466367713006</v>
      </c>
      <c r="S3687" s="482">
        <f t="shared" si="4396"/>
        <v>9.3273542600896861E-2</v>
      </c>
      <c r="T3687" s="482">
        <f t="shared" si="4397"/>
        <v>8.9686098654708515E-2</v>
      </c>
      <c r="U3687" s="483">
        <f t="shared" si="4398"/>
        <v>0.70224215246636779</v>
      </c>
      <c r="V3687" s="479"/>
    </row>
  </sheetData>
  <autoFilter ref="B5:Y3687" xr:uid="{C2EA65F4-C913-4BC2-ABAF-31B973EAD98C}">
    <filterColumn colId="0">
      <filters>
        <dateGroupItem year="2026" month="10" day="20" dateTimeGrouping="day"/>
      </filters>
    </filterColumn>
  </autoFilter>
  <mergeCells count="1146">
    <mergeCell ref="G3665:G3669"/>
    <mergeCell ref="G3670"/>
    <mergeCell ref="G3671:I3671"/>
    <mergeCell ref="G3648:G3650"/>
    <mergeCell ref="G3651:G3655"/>
    <mergeCell ref="G3641:G3642"/>
    <mergeCell ref="G3643:G3646"/>
    <mergeCell ref="G3647:I3647"/>
    <mergeCell ref="G3629:G3634"/>
    <mergeCell ref="G3640:I3640"/>
    <mergeCell ref="G3621:G3622"/>
    <mergeCell ref="G3628:I3628"/>
    <mergeCell ref="G3623:G3627"/>
    <mergeCell ref="G3591:G3595"/>
    <mergeCell ref="G3596:G3600"/>
    <mergeCell ref="G3601:I3601"/>
    <mergeCell ref="G3582:G3583"/>
    <mergeCell ref="G3590:I3590"/>
    <mergeCell ref="G3584:G3586"/>
    <mergeCell ref="G3587:G3589"/>
    <mergeCell ref="G3657:G3658"/>
    <mergeCell ref="G3659:G3663"/>
    <mergeCell ref="G3571:G3575"/>
    <mergeCell ref="G3576:G3580"/>
    <mergeCell ref="G3581:I3581"/>
    <mergeCell ref="G3568:G3569"/>
    <mergeCell ref="G3635:G3638"/>
    <mergeCell ref="G3535:G3536"/>
    <mergeCell ref="G3543:I3543"/>
    <mergeCell ref="G3538:G3542"/>
    <mergeCell ref="G3620:I3620"/>
    <mergeCell ref="G3609:G3615"/>
    <mergeCell ref="G3616:G3619"/>
    <mergeCell ref="G3602:G3603"/>
    <mergeCell ref="G3608:I3608"/>
    <mergeCell ref="G3604:G3607"/>
    <mergeCell ref="G3534:I3534"/>
    <mergeCell ref="G3527:G3531"/>
    <mergeCell ref="G3520:G3521"/>
    <mergeCell ref="G3526:I3526"/>
    <mergeCell ref="G3522:G3525"/>
    <mergeCell ref="G3515:G3518"/>
    <mergeCell ref="G3519:I3519"/>
    <mergeCell ref="G3563:G3564"/>
    <mergeCell ref="G3565:G3567"/>
    <mergeCell ref="G3570:I3570"/>
    <mergeCell ref="G3554:G3558"/>
    <mergeCell ref="G3559:G3561"/>
    <mergeCell ref="G3562:I3562"/>
    <mergeCell ref="G3553:I3553"/>
    <mergeCell ref="G3545:G3550"/>
    <mergeCell ref="G3551:G3552"/>
    <mergeCell ref="G3015:G3016"/>
    <mergeCell ref="G3018:G3019"/>
    <mergeCell ref="G3020:G3022"/>
    <mergeCell ref="G3024:I3024"/>
    <mergeCell ref="G3035:G3036"/>
    <mergeCell ref="G3042:I3042"/>
    <mergeCell ref="G3037:G3039"/>
    <mergeCell ref="G3025:G3030"/>
    <mergeCell ref="G3031:G3033"/>
    <mergeCell ref="G3034:I3034"/>
    <mergeCell ref="G3176:I3176"/>
    <mergeCell ref="G3168:G3172"/>
    <mergeCell ref="G3394:G3398"/>
    <mergeCell ref="G3402:I3402"/>
    <mergeCell ref="G3399:G3401"/>
    <mergeCell ref="G3393:I3393"/>
    <mergeCell ref="G3386:G3387"/>
    <mergeCell ref="G3388:G3391"/>
    <mergeCell ref="G3223:G3226"/>
    <mergeCell ref="G3233:I3233"/>
    <mergeCell ref="G3214:I3214"/>
    <mergeCell ref="G3270:I3270"/>
    <mergeCell ref="G3263:G3268"/>
    <mergeCell ref="G3276:G3278"/>
    <mergeCell ref="G3271:G3275"/>
    <mergeCell ref="G3280:G3282"/>
    <mergeCell ref="G3283:G3285"/>
    <mergeCell ref="G3209:G3212"/>
    <mergeCell ref="G3064:G3068"/>
    <mergeCell ref="G3069:I3069"/>
    <mergeCell ref="G3159:G3162"/>
    <mergeCell ref="G3163:G3166"/>
    <mergeCell ref="G3167:I3167"/>
    <mergeCell ref="G3142:G3147"/>
    <mergeCell ref="G3148:I3148"/>
    <mergeCell ref="G3156:G3157"/>
    <mergeCell ref="G3512:G3514"/>
    <mergeCell ref="G3177:G3178"/>
    <mergeCell ref="G3180:G3183"/>
    <mergeCell ref="G3184:I3184"/>
    <mergeCell ref="G3174:G3175"/>
    <mergeCell ref="G2852:G2855"/>
    <mergeCell ref="G2856:G2861"/>
    <mergeCell ref="G2862:I2862"/>
    <mergeCell ref="G3259:G3262"/>
    <mergeCell ref="G3251:G3253"/>
    <mergeCell ref="G3254:G3257"/>
    <mergeCell ref="G3258:I3258"/>
    <mergeCell ref="G3005:G3008"/>
    <mergeCell ref="G3009:I3009"/>
    <mergeCell ref="G2892:G2897"/>
    <mergeCell ref="G2953:G2959"/>
    <mergeCell ref="G2980:I2980"/>
    <mergeCell ref="G2971:G2975"/>
    <mergeCell ref="G2976:G2979"/>
    <mergeCell ref="G2963:G2965"/>
    <mergeCell ref="G3001:G3004"/>
    <mergeCell ref="G2898:G2899"/>
    <mergeCell ref="G2981:G2983"/>
    <mergeCell ref="G2984:G2989"/>
    <mergeCell ref="G2991:G2997"/>
    <mergeCell ref="G3215:G3218"/>
    <mergeCell ref="G3222:I3222"/>
    <mergeCell ref="G3219:G3221"/>
    <mergeCell ref="G3234:G3236"/>
    <mergeCell ref="G3237:G3239"/>
    <mergeCell ref="G3240:I3240"/>
    <mergeCell ref="G2998:G2999"/>
    <mergeCell ref="G3000:I3000"/>
    <mergeCell ref="G2822:G2824"/>
    <mergeCell ref="G2825:I2825"/>
    <mergeCell ref="G2810:G2812"/>
    <mergeCell ref="G2813:G2816"/>
    <mergeCell ref="G2817:I2817"/>
    <mergeCell ref="G2960:G2961"/>
    <mergeCell ref="G2910:G2916"/>
    <mergeCell ref="G2917:G2918"/>
    <mergeCell ref="G2919:I2919"/>
    <mergeCell ref="G2900:I2900"/>
    <mergeCell ref="G2901:G2903"/>
    <mergeCell ref="G2904:G2908"/>
    <mergeCell ref="G2909:I2909"/>
    <mergeCell ref="G2927:I2927"/>
    <mergeCell ref="G3158:I3158"/>
    <mergeCell ref="G3105:G3108"/>
    <mergeCell ref="G3109:I3109"/>
    <mergeCell ref="G3078:G3079"/>
    <mergeCell ref="G3080:I3080"/>
    <mergeCell ref="G3070:G3077"/>
    <mergeCell ref="G3123:G3128"/>
    <mergeCell ref="G3110:G3116"/>
    <mergeCell ref="H554:I554"/>
    <mergeCell ref="G2933:G2934"/>
    <mergeCell ref="G2928:G2932"/>
    <mergeCell ref="G2923:G2926"/>
    <mergeCell ref="G2844:G2846"/>
    <mergeCell ref="G2847:G2850"/>
    <mergeCell ref="G2851:I2851"/>
    <mergeCell ref="G2884:G2885"/>
    <mergeCell ref="G2886:G2890"/>
    <mergeCell ref="G2891:I2891"/>
    <mergeCell ref="G2883:I2883"/>
    <mergeCell ref="G2878:G2882"/>
    <mergeCell ref="G2871:I2871"/>
    <mergeCell ref="G2761:I2761"/>
    <mergeCell ref="G2756:G2760"/>
    <mergeCell ref="G2751:I2751"/>
    <mergeCell ref="G2793:G2795"/>
    <mergeCell ref="G2796:G2799"/>
    <mergeCell ref="G2800:I2800"/>
    <mergeCell ref="G2786:G2790"/>
    <mergeCell ref="G2792:I2792"/>
    <mergeCell ref="G2777:G2779"/>
    <mergeCell ref="G2780:G2784"/>
    <mergeCell ref="G2785:I2785"/>
    <mergeCell ref="G2770:G2773"/>
    <mergeCell ref="G2776:I2776"/>
    <mergeCell ref="G2762:G2763"/>
    <mergeCell ref="G2764:G2768"/>
    <mergeCell ref="G2774:G2775"/>
    <mergeCell ref="G2754:G2755"/>
    <mergeCell ref="G2769:I2769"/>
    <mergeCell ref="G2752:G2753"/>
    <mergeCell ref="G428:G430"/>
    <mergeCell ref="G416:G419"/>
    <mergeCell ref="G435:G440"/>
    <mergeCell ref="G394:G397"/>
    <mergeCell ref="G424:G427"/>
    <mergeCell ref="G398:G399"/>
    <mergeCell ref="G400:G402"/>
    <mergeCell ref="G409:G411"/>
    <mergeCell ref="H549:I549"/>
    <mergeCell ref="G548:G549"/>
    <mergeCell ref="G538:G541"/>
    <mergeCell ref="G412:G415"/>
    <mergeCell ref="G483:G485"/>
    <mergeCell ref="G486:G490"/>
    <mergeCell ref="G478:G482"/>
    <mergeCell ref="G460:G463"/>
    <mergeCell ref="G342:G343"/>
    <mergeCell ref="G386:G389"/>
    <mergeCell ref="G12:G15"/>
    <mergeCell ref="G8:G11"/>
    <mergeCell ref="G28:G31"/>
    <mergeCell ref="G26:G27"/>
    <mergeCell ref="G277:G280"/>
    <mergeCell ref="G281:G286"/>
    <mergeCell ref="G258:G262"/>
    <mergeCell ref="G267:G271"/>
    <mergeCell ref="G169:G171"/>
    <mergeCell ref="G248:G252"/>
    <mergeCell ref="G217:G218"/>
    <mergeCell ref="G244:G247"/>
    <mergeCell ref="G234:G238"/>
    <mergeCell ref="G224:G228"/>
    <mergeCell ref="G272:G276"/>
    <mergeCell ref="G263:G266"/>
    <mergeCell ref="G172:G176"/>
    <mergeCell ref="G32:G35"/>
    <mergeCell ref="G99:G102"/>
    <mergeCell ref="G47:G51"/>
    <mergeCell ref="G78:G83"/>
    <mergeCell ref="G229:G233"/>
    <mergeCell ref="G219:G223"/>
    <mergeCell ref="G240:G243"/>
    <mergeCell ref="G253:G257"/>
    <mergeCell ref="G44:G46"/>
    <mergeCell ref="G88:G91"/>
    <mergeCell ref="G92:G98"/>
    <mergeCell ref="B2:E3"/>
    <mergeCell ref="G121:G124"/>
    <mergeCell ref="G155:G159"/>
    <mergeCell ref="G160:G163"/>
    <mergeCell ref="G135:G139"/>
    <mergeCell ref="G145:G149"/>
    <mergeCell ref="G150:G154"/>
    <mergeCell ref="G129:G134"/>
    <mergeCell ref="G103:G106"/>
    <mergeCell ref="G125:G128"/>
    <mergeCell ref="G117:G120"/>
    <mergeCell ref="G107:G110"/>
    <mergeCell ref="G111:G116"/>
    <mergeCell ref="G140:G144"/>
    <mergeCell ref="G16:G20"/>
    <mergeCell ref="G164:G168"/>
    <mergeCell ref="G201:G204"/>
    <mergeCell ref="G84:G87"/>
    <mergeCell ref="G68:G71"/>
    <mergeCell ref="G64:G67"/>
    <mergeCell ref="G59:G63"/>
    <mergeCell ref="G72:G77"/>
    <mergeCell ref="G2:V3"/>
    <mergeCell ref="G182:G185"/>
    <mergeCell ref="G6:G7"/>
    <mergeCell ref="G52:G58"/>
    <mergeCell ref="G39:G43"/>
    <mergeCell ref="G36:G38"/>
    <mergeCell ref="G21:G25"/>
    <mergeCell ref="G191:G195"/>
    <mergeCell ref="G186:G190"/>
    <mergeCell ref="G196:G200"/>
    <mergeCell ref="G664:G665"/>
    <mergeCell ref="G292:G296"/>
    <mergeCell ref="G287:G291"/>
    <mergeCell ref="G323:G327"/>
    <mergeCell ref="G177:G181"/>
    <mergeCell ref="G213:G214"/>
    <mergeCell ref="G297:G301"/>
    <mergeCell ref="G328:G334"/>
    <mergeCell ref="G354:G359"/>
    <mergeCell ref="G302:G304"/>
    <mergeCell ref="G305:G309"/>
    <mergeCell ref="G315:G319"/>
    <mergeCell ref="G320:G322"/>
    <mergeCell ref="G534:G536"/>
    <mergeCell ref="G431:G434"/>
    <mergeCell ref="G491:G496"/>
    <mergeCell ref="G447:G449"/>
    <mergeCell ref="G450:G454"/>
    <mergeCell ref="G207:G210"/>
    <mergeCell ref="G205:G206"/>
    <mergeCell ref="G585:G589"/>
    <mergeCell ref="G555:G557"/>
    <mergeCell ref="G559:G563"/>
    <mergeCell ref="G580:G584"/>
    <mergeCell ref="G465:G467"/>
    <mergeCell ref="G468:G472"/>
    <mergeCell ref="G455:G457"/>
    <mergeCell ref="G310:G314"/>
    <mergeCell ref="G347:G353"/>
    <mergeCell ref="G441:G442"/>
    <mergeCell ref="G420:G423"/>
    <mergeCell ref="G335:G341"/>
    <mergeCell ref="G666:G670"/>
    <mergeCell ref="G658:G659"/>
    <mergeCell ref="G645:G647"/>
    <mergeCell ref="G648:G651"/>
    <mergeCell ref="G635:G640"/>
    <mergeCell ref="G631:G634"/>
    <mergeCell ref="G618:G623"/>
    <mergeCell ref="G628:G630"/>
    <mergeCell ref="G624:G627"/>
    <mergeCell ref="G529:G533"/>
    <mergeCell ref="G505:G508"/>
    <mergeCell ref="G519:G522"/>
    <mergeCell ref="G513:G514"/>
    <mergeCell ref="G524:G527"/>
    <mergeCell ref="G383:G385"/>
    <mergeCell ref="G344:G346"/>
    <mergeCell ref="G473:G477"/>
    <mergeCell ref="G364:G366"/>
    <mergeCell ref="G360:G363"/>
    <mergeCell ref="G566:G571"/>
    <mergeCell ref="G550:G554"/>
    <mergeCell ref="G572:G573"/>
    <mergeCell ref="G367:G371"/>
    <mergeCell ref="G372:G377"/>
    <mergeCell ref="G378:G382"/>
    <mergeCell ref="G501:G504"/>
    <mergeCell ref="G515:G518"/>
    <mergeCell ref="G497:G500"/>
    <mergeCell ref="G443:G446"/>
    <mergeCell ref="G403:G404"/>
    <mergeCell ref="G405:G408"/>
    <mergeCell ref="G390:G393"/>
    <mergeCell ref="G735:G738"/>
    <mergeCell ref="G718:G719"/>
    <mergeCell ref="G720:G722"/>
    <mergeCell ref="G543:G547"/>
    <mergeCell ref="G836:G839"/>
    <mergeCell ref="G691:G695"/>
    <mergeCell ref="G696:G698"/>
    <mergeCell ref="G684:G688"/>
    <mergeCell ref="G678:G682"/>
    <mergeCell ref="G700:G702"/>
    <mergeCell ref="G710:G713"/>
    <mergeCell ref="G714:G716"/>
    <mergeCell ref="G742:G745"/>
    <mergeCell ref="G724:G729"/>
    <mergeCell ref="G730:G731"/>
    <mergeCell ref="G704:G707"/>
    <mergeCell ref="G740:G741"/>
    <mergeCell ref="G747:G752"/>
    <mergeCell ref="G753:G754"/>
    <mergeCell ref="G733:G734"/>
    <mergeCell ref="G590:G592"/>
    <mergeCell ref="G593:G597"/>
    <mergeCell ref="G641:G644"/>
    <mergeCell ref="G652:G655"/>
    <mergeCell ref="G598:G604"/>
    <mergeCell ref="G661:G662"/>
    <mergeCell ref="G613:G617"/>
    <mergeCell ref="G564:G565"/>
    <mergeCell ref="G610:G612"/>
    <mergeCell ref="G575:G579"/>
    <mergeCell ref="G605:G609"/>
    <mergeCell ref="G672:G676"/>
    <mergeCell ref="G845:G847"/>
    <mergeCell ref="G848:G851"/>
    <mergeCell ref="G841:G843"/>
    <mergeCell ref="G773:G778"/>
    <mergeCell ref="G826:G828"/>
    <mergeCell ref="G829:G834"/>
    <mergeCell ref="G756:G759"/>
    <mergeCell ref="G760:G763"/>
    <mergeCell ref="G812:G815"/>
    <mergeCell ref="G795:G799"/>
    <mergeCell ref="G800:G801"/>
    <mergeCell ref="G781:G783"/>
    <mergeCell ref="G784:G786"/>
    <mergeCell ref="G765:G766"/>
    <mergeCell ref="G768:G771"/>
    <mergeCell ref="G791:G793"/>
    <mergeCell ref="G803:G806"/>
    <mergeCell ref="G807:G810"/>
    <mergeCell ref="G817:G819"/>
    <mergeCell ref="G821:G824"/>
    <mergeCell ref="G788:G789"/>
    <mergeCell ref="G957:G961"/>
    <mergeCell ref="G935:G938"/>
    <mergeCell ref="G940:G945"/>
    <mergeCell ref="G1006:G1009"/>
    <mergeCell ref="G853:G856"/>
    <mergeCell ref="G919:G921"/>
    <mergeCell ref="G923:G927"/>
    <mergeCell ref="G929:G933"/>
    <mergeCell ref="G947:G949"/>
    <mergeCell ref="G950:G955"/>
    <mergeCell ref="G963:G964"/>
    <mergeCell ref="G966:G970"/>
    <mergeCell ref="G981:G986"/>
    <mergeCell ref="G903:G907"/>
    <mergeCell ref="G859:I859"/>
    <mergeCell ref="G895:G896"/>
    <mergeCell ref="G897:G901"/>
    <mergeCell ref="G880:G883"/>
    <mergeCell ref="G884:I884"/>
    <mergeCell ref="G868:G873"/>
    <mergeCell ref="G909:G911"/>
    <mergeCell ref="G913:G917"/>
    <mergeCell ref="G885:G887"/>
    <mergeCell ref="G888:I888"/>
    <mergeCell ref="G889:G893"/>
    <mergeCell ref="G894:I894"/>
    <mergeCell ref="G875:G878"/>
    <mergeCell ref="G879:I879"/>
    <mergeCell ref="G863:G866"/>
    <mergeCell ref="G867:I867"/>
    <mergeCell ref="G862:I862"/>
    <mergeCell ref="G972:G973"/>
    <mergeCell ref="G974:G979"/>
    <mergeCell ref="G1052:G1053"/>
    <mergeCell ref="G1054:G1060"/>
    <mergeCell ref="G1046:G1050"/>
    <mergeCell ref="G1038:G1039"/>
    <mergeCell ref="G1040:G1044"/>
    <mergeCell ref="G1032:G1036"/>
    <mergeCell ref="G1028:G1031"/>
    <mergeCell ref="G1021:G1022"/>
    <mergeCell ref="G1023:G1026"/>
    <mergeCell ref="G1011:G1014"/>
    <mergeCell ref="G1016:G1019"/>
    <mergeCell ref="G994:G997"/>
    <mergeCell ref="G999:G1000"/>
    <mergeCell ref="G1001:G1004"/>
    <mergeCell ref="G988:G992"/>
    <mergeCell ref="G1062:G1067"/>
    <mergeCell ref="G1266:G1269"/>
    <mergeCell ref="G1271:G1274"/>
    <mergeCell ref="G1276:G1279"/>
    <mergeCell ref="G1171:G1173"/>
    <mergeCell ref="G1175:G1179"/>
    <mergeCell ref="G1162:G1166"/>
    <mergeCell ref="G1167:G1169"/>
    <mergeCell ref="G1147:G1151"/>
    <mergeCell ref="G1139:G1140"/>
    <mergeCell ref="G1142:G1145"/>
    <mergeCell ref="G1126:G1130"/>
    <mergeCell ref="G1086:G1089"/>
    <mergeCell ref="G1090:G1091"/>
    <mergeCell ref="G1120:G1124"/>
    <mergeCell ref="G1113:G1117"/>
    <mergeCell ref="G1132:G1136"/>
    <mergeCell ref="G1154:G1155"/>
    <mergeCell ref="G1157:G1160"/>
    <mergeCell ref="G1107:G1111"/>
    <mergeCell ref="G1097:G1100"/>
    <mergeCell ref="G1101:G1105"/>
    <mergeCell ref="G1093:G1095"/>
    <mergeCell ref="G1373:G1376"/>
    <mergeCell ref="G1399:G1402"/>
    <mergeCell ref="G1392:G1397"/>
    <mergeCell ref="G1384:G1386"/>
    <mergeCell ref="G1387:G1390"/>
    <mergeCell ref="G1077:G1080"/>
    <mergeCell ref="G1082:G1084"/>
    <mergeCell ref="G1070:G1071"/>
    <mergeCell ref="G1072:G1075"/>
    <mergeCell ref="G1183:G1187"/>
    <mergeCell ref="G1188:G1190"/>
    <mergeCell ref="G1211:G1212"/>
    <mergeCell ref="G1214:G1218"/>
    <mergeCell ref="G1201:G1206"/>
    <mergeCell ref="G1207:G1208"/>
    <mergeCell ref="G1235:G1236"/>
    <mergeCell ref="G1344:G1347"/>
    <mergeCell ref="G1348:G1351"/>
    <mergeCell ref="G1328:G1330"/>
    <mergeCell ref="G1331:G1333"/>
    <mergeCell ref="G1318:G1322"/>
    <mergeCell ref="G1255:G1259"/>
    <mergeCell ref="G1296:G1300"/>
    <mergeCell ref="G1192:G1193"/>
    <mergeCell ref="G1195:G1199"/>
    <mergeCell ref="G1222:G1224"/>
    <mergeCell ref="G1228:G1233"/>
    <mergeCell ref="G1244:G1248"/>
    <mergeCell ref="G1250:G1253"/>
    <mergeCell ref="G1237:G1242"/>
    <mergeCell ref="G1261:G1262"/>
    <mergeCell ref="G1264:G1265"/>
    <mergeCell ref="H1440:I1440"/>
    <mergeCell ref="G1403:G1406"/>
    <mergeCell ref="G1473:G1475"/>
    <mergeCell ref="G1476:G1478"/>
    <mergeCell ref="H1479:I1479"/>
    <mergeCell ref="H1464:I1464"/>
    <mergeCell ref="H1468:I1468"/>
    <mergeCell ref="G1461:G1463"/>
    <mergeCell ref="G1465:G1467"/>
    <mergeCell ref="G1454:G1456"/>
    <mergeCell ref="H1460:I1460"/>
    <mergeCell ref="G1469:G1471"/>
    <mergeCell ref="H1472:I1472"/>
    <mergeCell ref="G1419:G1421"/>
    <mergeCell ref="G1422:G1424"/>
    <mergeCell ref="G1281:G1283"/>
    <mergeCell ref="G1303:G1307"/>
    <mergeCell ref="G1289:G1292"/>
    <mergeCell ref="G1294:G1295"/>
    <mergeCell ref="G1378:G1382"/>
    <mergeCell ref="G1335:G1337"/>
    <mergeCell ref="G1339:G1342"/>
    <mergeCell ref="G1324:G1326"/>
    <mergeCell ref="G1309:G1311"/>
    <mergeCell ref="G1312:G1316"/>
    <mergeCell ref="G1358:G1362"/>
    <mergeCell ref="G1364:G1368"/>
    <mergeCell ref="G1353:G1356"/>
    <mergeCell ref="G1408:G1413"/>
    <mergeCell ref="G1415:G1417"/>
    <mergeCell ref="G1284:G1287"/>
    <mergeCell ref="G1370:G1372"/>
    <mergeCell ref="H1425:I1425"/>
    <mergeCell ref="H1434:I1434"/>
    <mergeCell ref="G1513:G1515"/>
    <mergeCell ref="H1516:I1516"/>
    <mergeCell ref="G1517:G1519"/>
    <mergeCell ref="H1520:I1520"/>
    <mergeCell ref="G1505:G1507"/>
    <mergeCell ref="H1508:I1508"/>
    <mergeCell ref="H1496:I1496"/>
    <mergeCell ref="G1492:G1494"/>
    <mergeCell ref="G1484:G1486"/>
    <mergeCell ref="H1487:I1487"/>
    <mergeCell ref="G1488:G1490"/>
    <mergeCell ref="H1491:I1491"/>
    <mergeCell ref="G1497:G1499"/>
    <mergeCell ref="H1500:I1500"/>
    <mergeCell ref="G1509:G1511"/>
    <mergeCell ref="H1512:I1512"/>
    <mergeCell ref="G1501:G1503"/>
    <mergeCell ref="H1504:I1504"/>
    <mergeCell ref="G1457:G1459"/>
    <mergeCell ref="H1483:I1483"/>
    <mergeCell ref="G1480:G1482"/>
    <mergeCell ref="G1426:G1430"/>
    <mergeCell ref="G1431:G1433"/>
    <mergeCell ref="G1450:G1452"/>
    <mergeCell ref="H1453:I1453"/>
    <mergeCell ref="H1449:I1449"/>
    <mergeCell ref="G1441:G1444"/>
    <mergeCell ref="G1445:G1448"/>
    <mergeCell ref="G1435:G1436"/>
    <mergeCell ref="G1437:G1439"/>
    <mergeCell ref="H1561:I1561"/>
    <mergeCell ref="H1545:I1545"/>
    <mergeCell ref="H1550:I1550"/>
    <mergeCell ref="G1576:G1578"/>
    <mergeCell ref="H1579:I1579"/>
    <mergeCell ref="G1542:G1544"/>
    <mergeCell ref="G1546:G1549"/>
    <mergeCell ref="G1562:G1565"/>
    <mergeCell ref="H1567:I1567"/>
    <mergeCell ref="G1568:G1570"/>
    <mergeCell ref="H1571:I1571"/>
    <mergeCell ref="G1572:G1574"/>
    <mergeCell ref="H1575:I1575"/>
    <mergeCell ref="G1533:G1535"/>
    <mergeCell ref="H1536:I1536"/>
    <mergeCell ref="H1526:I1526"/>
    <mergeCell ref="G1521:G1523"/>
    <mergeCell ref="G1551:G1553"/>
    <mergeCell ref="H1554:I1554"/>
    <mergeCell ref="G1555:G1558"/>
    <mergeCell ref="H1559:I1559"/>
    <mergeCell ref="G1537:G1539"/>
    <mergeCell ref="H1541:I1541"/>
    <mergeCell ref="G1527:G1529"/>
    <mergeCell ref="H1532:I1532"/>
    <mergeCell ref="G1530:G1531"/>
    <mergeCell ref="H1624:I1624"/>
    <mergeCell ref="H1650:I1650"/>
    <mergeCell ref="G1646:G1649"/>
    <mergeCell ref="G1651:G1654"/>
    <mergeCell ref="H1655:I1655"/>
    <mergeCell ref="G1620:G1623"/>
    <mergeCell ref="G1595:G1598"/>
    <mergeCell ref="H1599:I1599"/>
    <mergeCell ref="G1635:G1638"/>
    <mergeCell ref="H1639:I1639"/>
    <mergeCell ref="G1580:G1582"/>
    <mergeCell ref="H1586:I1586"/>
    <mergeCell ref="G1583:G1585"/>
    <mergeCell ref="G1587:G1589"/>
    <mergeCell ref="G1590:G1593"/>
    <mergeCell ref="H1594:I1594"/>
    <mergeCell ref="G1615:G1618"/>
    <mergeCell ref="H1619:I1619"/>
    <mergeCell ref="H1609:I1609"/>
    <mergeCell ref="G1605:G1608"/>
    <mergeCell ref="G1610:G1613"/>
    <mergeCell ref="H1614:I1614"/>
    <mergeCell ref="G1600:G1602"/>
    <mergeCell ref="H1604:I1604"/>
    <mergeCell ref="G1666:G1669"/>
    <mergeCell ref="H1670:I1670"/>
    <mergeCell ref="G1671:G1673"/>
    <mergeCell ref="H1674:I1674"/>
    <mergeCell ref="G1688:G1691"/>
    <mergeCell ref="H1692:I1692"/>
    <mergeCell ref="G1656:G1659"/>
    <mergeCell ref="H1660:I1660"/>
    <mergeCell ref="G1675:G1677"/>
    <mergeCell ref="H1678:I1678"/>
    <mergeCell ref="H1645:I1645"/>
    <mergeCell ref="G1640:G1643"/>
    <mergeCell ref="G1625:G1628"/>
    <mergeCell ref="H1629:I1629"/>
    <mergeCell ref="G1630:G1633"/>
    <mergeCell ref="H1634:I1634"/>
    <mergeCell ref="G1661:G1664"/>
    <mergeCell ref="H1665:I1665"/>
    <mergeCell ref="G1699:G1702"/>
    <mergeCell ref="H1703:I1703"/>
    <mergeCell ref="H1698:I1698"/>
    <mergeCell ref="G1720:G1723"/>
    <mergeCell ref="H1724:I1724"/>
    <mergeCell ref="G1731:G1735"/>
    <mergeCell ref="H1737:I1737"/>
    <mergeCell ref="G1694:G1697"/>
    <mergeCell ref="G1679:G1681"/>
    <mergeCell ref="H1682:I1682"/>
    <mergeCell ref="G1683:G1686"/>
    <mergeCell ref="H1687:I1687"/>
    <mergeCell ref="G1704:G1707"/>
    <mergeCell ref="H1708:I1708"/>
    <mergeCell ref="G1715:G1718"/>
    <mergeCell ref="H1719:I1719"/>
    <mergeCell ref="G1710:G1713"/>
    <mergeCell ref="H1714:I1714"/>
    <mergeCell ref="G1862:G1865"/>
    <mergeCell ref="H1866:I1866"/>
    <mergeCell ref="G1857:G1860"/>
    <mergeCell ref="H1861:I1861"/>
    <mergeCell ref="G1851:G1854"/>
    <mergeCell ref="G1738:G1740"/>
    <mergeCell ref="H1741:I1741"/>
    <mergeCell ref="G1726:G1729"/>
    <mergeCell ref="H1730:I1730"/>
    <mergeCell ref="H1757:I1757"/>
    <mergeCell ref="G1758:G1761"/>
    <mergeCell ref="H1762:I1762"/>
    <mergeCell ref="H1746:I1746"/>
    <mergeCell ref="G1743:G1744"/>
    <mergeCell ref="H1750:I1750"/>
    <mergeCell ref="G1786:G1787"/>
    <mergeCell ref="G1812:G1817"/>
    <mergeCell ref="G1747:G1749"/>
    <mergeCell ref="G1751:G1754"/>
    <mergeCell ref="H1755:I1755"/>
    <mergeCell ref="H1774:I1774"/>
    <mergeCell ref="G1770:G1773"/>
    <mergeCell ref="H1769:I1769"/>
    <mergeCell ref="G1775:G1776"/>
    <mergeCell ref="H1777:I1777"/>
    <mergeCell ref="G1778:G1783"/>
    <mergeCell ref="H1784:I1784"/>
    <mergeCell ref="H1796:I1796"/>
    <mergeCell ref="H1803:I1803"/>
    <mergeCell ref="G1794:G1795"/>
    <mergeCell ref="G1797:G1802"/>
    <mergeCell ref="G1764:G1766"/>
    <mergeCell ref="H1811:I1811"/>
    <mergeCell ref="G1805:G1810"/>
    <mergeCell ref="H1789:I1789"/>
    <mergeCell ref="H1855:I1855"/>
    <mergeCell ref="G1839:G1843"/>
    <mergeCell ref="H1844:I1844"/>
    <mergeCell ref="G1829:G1832"/>
    <mergeCell ref="H1833:I1833"/>
    <mergeCell ref="G1819:G1821"/>
    <mergeCell ref="H1822:I1822"/>
    <mergeCell ref="H1818:I1818"/>
    <mergeCell ref="G1845:G1849"/>
    <mergeCell ref="H1850:I1850"/>
    <mergeCell ref="H1837:I1837"/>
    <mergeCell ref="G1790:G1791"/>
    <mergeCell ref="H1793:I1793"/>
    <mergeCell ref="G1824:G1827"/>
    <mergeCell ref="H1828:I1828"/>
    <mergeCell ref="G1936:G1938"/>
    <mergeCell ref="G1909:G1911"/>
    <mergeCell ref="G1912:G1914"/>
    <mergeCell ref="H1915:I1915"/>
    <mergeCell ref="G1928:G1931"/>
    <mergeCell ref="G1932:G1934"/>
    <mergeCell ref="H1935:I1935"/>
    <mergeCell ref="G1924:G1926"/>
    <mergeCell ref="H1871:I1871"/>
    <mergeCell ref="H1877:I1877"/>
    <mergeCell ref="H1879:I1879"/>
    <mergeCell ref="H1874:I1874"/>
    <mergeCell ref="H1897:I1897"/>
    <mergeCell ref="H1889:I1889"/>
    <mergeCell ref="G1885:G1887"/>
    <mergeCell ref="G1890:G1893"/>
    <mergeCell ref="H1895:I1895"/>
    <mergeCell ref="H1883:I1883"/>
    <mergeCell ref="H1927:I1927"/>
    <mergeCell ref="G1880:G1882"/>
    <mergeCell ref="H1908:I1908"/>
    <mergeCell ref="H1902:I1902"/>
    <mergeCell ref="G1867:G1870"/>
    <mergeCell ref="G1834:G1836"/>
    <mergeCell ref="G1946:G1948"/>
    <mergeCell ref="H1951:I1951"/>
    <mergeCell ref="G1949:G1950"/>
    <mergeCell ref="H1996:I1996"/>
    <mergeCell ref="G1991:G1995"/>
    <mergeCell ref="G1979:G1982"/>
    <mergeCell ref="H1985:I1985"/>
    <mergeCell ref="G1983:G1984"/>
    <mergeCell ref="G1987:G1988"/>
    <mergeCell ref="G1968:G1971"/>
    <mergeCell ref="H1972:I1972"/>
    <mergeCell ref="H1989:I1989"/>
    <mergeCell ref="G1973:G1976"/>
    <mergeCell ref="H1978:I1978"/>
    <mergeCell ref="H1966:I1966"/>
    <mergeCell ref="G1961:G1965"/>
    <mergeCell ref="G1898:G1899"/>
    <mergeCell ref="G1900:G1901"/>
    <mergeCell ref="G1958:G1960"/>
    <mergeCell ref="G1916:G1918"/>
    <mergeCell ref="G1919:G1921"/>
    <mergeCell ref="H1922:I1922"/>
    <mergeCell ref="G1952:G1954"/>
    <mergeCell ref="G1955:G1956"/>
    <mergeCell ref="H1957:I1957"/>
    <mergeCell ref="H1939:I1939"/>
    <mergeCell ref="G1940:G1943"/>
    <mergeCell ref="H1944:I1944"/>
    <mergeCell ref="G1903:G1904"/>
    <mergeCell ref="G1905:G1907"/>
    <mergeCell ref="G2068:G2071"/>
    <mergeCell ref="H2072:I2072"/>
    <mergeCell ref="G2080:G2086"/>
    <mergeCell ref="G2087:G2088"/>
    <mergeCell ref="H2089:I2089"/>
    <mergeCell ref="G2098:G2099"/>
    <mergeCell ref="G2100:G2101"/>
    <mergeCell ref="H2102:I2102"/>
    <mergeCell ref="G2012:G2018"/>
    <mergeCell ref="G2090:G2091"/>
    <mergeCell ref="H2092:I2092"/>
    <mergeCell ref="H2011:I2011"/>
    <mergeCell ref="G2004:G2010"/>
    <mergeCell ref="G1998:G2002"/>
    <mergeCell ref="H2003:I2003"/>
    <mergeCell ref="G2029:G2035"/>
    <mergeCell ref="H2036:I2036"/>
    <mergeCell ref="G2060:G2064"/>
    <mergeCell ref="H2067:I2067"/>
    <mergeCell ref="G2065:G2066"/>
    <mergeCell ref="G2023:G2027"/>
    <mergeCell ref="H2028:I2028"/>
    <mergeCell ref="G2019:G2021"/>
    <mergeCell ref="H2022:I2022"/>
    <mergeCell ref="H2059:I2059"/>
    <mergeCell ref="G2053:G2057"/>
    <mergeCell ref="G2037:G2043"/>
    <mergeCell ref="H2046:I2046"/>
    <mergeCell ref="G2044:G2045"/>
    <mergeCell ref="G2047:G2051"/>
    <mergeCell ref="H2052:I2052"/>
    <mergeCell ref="G2114:G2117"/>
    <mergeCell ref="H2118:I2118"/>
    <mergeCell ref="H2155:I2155"/>
    <mergeCell ref="H2144:I2144"/>
    <mergeCell ref="G2138:G2141"/>
    <mergeCell ref="G2142:G2143"/>
    <mergeCell ref="G2127:G2128"/>
    <mergeCell ref="G2129:G2130"/>
    <mergeCell ref="H2131:I2131"/>
    <mergeCell ref="H2126:I2126"/>
    <mergeCell ref="G2119:G2125"/>
    <mergeCell ref="H2149:I2149"/>
    <mergeCell ref="G2110:G2111"/>
    <mergeCell ref="H2112:I2112"/>
    <mergeCell ref="H2079:I2079"/>
    <mergeCell ref="G2106:G2107"/>
    <mergeCell ref="G2073:G2078"/>
    <mergeCell ref="G2095:G2096"/>
    <mergeCell ref="H2097:I2097"/>
    <mergeCell ref="G2093:G2094"/>
    <mergeCell ref="H2108:I2108"/>
    <mergeCell ref="G2103:G2104"/>
    <mergeCell ref="H2105:I2105"/>
    <mergeCell ref="H2168:I2168"/>
    <mergeCell ref="H2161:I2161"/>
    <mergeCell ref="H2203:I2203"/>
    <mergeCell ref="G2198:G2202"/>
    <mergeCell ref="H2187:I2187"/>
    <mergeCell ref="G2146:G2148"/>
    <mergeCell ref="G2132:G2134"/>
    <mergeCell ref="G2135:G2136"/>
    <mergeCell ref="H2137:I2137"/>
    <mergeCell ref="H2164:I2164"/>
    <mergeCell ref="H2179:I2179"/>
    <mergeCell ref="H2175:I2175"/>
    <mergeCell ref="G2180:G2183"/>
    <mergeCell ref="H2183:I2183"/>
    <mergeCell ref="H2171:I2171"/>
    <mergeCell ref="H2191:I2191"/>
    <mergeCell ref="G2192:G2195"/>
    <mergeCell ref="H2197:I2197"/>
    <mergeCell ref="G2252:G2253"/>
    <mergeCell ref="G2254:G2257"/>
    <mergeCell ref="H2251:I2251"/>
    <mergeCell ref="G2232:G2235"/>
    <mergeCell ref="H2236:I2236"/>
    <mergeCell ref="G2242:G2245"/>
    <mergeCell ref="H2246:I2246"/>
    <mergeCell ref="G2247:G2250"/>
    <mergeCell ref="G2220:G2224"/>
    <mergeCell ref="H2225:I2225"/>
    <mergeCell ref="G2204:G2207"/>
    <mergeCell ref="H2208:I2208"/>
    <mergeCell ref="G2237:G2240"/>
    <mergeCell ref="H2241:I2241"/>
    <mergeCell ref="G2226:G2230"/>
    <mergeCell ref="H2231:I2231"/>
    <mergeCell ref="H2214:I2214"/>
    <mergeCell ref="H2219:I2219"/>
    <mergeCell ref="G2215:G2218"/>
    <mergeCell ref="G2209:G2213"/>
    <mergeCell ref="G2292:G2294"/>
    <mergeCell ref="H2295:I2295"/>
    <mergeCell ref="G2296:G2298"/>
    <mergeCell ref="H2299:I2299"/>
    <mergeCell ref="G2312:G2314"/>
    <mergeCell ref="H2315:I2315"/>
    <mergeCell ref="G2288:G2290"/>
    <mergeCell ref="H2291:I2291"/>
    <mergeCell ref="G2300:G2302"/>
    <mergeCell ref="H2303:I2303"/>
    <mergeCell ref="G2304:G2306"/>
    <mergeCell ref="H2307:I2307"/>
    <mergeCell ref="G2308:G2310"/>
    <mergeCell ref="H2311:I2311"/>
    <mergeCell ref="H2258:I2258"/>
    <mergeCell ref="G2259:G2262"/>
    <mergeCell ref="H2263:I2263"/>
    <mergeCell ref="G2264:G2266"/>
    <mergeCell ref="H2267:I2267"/>
    <mergeCell ref="H2285:I2285"/>
    <mergeCell ref="G2268:G2271"/>
    <mergeCell ref="H2272:I2272"/>
    <mergeCell ref="G2273:G2275"/>
    <mergeCell ref="H2276:I2276"/>
    <mergeCell ref="G2277:G2280"/>
    <mergeCell ref="H2281:I2281"/>
    <mergeCell ref="G2282:G2284"/>
    <mergeCell ref="G2286:G2287"/>
    <mergeCell ref="V2322:V2325"/>
    <mergeCell ref="V2326:V2328"/>
    <mergeCell ref="G2343:G2345"/>
    <mergeCell ref="G2346:G2347"/>
    <mergeCell ref="H2348:I2348"/>
    <mergeCell ref="G2329:G2331"/>
    <mergeCell ref="G2332:G2334"/>
    <mergeCell ref="H2335:I2335"/>
    <mergeCell ref="G2336:G2338"/>
    <mergeCell ref="G2339:G2341"/>
    <mergeCell ref="H2342:I2342"/>
    <mergeCell ref="G2322:G2324"/>
    <mergeCell ref="G2325:G2327"/>
    <mergeCell ref="H2328:I2328"/>
    <mergeCell ref="G2316:G2317"/>
    <mergeCell ref="G2318:G2320"/>
    <mergeCell ref="H2321:I2321"/>
    <mergeCell ref="H2475:I2475"/>
    <mergeCell ref="G2458:G2462"/>
    <mergeCell ref="G2463:G2465"/>
    <mergeCell ref="H2466:I2466"/>
    <mergeCell ref="G2448:G2452"/>
    <mergeCell ref="G2453:G2456"/>
    <mergeCell ref="H2457:I2457"/>
    <mergeCell ref="H2439:I2439"/>
    <mergeCell ref="G2430:G2434"/>
    <mergeCell ref="G2435:G2437"/>
    <mergeCell ref="H2411:I2411"/>
    <mergeCell ref="H2398:I2398"/>
    <mergeCell ref="G2374:G2375"/>
    <mergeCell ref="G2349:G2351"/>
    <mergeCell ref="H2352:I2352"/>
    <mergeCell ref="G2353:G2355"/>
    <mergeCell ref="H2356:I2356"/>
    <mergeCell ref="G2369:G2371"/>
    <mergeCell ref="H2372:I2372"/>
    <mergeCell ref="G2379:G2383"/>
    <mergeCell ref="G2384:G2385"/>
    <mergeCell ref="G2357:G2359"/>
    <mergeCell ref="H2360:I2360"/>
    <mergeCell ref="G2361:G2363"/>
    <mergeCell ref="H2364:I2364"/>
    <mergeCell ref="G2365:G2367"/>
    <mergeCell ref="H2368:I2368"/>
    <mergeCell ref="G2376:G2377"/>
    <mergeCell ref="H2378:I2378"/>
    <mergeCell ref="G2386:G2387"/>
    <mergeCell ref="H2388:I2388"/>
    <mergeCell ref="G2389:G2393"/>
    <mergeCell ref="G2622:I2622"/>
    <mergeCell ref="H2611:I2611"/>
    <mergeCell ref="G2607:G2610"/>
    <mergeCell ref="H2568:I2568"/>
    <mergeCell ref="G2578:G2580"/>
    <mergeCell ref="G2596:G2598"/>
    <mergeCell ref="H2605:I2605"/>
    <mergeCell ref="G2600:G2604"/>
    <mergeCell ref="G2586:G2593"/>
    <mergeCell ref="G2647:G2649"/>
    <mergeCell ref="G2650:G2654"/>
    <mergeCell ref="H2633:I2633"/>
    <mergeCell ref="G2666:G2670"/>
    <mergeCell ref="H2655:I2655"/>
    <mergeCell ref="G2618:G2621"/>
    <mergeCell ref="G2483:G2487"/>
    <mergeCell ref="G2488:G2490"/>
    <mergeCell ref="H2491:I2491"/>
    <mergeCell ref="G2500:G2502"/>
    <mergeCell ref="G2503:G2506"/>
    <mergeCell ref="H2507:I2507"/>
    <mergeCell ref="G2508:G2511"/>
    <mergeCell ref="G2512:G2514"/>
    <mergeCell ref="H2515:I2515"/>
    <mergeCell ref="G2525:G2526"/>
    <mergeCell ref="G2656:G2660"/>
    <mergeCell ref="G2623:G2627"/>
    <mergeCell ref="G2628:G2632"/>
    <mergeCell ref="G2634:G2636"/>
    <mergeCell ref="G2637:G2640"/>
    <mergeCell ref="G2641:G2645"/>
    <mergeCell ref="G2646:I2646"/>
    <mergeCell ref="G2394:G2395"/>
    <mergeCell ref="G2396:G2397"/>
    <mergeCell ref="G2420:G2425"/>
    <mergeCell ref="G2413:G2418"/>
    <mergeCell ref="H2419:I2419"/>
    <mergeCell ref="G2400:G2401"/>
    <mergeCell ref="H2403:I2403"/>
    <mergeCell ref="G2404:G2405"/>
    <mergeCell ref="G2406:G2410"/>
    <mergeCell ref="H2595:I2595"/>
    <mergeCell ref="G2581:G2584"/>
    <mergeCell ref="H2585:I2585"/>
    <mergeCell ref="G2546:G2550"/>
    <mergeCell ref="H2551:I2551"/>
    <mergeCell ref="H2541:I2541"/>
    <mergeCell ref="G2426:G2428"/>
    <mergeCell ref="H2429:I2429"/>
    <mergeCell ref="G2440:G2442"/>
    <mergeCell ref="G2443:G2446"/>
    <mergeCell ref="H2447:I2447"/>
    <mergeCell ref="G2476:G2478"/>
    <mergeCell ref="G2479:G2481"/>
    <mergeCell ref="H2482:I2482"/>
    <mergeCell ref="G2467:G2471"/>
    <mergeCell ref="G2472:G2474"/>
    <mergeCell ref="G2534:G2540"/>
    <mergeCell ref="G2552:G2557"/>
    <mergeCell ref="H2558:I2558"/>
    <mergeCell ref="G2542:G2545"/>
    <mergeCell ref="G2569:G2575"/>
    <mergeCell ref="H2577:I2577"/>
    <mergeCell ref="G2559:G2562"/>
    <mergeCell ref="G2563:G2567"/>
    <mergeCell ref="G2492:G2494"/>
    <mergeCell ref="G2495:G2498"/>
    <mergeCell ref="H2499:I2499"/>
    <mergeCell ref="H2524:I2524"/>
    <mergeCell ref="G2516:G2520"/>
    <mergeCell ref="G2521:G2522"/>
    <mergeCell ref="H2533:I2533"/>
    <mergeCell ref="G2527:G2532"/>
    <mergeCell ref="G2613:G2617"/>
    <mergeCell ref="H2671:I2671"/>
    <mergeCell ref="G2699:G2704"/>
    <mergeCell ref="H2689:I2689"/>
    <mergeCell ref="G2744:G2747"/>
    <mergeCell ref="G2736:G2737"/>
    <mergeCell ref="G2738:G2740"/>
    <mergeCell ref="G2722:G2723"/>
    <mergeCell ref="G2724:G2726"/>
    <mergeCell ref="G2727:I2727"/>
    <mergeCell ref="G2728:G2730"/>
    <mergeCell ref="G2731:G2734"/>
    <mergeCell ref="G2672:G2676"/>
    <mergeCell ref="G2677:G2681"/>
    <mergeCell ref="G2682:I2682"/>
    <mergeCell ref="G2735:I2735"/>
    <mergeCell ref="H2721:I2721"/>
    <mergeCell ref="G2715:G2717"/>
    <mergeCell ref="G2683:G2687"/>
    <mergeCell ref="H2706:I2706"/>
    <mergeCell ref="G2690:G2694"/>
    <mergeCell ref="G2695:G2697"/>
    <mergeCell ref="G2698:I2698"/>
    <mergeCell ref="G2946:G2947"/>
    <mergeCell ref="G2948:G2951"/>
    <mergeCell ref="G2711:G2713"/>
    <mergeCell ref="G2714:I2714"/>
    <mergeCell ref="G3136:G3137"/>
    <mergeCell ref="G3138:I3138"/>
    <mergeCell ref="G3081:G3083"/>
    <mergeCell ref="G3084:G3089"/>
    <mergeCell ref="G3090:I3090"/>
    <mergeCell ref="G3129:I3129"/>
    <mergeCell ref="G3099:G3100"/>
    <mergeCell ref="G3101:I3101"/>
    <mergeCell ref="G3120:G3122"/>
    <mergeCell ref="G3117:G3118"/>
    <mergeCell ref="G3119:I3119"/>
    <mergeCell ref="G3102:G3104"/>
    <mergeCell ref="G3139:G3141"/>
    <mergeCell ref="G2748:G2749"/>
    <mergeCell ref="G2718:G2720"/>
    <mergeCell ref="G2937:G2938"/>
    <mergeCell ref="G2940:G2944"/>
    <mergeCell ref="G2945:I2945"/>
    <mergeCell ref="G2936:I2936"/>
    <mergeCell ref="G2920:G2922"/>
    <mergeCell ref="G3017:I3017"/>
    <mergeCell ref="G3010:G3014"/>
    <mergeCell ref="G2829:G2832"/>
    <mergeCell ref="G2833:I2833"/>
    <mergeCell ref="G2801:G2804"/>
    <mergeCell ref="G2805:G2808"/>
    <mergeCell ref="G2809:I2809"/>
    <mergeCell ref="G2818:G2821"/>
    <mergeCell ref="G2661:G2664"/>
    <mergeCell ref="G2665:I2665"/>
    <mergeCell ref="G3202:G3208"/>
    <mergeCell ref="G3192:G3196"/>
    <mergeCell ref="G3201:I3201"/>
    <mergeCell ref="G3197:G3200"/>
    <mergeCell ref="G3191:I3191"/>
    <mergeCell ref="G3186:G3189"/>
    <mergeCell ref="G3054:G3055"/>
    <mergeCell ref="G3057:G3061"/>
    <mergeCell ref="G3043:G3049"/>
    <mergeCell ref="G3053:I3053"/>
    <mergeCell ref="G3051:G3052"/>
    <mergeCell ref="G3091:G3098"/>
    <mergeCell ref="G3062:I3062"/>
    <mergeCell ref="G3149:G3155"/>
    <mergeCell ref="G3130:G3135"/>
    <mergeCell ref="G2707:G2710"/>
    <mergeCell ref="G2741:G2742"/>
    <mergeCell ref="G2743:I2743"/>
    <mergeCell ref="G2839:G2842"/>
    <mergeCell ref="G2843:I2843"/>
    <mergeCell ref="G2826:G2828"/>
    <mergeCell ref="G2863:G2864"/>
    <mergeCell ref="G2872:G2877"/>
    <mergeCell ref="G2865:G2869"/>
    <mergeCell ref="G2966:G2969"/>
    <mergeCell ref="G2970:I2970"/>
    <mergeCell ref="G2834:G2838"/>
    <mergeCell ref="G2990:I2990"/>
    <mergeCell ref="G2962:I2962"/>
    <mergeCell ref="G2952:I2952"/>
    <mergeCell ref="G3335:G3339"/>
    <mergeCell ref="G3428:I3428"/>
    <mergeCell ref="G3420:G3421"/>
    <mergeCell ref="G3422:G3423"/>
    <mergeCell ref="G3424:G3427"/>
    <mergeCell ref="G3230:G3232"/>
    <mergeCell ref="G3321:I3321"/>
    <mergeCell ref="G3317:G3320"/>
    <mergeCell ref="G3332:I3332"/>
    <mergeCell ref="G3350:I3350"/>
    <mergeCell ref="G3322:G3326"/>
    <mergeCell ref="G3327:G3331"/>
    <mergeCell ref="G3361:G3364"/>
    <mergeCell ref="G3227:G3229"/>
    <mergeCell ref="G3288:I3288"/>
    <mergeCell ref="G3307:I3307"/>
    <mergeCell ref="G3297:G3299"/>
    <mergeCell ref="G3300:G3301"/>
    <mergeCell ref="G3302:G3306"/>
    <mergeCell ref="G3315:I3315"/>
    <mergeCell ref="G3351:G3352"/>
    <mergeCell ref="G3357:I3357"/>
    <mergeCell ref="G3353:G3355"/>
    <mergeCell ref="G3279:I3279"/>
    <mergeCell ref="G3308:G3309"/>
    <mergeCell ref="G3310:G3314"/>
    <mergeCell ref="G3431:G3434"/>
    <mergeCell ref="G3429:G3430"/>
    <mergeCell ref="G3435:G3436"/>
    <mergeCell ref="G3289:G3291"/>
    <mergeCell ref="G3296:I3296"/>
    <mergeCell ref="G3292:G3293"/>
    <mergeCell ref="G3294:G3295"/>
    <mergeCell ref="G3468:G3469"/>
    <mergeCell ref="G3470:G3473"/>
    <mergeCell ref="G3475:I3475"/>
    <mergeCell ref="G3458:G3462"/>
    <mergeCell ref="G3463:G3466"/>
    <mergeCell ref="G3467:I3467"/>
    <mergeCell ref="G3455:G3456"/>
    <mergeCell ref="G3449:G3450"/>
    <mergeCell ref="G3457:I3457"/>
    <mergeCell ref="G3451:G3454"/>
    <mergeCell ref="G3412:G3414"/>
    <mergeCell ref="G3419:I3419"/>
    <mergeCell ref="G3416:G3418"/>
    <mergeCell ref="G3376:I3376"/>
    <mergeCell ref="G3366:G3369"/>
    <mergeCell ref="G3370:G3373"/>
    <mergeCell ref="G3374:G3375"/>
    <mergeCell ref="G3448:I3448"/>
    <mergeCell ref="G3438:G3442"/>
    <mergeCell ref="G3443:G3447"/>
    <mergeCell ref="G3437:I3437"/>
    <mergeCell ref="G3341:G3346"/>
    <mergeCell ref="G3347:G3349"/>
    <mergeCell ref="G3340:I3340"/>
    <mergeCell ref="G3333:G3334"/>
    <mergeCell ref="G3681:G3684"/>
    <mergeCell ref="G3685:G3686"/>
    <mergeCell ref="G3687:I3687"/>
    <mergeCell ref="G3680:I3680"/>
    <mergeCell ref="G3672:G3673"/>
    <mergeCell ref="G3674:G3677"/>
    <mergeCell ref="G3678:G3679"/>
    <mergeCell ref="G3504:G3505"/>
    <mergeCell ref="G3506:G3508"/>
    <mergeCell ref="G3511:I3511"/>
    <mergeCell ref="G3509:G3510"/>
    <mergeCell ref="G3496:G3499"/>
    <mergeCell ref="G3500:G3502"/>
    <mergeCell ref="G3503:I3503"/>
    <mergeCell ref="G3241:G3244"/>
    <mergeCell ref="G3245:G3247"/>
    <mergeCell ref="G3248:G3249"/>
    <mergeCell ref="G3250:I3250"/>
    <mergeCell ref="G3488:G3490"/>
    <mergeCell ref="G3491:G3493"/>
    <mergeCell ref="G3495:I3495"/>
    <mergeCell ref="G3487:I3487"/>
    <mergeCell ref="G3411:I3411"/>
    <mergeCell ref="G3403:G3405"/>
    <mergeCell ref="G3406:G3408"/>
    <mergeCell ref="G3377:G3380"/>
    <mergeCell ref="G3385:I3385"/>
    <mergeCell ref="G3381:G3384"/>
    <mergeCell ref="G3358:G3360"/>
    <mergeCell ref="G3365:I3365"/>
    <mergeCell ref="G3476:G3481"/>
    <mergeCell ref="G3482:G3486"/>
  </mergeCells>
  <phoneticPr fontId="2" type="noConversion"/>
  <conditionalFormatting sqref="B3236:D3236 B3386:B3393 B3394:D3402 B3403:B3411 C3412:D3419 C3449:D3457 C3468:D3475 C3488:D3495 C3504:D3511 C3520:D3526 C3535:D3543">
    <cfRule type="timePeriod" dxfId="5" priority="19" timePeriod="yesterday">
      <formula>FLOOR(B3236,1)=TODAY()-1</formula>
    </cfRule>
  </conditionalFormatting>
  <conditionalFormatting sqref="B3358:D3365 B3366:B3376">
    <cfRule type="timePeriod" dxfId="4" priority="18" timePeriod="yesterday">
      <formula>FLOOR(B3358,1)=TODAY()-1</formula>
    </cfRule>
  </conditionalFormatting>
  <conditionalFormatting sqref="B3377:D3385">
    <cfRule type="timePeriod" dxfId="3" priority="17" timePeriod="yesterday">
      <formula>FLOOR(B3377,1)=TODAY()-1</formula>
    </cfRule>
  </conditionalFormatting>
  <conditionalFormatting sqref="C3429:D3437">
    <cfRule type="timePeriod" dxfId="2" priority="8" timePeriod="yesterday">
      <formula>FLOOR(C3429,1)=TODAY()-1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E1B4-1952-4B87-873A-703AD1370BC3}">
  <sheetPr codeName="Sheet2" filterMode="1">
    <tabColor rgb="FF862088"/>
    <pageSetUpPr autoPageBreaks="0"/>
  </sheetPr>
  <dimension ref="A1:P3232"/>
  <sheetViews>
    <sheetView showGridLines="0" zoomScaleNormal="100" zoomScaleSheetLayoutView="100" workbookViewId="0">
      <pane ySplit="6" topLeftCell="A3216" activePane="bottomLeft" state="frozen"/>
      <selection pane="bottomLeft" activeCell="B3252" sqref="B3252"/>
    </sheetView>
  </sheetViews>
  <sheetFormatPr defaultColWidth="9.28515625" defaultRowHeight="12.75" outlineLevelCol="1" x14ac:dyDescent="0.2"/>
  <cols>
    <col min="1" max="1" width="9.28515625" style="1"/>
    <col min="2" max="4" width="13" style="16" customWidth="1" outlineLevel="1"/>
    <col min="5" max="5" width="7.7109375" style="4" customWidth="1"/>
    <col min="6" max="6" width="12.7109375" style="2" customWidth="1"/>
    <col min="7" max="7" width="16" style="2" customWidth="1"/>
    <col min="8" max="8" width="11.85546875" style="2" customWidth="1"/>
    <col min="9" max="9" width="16.85546875" style="2" customWidth="1"/>
    <col min="10" max="11" width="15" style="2" customWidth="1"/>
    <col min="12" max="12" width="10.5703125" style="3" customWidth="1"/>
    <col min="13" max="13" width="48" style="1" customWidth="1"/>
    <col min="14" max="14" width="9.28515625" style="1"/>
    <col min="15" max="15" width="10.7109375" style="2" customWidth="1"/>
    <col min="16" max="16384" width="9.28515625" style="1"/>
  </cols>
  <sheetData>
    <row r="1" spans="1:15" x14ac:dyDescent="0.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</row>
    <row r="2" spans="1:15" x14ac:dyDescent="0.2">
      <c r="B2" s="960" t="s">
        <v>47</v>
      </c>
      <c r="C2" s="961"/>
      <c r="D2" s="961"/>
    </row>
    <row r="3" spans="1:15" x14ac:dyDescent="0.2">
      <c r="B3" s="961"/>
      <c r="C3" s="961"/>
      <c r="D3" s="961"/>
      <c r="F3" s="17"/>
      <c r="G3" s="17"/>
      <c r="H3" s="17"/>
      <c r="I3" s="17"/>
      <c r="J3" s="17"/>
      <c r="K3" s="17"/>
      <c r="L3" s="17"/>
    </row>
    <row r="4" spans="1:15" ht="27.95" customHeight="1" x14ac:dyDescent="0.2">
      <c r="B4" s="961"/>
      <c r="C4" s="961"/>
      <c r="D4" s="961"/>
      <c r="F4" s="968" t="s">
        <v>226</v>
      </c>
      <c r="G4" s="968"/>
      <c r="H4" s="968"/>
      <c r="I4" s="968"/>
      <c r="J4" s="968"/>
      <c r="K4" s="968"/>
      <c r="L4" s="968"/>
      <c r="M4" s="968"/>
      <c r="N4" s="1" t="s">
        <v>104</v>
      </c>
      <c r="O4" s="18"/>
    </row>
    <row r="5" spans="1:15" s="7" customFormat="1" ht="24.75" customHeight="1" x14ac:dyDescent="0.2">
      <c r="B5" s="19" t="s">
        <v>0</v>
      </c>
      <c r="C5" s="19" t="s">
        <v>1</v>
      </c>
      <c r="D5" s="19" t="s">
        <v>2</v>
      </c>
      <c r="E5" s="4"/>
      <c r="F5" s="59" t="s">
        <v>3</v>
      </c>
      <c r="G5" s="59" t="s">
        <v>197</v>
      </c>
      <c r="H5" s="59" t="s">
        <v>5</v>
      </c>
      <c r="I5" s="59" t="s">
        <v>198</v>
      </c>
      <c r="J5" s="59" t="s">
        <v>199</v>
      </c>
      <c r="K5" s="94" t="s">
        <v>200</v>
      </c>
      <c r="L5" s="59" t="s">
        <v>41</v>
      </c>
      <c r="M5" s="59"/>
      <c r="O5" s="5" t="s">
        <v>48</v>
      </c>
    </row>
    <row r="6" spans="1:15" s="7" customFormat="1" ht="11.1" customHeight="1" x14ac:dyDescent="0.2">
      <c r="A6" s="7" t="s">
        <v>104</v>
      </c>
      <c r="B6" s="19"/>
      <c r="C6" s="19"/>
      <c r="D6" s="19"/>
      <c r="E6" s="4"/>
      <c r="F6" s="387"/>
      <c r="G6" s="387"/>
      <c r="H6" s="387"/>
      <c r="I6" s="387"/>
      <c r="J6" s="387"/>
      <c r="K6" s="387"/>
      <c r="L6" s="387"/>
      <c r="M6" s="387"/>
      <c r="O6" s="6"/>
    </row>
    <row r="7" spans="1:15" s="7" customFormat="1" ht="18" hidden="1" customHeight="1" x14ac:dyDescent="0.2">
      <c r="B7" s="10">
        <v>46094</v>
      </c>
      <c r="C7" s="11" t="s">
        <v>22</v>
      </c>
      <c r="D7" s="11" t="s">
        <v>23</v>
      </c>
      <c r="E7" s="4"/>
      <c r="F7" s="962">
        <v>46094</v>
      </c>
      <c r="G7" s="20" t="s">
        <v>14</v>
      </c>
      <c r="H7" s="20" t="s">
        <v>15</v>
      </c>
      <c r="I7" s="20">
        <f>19+5</f>
        <v>24</v>
      </c>
      <c r="J7" s="20">
        <v>0</v>
      </c>
      <c r="K7" s="20">
        <v>0</v>
      </c>
      <c r="L7" s="20">
        <f t="shared" ref="L7:L9" si="0">SUM(I7:K7)</f>
        <v>24</v>
      </c>
      <c r="M7" s="21"/>
      <c r="O7" s="20"/>
    </row>
    <row r="8" spans="1:15" s="7" customFormat="1" ht="16.5" hidden="1" customHeight="1" x14ac:dyDescent="0.2">
      <c r="B8" s="10">
        <v>46094</v>
      </c>
      <c r="C8" s="11" t="s">
        <v>22</v>
      </c>
      <c r="D8" s="11" t="s">
        <v>23</v>
      </c>
      <c r="E8" s="4"/>
      <c r="F8" s="963"/>
      <c r="G8" s="15" t="s">
        <v>16</v>
      </c>
      <c r="H8" s="15" t="s">
        <v>12</v>
      </c>
      <c r="I8" s="15">
        <f>153+18</f>
        <v>171</v>
      </c>
      <c r="J8" s="15">
        <v>0</v>
      </c>
      <c r="K8" s="15">
        <v>0</v>
      </c>
      <c r="L8" s="15">
        <f t="shared" si="0"/>
        <v>171</v>
      </c>
      <c r="M8" s="13"/>
      <c r="O8" s="15"/>
    </row>
    <row r="9" spans="1:15" s="7" customFormat="1" ht="16.5" hidden="1" customHeight="1" x14ac:dyDescent="0.2">
      <c r="B9" s="10">
        <v>46094</v>
      </c>
      <c r="C9" s="11" t="s">
        <v>22</v>
      </c>
      <c r="D9" s="11" t="s">
        <v>23</v>
      </c>
      <c r="E9" s="4"/>
      <c r="F9" s="964"/>
      <c r="G9" s="22" t="s">
        <v>17</v>
      </c>
      <c r="H9" s="22" t="s">
        <v>18</v>
      </c>
      <c r="I9" s="22">
        <v>0</v>
      </c>
      <c r="J9" s="22">
        <v>0</v>
      </c>
      <c r="K9" s="22">
        <v>45</v>
      </c>
      <c r="L9" s="22">
        <f t="shared" si="0"/>
        <v>45</v>
      </c>
      <c r="M9" s="23"/>
      <c r="O9" s="22"/>
    </row>
    <row r="10" spans="1:15" s="7" customFormat="1" ht="16.5" hidden="1" customHeight="1" x14ac:dyDescent="0.2">
      <c r="B10" s="10">
        <v>46094</v>
      </c>
      <c r="C10" s="11" t="s">
        <v>22</v>
      </c>
      <c r="D10" s="11" t="s">
        <v>23</v>
      </c>
      <c r="E10" s="4"/>
      <c r="F10" s="937" t="s">
        <v>40</v>
      </c>
      <c r="G10" s="937"/>
      <c r="H10" s="937"/>
      <c r="I10" s="8">
        <f>SUM(I7:I9)</f>
        <v>195</v>
      </c>
      <c r="J10" s="8">
        <f t="shared" ref="J10:L10" si="1">SUM(J7:J9)</f>
        <v>0</v>
      </c>
      <c r="K10" s="8">
        <f t="shared" si="1"/>
        <v>45</v>
      </c>
      <c r="L10" s="8">
        <f t="shared" si="1"/>
        <v>240</v>
      </c>
      <c r="M10" s="9"/>
      <c r="O10" s="8">
        <f>L10</f>
        <v>240</v>
      </c>
    </row>
    <row r="11" spans="1:15" ht="16.5" hidden="1" customHeight="1" x14ac:dyDescent="0.2">
      <c r="B11" s="10">
        <v>46094</v>
      </c>
      <c r="C11" s="11" t="s">
        <v>12</v>
      </c>
      <c r="D11" s="11" t="s">
        <v>13</v>
      </c>
      <c r="F11" s="965">
        <v>46094</v>
      </c>
      <c r="G11" s="12" t="s">
        <v>14</v>
      </c>
      <c r="H11" s="12" t="s">
        <v>22</v>
      </c>
      <c r="I11" s="12">
        <v>13</v>
      </c>
      <c r="J11" s="12">
        <v>10</v>
      </c>
      <c r="K11" s="12">
        <v>0</v>
      </c>
      <c r="L11" s="12">
        <f t="shared" ref="L11:L13" si="2">SUM(I11:K11)</f>
        <v>23</v>
      </c>
      <c r="M11" s="14"/>
      <c r="O11" s="12"/>
    </row>
    <row r="12" spans="1:15" ht="16.5" hidden="1" customHeight="1" x14ac:dyDescent="0.2">
      <c r="B12" s="10">
        <v>46094</v>
      </c>
      <c r="C12" s="11" t="s">
        <v>12</v>
      </c>
      <c r="D12" s="11" t="s">
        <v>13</v>
      </c>
      <c r="F12" s="963"/>
      <c r="G12" s="15" t="s">
        <v>16</v>
      </c>
      <c r="H12" s="15" t="s">
        <v>12</v>
      </c>
      <c r="I12" s="15">
        <v>6</v>
      </c>
      <c r="J12" s="15">
        <v>26</v>
      </c>
      <c r="K12" s="15">
        <v>0</v>
      </c>
      <c r="L12" s="15">
        <f t="shared" si="2"/>
        <v>32</v>
      </c>
      <c r="M12" s="13"/>
      <c r="O12" s="15"/>
    </row>
    <row r="13" spans="1:15" ht="16.5" hidden="1" customHeight="1" x14ac:dyDescent="0.2">
      <c r="B13" s="10">
        <v>46094</v>
      </c>
      <c r="C13" s="11" t="s">
        <v>12</v>
      </c>
      <c r="D13" s="11" t="s">
        <v>13</v>
      </c>
      <c r="F13" s="963"/>
      <c r="G13" s="15" t="s">
        <v>17</v>
      </c>
      <c r="H13" s="15" t="s">
        <v>27</v>
      </c>
      <c r="I13" s="15">
        <v>92</v>
      </c>
      <c r="J13" s="15">
        <v>19</v>
      </c>
      <c r="K13" s="15">
        <v>0</v>
      </c>
      <c r="L13" s="15">
        <f t="shared" si="2"/>
        <v>111</v>
      </c>
      <c r="M13" s="13"/>
      <c r="O13" s="15"/>
    </row>
    <row r="14" spans="1:15" ht="16.5" hidden="1" customHeight="1" x14ac:dyDescent="0.2">
      <c r="B14" s="10">
        <v>46094</v>
      </c>
      <c r="C14" s="11" t="s">
        <v>12</v>
      </c>
      <c r="D14" s="11" t="s">
        <v>13</v>
      </c>
      <c r="F14" s="24">
        <v>46095</v>
      </c>
      <c r="G14" s="25" t="s">
        <v>14</v>
      </c>
      <c r="H14" s="25" t="s">
        <v>12</v>
      </c>
      <c r="I14" s="25">
        <v>93</v>
      </c>
      <c r="J14" s="25">
        <v>18</v>
      </c>
      <c r="K14" s="25">
        <v>24</v>
      </c>
      <c r="L14" s="25">
        <f t="shared" ref="L14" si="3">SUM(I14:K14)</f>
        <v>135</v>
      </c>
      <c r="M14" s="26"/>
      <c r="O14" s="25"/>
    </row>
    <row r="15" spans="1:15" ht="16.5" hidden="1" customHeight="1" x14ac:dyDescent="0.2">
      <c r="B15" s="10">
        <v>46094</v>
      </c>
      <c r="C15" s="11" t="s">
        <v>12</v>
      </c>
      <c r="D15" s="11" t="s">
        <v>13</v>
      </c>
      <c r="F15" s="937" t="s">
        <v>40</v>
      </c>
      <c r="G15" s="937"/>
      <c r="H15" s="937"/>
      <c r="I15" s="8">
        <f>SUM(I11:I14)</f>
        <v>204</v>
      </c>
      <c r="J15" s="8">
        <f t="shared" ref="J15:L15" si="4">SUM(J11:J14)</f>
        <v>73</v>
      </c>
      <c r="K15" s="8">
        <f t="shared" si="4"/>
        <v>24</v>
      </c>
      <c r="L15" s="8">
        <f t="shared" si="4"/>
        <v>301</v>
      </c>
      <c r="M15" s="9"/>
      <c r="O15" s="8">
        <f>L15</f>
        <v>301</v>
      </c>
    </row>
    <row r="16" spans="1:15" ht="16.5" hidden="1" customHeight="1" x14ac:dyDescent="0.2">
      <c r="B16" s="10">
        <v>46094</v>
      </c>
      <c r="C16" s="11" t="s">
        <v>18</v>
      </c>
      <c r="D16" s="11" t="s">
        <v>20</v>
      </c>
      <c r="F16" s="27">
        <v>46094</v>
      </c>
      <c r="G16" s="12" t="s">
        <v>17</v>
      </c>
      <c r="H16" s="12" t="s">
        <v>27</v>
      </c>
      <c r="I16" s="12">
        <v>13</v>
      </c>
      <c r="J16" s="12">
        <v>10</v>
      </c>
      <c r="K16" s="12">
        <v>0</v>
      </c>
      <c r="L16" s="12">
        <f t="shared" ref="L16:L17" si="5">SUM(I16:K16)</f>
        <v>23</v>
      </c>
      <c r="M16" s="14"/>
      <c r="O16" s="12"/>
    </row>
    <row r="17" spans="2:15" ht="16.5" hidden="1" customHeight="1" x14ac:dyDescent="0.2">
      <c r="B17" s="10">
        <v>46094</v>
      </c>
      <c r="C17" s="11" t="s">
        <v>18</v>
      </c>
      <c r="D17" s="11" t="s">
        <v>20</v>
      </c>
      <c r="F17" s="966">
        <v>46095</v>
      </c>
      <c r="G17" s="15" t="s">
        <v>14</v>
      </c>
      <c r="H17" s="15" t="s">
        <v>12</v>
      </c>
      <c r="I17" s="15">
        <v>65</v>
      </c>
      <c r="J17" s="15">
        <v>32</v>
      </c>
      <c r="K17" s="15">
        <v>0</v>
      </c>
      <c r="L17" s="15">
        <f t="shared" si="5"/>
        <v>97</v>
      </c>
      <c r="M17" s="13"/>
      <c r="O17" s="15"/>
    </row>
    <row r="18" spans="2:15" ht="16.5" hidden="1" customHeight="1" x14ac:dyDescent="0.2">
      <c r="B18" s="10">
        <v>46094</v>
      </c>
      <c r="C18" s="11" t="s">
        <v>18</v>
      </c>
      <c r="D18" s="11" t="s">
        <v>20</v>
      </c>
      <c r="F18" s="952"/>
      <c r="G18" s="15" t="s">
        <v>16</v>
      </c>
      <c r="H18" s="15" t="s">
        <v>12</v>
      </c>
      <c r="I18" s="15">
        <v>0</v>
      </c>
      <c r="J18" s="15">
        <v>0</v>
      </c>
      <c r="K18" s="15">
        <v>143</v>
      </c>
      <c r="L18" s="15">
        <f t="shared" ref="L18" si="6">SUM(I18:K18)</f>
        <v>143</v>
      </c>
      <c r="M18" s="13"/>
      <c r="O18" s="15"/>
    </row>
    <row r="19" spans="2:15" ht="16.5" hidden="1" customHeight="1" x14ac:dyDescent="0.2">
      <c r="B19" s="10">
        <v>46094</v>
      </c>
      <c r="C19" s="11" t="s">
        <v>18</v>
      </c>
      <c r="D19" s="11" t="s">
        <v>20</v>
      </c>
      <c r="F19" s="959"/>
      <c r="G19" s="25" t="s">
        <v>25</v>
      </c>
      <c r="H19" s="25" t="s">
        <v>12</v>
      </c>
      <c r="I19" s="25">
        <v>0</v>
      </c>
      <c r="J19" s="25">
        <v>0</v>
      </c>
      <c r="K19" s="25">
        <v>20</v>
      </c>
      <c r="L19" s="25">
        <f t="shared" ref="L19" si="7">SUM(I19:K19)</f>
        <v>20</v>
      </c>
      <c r="M19" s="26"/>
      <c r="O19" s="25"/>
    </row>
    <row r="20" spans="2:15" ht="16.5" hidden="1" customHeight="1" x14ac:dyDescent="0.2">
      <c r="B20" s="10">
        <v>46094</v>
      </c>
      <c r="C20" s="11" t="s">
        <v>18</v>
      </c>
      <c r="D20" s="11" t="s">
        <v>20</v>
      </c>
      <c r="F20" s="937" t="s">
        <v>40</v>
      </c>
      <c r="G20" s="937"/>
      <c r="H20" s="937"/>
      <c r="I20" s="8">
        <f>SUM(I16:I19)</f>
        <v>78</v>
      </c>
      <c r="J20" s="8">
        <f>SUM(J16:J19)</f>
        <v>42</v>
      </c>
      <c r="K20" s="8">
        <f>SUM(K16:K19)</f>
        <v>163</v>
      </c>
      <c r="L20" s="8">
        <f>SUM(L16:L19)</f>
        <v>283</v>
      </c>
      <c r="M20" s="9"/>
      <c r="O20" s="8">
        <f>L20</f>
        <v>283</v>
      </c>
    </row>
    <row r="21" spans="2:15" ht="16.5" hidden="1" customHeight="1" x14ac:dyDescent="0.2">
      <c r="B21" s="10">
        <v>46112</v>
      </c>
      <c r="C21" s="11" t="s">
        <v>22</v>
      </c>
      <c r="D21" s="11" t="s">
        <v>23</v>
      </c>
      <c r="F21" s="951">
        <v>46095</v>
      </c>
      <c r="G21" s="12" t="s">
        <v>16</v>
      </c>
      <c r="H21" s="12" t="s">
        <v>27</v>
      </c>
      <c r="I21" s="12">
        <v>115</v>
      </c>
      <c r="J21" s="12">
        <v>48</v>
      </c>
      <c r="K21" s="12">
        <v>0</v>
      </c>
      <c r="L21" s="12">
        <f t="shared" ref="L21:L24" si="8">SUM(I21:K21)</f>
        <v>163</v>
      </c>
      <c r="M21" s="14"/>
      <c r="O21" s="12"/>
    </row>
    <row r="22" spans="2:15" ht="16.5" hidden="1" customHeight="1" x14ac:dyDescent="0.2">
      <c r="B22" s="10">
        <v>46095</v>
      </c>
      <c r="C22" s="11" t="s">
        <v>22</v>
      </c>
      <c r="D22" s="11" t="s">
        <v>23</v>
      </c>
      <c r="F22" s="952"/>
      <c r="G22" s="15" t="s">
        <v>14</v>
      </c>
      <c r="H22" s="15" t="s">
        <v>22</v>
      </c>
      <c r="I22" s="12">
        <v>13</v>
      </c>
      <c r="J22" s="12">
        <v>4</v>
      </c>
      <c r="K22" s="12">
        <v>0</v>
      </c>
      <c r="L22" s="15">
        <f t="shared" si="8"/>
        <v>17</v>
      </c>
      <c r="M22" s="13"/>
      <c r="O22" s="15"/>
    </row>
    <row r="23" spans="2:15" ht="16.5" hidden="1" customHeight="1" x14ac:dyDescent="0.2">
      <c r="B23" s="10">
        <v>46095</v>
      </c>
      <c r="C23" s="11" t="s">
        <v>22</v>
      </c>
      <c r="D23" s="11" t="s">
        <v>23</v>
      </c>
      <c r="F23" s="952"/>
      <c r="G23" s="15" t="s">
        <v>32</v>
      </c>
      <c r="H23" s="15" t="s">
        <v>22</v>
      </c>
      <c r="I23" s="12">
        <v>5</v>
      </c>
      <c r="J23" s="12">
        <v>1</v>
      </c>
      <c r="K23" s="12">
        <v>0</v>
      </c>
      <c r="L23" s="15">
        <f t="shared" ref="L23" si="9">SUM(I23:K23)</f>
        <v>6</v>
      </c>
      <c r="M23" s="13"/>
      <c r="O23" s="15"/>
    </row>
    <row r="24" spans="2:15" ht="16.5" hidden="1" customHeight="1" x14ac:dyDescent="0.2">
      <c r="B24" s="10">
        <v>46095</v>
      </c>
      <c r="C24" s="11" t="s">
        <v>22</v>
      </c>
      <c r="D24" s="11" t="s">
        <v>23</v>
      </c>
      <c r="F24" s="959"/>
      <c r="G24" s="22" t="s">
        <v>25</v>
      </c>
      <c r="H24" s="22" t="s">
        <v>27</v>
      </c>
      <c r="I24" s="12">
        <v>118</v>
      </c>
      <c r="J24" s="12">
        <v>41</v>
      </c>
      <c r="K24" s="12">
        <v>0</v>
      </c>
      <c r="L24" s="22">
        <f t="shared" si="8"/>
        <v>159</v>
      </c>
      <c r="M24" s="23"/>
      <c r="O24" s="22"/>
    </row>
    <row r="25" spans="2:15" ht="16.5" hidden="1" customHeight="1" x14ac:dyDescent="0.2">
      <c r="B25" s="10">
        <v>46095</v>
      </c>
      <c r="C25" s="11" t="s">
        <v>22</v>
      </c>
      <c r="D25" s="11" t="s">
        <v>23</v>
      </c>
      <c r="F25" s="937" t="s">
        <v>40</v>
      </c>
      <c r="G25" s="937"/>
      <c r="H25" s="937"/>
      <c r="I25" s="8">
        <f>SUM(I21:I24)</f>
        <v>251</v>
      </c>
      <c r="J25" s="8">
        <f>SUM(J21:J24)</f>
        <v>94</v>
      </c>
      <c r="K25" s="8">
        <f>SUM(K21:K24)</f>
        <v>0</v>
      </c>
      <c r="L25" s="8">
        <f>SUM(L21:L24)</f>
        <v>345</v>
      </c>
      <c r="M25" s="9"/>
      <c r="O25" s="8">
        <f>L25</f>
        <v>345</v>
      </c>
    </row>
    <row r="26" spans="2:15" ht="16.5" hidden="1" customHeight="1" x14ac:dyDescent="0.2">
      <c r="B26" s="10">
        <v>46095</v>
      </c>
      <c r="C26" s="11" t="s">
        <v>12</v>
      </c>
      <c r="D26" s="11" t="s">
        <v>13</v>
      </c>
      <c r="F26" s="962">
        <v>46095</v>
      </c>
      <c r="G26" s="20" t="s">
        <v>16</v>
      </c>
      <c r="H26" s="20" t="s">
        <v>27</v>
      </c>
      <c r="I26" s="20">
        <v>18</v>
      </c>
      <c r="J26" s="20">
        <v>17</v>
      </c>
      <c r="K26" s="20">
        <v>0</v>
      </c>
      <c r="L26" s="20">
        <f t="shared" ref="L26:L29" si="10">SUM(I26:K26)</f>
        <v>35</v>
      </c>
      <c r="M26" s="21"/>
      <c r="O26" s="20"/>
    </row>
    <row r="27" spans="2:15" ht="16.5" hidden="1" customHeight="1" x14ac:dyDescent="0.2">
      <c r="B27" s="10">
        <v>46095</v>
      </c>
      <c r="C27" s="11" t="s">
        <v>12</v>
      </c>
      <c r="D27" s="11" t="s">
        <v>13</v>
      </c>
      <c r="F27" s="967"/>
      <c r="G27" s="15" t="s">
        <v>42</v>
      </c>
      <c r="H27" s="15" t="s">
        <v>43</v>
      </c>
      <c r="I27" s="15">
        <v>2</v>
      </c>
      <c r="J27" s="15">
        <v>0</v>
      </c>
      <c r="K27" s="15">
        <v>0</v>
      </c>
      <c r="L27" s="15">
        <f t="shared" si="10"/>
        <v>2</v>
      </c>
      <c r="M27" s="13"/>
      <c r="O27" s="15"/>
    </row>
    <row r="28" spans="2:15" ht="16.5" hidden="1" customHeight="1" x14ac:dyDescent="0.2">
      <c r="B28" s="10">
        <v>46095</v>
      </c>
      <c r="C28" s="11" t="s">
        <v>12</v>
      </c>
      <c r="D28" s="11" t="s">
        <v>13</v>
      </c>
      <c r="F28" s="967"/>
      <c r="G28" s="15" t="s">
        <v>26</v>
      </c>
      <c r="H28" s="15" t="s">
        <v>12</v>
      </c>
      <c r="I28" s="15">
        <v>5</v>
      </c>
      <c r="J28" s="15">
        <v>1</v>
      </c>
      <c r="K28" s="15">
        <v>0</v>
      </c>
      <c r="L28" s="15">
        <f t="shared" ref="L28" si="11">SUM(I28:K28)</f>
        <v>6</v>
      </c>
      <c r="M28" s="13"/>
      <c r="O28" s="15"/>
    </row>
    <row r="29" spans="2:15" ht="16.5" hidden="1" customHeight="1" x14ac:dyDescent="0.2">
      <c r="B29" s="10">
        <v>46095</v>
      </c>
      <c r="C29" s="11" t="s">
        <v>12</v>
      </c>
      <c r="D29" s="11" t="s">
        <v>13</v>
      </c>
      <c r="F29" s="966"/>
      <c r="G29" s="25" t="s">
        <v>25</v>
      </c>
      <c r="H29" s="25" t="s">
        <v>27</v>
      </c>
      <c r="I29" s="25">
        <v>51</v>
      </c>
      <c r="J29" s="25">
        <v>32</v>
      </c>
      <c r="K29" s="25">
        <v>0</v>
      </c>
      <c r="L29" s="25">
        <f t="shared" si="10"/>
        <v>83</v>
      </c>
      <c r="M29" s="26"/>
      <c r="O29" s="25"/>
    </row>
    <row r="30" spans="2:15" ht="16.5" hidden="1" customHeight="1" x14ac:dyDescent="0.2">
      <c r="B30" s="10">
        <v>46095</v>
      </c>
      <c r="C30" s="11" t="s">
        <v>12</v>
      </c>
      <c r="D30" s="11" t="s">
        <v>13</v>
      </c>
      <c r="F30" s="28">
        <v>46097</v>
      </c>
      <c r="G30" s="29" t="s">
        <v>32</v>
      </c>
      <c r="H30" s="29" t="s">
        <v>22</v>
      </c>
      <c r="I30" s="29">
        <v>127</v>
      </c>
      <c r="J30" s="29">
        <v>13</v>
      </c>
      <c r="K30" s="29">
        <v>11</v>
      </c>
      <c r="L30" s="29">
        <f t="shared" ref="L30" si="12">SUM(I30:K30)</f>
        <v>151</v>
      </c>
      <c r="M30" s="30"/>
      <c r="O30" s="29"/>
    </row>
    <row r="31" spans="2:15" ht="16.5" hidden="1" customHeight="1" x14ac:dyDescent="0.2">
      <c r="B31" s="10">
        <v>46095</v>
      </c>
      <c r="C31" s="11" t="s">
        <v>12</v>
      </c>
      <c r="D31" s="11" t="s">
        <v>13</v>
      </c>
      <c r="F31" s="937" t="s">
        <v>40</v>
      </c>
      <c r="G31" s="937"/>
      <c r="H31" s="937"/>
      <c r="I31" s="8">
        <f>SUM(I27:I30)</f>
        <v>185</v>
      </c>
      <c r="J31" s="8">
        <f t="shared" ref="J31" si="13">SUM(J27:J30)</f>
        <v>46</v>
      </c>
      <c r="K31" s="8">
        <f t="shared" ref="K31" si="14">SUM(K27:K30)</f>
        <v>11</v>
      </c>
      <c r="L31" s="8">
        <f>SUM(L27:L30)</f>
        <v>242</v>
      </c>
      <c r="M31" s="9"/>
      <c r="O31" s="8">
        <f>L31</f>
        <v>242</v>
      </c>
    </row>
    <row r="32" spans="2:15" ht="16.5" hidden="1" customHeight="1" x14ac:dyDescent="0.2">
      <c r="B32" s="10">
        <v>46095</v>
      </c>
      <c r="C32" s="11" t="s">
        <v>18</v>
      </c>
      <c r="D32" s="11" t="s">
        <v>20</v>
      </c>
      <c r="F32" s="951">
        <v>46097</v>
      </c>
      <c r="G32" s="25" t="s">
        <v>25</v>
      </c>
      <c r="H32" s="25" t="s">
        <v>27</v>
      </c>
      <c r="I32" s="25">
        <v>16</v>
      </c>
      <c r="J32" s="25">
        <v>3</v>
      </c>
      <c r="K32" s="25">
        <v>0</v>
      </c>
      <c r="L32" s="25">
        <f t="shared" ref="L32" si="15">SUM(I32:K32)</f>
        <v>19</v>
      </c>
      <c r="M32" s="26"/>
      <c r="O32" s="25"/>
    </row>
    <row r="33" spans="2:15" ht="16.5" hidden="1" customHeight="1" x14ac:dyDescent="0.2">
      <c r="B33" s="10">
        <v>46095</v>
      </c>
      <c r="C33" s="11" t="s">
        <v>18</v>
      </c>
      <c r="D33" s="11" t="s">
        <v>20</v>
      </c>
      <c r="F33" s="952"/>
      <c r="G33" s="29" t="s">
        <v>32</v>
      </c>
      <c r="H33" s="29" t="s">
        <v>22</v>
      </c>
      <c r="I33" s="29">
        <v>50</v>
      </c>
      <c r="J33" s="29">
        <v>5</v>
      </c>
      <c r="K33" s="29">
        <v>0</v>
      </c>
      <c r="L33" s="29">
        <f t="shared" ref="L33" si="16">SUM(I33:K33)</f>
        <v>55</v>
      </c>
      <c r="M33" s="30"/>
      <c r="O33" s="29"/>
    </row>
    <row r="34" spans="2:15" ht="16.5" hidden="1" customHeight="1" x14ac:dyDescent="0.25">
      <c r="B34" s="10">
        <v>46095</v>
      </c>
      <c r="C34" s="11" t="s">
        <v>18</v>
      </c>
      <c r="D34" s="11" t="s">
        <v>20</v>
      </c>
      <c r="F34" s="952"/>
      <c r="G34" s="29" t="s">
        <v>17</v>
      </c>
      <c r="H34" s="29" t="s">
        <v>22</v>
      </c>
      <c r="I34" s="29">
        <v>94</v>
      </c>
      <c r="J34" s="29">
        <v>30</v>
      </c>
      <c r="K34" s="29">
        <v>0</v>
      </c>
      <c r="L34" s="29">
        <f t="shared" ref="L34:L35" si="17">SUM(I34:K34)</f>
        <v>124</v>
      </c>
      <c r="M34" s="31"/>
      <c r="O34" s="32"/>
    </row>
    <row r="35" spans="2:15" ht="16.5" hidden="1" customHeight="1" x14ac:dyDescent="0.2">
      <c r="B35" s="10">
        <v>46095</v>
      </c>
      <c r="C35" s="11" t="s">
        <v>18</v>
      </c>
      <c r="D35" s="11" t="s">
        <v>20</v>
      </c>
      <c r="F35" s="959"/>
      <c r="G35" s="29" t="s">
        <v>14</v>
      </c>
      <c r="H35" s="25" t="s">
        <v>27</v>
      </c>
      <c r="I35" s="29">
        <v>0</v>
      </c>
      <c r="J35" s="29">
        <v>0</v>
      </c>
      <c r="K35" s="29">
        <v>26</v>
      </c>
      <c r="L35" s="29">
        <f t="shared" si="17"/>
        <v>26</v>
      </c>
      <c r="M35" s="33"/>
      <c r="O35" s="29"/>
    </row>
    <row r="36" spans="2:15" ht="16.5" hidden="1" customHeight="1" x14ac:dyDescent="0.2">
      <c r="B36" s="10">
        <v>46095</v>
      </c>
      <c r="C36" s="11" t="s">
        <v>18</v>
      </c>
      <c r="D36" s="11" t="s">
        <v>20</v>
      </c>
      <c r="F36" s="937" t="s">
        <v>40</v>
      </c>
      <c r="G36" s="937"/>
      <c r="H36" s="937"/>
      <c r="I36" s="8">
        <f>SUM(I32:I35)</f>
        <v>160</v>
      </c>
      <c r="J36" s="8">
        <f>SUM(J32:J35)</f>
        <v>38</v>
      </c>
      <c r="K36" s="8">
        <f>SUM(K32:K35)</f>
        <v>26</v>
      </c>
      <c r="L36" s="8">
        <f>SUM(L32:L35)</f>
        <v>224</v>
      </c>
      <c r="M36" s="9"/>
      <c r="O36" s="8">
        <f>L36</f>
        <v>224</v>
      </c>
    </row>
    <row r="37" spans="2:15" ht="15.75" hidden="1" x14ac:dyDescent="0.2">
      <c r="B37" s="10">
        <v>46097</v>
      </c>
      <c r="C37" s="11" t="s">
        <v>22</v>
      </c>
      <c r="D37" s="11" t="s">
        <v>13</v>
      </c>
      <c r="F37" s="951">
        <v>46097</v>
      </c>
      <c r="G37" s="29" t="s">
        <v>16</v>
      </c>
      <c r="H37" s="29" t="s">
        <v>27</v>
      </c>
      <c r="I37" s="29">
        <v>64</v>
      </c>
      <c r="J37" s="29">
        <v>20</v>
      </c>
      <c r="K37" s="29">
        <v>0</v>
      </c>
      <c r="L37" s="29">
        <f t="shared" ref="L37:L42" si="18">SUM(I37:K37)</f>
        <v>84</v>
      </c>
      <c r="M37" s="30"/>
    </row>
    <row r="38" spans="2:15" ht="15.75" hidden="1" x14ac:dyDescent="0.2">
      <c r="B38" s="10">
        <v>46097</v>
      </c>
      <c r="C38" s="11" t="s">
        <v>22</v>
      </c>
      <c r="D38" s="11" t="s">
        <v>13</v>
      </c>
      <c r="F38" s="952"/>
      <c r="G38" s="29" t="s">
        <v>32</v>
      </c>
      <c r="H38" s="29" t="s">
        <v>22</v>
      </c>
      <c r="I38" s="29">
        <v>3</v>
      </c>
      <c r="J38" s="29">
        <v>2</v>
      </c>
      <c r="K38" s="29">
        <v>0</v>
      </c>
      <c r="L38" s="29">
        <f t="shared" si="18"/>
        <v>5</v>
      </c>
      <c r="M38" s="30"/>
    </row>
    <row r="39" spans="2:15" ht="15.75" hidden="1" x14ac:dyDescent="0.25">
      <c r="B39" s="10">
        <v>46097</v>
      </c>
      <c r="C39" s="11" t="s">
        <v>22</v>
      </c>
      <c r="D39" s="11" t="s">
        <v>13</v>
      </c>
      <c r="F39" s="952"/>
      <c r="G39" s="29" t="s">
        <v>17</v>
      </c>
      <c r="H39" s="29" t="s">
        <v>22</v>
      </c>
      <c r="I39" s="29">
        <v>33</v>
      </c>
      <c r="J39" s="29">
        <v>17</v>
      </c>
      <c r="K39" s="29">
        <v>0</v>
      </c>
      <c r="L39" s="29">
        <f t="shared" si="18"/>
        <v>50</v>
      </c>
      <c r="M39" s="31"/>
    </row>
    <row r="40" spans="2:15" ht="15.75" hidden="1" x14ac:dyDescent="0.25">
      <c r="B40" s="10">
        <v>46097</v>
      </c>
      <c r="C40" s="11" t="s">
        <v>22</v>
      </c>
      <c r="D40" s="11" t="s">
        <v>13</v>
      </c>
      <c r="F40" s="952"/>
      <c r="G40" s="29" t="s">
        <v>42</v>
      </c>
      <c r="H40" s="29" t="s">
        <v>43</v>
      </c>
      <c r="I40" s="29">
        <v>5</v>
      </c>
      <c r="J40" s="29">
        <v>1</v>
      </c>
      <c r="K40" s="29">
        <v>0</v>
      </c>
      <c r="L40" s="29">
        <f t="shared" ref="L40" si="19">SUM(I40:K40)</f>
        <v>6</v>
      </c>
      <c r="M40" s="31"/>
    </row>
    <row r="41" spans="2:15" ht="15.75" hidden="1" x14ac:dyDescent="0.25">
      <c r="B41" s="10">
        <v>46097</v>
      </c>
      <c r="C41" s="11" t="s">
        <v>22</v>
      </c>
      <c r="D41" s="11" t="s">
        <v>13</v>
      </c>
      <c r="F41" s="952"/>
      <c r="G41" s="29" t="s">
        <v>26</v>
      </c>
      <c r="H41" s="29" t="s">
        <v>22</v>
      </c>
      <c r="I41" s="29">
        <v>6</v>
      </c>
      <c r="J41" s="29">
        <v>0</v>
      </c>
      <c r="K41" s="29">
        <v>0</v>
      </c>
      <c r="L41" s="29">
        <v>0</v>
      </c>
      <c r="M41" s="31"/>
    </row>
    <row r="42" spans="2:15" ht="15.75" hidden="1" x14ac:dyDescent="0.2">
      <c r="B42" s="10">
        <v>46097</v>
      </c>
      <c r="C42" s="11" t="s">
        <v>22</v>
      </c>
      <c r="D42" s="11" t="s">
        <v>13</v>
      </c>
      <c r="F42" s="959"/>
      <c r="G42" s="29" t="s">
        <v>14</v>
      </c>
      <c r="H42" s="29" t="s">
        <v>27</v>
      </c>
      <c r="I42" s="29">
        <v>115</v>
      </c>
      <c r="J42" s="29">
        <v>27</v>
      </c>
      <c r="K42" s="29">
        <v>0</v>
      </c>
      <c r="L42" s="29">
        <f t="shared" si="18"/>
        <v>142</v>
      </c>
      <c r="M42" s="33"/>
    </row>
    <row r="43" spans="2:15" ht="15.75" hidden="1" x14ac:dyDescent="0.2">
      <c r="B43" s="10">
        <v>46097</v>
      </c>
      <c r="C43" s="11" t="s">
        <v>22</v>
      </c>
      <c r="D43" s="11" t="s">
        <v>13</v>
      </c>
      <c r="F43" s="937" t="s">
        <v>40</v>
      </c>
      <c r="G43" s="937"/>
      <c r="H43" s="937"/>
      <c r="I43" s="8">
        <f>SUM(I37:I42)</f>
        <v>226</v>
      </c>
      <c r="J43" s="8">
        <f>SUM(J37:J42)</f>
        <v>67</v>
      </c>
      <c r="K43" s="8">
        <f>SUM(K37:K42)</f>
        <v>0</v>
      </c>
      <c r="L43" s="8">
        <f>SUM(I43:K43)</f>
        <v>293</v>
      </c>
      <c r="M43" s="9"/>
      <c r="O43" s="8">
        <f>L43</f>
        <v>293</v>
      </c>
    </row>
    <row r="44" spans="2:15" ht="15.75" hidden="1" x14ac:dyDescent="0.2">
      <c r="B44" s="10">
        <v>46097</v>
      </c>
      <c r="C44" s="11" t="s">
        <v>12</v>
      </c>
      <c r="D44" s="11" t="s">
        <v>20</v>
      </c>
      <c r="F44" s="951">
        <v>46097</v>
      </c>
      <c r="G44" s="29" t="s">
        <v>16</v>
      </c>
      <c r="H44" s="29" t="s">
        <v>27</v>
      </c>
      <c r="I44" s="29">
        <v>16</v>
      </c>
      <c r="J44" s="29">
        <v>13</v>
      </c>
      <c r="K44" s="29">
        <v>0</v>
      </c>
      <c r="L44" s="29">
        <f t="shared" ref="L44:L46" si="20">SUM(I44:K44)</f>
        <v>29</v>
      </c>
      <c r="M44" s="30"/>
    </row>
    <row r="45" spans="2:15" ht="15.75" hidden="1" x14ac:dyDescent="0.25">
      <c r="B45" s="10">
        <v>46097</v>
      </c>
      <c r="C45" s="11" t="s">
        <v>12</v>
      </c>
      <c r="D45" s="11" t="s">
        <v>20</v>
      </c>
      <c r="F45" s="952"/>
      <c r="G45" s="29" t="s">
        <v>17</v>
      </c>
      <c r="H45" s="29" t="s">
        <v>22</v>
      </c>
      <c r="I45" s="29">
        <v>72</v>
      </c>
      <c r="J45" s="29">
        <v>13</v>
      </c>
      <c r="K45" s="29">
        <v>123</v>
      </c>
      <c r="L45" s="29">
        <f t="shared" si="20"/>
        <v>208</v>
      </c>
      <c r="M45" s="31"/>
    </row>
    <row r="46" spans="2:15" ht="15.75" hidden="1" x14ac:dyDescent="0.25">
      <c r="B46" s="10">
        <v>46097</v>
      </c>
      <c r="C46" s="11" t="s">
        <v>12</v>
      </c>
      <c r="D46" s="11" t="s">
        <v>20</v>
      </c>
      <c r="F46" s="952"/>
      <c r="G46" s="29" t="s">
        <v>42</v>
      </c>
      <c r="H46" s="29" t="s">
        <v>43</v>
      </c>
      <c r="I46" s="29">
        <v>18</v>
      </c>
      <c r="J46" s="29">
        <v>1</v>
      </c>
      <c r="K46" s="29">
        <v>0</v>
      </c>
      <c r="L46" s="29">
        <f t="shared" si="20"/>
        <v>19</v>
      </c>
      <c r="M46" s="31"/>
    </row>
    <row r="47" spans="2:15" ht="15.75" hidden="1" x14ac:dyDescent="0.2">
      <c r="B47" s="10">
        <v>46097</v>
      </c>
      <c r="C47" s="11" t="s">
        <v>12</v>
      </c>
      <c r="D47" s="11" t="s">
        <v>20</v>
      </c>
      <c r="F47" s="959"/>
      <c r="G47" s="29" t="s">
        <v>14</v>
      </c>
      <c r="H47" s="29" t="s">
        <v>27</v>
      </c>
      <c r="I47" s="29">
        <v>30</v>
      </c>
      <c r="J47" s="29">
        <v>12</v>
      </c>
      <c r="K47" s="29">
        <v>0</v>
      </c>
      <c r="L47" s="29">
        <f t="shared" ref="L47" si="21">SUM(I47:K47)</f>
        <v>42</v>
      </c>
      <c r="M47" s="33"/>
    </row>
    <row r="48" spans="2:15" ht="15.75" hidden="1" x14ac:dyDescent="0.2">
      <c r="B48" s="10">
        <v>46097</v>
      </c>
      <c r="C48" s="11" t="s">
        <v>12</v>
      </c>
      <c r="D48" s="11" t="s">
        <v>20</v>
      </c>
      <c r="F48" s="937" t="s">
        <v>40</v>
      </c>
      <c r="G48" s="937"/>
      <c r="H48" s="937"/>
      <c r="I48" s="8">
        <f>SUM(I44:I47)</f>
        <v>136</v>
      </c>
      <c r="J48" s="8">
        <f>SUM(J44:J47)</f>
        <v>39</v>
      </c>
      <c r="K48" s="8">
        <f>SUM(K44:K47)</f>
        <v>123</v>
      </c>
      <c r="L48" s="8">
        <f>SUM(I48:K48)</f>
        <v>298</v>
      </c>
      <c r="M48" s="9"/>
      <c r="O48" s="8">
        <f>L48</f>
        <v>298</v>
      </c>
    </row>
    <row r="49" spans="2:15" ht="15.75" hidden="1" x14ac:dyDescent="0.2">
      <c r="B49" s="10">
        <v>46097</v>
      </c>
      <c r="C49" s="11" t="s">
        <v>18</v>
      </c>
      <c r="D49" s="11" t="s">
        <v>23</v>
      </c>
      <c r="F49" s="951">
        <v>46097</v>
      </c>
      <c r="G49" s="29" t="s">
        <v>16</v>
      </c>
      <c r="H49" s="29" t="s">
        <v>27</v>
      </c>
      <c r="I49" s="29">
        <v>49</v>
      </c>
      <c r="J49" s="29">
        <v>10</v>
      </c>
      <c r="K49" s="29">
        <v>114</v>
      </c>
      <c r="L49" s="29">
        <f t="shared" ref="L49:L50" si="22">SUM(I49:K49)</f>
        <v>173</v>
      </c>
      <c r="M49" s="30"/>
    </row>
    <row r="50" spans="2:15" ht="15.75" hidden="1" x14ac:dyDescent="0.25">
      <c r="B50" s="10">
        <v>46097</v>
      </c>
      <c r="C50" s="11" t="s">
        <v>18</v>
      </c>
      <c r="D50" s="11" t="s">
        <v>23</v>
      </c>
      <c r="F50" s="952"/>
      <c r="G50" s="29" t="s">
        <v>17</v>
      </c>
      <c r="H50" s="29" t="s">
        <v>22</v>
      </c>
      <c r="I50" s="29">
        <v>102</v>
      </c>
      <c r="J50" s="29">
        <v>46</v>
      </c>
      <c r="K50" s="29">
        <v>32</v>
      </c>
      <c r="L50" s="29">
        <f t="shared" si="22"/>
        <v>180</v>
      </c>
      <c r="M50" s="31"/>
    </row>
    <row r="51" spans="2:15" ht="15.75" hidden="1" x14ac:dyDescent="0.2">
      <c r="B51" s="10">
        <v>46097</v>
      </c>
      <c r="C51" s="11" t="s">
        <v>18</v>
      </c>
      <c r="D51" s="11" t="s">
        <v>23</v>
      </c>
      <c r="F51" s="959"/>
      <c r="G51" s="29" t="s">
        <v>14</v>
      </c>
      <c r="H51" s="29" t="s">
        <v>27</v>
      </c>
      <c r="I51" s="29">
        <v>1</v>
      </c>
      <c r="J51" s="29">
        <v>0</v>
      </c>
      <c r="K51" s="29">
        <v>0</v>
      </c>
      <c r="L51" s="29">
        <f t="shared" ref="L51" si="23">SUM(I51:K51)</f>
        <v>1</v>
      </c>
      <c r="M51" s="33"/>
    </row>
    <row r="52" spans="2:15" ht="15.75" hidden="1" x14ac:dyDescent="0.2">
      <c r="B52" s="10">
        <v>46097</v>
      </c>
      <c r="C52" s="11" t="s">
        <v>18</v>
      </c>
      <c r="D52" s="11" t="s">
        <v>23</v>
      </c>
      <c r="F52" s="937" t="s">
        <v>40</v>
      </c>
      <c r="G52" s="937"/>
      <c r="H52" s="937"/>
      <c r="I52" s="8">
        <f>SUM(I49:I51)</f>
        <v>152</v>
      </c>
      <c r="J52" s="8">
        <f>SUM(J49:J51)</f>
        <v>56</v>
      </c>
      <c r="K52" s="8">
        <f>SUM(K49:K51)</f>
        <v>146</v>
      </c>
      <c r="L52" s="8">
        <f>SUM(I52:K52)</f>
        <v>354</v>
      </c>
      <c r="M52" s="9"/>
      <c r="O52" s="8">
        <f>L52</f>
        <v>354</v>
      </c>
    </row>
    <row r="53" spans="2:15" ht="15.75" hidden="1" x14ac:dyDescent="0.2">
      <c r="B53" s="10">
        <v>46098</v>
      </c>
      <c r="C53" s="11" t="s">
        <v>22</v>
      </c>
      <c r="D53" s="11" t="s">
        <v>13</v>
      </c>
      <c r="F53" s="951">
        <v>46098</v>
      </c>
      <c r="G53" s="29" t="s">
        <v>16</v>
      </c>
      <c r="H53" s="29" t="s">
        <v>27</v>
      </c>
      <c r="I53" s="29">
        <v>126</v>
      </c>
      <c r="J53" s="29">
        <v>41</v>
      </c>
      <c r="K53" s="29">
        <v>0</v>
      </c>
      <c r="L53" s="29">
        <f t="shared" ref="L53:L56" si="24">SUM(I53:K53)</f>
        <v>167</v>
      </c>
      <c r="M53" s="30"/>
    </row>
    <row r="54" spans="2:15" ht="15.75" hidden="1" x14ac:dyDescent="0.2">
      <c r="B54" s="10">
        <v>46098</v>
      </c>
      <c r="C54" s="11" t="s">
        <v>22</v>
      </c>
      <c r="D54" s="11" t="s">
        <v>13</v>
      </c>
      <c r="F54" s="952"/>
      <c r="G54" s="29" t="s">
        <v>32</v>
      </c>
      <c r="H54" s="29" t="s">
        <v>22</v>
      </c>
      <c r="I54" s="29">
        <v>13</v>
      </c>
      <c r="J54" s="29">
        <v>0</v>
      </c>
      <c r="K54" s="29">
        <v>0</v>
      </c>
      <c r="L54" s="29">
        <f t="shared" si="24"/>
        <v>13</v>
      </c>
      <c r="M54" s="30"/>
    </row>
    <row r="55" spans="2:15" ht="15.75" hidden="1" x14ac:dyDescent="0.25">
      <c r="B55" s="10">
        <v>46098</v>
      </c>
      <c r="C55" s="11" t="s">
        <v>22</v>
      </c>
      <c r="D55" s="11" t="s">
        <v>13</v>
      </c>
      <c r="F55" s="952"/>
      <c r="G55" s="29" t="s">
        <v>17</v>
      </c>
      <c r="H55" s="29" t="s">
        <v>15</v>
      </c>
      <c r="I55" s="29">
        <v>40</v>
      </c>
      <c r="J55" s="29">
        <v>31</v>
      </c>
      <c r="K55" s="29">
        <v>0</v>
      </c>
      <c r="L55" s="29">
        <f t="shared" si="24"/>
        <v>71</v>
      </c>
      <c r="M55" s="31"/>
    </row>
    <row r="56" spans="2:15" ht="15.75" hidden="1" x14ac:dyDescent="0.25">
      <c r="B56" s="10">
        <v>46098</v>
      </c>
      <c r="C56" s="11" t="s">
        <v>22</v>
      </c>
      <c r="D56" s="11" t="s">
        <v>13</v>
      </c>
      <c r="F56" s="952"/>
      <c r="G56" s="29" t="s">
        <v>42</v>
      </c>
      <c r="H56" s="29" t="s">
        <v>43</v>
      </c>
      <c r="I56" s="29">
        <v>17</v>
      </c>
      <c r="J56" s="29">
        <v>0</v>
      </c>
      <c r="K56" s="29">
        <v>0</v>
      </c>
      <c r="L56" s="29">
        <f t="shared" si="24"/>
        <v>17</v>
      </c>
      <c r="M56" s="31"/>
    </row>
    <row r="57" spans="2:15" ht="15.75" hidden="1" x14ac:dyDescent="0.25">
      <c r="B57" s="10">
        <v>46098</v>
      </c>
      <c r="C57" s="11" t="s">
        <v>22</v>
      </c>
      <c r="D57" s="11" t="s">
        <v>13</v>
      </c>
      <c r="F57" s="952"/>
      <c r="G57" s="29" t="s">
        <v>14</v>
      </c>
      <c r="H57" s="29" t="s">
        <v>22</v>
      </c>
      <c r="I57" s="29">
        <v>0</v>
      </c>
      <c r="J57" s="29">
        <v>0</v>
      </c>
      <c r="K57" s="29">
        <v>124</v>
      </c>
      <c r="L57" s="29">
        <v>0</v>
      </c>
      <c r="M57" s="31"/>
    </row>
    <row r="58" spans="2:15" ht="15.75" hidden="1" x14ac:dyDescent="0.2">
      <c r="B58" s="10">
        <v>46098</v>
      </c>
      <c r="C58" s="11" t="s">
        <v>22</v>
      </c>
      <c r="D58" s="11" t="s">
        <v>13</v>
      </c>
      <c r="F58" s="937" t="s">
        <v>40</v>
      </c>
      <c r="G58" s="937"/>
      <c r="H58" s="937"/>
      <c r="I58" s="8">
        <f>SUM(I53:I57)</f>
        <v>196</v>
      </c>
      <c r="J58" s="8">
        <f>SUM(J53:J57)</f>
        <v>72</v>
      </c>
      <c r="K58" s="8">
        <f>SUM(K53:K57)</f>
        <v>124</v>
      </c>
      <c r="L58" s="8">
        <f>SUM(I58:K58)</f>
        <v>392</v>
      </c>
      <c r="M58" s="9"/>
      <c r="O58" s="8">
        <f>L58</f>
        <v>392</v>
      </c>
    </row>
    <row r="59" spans="2:15" ht="15.75" hidden="1" x14ac:dyDescent="0.2">
      <c r="B59" s="10">
        <v>46098</v>
      </c>
      <c r="C59" s="11" t="s">
        <v>12</v>
      </c>
      <c r="D59" s="11" t="s">
        <v>20</v>
      </c>
      <c r="F59" s="955">
        <v>46098</v>
      </c>
      <c r="G59" s="29" t="s">
        <v>16</v>
      </c>
      <c r="H59" s="29" t="s">
        <v>27</v>
      </c>
      <c r="I59" s="29">
        <v>10</v>
      </c>
      <c r="J59" s="29">
        <v>11</v>
      </c>
      <c r="K59" s="29">
        <v>0</v>
      </c>
      <c r="L59" s="29">
        <f t="shared" ref="L59:L63" si="25">SUM(I59:K59)</f>
        <v>21</v>
      </c>
      <c r="M59" s="30"/>
    </row>
    <row r="60" spans="2:15" ht="15.75" hidden="1" x14ac:dyDescent="0.2">
      <c r="B60" s="10">
        <v>46098</v>
      </c>
      <c r="C60" s="11" t="s">
        <v>12</v>
      </c>
      <c r="D60" s="11" t="s">
        <v>20</v>
      </c>
      <c r="F60" s="955"/>
      <c r="G60" s="29" t="s">
        <v>26</v>
      </c>
      <c r="H60" s="29" t="s">
        <v>12</v>
      </c>
      <c r="I60" s="29">
        <v>4</v>
      </c>
      <c r="J60" s="29">
        <v>2</v>
      </c>
      <c r="K60" s="29">
        <v>0</v>
      </c>
      <c r="L60" s="29">
        <f t="shared" si="25"/>
        <v>6</v>
      </c>
      <c r="M60" s="30"/>
    </row>
    <row r="61" spans="2:15" ht="15.75" hidden="1" x14ac:dyDescent="0.25">
      <c r="B61" s="10">
        <v>46098</v>
      </c>
      <c r="C61" s="11" t="s">
        <v>12</v>
      </c>
      <c r="D61" s="11" t="s">
        <v>20</v>
      </c>
      <c r="F61" s="955"/>
      <c r="G61" s="29" t="s">
        <v>17</v>
      </c>
      <c r="H61" s="29" t="s">
        <v>15</v>
      </c>
      <c r="I61" s="29">
        <v>17</v>
      </c>
      <c r="J61" s="29">
        <v>11</v>
      </c>
      <c r="K61" s="29">
        <v>0</v>
      </c>
      <c r="L61" s="29">
        <f t="shared" si="25"/>
        <v>28</v>
      </c>
      <c r="M61" s="31"/>
    </row>
    <row r="62" spans="2:15" ht="15.75" hidden="1" x14ac:dyDescent="0.25">
      <c r="B62" s="10">
        <v>46098</v>
      </c>
      <c r="C62" s="11" t="s">
        <v>12</v>
      </c>
      <c r="D62" s="11" t="s">
        <v>20</v>
      </c>
      <c r="F62" s="955"/>
      <c r="G62" s="29" t="s">
        <v>42</v>
      </c>
      <c r="H62" s="29" t="s">
        <v>43</v>
      </c>
      <c r="I62" s="29">
        <v>4</v>
      </c>
      <c r="J62" s="29">
        <v>0</v>
      </c>
      <c r="K62" s="29">
        <v>0</v>
      </c>
      <c r="L62" s="29">
        <f t="shared" si="25"/>
        <v>4</v>
      </c>
      <c r="M62" s="31"/>
    </row>
    <row r="63" spans="2:15" ht="15.75" hidden="1" x14ac:dyDescent="0.25">
      <c r="B63" s="10">
        <v>46098</v>
      </c>
      <c r="C63" s="11" t="s">
        <v>12</v>
      </c>
      <c r="D63" s="11" t="s">
        <v>20</v>
      </c>
      <c r="F63" s="955"/>
      <c r="G63" s="29" t="s">
        <v>14</v>
      </c>
      <c r="H63" s="29" t="s">
        <v>18</v>
      </c>
      <c r="I63" s="29">
        <v>136</v>
      </c>
      <c r="J63" s="29">
        <v>9</v>
      </c>
      <c r="K63" s="29">
        <v>0</v>
      </c>
      <c r="L63" s="29">
        <f t="shared" si="25"/>
        <v>145</v>
      </c>
      <c r="M63" s="31"/>
    </row>
    <row r="64" spans="2:15" ht="15.75" hidden="1" x14ac:dyDescent="0.25">
      <c r="B64" s="10">
        <v>46098</v>
      </c>
      <c r="C64" s="11" t="s">
        <v>12</v>
      </c>
      <c r="D64" s="11" t="s">
        <v>20</v>
      </c>
      <c r="F64" s="34">
        <v>46099</v>
      </c>
      <c r="G64" s="35" t="s">
        <v>17</v>
      </c>
      <c r="H64" s="35" t="s">
        <v>15</v>
      </c>
      <c r="I64" s="35">
        <v>1</v>
      </c>
      <c r="J64" s="35">
        <v>1</v>
      </c>
      <c r="K64" s="35">
        <v>135</v>
      </c>
      <c r="L64" s="35">
        <v>0</v>
      </c>
      <c r="M64" s="36"/>
    </row>
    <row r="65" spans="2:15" ht="15.75" hidden="1" x14ac:dyDescent="0.2">
      <c r="B65" s="10">
        <v>46098</v>
      </c>
      <c r="C65" s="11" t="s">
        <v>12</v>
      </c>
      <c r="D65" s="11" t="s">
        <v>20</v>
      </c>
      <c r="F65" s="937" t="s">
        <v>40</v>
      </c>
      <c r="G65" s="937"/>
      <c r="H65" s="937"/>
      <c r="I65" s="8">
        <f>SUM(I59:I64)</f>
        <v>172</v>
      </c>
      <c r="J65" s="8">
        <f>SUM(J59:J64)</f>
        <v>34</v>
      </c>
      <c r="K65" s="8">
        <f>SUM(K59:K64)</f>
        <v>135</v>
      </c>
      <c r="L65" s="8">
        <f>SUM(I65:K65)</f>
        <v>341</v>
      </c>
      <c r="M65" s="9"/>
      <c r="O65" s="8">
        <f>L65</f>
        <v>341</v>
      </c>
    </row>
    <row r="66" spans="2:15" ht="15.75" hidden="1" x14ac:dyDescent="0.2">
      <c r="B66" s="10">
        <v>46099</v>
      </c>
      <c r="C66" s="11" t="s">
        <v>18</v>
      </c>
      <c r="D66" s="11" t="s">
        <v>23</v>
      </c>
      <c r="F66" s="951">
        <v>46099</v>
      </c>
      <c r="G66" s="29" t="s">
        <v>16</v>
      </c>
      <c r="H66" s="29" t="s">
        <v>27</v>
      </c>
      <c r="I66" s="29">
        <v>23</v>
      </c>
      <c r="J66" s="29">
        <v>1</v>
      </c>
      <c r="K66" s="29">
        <v>100</v>
      </c>
      <c r="L66" s="29">
        <f t="shared" ref="L66:L67" si="26">SUM(I66:K66)</f>
        <v>124</v>
      </c>
      <c r="M66" s="30"/>
    </row>
    <row r="67" spans="2:15" ht="15.75" hidden="1" x14ac:dyDescent="0.25">
      <c r="B67" s="10">
        <v>46099</v>
      </c>
      <c r="C67" s="11" t="s">
        <v>18</v>
      </c>
      <c r="D67" s="11" t="s">
        <v>23</v>
      </c>
      <c r="F67" s="952"/>
      <c r="G67" s="29" t="s">
        <v>17</v>
      </c>
      <c r="H67" s="29" t="s">
        <v>15</v>
      </c>
      <c r="I67" s="29">
        <v>142</v>
      </c>
      <c r="J67" s="29">
        <v>37</v>
      </c>
      <c r="K67" s="29">
        <v>23</v>
      </c>
      <c r="L67" s="29">
        <f t="shared" si="26"/>
        <v>202</v>
      </c>
      <c r="M67" s="31"/>
    </row>
    <row r="68" spans="2:15" ht="15.75" hidden="1" x14ac:dyDescent="0.25">
      <c r="B68" s="10">
        <v>46099</v>
      </c>
      <c r="C68" s="11" t="s">
        <v>18</v>
      </c>
      <c r="D68" s="11" t="s">
        <v>23</v>
      </c>
      <c r="F68" s="959"/>
      <c r="G68" s="29" t="s">
        <v>14</v>
      </c>
      <c r="H68" s="29" t="s">
        <v>18</v>
      </c>
      <c r="I68" s="29">
        <v>0</v>
      </c>
      <c r="J68" s="29">
        <v>0</v>
      </c>
      <c r="K68" s="29">
        <v>0</v>
      </c>
      <c r="L68" s="29">
        <f>SUM(I68:K68)</f>
        <v>0</v>
      </c>
      <c r="M68" s="31"/>
    </row>
    <row r="69" spans="2:15" ht="15.75" hidden="1" x14ac:dyDescent="0.25">
      <c r="B69" s="10">
        <v>46099</v>
      </c>
      <c r="C69" s="11" t="s">
        <v>18</v>
      </c>
      <c r="D69" s="11" t="s">
        <v>23</v>
      </c>
      <c r="F69" s="37">
        <v>46098</v>
      </c>
      <c r="G69" s="29" t="s">
        <v>14</v>
      </c>
      <c r="H69" s="29" t="s">
        <v>18</v>
      </c>
      <c r="I69" s="29">
        <v>11</v>
      </c>
      <c r="J69" s="29">
        <v>6</v>
      </c>
      <c r="K69" s="29">
        <v>0</v>
      </c>
      <c r="L69" s="29">
        <f>SUM(I69:K69)</f>
        <v>17</v>
      </c>
      <c r="M69" s="31"/>
    </row>
    <row r="70" spans="2:15" ht="15.75" hidden="1" x14ac:dyDescent="0.2">
      <c r="B70" s="10">
        <v>46099</v>
      </c>
      <c r="C70" s="11" t="s">
        <v>18</v>
      </c>
      <c r="D70" s="11" t="s">
        <v>23</v>
      </c>
      <c r="F70" s="969" t="s">
        <v>40</v>
      </c>
      <c r="G70" s="970"/>
      <c r="H70" s="971"/>
      <c r="I70" s="8">
        <f>SUM(I66:I69)</f>
        <v>176</v>
      </c>
      <c r="J70" s="8">
        <f>SUM(J66:J69)</f>
        <v>44</v>
      </c>
      <c r="K70" s="8">
        <f>SUM(K66:K69)</f>
        <v>123</v>
      </c>
      <c r="L70" s="8">
        <f>SUM(I70:K70)</f>
        <v>343</v>
      </c>
      <c r="M70" s="9"/>
    </row>
    <row r="71" spans="2:15" ht="15.75" hidden="1" x14ac:dyDescent="0.2">
      <c r="B71" s="10">
        <v>46099</v>
      </c>
      <c r="C71" s="11" t="s">
        <v>22</v>
      </c>
      <c r="D71" s="11" t="s">
        <v>13</v>
      </c>
      <c r="F71" s="951">
        <v>46099</v>
      </c>
      <c r="G71" s="29" t="s">
        <v>16</v>
      </c>
      <c r="H71" s="29" t="s">
        <v>27</v>
      </c>
      <c r="I71" s="29">
        <v>122</v>
      </c>
      <c r="J71" s="29">
        <v>36</v>
      </c>
      <c r="K71" s="29">
        <v>0</v>
      </c>
      <c r="L71" s="29">
        <f t="shared" ref="L71:L75" si="27">SUM(I71:K71)</f>
        <v>158</v>
      </c>
      <c r="M71" s="30"/>
    </row>
    <row r="72" spans="2:15" ht="15.75" hidden="1" x14ac:dyDescent="0.2">
      <c r="B72" s="10">
        <v>46099</v>
      </c>
      <c r="C72" s="11" t="s">
        <v>22</v>
      </c>
      <c r="D72" s="11" t="s">
        <v>13</v>
      </c>
      <c r="F72" s="952"/>
      <c r="G72" s="29" t="s">
        <v>32</v>
      </c>
      <c r="H72" s="29" t="s">
        <v>22</v>
      </c>
      <c r="I72" s="29">
        <v>13</v>
      </c>
      <c r="J72" s="29">
        <v>0</v>
      </c>
      <c r="K72" s="29">
        <v>0</v>
      </c>
      <c r="L72" s="29">
        <f t="shared" si="27"/>
        <v>13</v>
      </c>
      <c r="M72" s="30"/>
    </row>
    <row r="73" spans="2:15" ht="15.75" hidden="1" x14ac:dyDescent="0.2">
      <c r="B73" s="10">
        <v>46099</v>
      </c>
      <c r="C73" s="11" t="s">
        <v>22</v>
      </c>
      <c r="D73" s="11" t="s">
        <v>13</v>
      </c>
      <c r="F73" s="952"/>
      <c r="G73" s="29" t="s">
        <v>26</v>
      </c>
      <c r="H73" s="29" t="s">
        <v>22</v>
      </c>
      <c r="I73" s="29">
        <v>6</v>
      </c>
      <c r="J73" s="29">
        <v>0</v>
      </c>
      <c r="K73" s="29">
        <v>0</v>
      </c>
      <c r="L73" s="29">
        <f t="shared" si="27"/>
        <v>6</v>
      </c>
      <c r="M73" s="30"/>
    </row>
    <row r="74" spans="2:15" ht="15.75" hidden="1" x14ac:dyDescent="0.25">
      <c r="B74" s="10">
        <v>46099</v>
      </c>
      <c r="C74" s="11" t="s">
        <v>22</v>
      </c>
      <c r="D74" s="11" t="s">
        <v>13</v>
      </c>
      <c r="F74" s="952"/>
      <c r="G74" s="29" t="s">
        <v>17</v>
      </c>
      <c r="H74" s="29" t="s">
        <v>15</v>
      </c>
      <c r="I74" s="29">
        <v>44</v>
      </c>
      <c r="J74" s="29">
        <v>19</v>
      </c>
      <c r="K74" s="29">
        <v>0</v>
      </c>
      <c r="L74" s="29">
        <f t="shared" si="27"/>
        <v>63</v>
      </c>
      <c r="M74" s="31"/>
    </row>
    <row r="75" spans="2:15" ht="15.75" hidden="1" x14ac:dyDescent="0.25">
      <c r="B75" s="10">
        <v>46099</v>
      </c>
      <c r="C75" s="11" t="s">
        <v>22</v>
      </c>
      <c r="D75" s="11" t="s">
        <v>13</v>
      </c>
      <c r="F75" s="952"/>
      <c r="G75" s="29" t="s">
        <v>42</v>
      </c>
      <c r="H75" s="29" t="s">
        <v>43</v>
      </c>
      <c r="I75" s="29">
        <v>1</v>
      </c>
      <c r="J75" s="29">
        <v>0</v>
      </c>
      <c r="K75" s="29">
        <v>0</v>
      </c>
      <c r="L75" s="29">
        <f t="shared" si="27"/>
        <v>1</v>
      </c>
      <c r="M75" s="31"/>
    </row>
    <row r="76" spans="2:15" ht="15.75" hidden="1" x14ac:dyDescent="0.25">
      <c r="B76" s="10">
        <v>46099</v>
      </c>
      <c r="C76" s="11" t="s">
        <v>22</v>
      </c>
      <c r="D76" s="11" t="s">
        <v>13</v>
      </c>
      <c r="F76" s="952"/>
      <c r="G76" s="29" t="s">
        <v>14</v>
      </c>
      <c r="H76" s="29" t="s">
        <v>18</v>
      </c>
      <c r="I76" s="29">
        <v>3</v>
      </c>
      <c r="J76" s="29">
        <v>1</v>
      </c>
      <c r="K76" s="29">
        <v>94</v>
      </c>
      <c r="L76" s="29">
        <v>0</v>
      </c>
      <c r="M76" s="31"/>
    </row>
    <row r="77" spans="2:15" ht="15.75" hidden="1" x14ac:dyDescent="0.2">
      <c r="B77" s="10">
        <v>46099</v>
      </c>
      <c r="C77" s="11" t="s">
        <v>22</v>
      </c>
      <c r="D77" s="11" t="s">
        <v>13</v>
      </c>
      <c r="F77" s="937" t="s">
        <v>40</v>
      </c>
      <c r="G77" s="937"/>
      <c r="H77" s="937"/>
      <c r="I77" s="8">
        <f>SUM(I71:I76)</f>
        <v>189</v>
      </c>
      <c r="J77" s="8">
        <f>SUM(J71:J76)</f>
        <v>56</v>
      </c>
      <c r="K77" s="8">
        <f>SUM(K71:K76)</f>
        <v>94</v>
      </c>
      <c r="L77" s="8">
        <f>SUM(I77:K77)</f>
        <v>339</v>
      </c>
      <c r="M77" s="9"/>
      <c r="O77" s="8">
        <f>L77</f>
        <v>339</v>
      </c>
    </row>
    <row r="78" spans="2:15" ht="15.75" hidden="1" x14ac:dyDescent="0.2">
      <c r="B78" s="10">
        <v>46099</v>
      </c>
      <c r="C78" s="11" t="s">
        <v>12</v>
      </c>
      <c r="D78" s="11" t="s">
        <v>20</v>
      </c>
      <c r="F78" s="955">
        <v>46099</v>
      </c>
      <c r="G78" s="29" t="s">
        <v>17</v>
      </c>
      <c r="H78" s="29" t="s">
        <v>15</v>
      </c>
      <c r="I78" s="29">
        <v>21</v>
      </c>
      <c r="J78" s="29">
        <v>10</v>
      </c>
      <c r="K78" s="29">
        <v>0</v>
      </c>
      <c r="L78" s="29">
        <f t="shared" ref="L78:L80" si="28">SUM(I78:K78)</f>
        <v>31</v>
      </c>
      <c r="M78" s="30"/>
    </row>
    <row r="79" spans="2:15" ht="15.75" hidden="1" x14ac:dyDescent="0.25">
      <c r="B79" s="10">
        <v>46099</v>
      </c>
      <c r="C79" s="11" t="s">
        <v>12</v>
      </c>
      <c r="D79" s="11" t="s">
        <v>20</v>
      </c>
      <c r="F79" s="955"/>
      <c r="G79" s="29" t="s">
        <v>16</v>
      </c>
      <c r="H79" s="29" t="s">
        <v>27</v>
      </c>
      <c r="I79" s="29">
        <v>15</v>
      </c>
      <c r="J79" s="29">
        <v>16</v>
      </c>
      <c r="K79" s="29">
        <v>8</v>
      </c>
      <c r="L79" s="29">
        <f t="shared" si="28"/>
        <v>39</v>
      </c>
      <c r="M79" s="31"/>
    </row>
    <row r="80" spans="2:15" ht="15.75" hidden="1" x14ac:dyDescent="0.25">
      <c r="B80" s="10">
        <v>46099</v>
      </c>
      <c r="C80" s="11" t="s">
        <v>12</v>
      </c>
      <c r="D80" s="11" t="s">
        <v>20</v>
      </c>
      <c r="F80" s="955"/>
      <c r="G80" s="29" t="s">
        <v>14</v>
      </c>
      <c r="H80" s="29" t="s">
        <v>18</v>
      </c>
      <c r="I80" s="29">
        <f>68+53</f>
        <v>121</v>
      </c>
      <c r="J80" s="29">
        <v>15</v>
      </c>
      <c r="K80" s="29">
        <v>0</v>
      </c>
      <c r="L80" s="29">
        <f t="shared" si="28"/>
        <v>136</v>
      </c>
      <c r="M80" s="31"/>
    </row>
    <row r="81" spans="2:15" ht="15.75" hidden="1" x14ac:dyDescent="0.25">
      <c r="B81" s="10">
        <v>46099</v>
      </c>
      <c r="C81" s="11" t="s">
        <v>12</v>
      </c>
      <c r="D81" s="11" t="s">
        <v>20</v>
      </c>
      <c r="F81" s="38">
        <v>46100</v>
      </c>
      <c r="G81" s="35" t="s">
        <v>17</v>
      </c>
      <c r="H81" s="35" t="s">
        <v>22</v>
      </c>
      <c r="I81" s="35">
        <v>1</v>
      </c>
      <c r="J81" s="35">
        <v>1</v>
      </c>
      <c r="K81" s="35">
        <v>121</v>
      </c>
      <c r="L81" s="35">
        <v>0</v>
      </c>
      <c r="M81" s="36"/>
    </row>
    <row r="82" spans="2:15" ht="15.75" hidden="1" x14ac:dyDescent="0.2">
      <c r="B82" s="10">
        <v>46099</v>
      </c>
      <c r="C82" s="11" t="s">
        <v>12</v>
      </c>
      <c r="D82" s="11" t="s">
        <v>20</v>
      </c>
      <c r="F82" s="937" t="s">
        <v>40</v>
      </c>
      <c r="G82" s="937"/>
      <c r="H82" s="937"/>
      <c r="I82" s="8">
        <f>SUM(I78:I81)</f>
        <v>158</v>
      </c>
      <c r="J82" s="8">
        <f>SUM(J78:J81)</f>
        <v>42</v>
      </c>
      <c r="K82" s="8">
        <f>SUM(K78:K81)</f>
        <v>129</v>
      </c>
      <c r="L82" s="8">
        <f>SUM(I82:K82)</f>
        <v>329</v>
      </c>
      <c r="M82" s="9"/>
      <c r="O82" s="8">
        <f>L82</f>
        <v>329</v>
      </c>
    </row>
    <row r="83" spans="2:15" ht="15.75" hidden="1" x14ac:dyDescent="0.2">
      <c r="B83" s="10">
        <v>46099</v>
      </c>
      <c r="C83" s="11" t="s">
        <v>18</v>
      </c>
      <c r="D83" s="11" t="s">
        <v>23</v>
      </c>
      <c r="F83" s="955">
        <v>46099</v>
      </c>
      <c r="G83" s="29" t="s">
        <v>17</v>
      </c>
      <c r="H83" s="29" t="s">
        <v>15</v>
      </c>
      <c r="I83" s="29">
        <v>91</v>
      </c>
      <c r="J83" s="29">
        <v>55</v>
      </c>
      <c r="K83" s="29">
        <v>41</v>
      </c>
      <c r="L83" s="29">
        <f t="shared" ref="L83:L85" si="29">SUM(I83:K83)</f>
        <v>187</v>
      </c>
      <c r="M83" s="30"/>
    </row>
    <row r="84" spans="2:15" ht="15.75" hidden="1" x14ac:dyDescent="0.25">
      <c r="B84" s="10">
        <v>46099</v>
      </c>
      <c r="C84" s="11" t="s">
        <v>18</v>
      </c>
      <c r="D84" s="11" t="s">
        <v>23</v>
      </c>
      <c r="F84" s="955"/>
      <c r="G84" s="29" t="s">
        <v>16</v>
      </c>
      <c r="H84" s="29" t="s">
        <v>27</v>
      </c>
      <c r="I84" s="29">
        <v>13</v>
      </c>
      <c r="J84" s="29">
        <v>6</v>
      </c>
      <c r="K84" s="29">
        <v>152</v>
      </c>
      <c r="L84" s="29">
        <f t="shared" si="29"/>
        <v>171</v>
      </c>
      <c r="M84" s="31"/>
    </row>
    <row r="85" spans="2:15" ht="15.75" hidden="1" x14ac:dyDescent="0.25">
      <c r="B85" s="10">
        <v>46099</v>
      </c>
      <c r="C85" s="11" t="s">
        <v>18</v>
      </c>
      <c r="D85" s="11" t="s">
        <v>23</v>
      </c>
      <c r="F85" s="955"/>
      <c r="G85" s="29" t="s">
        <v>14</v>
      </c>
      <c r="H85" s="29" t="s">
        <v>18</v>
      </c>
      <c r="I85" s="29">
        <v>4</v>
      </c>
      <c r="J85" s="29">
        <v>2</v>
      </c>
      <c r="K85" s="29">
        <v>0</v>
      </c>
      <c r="L85" s="29">
        <f t="shared" si="29"/>
        <v>6</v>
      </c>
      <c r="M85" s="31"/>
    </row>
    <row r="86" spans="2:15" ht="15.75" hidden="1" x14ac:dyDescent="0.2">
      <c r="B86" s="10">
        <v>46099</v>
      </c>
      <c r="C86" s="11" t="s">
        <v>18</v>
      </c>
      <c r="D86" s="11" t="s">
        <v>23</v>
      </c>
      <c r="F86" s="937" t="s">
        <v>40</v>
      </c>
      <c r="G86" s="937"/>
      <c r="H86" s="937"/>
      <c r="I86" s="8">
        <f>SUM(I83:I85)</f>
        <v>108</v>
      </c>
      <c r="J86" s="8">
        <f>SUM(J83:J85)</f>
        <v>63</v>
      </c>
      <c r="K86" s="8">
        <f>SUM(K83:K85)</f>
        <v>193</v>
      </c>
      <c r="L86" s="8">
        <f>SUM(I86:K86)</f>
        <v>364</v>
      </c>
      <c r="M86" s="9"/>
    </row>
    <row r="87" spans="2:15" ht="15.75" hidden="1" x14ac:dyDescent="0.2">
      <c r="B87" s="10">
        <v>46100</v>
      </c>
      <c r="C87" s="11" t="s">
        <v>22</v>
      </c>
      <c r="D87" s="11" t="s">
        <v>13</v>
      </c>
      <c r="F87" s="951">
        <v>46100</v>
      </c>
      <c r="G87" s="29" t="s">
        <v>16</v>
      </c>
      <c r="H87" s="29" t="s">
        <v>27</v>
      </c>
      <c r="I87" s="29">
        <v>92</v>
      </c>
      <c r="J87" s="29">
        <v>77</v>
      </c>
      <c r="K87" s="29">
        <v>0</v>
      </c>
      <c r="L87" s="29">
        <f t="shared" ref="L87:L90" si="30">SUM(I87:K87)</f>
        <v>169</v>
      </c>
      <c r="M87" s="30"/>
    </row>
    <row r="88" spans="2:15" ht="15.75" hidden="1" x14ac:dyDescent="0.2">
      <c r="B88" s="10">
        <v>46100</v>
      </c>
      <c r="C88" s="11" t="s">
        <v>22</v>
      </c>
      <c r="D88" s="11" t="s">
        <v>13</v>
      </c>
      <c r="F88" s="952"/>
      <c r="G88" s="29" t="s">
        <v>32</v>
      </c>
      <c r="H88" s="29" t="s">
        <v>22</v>
      </c>
      <c r="I88" s="29">
        <v>1</v>
      </c>
      <c r="J88" s="29">
        <v>1</v>
      </c>
      <c r="K88" s="29">
        <v>0</v>
      </c>
      <c r="L88" s="29">
        <f t="shared" si="30"/>
        <v>2</v>
      </c>
      <c r="M88" s="30"/>
    </row>
    <row r="89" spans="2:15" ht="15.75" hidden="1" x14ac:dyDescent="0.25">
      <c r="B89" s="10">
        <v>46100</v>
      </c>
      <c r="C89" s="11" t="s">
        <v>22</v>
      </c>
      <c r="D89" s="11" t="s">
        <v>13</v>
      </c>
      <c r="F89" s="952"/>
      <c r="G89" s="29" t="s">
        <v>17</v>
      </c>
      <c r="H89" s="29" t="s">
        <v>15</v>
      </c>
      <c r="I89" s="29">
        <v>36</v>
      </c>
      <c r="J89" s="29">
        <v>15</v>
      </c>
      <c r="K89" s="29">
        <v>0</v>
      </c>
      <c r="L89" s="29">
        <f t="shared" si="30"/>
        <v>51</v>
      </c>
      <c r="M89" s="31"/>
    </row>
    <row r="90" spans="2:15" ht="15.75" hidden="1" x14ac:dyDescent="0.25">
      <c r="B90" s="10">
        <v>46100</v>
      </c>
      <c r="C90" s="11" t="s">
        <v>22</v>
      </c>
      <c r="D90" s="11" t="s">
        <v>13</v>
      </c>
      <c r="F90" s="952"/>
      <c r="G90" s="29" t="s">
        <v>42</v>
      </c>
      <c r="H90" s="29" t="s">
        <v>43</v>
      </c>
      <c r="I90" s="29">
        <v>1</v>
      </c>
      <c r="J90" s="29">
        <v>0</v>
      </c>
      <c r="K90" s="29">
        <v>0</v>
      </c>
      <c r="L90" s="29">
        <f t="shared" si="30"/>
        <v>1</v>
      </c>
      <c r="M90" s="31"/>
    </row>
    <row r="91" spans="2:15" ht="15.75" hidden="1" x14ac:dyDescent="0.25">
      <c r="B91" s="10">
        <v>46100</v>
      </c>
      <c r="C91" s="11" t="s">
        <v>22</v>
      </c>
      <c r="D91" s="11" t="s">
        <v>13</v>
      </c>
      <c r="F91" s="952"/>
      <c r="G91" s="29" t="s">
        <v>14</v>
      </c>
      <c r="H91" s="29" t="s">
        <v>18</v>
      </c>
      <c r="I91" s="29">
        <v>70</v>
      </c>
      <c r="J91" s="29">
        <v>34</v>
      </c>
      <c r="K91" s="29">
        <v>0</v>
      </c>
      <c r="L91" s="29">
        <v>0</v>
      </c>
      <c r="M91" s="31"/>
    </row>
    <row r="92" spans="2:15" ht="15.75" hidden="1" x14ac:dyDescent="0.2">
      <c r="B92" s="10">
        <v>46100</v>
      </c>
      <c r="C92" s="11" t="s">
        <v>22</v>
      </c>
      <c r="D92" s="11" t="s">
        <v>13</v>
      </c>
      <c r="F92" s="937" t="s">
        <v>40</v>
      </c>
      <c r="G92" s="937"/>
      <c r="H92" s="937"/>
      <c r="I92" s="8">
        <f>SUM(I87:I91)</f>
        <v>200</v>
      </c>
      <c r="J92" s="8">
        <f>SUM(J87:J91)</f>
        <v>127</v>
      </c>
      <c r="K92" s="8">
        <f>SUM(K87:K91)</f>
        <v>0</v>
      </c>
      <c r="L92" s="8">
        <f>SUM(I92:K92)</f>
        <v>327</v>
      </c>
      <c r="M92" s="9"/>
    </row>
    <row r="93" spans="2:15" ht="15.75" hidden="1" x14ac:dyDescent="0.2">
      <c r="B93" s="10">
        <v>46100</v>
      </c>
      <c r="C93" s="11" t="s">
        <v>12</v>
      </c>
      <c r="D93" s="11" t="s">
        <v>20</v>
      </c>
      <c r="F93" s="955">
        <v>46100</v>
      </c>
      <c r="G93" s="29" t="s">
        <v>17</v>
      </c>
      <c r="H93" s="29" t="s">
        <v>15</v>
      </c>
      <c r="I93" s="29">
        <v>4</v>
      </c>
      <c r="J93" s="29">
        <v>2</v>
      </c>
      <c r="K93" s="29">
        <v>10</v>
      </c>
      <c r="L93" s="29">
        <f t="shared" ref="L93:L96" si="31">SUM(I93:K93)</f>
        <v>16</v>
      </c>
      <c r="M93" s="30"/>
    </row>
    <row r="94" spans="2:15" ht="15.75" hidden="1" x14ac:dyDescent="0.25">
      <c r="B94" s="10">
        <v>46100</v>
      </c>
      <c r="C94" s="11" t="s">
        <v>12</v>
      </c>
      <c r="D94" s="11" t="s">
        <v>20</v>
      </c>
      <c r="F94" s="955"/>
      <c r="G94" s="29" t="s">
        <v>16</v>
      </c>
      <c r="H94" s="29" t="s">
        <v>27</v>
      </c>
      <c r="I94" s="29">
        <v>20</v>
      </c>
      <c r="J94" s="29">
        <v>22</v>
      </c>
      <c r="K94" s="29">
        <v>0</v>
      </c>
      <c r="L94" s="29">
        <f t="shared" si="31"/>
        <v>42</v>
      </c>
      <c r="M94" s="31"/>
    </row>
    <row r="95" spans="2:15" ht="15.75" hidden="1" x14ac:dyDescent="0.25">
      <c r="B95" s="10">
        <v>46100</v>
      </c>
      <c r="C95" s="11" t="s">
        <v>12</v>
      </c>
      <c r="D95" s="11" t="s">
        <v>20</v>
      </c>
      <c r="F95" s="955"/>
      <c r="G95" s="29" t="s">
        <v>14</v>
      </c>
      <c r="H95" s="29" t="s">
        <v>27</v>
      </c>
      <c r="I95" s="29">
        <v>66</v>
      </c>
      <c r="J95" s="29">
        <v>26</v>
      </c>
      <c r="K95" s="29">
        <v>0</v>
      </c>
      <c r="L95" s="29">
        <f t="shared" si="31"/>
        <v>92</v>
      </c>
      <c r="M95" s="31"/>
    </row>
    <row r="96" spans="2:15" ht="15.75" hidden="1" x14ac:dyDescent="0.25">
      <c r="B96" s="10">
        <v>46100</v>
      </c>
      <c r="C96" s="11" t="s">
        <v>12</v>
      </c>
      <c r="D96" s="11" t="s">
        <v>20</v>
      </c>
      <c r="F96" s="40">
        <v>46101</v>
      </c>
      <c r="G96" s="29" t="s">
        <v>25</v>
      </c>
      <c r="H96" s="29" t="s">
        <v>22</v>
      </c>
      <c r="I96" s="29">
        <v>0</v>
      </c>
      <c r="J96" s="29">
        <v>0</v>
      </c>
      <c r="K96" s="35">
        <v>99</v>
      </c>
      <c r="L96" s="29">
        <f t="shared" si="31"/>
        <v>99</v>
      </c>
      <c r="M96" s="39"/>
    </row>
    <row r="97" spans="2:15" ht="15.75" hidden="1" x14ac:dyDescent="0.2">
      <c r="B97" s="10">
        <v>46100</v>
      </c>
      <c r="C97" s="11" t="s">
        <v>12</v>
      </c>
      <c r="D97" s="11" t="s">
        <v>20</v>
      </c>
      <c r="F97" s="937" t="s">
        <v>40</v>
      </c>
      <c r="G97" s="937"/>
      <c r="H97" s="937"/>
      <c r="I97" s="8">
        <f>SUM(I93:I96)</f>
        <v>90</v>
      </c>
      <c r="J97" s="8">
        <f>SUM(J93:J96)</f>
        <v>50</v>
      </c>
      <c r="K97" s="8">
        <f>SUM(K93:K96)</f>
        <v>109</v>
      </c>
      <c r="L97" s="8">
        <f>SUM(I97:K97)</f>
        <v>249</v>
      </c>
      <c r="M97" s="9"/>
      <c r="O97" s="8">
        <f>L97</f>
        <v>249</v>
      </c>
    </row>
    <row r="98" spans="2:15" ht="15.75" hidden="1" x14ac:dyDescent="0.25">
      <c r="B98" s="10">
        <v>46100</v>
      </c>
      <c r="C98" s="11" t="s">
        <v>12</v>
      </c>
      <c r="D98" s="11" t="s">
        <v>23</v>
      </c>
      <c r="F98" s="955"/>
      <c r="G98" s="29" t="s">
        <v>16</v>
      </c>
      <c r="H98" s="29" t="s">
        <v>27</v>
      </c>
      <c r="I98" s="29">
        <v>0</v>
      </c>
      <c r="J98" s="29">
        <v>1</v>
      </c>
      <c r="K98" s="29">
        <v>96</v>
      </c>
      <c r="L98" s="29">
        <f t="shared" ref="L98:L100" si="32">SUM(I98:K98)</f>
        <v>97</v>
      </c>
      <c r="M98" s="31"/>
    </row>
    <row r="99" spans="2:15" ht="15.75" hidden="1" x14ac:dyDescent="0.25">
      <c r="B99" s="10">
        <v>46100</v>
      </c>
      <c r="C99" s="11" t="s">
        <v>12</v>
      </c>
      <c r="D99" s="11" t="s">
        <v>23</v>
      </c>
      <c r="F99" s="955"/>
      <c r="G99" s="29" t="s">
        <v>14</v>
      </c>
      <c r="H99" s="29" t="s">
        <v>27</v>
      </c>
      <c r="I99" s="29">
        <v>4</v>
      </c>
      <c r="J99" s="29">
        <v>1</v>
      </c>
      <c r="K99" s="29">
        <v>0</v>
      </c>
      <c r="L99" s="29">
        <f t="shared" si="32"/>
        <v>5</v>
      </c>
      <c r="M99" s="31"/>
    </row>
    <row r="100" spans="2:15" ht="15.75" hidden="1" x14ac:dyDescent="0.25">
      <c r="B100" s="10">
        <v>46100</v>
      </c>
      <c r="C100" s="11" t="s">
        <v>12</v>
      </c>
      <c r="D100" s="11" t="s">
        <v>23</v>
      </c>
      <c r="F100" s="41"/>
      <c r="G100" s="29" t="s">
        <v>25</v>
      </c>
      <c r="H100" s="29" t="s">
        <v>22</v>
      </c>
      <c r="I100" s="29">
        <v>70</v>
      </c>
      <c r="J100" s="29">
        <v>24</v>
      </c>
      <c r="K100" s="35">
        <v>83</v>
      </c>
      <c r="L100" s="29">
        <f t="shared" si="32"/>
        <v>177</v>
      </c>
      <c r="M100" s="39"/>
    </row>
    <row r="101" spans="2:15" ht="15.75" hidden="1" x14ac:dyDescent="0.2">
      <c r="B101" s="10">
        <v>46100</v>
      </c>
      <c r="C101" s="11" t="s">
        <v>12</v>
      </c>
      <c r="D101" s="11" t="s">
        <v>23</v>
      </c>
      <c r="F101" s="937" t="s">
        <v>40</v>
      </c>
      <c r="G101" s="937"/>
      <c r="H101" s="937"/>
      <c r="I101" s="8">
        <f>SUM(I98:I100)</f>
        <v>74</v>
      </c>
      <c r="J101" s="8">
        <f>SUM(J98:J100)</f>
        <v>26</v>
      </c>
      <c r="K101" s="8">
        <f>SUM(K98:K100)</f>
        <v>179</v>
      </c>
      <c r="L101" s="8">
        <f>SUM(I101:K101)</f>
        <v>279</v>
      </c>
      <c r="M101" s="9"/>
    </row>
    <row r="102" spans="2:15" ht="15.75" hidden="1" x14ac:dyDescent="0.2">
      <c r="B102" s="10">
        <v>46101</v>
      </c>
      <c r="C102" s="11" t="s">
        <v>22</v>
      </c>
      <c r="D102" s="11" t="s">
        <v>13</v>
      </c>
      <c r="F102" s="951">
        <v>46101</v>
      </c>
      <c r="G102" s="29" t="s">
        <v>16</v>
      </c>
      <c r="H102" s="29" t="s">
        <v>27</v>
      </c>
      <c r="I102" s="29">
        <v>122</v>
      </c>
      <c r="J102" s="29">
        <v>79</v>
      </c>
      <c r="K102" s="29">
        <v>0</v>
      </c>
      <c r="L102" s="29">
        <f t="shared" ref="L102:L105" si="33">SUM(I102:K102)</f>
        <v>201</v>
      </c>
      <c r="M102" s="30"/>
    </row>
    <row r="103" spans="2:15" ht="15.75" hidden="1" x14ac:dyDescent="0.2">
      <c r="B103" s="10">
        <v>46101</v>
      </c>
      <c r="C103" s="11" t="s">
        <v>22</v>
      </c>
      <c r="D103" s="11" t="s">
        <v>13</v>
      </c>
      <c r="F103" s="952"/>
      <c r="G103" s="29" t="s">
        <v>32</v>
      </c>
      <c r="H103" s="29" t="s">
        <v>22</v>
      </c>
      <c r="I103" s="29">
        <v>9</v>
      </c>
      <c r="J103" s="29">
        <v>0</v>
      </c>
      <c r="K103" s="29">
        <v>0</v>
      </c>
      <c r="L103" s="29">
        <f t="shared" si="33"/>
        <v>9</v>
      </c>
      <c r="M103" s="30"/>
    </row>
    <row r="104" spans="2:15" ht="15.75" hidden="1" x14ac:dyDescent="0.25">
      <c r="B104" s="10">
        <v>46101</v>
      </c>
      <c r="C104" s="11" t="s">
        <v>22</v>
      </c>
      <c r="D104" s="11" t="s">
        <v>13</v>
      </c>
      <c r="F104" s="952"/>
      <c r="G104" s="29" t="s">
        <v>25</v>
      </c>
      <c r="H104" s="29" t="s">
        <v>22</v>
      </c>
      <c r="I104" s="29">
        <v>101</v>
      </c>
      <c r="J104" s="29">
        <v>24</v>
      </c>
      <c r="K104" s="29">
        <v>0</v>
      </c>
      <c r="L104" s="29">
        <f t="shared" si="33"/>
        <v>125</v>
      </c>
      <c r="M104" s="31"/>
    </row>
    <row r="105" spans="2:15" ht="15.75" hidden="1" x14ac:dyDescent="0.25">
      <c r="B105" s="10">
        <v>46101</v>
      </c>
      <c r="C105" s="11" t="s">
        <v>22</v>
      </c>
      <c r="D105" s="11" t="s">
        <v>13</v>
      </c>
      <c r="F105" s="952"/>
      <c r="G105" s="29" t="s">
        <v>42</v>
      </c>
      <c r="H105" s="29" t="s">
        <v>43</v>
      </c>
      <c r="I105" s="29">
        <v>53</v>
      </c>
      <c r="J105" s="29">
        <v>0</v>
      </c>
      <c r="K105" s="29">
        <v>0</v>
      </c>
      <c r="L105" s="29">
        <f t="shared" si="33"/>
        <v>53</v>
      </c>
      <c r="M105" s="31"/>
    </row>
    <row r="106" spans="2:15" ht="15.75" hidden="1" x14ac:dyDescent="0.25">
      <c r="B106" s="10">
        <v>46101</v>
      </c>
      <c r="C106" s="11" t="s">
        <v>22</v>
      </c>
      <c r="D106" s="11" t="s">
        <v>13</v>
      </c>
      <c r="F106" s="952"/>
      <c r="G106" s="29" t="s">
        <v>14</v>
      </c>
      <c r="H106" s="29" t="s">
        <v>18</v>
      </c>
      <c r="I106" s="29">
        <v>25</v>
      </c>
      <c r="J106" s="29">
        <v>10</v>
      </c>
      <c r="K106" s="29">
        <v>0</v>
      </c>
      <c r="L106" s="29">
        <v>0</v>
      </c>
      <c r="M106" s="31"/>
    </row>
    <row r="107" spans="2:15" ht="15.75" hidden="1" x14ac:dyDescent="0.2">
      <c r="B107" s="10">
        <v>46101</v>
      </c>
      <c r="C107" s="11" t="s">
        <v>22</v>
      </c>
      <c r="D107" s="11" t="s">
        <v>13</v>
      </c>
      <c r="F107" s="937" t="s">
        <v>40</v>
      </c>
      <c r="G107" s="937"/>
      <c r="H107" s="937"/>
      <c r="I107" s="8">
        <f>SUM(I102:I106)</f>
        <v>310</v>
      </c>
      <c r="J107" s="8">
        <f>SUM(J102:J106)</f>
        <v>113</v>
      </c>
      <c r="K107" s="8">
        <f>SUM(K102:K106)</f>
        <v>0</v>
      </c>
      <c r="L107" s="8">
        <f>SUM(I107:K107)</f>
        <v>423</v>
      </c>
      <c r="M107" s="9"/>
    </row>
    <row r="108" spans="2:15" ht="15.75" hidden="1" x14ac:dyDescent="0.2">
      <c r="B108" s="10">
        <v>46101</v>
      </c>
      <c r="C108" s="11" t="s">
        <v>12</v>
      </c>
      <c r="D108" s="11" t="s">
        <v>20</v>
      </c>
      <c r="F108" s="955">
        <v>46101</v>
      </c>
      <c r="G108" s="29" t="s">
        <v>25</v>
      </c>
      <c r="H108" s="29" t="s">
        <v>22</v>
      </c>
      <c r="I108" s="29">
        <v>1</v>
      </c>
      <c r="J108" s="29">
        <v>0</v>
      </c>
      <c r="K108" s="29">
        <v>0</v>
      </c>
      <c r="L108" s="29">
        <f t="shared" ref="L108:L112" si="34">SUM(I108:K108)</f>
        <v>1</v>
      </c>
      <c r="M108" s="30"/>
    </row>
    <row r="109" spans="2:15" ht="15.75" hidden="1" x14ac:dyDescent="0.25">
      <c r="B109" s="10">
        <v>46101</v>
      </c>
      <c r="C109" s="11" t="s">
        <v>12</v>
      </c>
      <c r="D109" s="11" t="s">
        <v>20</v>
      </c>
      <c r="F109" s="955"/>
      <c r="G109" s="29" t="s">
        <v>16</v>
      </c>
      <c r="H109" s="29" t="s">
        <v>27</v>
      </c>
      <c r="I109" s="29">
        <v>28</v>
      </c>
      <c r="J109" s="29">
        <v>18</v>
      </c>
      <c r="K109" s="29">
        <v>0</v>
      </c>
      <c r="L109" s="29">
        <f t="shared" si="34"/>
        <v>46</v>
      </c>
      <c r="M109" s="31"/>
    </row>
    <row r="110" spans="2:15" ht="15.75" hidden="1" x14ac:dyDescent="0.25">
      <c r="B110" s="10">
        <v>46101</v>
      </c>
      <c r="C110" s="11" t="s">
        <v>12</v>
      </c>
      <c r="D110" s="11" t="s">
        <v>20</v>
      </c>
      <c r="F110" s="955"/>
      <c r="G110" s="29" t="s">
        <v>14</v>
      </c>
      <c r="H110" s="29" t="s">
        <v>27</v>
      </c>
      <c r="I110" s="29">
        <v>121</v>
      </c>
      <c r="J110" s="29">
        <v>35</v>
      </c>
      <c r="K110" s="29">
        <v>0</v>
      </c>
      <c r="L110" s="29">
        <f t="shared" si="34"/>
        <v>156</v>
      </c>
      <c r="M110" s="31"/>
    </row>
    <row r="111" spans="2:15" ht="15.75" hidden="1" x14ac:dyDescent="0.25">
      <c r="B111" s="10">
        <v>46101</v>
      </c>
      <c r="C111" s="11" t="s">
        <v>12</v>
      </c>
      <c r="D111" s="11" t="s">
        <v>20</v>
      </c>
      <c r="F111" s="956">
        <v>46102</v>
      </c>
      <c r="G111" s="29" t="s">
        <v>14</v>
      </c>
      <c r="H111" s="29" t="s">
        <v>22</v>
      </c>
      <c r="I111" s="29">
        <v>0</v>
      </c>
      <c r="J111" s="29">
        <v>0</v>
      </c>
      <c r="K111" s="35">
        <v>16</v>
      </c>
      <c r="L111" s="29">
        <f t="shared" si="34"/>
        <v>16</v>
      </c>
      <c r="M111" s="31"/>
    </row>
    <row r="112" spans="2:15" ht="15.75" hidden="1" x14ac:dyDescent="0.25">
      <c r="B112" s="10">
        <v>46101</v>
      </c>
      <c r="C112" s="11" t="s">
        <v>12</v>
      </c>
      <c r="D112" s="11" t="s">
        <v>20</v>
      </c>
      <c r="F112" s="957"/>
      <c r="G112" s="29" t="s">
        <v>17</v>
      </c>
      <c r="H112" s="29" t="s">
        <v>22</v>
      </c>
      <c r="I112" s="29">
        <v>0</v>
      </c>
      <c r="J112" s="29">
        <v>0</v>
      </c>
      <c r="K112" s="35">
        <v>44</v>
      </c>
      <c r="L112" s="29">
        <f t="shared" si="34"/>
        <v>44</v>
      </c>
      <c r="M112" s="39"/>
    </row>
    <row r="113" spans="2:15" ht="15.75" hidden="1" x14ac:dyDescent="0.2">
      <c r="B113" s="10">
        <v>46101</v>
      </c>
      <c r="C113" s="11" t="s">
        <v>12</v>
      </c>
      <c r="D113" s="11" t="s">
        <v>20</v>
      </c>
      <c r="F113" s="937" t="s">
        <v>40</v>
      </c>
      <c r="G113" s="937"/>
      <c r="H113" s="937"/>
      <c r="I113" s="8">
        <f>SUM(I108:I112)</f>
        <v>150</v>
      </c>
      <c r="J113" s="8">
        <f>SUM(J108:J112)</f>
        <v>53</v>
      </c>
      <c r="K113" s="8">
        <f>SUM(K108:K112)</f>
        <v>60</v>
      </c>
      <c r="L113" s="8">
        <f>SUM(I113:K113)</f>
        <v>263</v>
      </c>
      <c r="M113" s="9"/>
      <c r="O113" s="8">
        <f>L113</f>
        <v>263</v>
      </c>
    </row>
    <row r="114" spans="2:15" ht="15.75" hidden="1" x14ac:dyDescent="0.2">
      <c r="B114" s="10">
        <v>46101</v>
      </c>
      <c r="C114" s="11" t="s">
        <v>18</v>
      </c>
      <c r="D114" s="11" t="s">
        <v>23</v>
      </c>
      <c r="F114" s="955">
        <v>46101</v>
      </c>
      <c r="G114" s="29" t="s">
        <v>25</v>
      </c>
      <c r="H114" s="29" t="s">
        <v>22</v>
      </c>
      <c r="I114" s="29">
        <v>28</v>
      </c>
      <c r="J114" s="29">
        <v>6</v>
      </c>
      <c r="K114" s="29">
        <v>0</v>
      </c>
      <c r="L114" s="29">
        <f t="shared" ref="L114:L117" si="35">SUM(I114:K114)</f>
        <v>34</v>
      </c>
      <c r="M114" s="30"/>
    </row>
    <row r="115" spans="2:15" ht="15.75" hidden="1" x14ac:dyDescent="0.25">
      <c r="B115" s="10">
        <v>46101</v>
      </c>
      <c r="C115" s="11" t="s">
        <v>18</v>
      </c>
      <c r="D115" s="11" t="s">
        <v>23</v>
      </c>
      <c r="F115" s="955"/>
      <c r="G115" s="29" t="s">
        <v>16</v>
      </c>
      <c r="H115" s="29" t="s">
        <v>27</v>
      </c>
      <c r="I115" s="29">
        <v>4</v>
      </c>
      <c r="J115" s="29">
        <v>3</v>
      </c>
      <c r="K115" s="29">
        <v>0</v>
      </c>
      <c r="L115" s="29">
        <f t="shared" si="35"/>
        <v>7</v>
      </c>
      <c r="M115" s="31"/>
    </row>
    <row r="116" spans="2:15" ht="15.75" hidden="1" x14ac:dyDescent="0.25">
      <c r="B116" s="10">
        <v>46101</v>
      </c>
      <c r="C116" s="11" t="s">
        <v>18</v>
      </c>
      <c r="D116" s="11" t="s">
        <v>23</v>
      </c>
      <c r="F116" s="956">
        <v>46102</v>
      </c>
      <c r="G116" s="29" t="s">
        <v>14</v>
      </c>
      <c r="H116" s="29" t="s">
        <v>22</v>
      </c>
      <c r="I116" s="29">
        <v>45</v>
      </c>
      <c r="J116" s="29">
        <v>19</v>
      </c>
      <c r="K116" s="35">
        <f>13+87</f>
        <v>100</v>
      </c>
      <c r="L116" s="29">
        <f t="shared" si="35"/>
        <v>164</v>
      </c>
      <c r="M116" s="31"/>
    </row>
    <row r="117" spans="2:15" ht="15.75" hidden="1" x14ac:dyDescent="0.25">
      <c r="B117" s="10">
        <v>46101</v>
      </c>
      <c r="C117" s="11" t="s">
        <v>18</v>
      </c>
      <c r="D117" s="11" t="s">
        <v>23</v>
      </c>
      <c r="F117" s="957"/>
      <c r="G117" s="29" t="s">
        <v>17</v>
      </c>
      <c r="H117" s="29" t="s">
        <v>22</v>
      </c>
      <c r="I117" s="29">
        <v>34</v>
      </c>
      <c r="J117" s="29">
        <v>13</v>
      </c>
      <c r="K117" s="35">
        <v>15</v>
      </c>
      <c r="L117" s="29">
        <f t="shared" si="35"/>
        <v>62</v>
      </c>
      <c r="M117" s="39"/>
    </row>
    <row r="118" spans="2:15" ht="15.75" hidden="1" x14ac:dyDescent="0.2">
      <c r="B118" s="10">
        <v>46101</v>
      </c>
      <c r="C118" s="11" t="s">
        <v>18</v>
      </c>
      <c r="D118" s="11" t="s">
        <v>23</v>
      </c>
      <c r="F118" s="937" t="s">
        <v>40</v>
      </c>
      <c r="G118" s="937"/>
      <c r="H118" s="937"/>
      <c r="I118" s="8">
        <f>SUM(I114:I117)</f>
        <v>111</v>
      </c>
      <c r="J118" s="8">
        <f>SUM(J114:J117)</f>
        <v>41</v>
      </c>
      <c r="K118" s="8">
        <f>SUM(K114:K117)</f>
        <v>115</v>
      </c>
      <c r="L118" s="8">
        <f>SUM(I118:K118)</f>
        <v>267</v>
      </c>
      <c r="M118" s="9"/>
      <c r="O118" s="8">
        <f>L118</f>
        <v>267</v>
      </c>
    </row>
    <row r="119" spans="2:15" ht="15.75" hidden="1" x14ac:dyDescent="0.25">
      <c r="B119" s="10">
        <v>46102</v>
      </c>
      <c r="C119" s="11" t="s">
        <v>22</v>
      </c>
      <c r="D119" s="11" t="s">
        <v>13</v>
      </c>
      <c r="F119" s="951">
        <v>46102</v>
      </c>
      <c r="G119" s="29" t="s">
        <v>25</v>
      </c>
      <c r="H119" s="29" t="s">
        <v>22</v>
      </c>
      <c r="I119" s="29">
        <v>6</v>
      </c>
      <c r="J119" s="29">
        <v>10</v>
      </c>
      <c r="K119" s="29">
        <v>0</v>
      </c>
      <c r="L119" s="29">
        <f t="shared" ref="L119:L120" si="36">SUM(I119:K119)</f>
        <v>16</v>
      </c>
      <c r="M119" s="31"/>
    </row>
    <row r="120" spans="2:15" ht="15.75" hidden="1" x14ac:dyDescent="0.25">
      <c r="B120" s="10">
        <v>46102</v>
      </c>
      <c r="C120" s="11" t="s">
        <v>22</v>
      </c>
      <c r="D120" s="11" t="s">
        <v>13</v>
      </c>
      <c r="F120" s="952"/>
      <c r="G120" s="42" t="s">
        <v>17</v>
      </c>
      <c r="H120" s="42" t="s">
        <v>12</v>
      </c>
      <c r="I120" s="42">
        <v>2</v>
      </c>
      <c r="J120" s="42">
        <v>2</v>
      </c>
      <c r="K120" s="42">
        <v>0</v>
      </c>
      <c r="L120" s="42">
        <f t="shared" si="36"/>
        <v>4</v>
      </c>
      <c r="M120" s="43"/>
    </row>
    <row r="121" spans="2:15" ht="16.5" hidden="1" thickTop="1" x14ac:dyDescent="0.25">
      <c r="B121" s="10">
        <v>46102</v>
      </c>
      <c r="C121" s="11" t="s">
        <v>22</v>
      </c>
      <c r="D121" s="11" t="s">
        <v>13</v>
      </c>
      <c r="F121" s="952">
        <v>46104</v>
      </c>
      <c r="G121" s="44" t="s">
        <v>32</v>
      </c>
      <c r="H121" s="44" t="s">
        <v>22</v>
      </c>
      <c r="I121" s="44">
        <v>44</v>
      </c>
      <c r="J121" s="44">
        <v>2</v>
      </c>
      <c r="K121" s="44">
        <v>0</v>
      </c>
      <c r="L121" s="44">
        <f t="shared" ref="L121" si="37">SUM(I121:K121)</f>
        <v>46</v>
      </c>
      <c r="M121" s="45"/>
    </row>
    <row r="122" spans="2:15" ht="15.75" hidden="1" x14ac:dyDescent="0.25">
      <c r="B122" s="10">
        <v>46102</v>
      </c>
      <c r="C122" s="11" t="s">
        <v>22</v>
      </c>
      <c r="D122" s="11" t="s">
        <v>13</v>
      </c>
      <c r="F122" s="952"/>
      <c r="G122" s="29" t="s">
        <v>14</v>
      </c>
      <c r="H122" s="29" t="s">
        <v>18</v>
      </c>
      <c r="I122" s="29">
        <v>32</v>
      </c>
      <c r="J122" s="29">
        <v>5</v>
      </c>
      <c r="K122" s="29">
        <v>66</v>
      </c>
      <c r="L122" s="29">
        <v>0</v>
      </c>
      <c r="M122" s="31"/>
    </row>
    <row r="123" spans="2:15" ht="15.75" hidden="1" x14ac:dyDescent="0.2">
      <c r="B123" s="10">
        <v>46102</v>
      </c>
      <c r="C123" s="11" t="s">
        <v>22</v>
      </c>
      <c r="D123" s="11" t="s">
        <v>13</v>
      </c>
      <c r="F123" s="937" t="s">
        <v>40</v>
      </c>
      <c r="G123" s="937"/>
      <c r="H123" s="937"/>
      <c r="I123" s="8">
        <f>SUM(I119:I122)</f>
        <v>84</v>
      </c>
      <c r="J123" s="8">
        <f>SUM(J119:J122)</f>
        <v>19</v>
      </c>
      <c r="K123" s="8">
        <f>SUM(K119:K122)</f>
        <v>66</v>
      </c>
      <c r="L123" s="8">
        <f>SUM(I123:K123)</f>
        <v>169</v>
      </c>
      <c r="M123" s="9"/>
      <c r="O123" s="8">
        <f>L123</f>
        <v>169</v>
      </c>
    </row>
    <row r="124" spans="2:15" ht="15.75" hidden="1" x14ac:dyDescent="0.25">
      <c r="B124" s="10">
        <v>46102</v>
      </c>
      <c r="C124" s="11" t="s">
        <v>12</v>
      </c>
      <c r="D124" s="11" t="s">
        <v>20</v>
      </c>
      <c r="F124" s="955">
        <v>46102</v>
      </c>
      <c r="G124" s="29" t="s">
        <v>16</v>
      </c>
      <c r="H124" s="29" t="s">
        <v>12</v>
      </c>
      <c r="I124" s="29">
        <v>3</v>
      </c>
      <c r="J124" s="29">
        <v>1</v>
      </c>
      <c r="K124" s="29">
        <v>0</v>
      </c>
      <c r="L124" s="29">
        <f t="shared" ref="L124:L126" si="38">SUM(I124:K124)</f>
        <v>4</v>
      </c>
      <c r="M124" s="31"/>
    </row>
    <row r="125" spans="2:15" ht="15.75" hidden="1" x14ac:dyDescent="0.25">
      <c r="B125" s="10">
        <v>46102</v>
      </c>
      <c r="C125" s="11" t="s">
        <v>12</v>
      </c>
      <c r="D125" s="11" t="s">
        <v>20</v>
      </c>
      <c r="F125" s="955"/>
      <c r="G125" s="42" t="s">
        <v>14</v>
      </c>
      <c r="H125" s="29" t="s">
        <v>12</v>
      </c>
      <c r="I125" s="42">
        <v>1</v>
      </c>
      <c r="J125" s="42">
        <v>1</v>
      </c>
      <c r="K125" s="42">
        <v>0</v>
      </c>
      <c r="L125" s="42">
        <f t="shared" si="38"/>
        <v>2</v>
      </c>
      <c r="M125" s="43"/>
    </row>
    <row r="126" spans="2:15" ht="16.5" hidden="1" thickTop="1" x14ac:dyDescent="0.25">
      <c r="B126" s="10">
        <v>46102</v>
      </c>
      <c r="C126" s="11" t="s">
        <v>12</v>
      </c>
      <c r="D126" s="11" t="s">
        <v>20</v>
      </c>
      <c r="F126" s="958">
        <v>46104</v>
      </c>
      <c r="G126" s="44" t="s">
        <v>32</v>
      </c>
      <c r="H126" s="44" t="s">
        <v>22</v>
      </c>
      <c r="I126" s="44">
        <v>48</v>
      </c>
      <c r="J126" s="44">
        <v>10</v>
      </c>
      <c r="K126" s="44">
        <v>112</v>
      </c>
      <c r="L126" s="44">
        <f t="shared" si="38"/>
        <v>170</v>
      </c>
      <c r="M126" s="45"/>
    </row>
    <row r="127" spans="2:15" ht="15.75" hidden="1" x14ac:dyDescent="0.25">
      <c r="B127" s="10">
        <v>46102</v>
      </c>
      <c r="C127" s="11" t="s">
        <v>12</v>
      </c>
      <c r="D127" s="11" t="s">
        <v>20</v>
      </c>
      <c r="F127" s="958"/>
      <c r="G127" s="29" t="s">
        <v>14</v>
      </c>
      <c r="H127" s="29" t="s">
        <v>15</v>
      </c>
      <c r="I127" s="29">
        <v>29</v>
      </c>
      <c r="J127" s="29">
        <v>7</v>
      </c>
      <c r="K127" s="29">
        <v>0</v>
      </c>
      <c r="L127" s="29">
        <v>0</v>
      </c>
      <c r="M127" s="31"/>
    </row>
    <row r="128" spans="2:15" ht="15.75" hidden="1" x14ac:dyDescent="0.2">
      <c r="B128" s="10">
        <v>46102</v>
      </c>
      <c r="C128" s="11" t="s">
        <v>12</v>
      </c>
      <c r="D128" s="11" t="s">
        <v>20</v>
      </c>
      <c r="F128" s="937" t="s">
        <v>40</v>
      </c>
      <c r="G128" s="937"/>
      <c r="H128" s="937"/>
      <c r="I128" s="8">
        <f>SUM(I124:I127)</f>
        <v>81</v>
      </c>
      <c r="J128" s="8">
        <f>SUM(J124:J127)</f>
        <v>19</v>
      </c>
      <c r="K128" s="8">
        <f>SUM(K124:K127)</f>
        <v>112</v>
      </c>
      <c r="L128" s="8">
        <f>SUM(I128:K128)</f>
        <v>212</v>
      </c>
      <c r="M128" s="9"/>
      <c r="O128" s="8">
        <f>L128</f>
        <v>212</v>
      </c>
    </row>
    <row r="129" spans="2:15" ht="15.75" hidden="1" x14ac:dyDescent="0.25">
      <c r="B129" s="10">
        <v>46104</v>
      </c>
      <c r="C129" s="11" t="s">
        <v>22</v>
      </c>
      <c r="D129" s="11" t="s">
        <v>13</v>
      </c>
      <c r="F129" s="951">
        <v>46104</v>
      </c>
      <c r="G129" s="29" t="s">
        <v>16</v>
      </c>
      <c r="H129" s="29" t="s">
        <v>27</v>
      </c>
      <c r="I129" s="29">
        <v>132</v>
      </c>
      <c r="J129" s="29">
        <v>48</v>
      </c>
      <c r="K129" s="29">
        <v>0</v>
      </c>
      <c r="L129" s="29">
        <f t="shared" ref="L129:L131" si="39">SUM(I129:K129)</f>
        <v>180</v>
      </c>
      <c r="M129" s="31"/>
    </row>
    <row r="130" spans="2:15" ht="15.75" hidden="1" x14ac:dyDescent="0.25">
      <c r="B130" s="10">
        <v>46104</v>
      </c>
      <c r="C130" s="11" t="s">
        <v>22</v>
      </c>
      <c r="D130" s="11" t="s">
        <v>13</v>
      </c>
      <c r="F130" s="952"/>
      <c r="G130" s="29" t="s">
        <v>32</v>
      </c>
      <c r="H130" s="29" t="s">
        <v>22</v>
      </c>
      <c r="I130" s="29">
        <v>181</v>
      </c>
      <c r="J130" s="29">
        <v>30</v>
      </c>
      <c r="K130" s="29">
        <v>0</v>
      </c>
      <c r="L130" s="29">
        <f t="shared" si="39"/>
        <v>211</v>
      </c>
      <c r="M130" s="31"/>
    </row>
    <row r="131" spans="2:15" ht="15.75" hidden="1" x14ac:dyDescent="0.25">
      <c r="B131" s="10">
        <v>46104</v>
      </c>
      <c r="C131" s="11" t="s">
        <v>22</v>
      </c>
      <c r="D131" s="11" t="s">
        <v>13</v>
      </c>
      <c r="F131" s="959"/>
      <c r="G131" s="29" t="s">
        <v>14</v>
      </c>
      <c r="H131" s="29" t="s">
        <v>15</v>
      </c>
      <c r="I131" s="29">
        <v>123</v>
      </c>
      <c r="J131" s="29">
        <v>51</v>
      </c>
      <c r="K131" s="29">
        <v>0</v>
      </c>
      <c r="L131" s="29">
        <f t="shared" si="39"/>
        <v>174</v>
      </c>
      <c r="M131" s="31"/>
    </row>
    <row r="132" spans="2:15" ht="15.75" hidden="1" x14ac:dyDescent="0.2">
      <c r="B132" s="10">
        <v>46104</v>
      </c>
      <c r="C132" s="11" t="s">
        <v>22</v>
      </c>
      <c r="D132" s="11" t="s">
        <v>13</v>
      </c>
      <c r="F132" s="937" t="s">
        <v>40</v>
      </c>
      <c r="G132" s="937"/>
      <c r="H132" s="937"/>
      <c r="I132" s="8">
        <f>SUM(I129:I131)</f>
        <v>436</v>
      </c>
      <c r="J132" s="8">
        <f>SUM(J129:J131)</f>
        <v>129</v>
      </c>
      <c r="K132" s="8">
        <f>SUM(K129:K131)</f>
        <v>0</v>
      </c>
      <c r="L132" s="8">
        <f>SUM(I132:K132)</f>
        <v>565</v>
      </c>
      <c r="M132" s="9"/>
      <c r="O132" s="8">
        <f>L132</f>
        <v>565</v>
      </c>
    </row>
    <row r="133" spans="2:15" ht="15.75" hidden="1" x14ac:dyDescent="0.25">
      <c r="B133" s="10">
        <v>46104</v>
      </c>
      <c r="C133" s="11" t="s">
        <v>12</v>
      </c>
      <c r="D133" s="11" t="s">
        <v>20</v>
      </c>
      <c r="F133" s="955">
        <v>46104</v>
      </c>
      <c r="G133" s="29" t="s">
        <v>16</v>
      </c>
      <c r="H133" s="29" t="s">
        <v>27</v>
      </c>
      <c r="I133" s="29">
        <v>31</v>
      </c>
      <c r="J133" s="29">
        <v>30</v>
      </c>
      <c r="K133" s="29">
        <v>0</v>
      </c>
      <c r="L133" s="29">
        <v>0</v>
      </c>
      <c r="M133" s="31"/>
    </row>
    <row r="134" spans="2:15" ht="15.75" hidden="1" x14ac:dyDescent="0.25">
      <c r="B134" s="10">
        <v>46104</v>
      </c>
      <c r="C134" s="11" t="s">
        <v>12</v>
      </c>
      <c r="D134" s="11" t="s">
        <v>20</v>
      </c>
      <c r="F134" s="955"/>
      <c r="G134" s="42" t="s">
        <v>14</v>
      </c>
      <c r="H134" s="29" t="s">
        <v>15</v>
      </c>
      <c r="I134" s="42">
        <v>20</v>
      </c>
      <c r="J134" s="42">
        <v>11</v>
      </c>
      <c r="K134" s="42">
        <v>0</v>
      </c>
      <c r="L134" s="29">
        <v>0</v>
      </c>
      <c r="M134" s="43"/>
    </row>
    <row r="135" spans="2:15" ht="15.75" hidden="1" x14ac:dyDescent="0.25">
      <c r="B135" s="10">
        <v>46104</v>
      </c>
      <c r="C135" s="11" t="s">
        <v>12</v>
      </c>
      <c r="D135" s="11" t="s">
        <v>20</v>
      </c>
      <c r="F135" s="955"/>
      <c r="G135" s="42" t="s">
        <v>17</v>
      </c>
      <c r="H135" s="29" t="s">
        <v>18</v>
      </c>
      <c r="I135" s="42">
        <v>106</v>
      </c>
      <c r="J135" s="42">
        <v>30</v>
      </c>
      <c r="K135" s="42">
        <v>0</v>
      </c>
      <c r="L135" s="29">
        <v>0</v>
      </c>
      <c r="M135" s="43"/>
    </row>
    <row r="136" spans="2:15" ht="15.75" hidden="1" x14ac:dyDescent="0.25">
      <c r="B136" s="10">
        <v>46104</v>
      </c>
      <c r="C136" s="11" t="s">
        <v>12</v>
      </c>
      <c r="D136" s="11" t="s">
        <v>20</v>
      </c>
      <c r="F136" s="46">
        <v>46105</v>
      </c>
      <c r="G136" s="29" t="s">
        <v>14</v>
      </c>
      <c r="H136" s="29" t="s">
        <v>15</v>
      </c>
      <c r="I136" s="29">
        <v>0</v>
      </c>
      <c r="J136" s="29">
        <v>0</v>
      </c>
      <c r="K136" s="29">
        <v>5</v>
      </c>
      <c r="L136" s="29">
        <v>0</v>
      </c>
      <c r="M136" s="31"/>
    </row>
    <row r="137" spans="2:15" ht="15.75" hidden="1" x14ac:dyDescent="0.2">
      <c r="B137" s="10">
        <v>46104</v>
      </c>
      <c r="C137" s="11" t="s">
        <v>12</v>
      </c>
      <c r="D137" s="11" t="s">
        <v>20</v>
      </c>
      <c r="F137" s="937" t="s">
        <v>40</v>
      </c>
      <c r="G137" s="937"/>
      <c r="H137" s="937"/>
      <c r="I137" s="8">
        <f>SUM(I133:I136)</f>
        <v>157</v>
      </c>
      <c r="J137" s="8">
        <f>SUM(J133:J136)</f>
        <v>71</v>
      </c>
      <c r="K137" s="8">
        <f>SUM(K133:K136)</f>
        <v>5</v>
      </c>
      <c r="L137" s="8">
        <f t="shared" ref="L137:L150" si="40">SUM(I137:K137)</f>
        <v>233</v>
      </c>
      <c r="M137" s="9"/>
      <c r="O137" s="8">
        <f>L137</f>
        <v>233</v>
      </c>
    </row>
    <row r="138" spans="2:15" ht="15.75" hidden="1" x14ac:dyDescent="0.25">
      <c r="B138" s="10">
        <v>46104</v>
      </c>
      <c r="C138" s="11" t="s">
        <v>18</v>
      </c>
      <c r="D138" s="11" t="s">
        <v>23</v>
      </c>
      <c r="F138" s="955">
        <v>46104</v>
      </c>
      <c r="G138" s="29" t="s">
        <v>16</v>
      </c>
      <c r="H138" s="29" t="s">
        <v>27</v>
      </c>
      <c r="I138" s="29" t="e">
        <f>GETPIVOTDATA("Mã NVL",[2]BC!$A$3,"Model","Limo","Tình Trạng
 cấp đơn","Done","KHSX",DATE(2026,3,23))</f>
        <v>#REF!</v>
      </c>
      <c r="J138" s="29" t="e">
        <f>GETPIVOTDATA("Mã NVL",[2]BC!$A$3,"Model","Limo","Tình Trạng
 cấp đơn","Partial finished","KHSX",DATE(2026,3,23))</f>
        <v>#REF!</v>
      </c>
      <c r="K138" s="29">
        <v>0</v>
      </c>
      <c r="L138" s="29" t="e">
        <f t="shared" si="40"/>
        <v>#REF!</v>
      </c>
      <c r="M138" s="31"/>
    </row>
    <row r="139" spans="2:15" ht="15.75" hidden="1" x14ac:dyDescent="0.25">
      <c r="B139" s="10">
        <v>46104</v>
      </c>
      <c r="C139" s="11" t="s">
        <v>18</v>
      </c>
      <c r="D139" s="11" t="s">
        <v>23</v>
      </c>
      <c r="F139" s="955"/>
      <c r="G139" s="42" t="s">
        <v>17</v>
      </c>
      <c r="H139" s="29" t="s">
        <v>18</v>
      </c>
      <c r="I139" s="42" t="e">
        <f>GETPIVOTDATA("Mã NVL",[2]BC!$A$3,"Model","VF6","Tình Trạng
 cấp đơn","Done","KHSX",DATE(2026,3,23))</f>
        <v>#REF!</v>
      </c>
      <c r="J139" s="42" t="e">
        <f>GETPIVOTDATA("Mã NVL",[2]BC!$A$3,"Model","VF6","Tình Trạng
 cấp đơn","Partial finished","KHSX",DATE(2026,3,23))</f>
        <v>#REF!</v>
      </c>
      <c r="K139" s="42">
        <v>0</v>
      </c>
      <c r="L139" s="29" t="e">
        <f t="shared" si="40"/>
        <v>#REF!</v>
      </c>
      <c r="M139" s="43"/>
    </row>
    <row r="140" spans="2:15" ht="15.75" hidden="1" x14ac:dyDescent="0.25">
      <c r="B140" s="10">
        <v>46104</v>
      </c>
      <c r="C140" s="11" t="s">
        <v>18</v>
      </c>
      <c r="D140" s="11" t="s">
        <v>23</v>
      </c>
      <c r="F140" s="953">
        <v>46105</v>
      </c>
      <c r="G140" s="29" t="s">
        <v>16</v>
      </c>
      <c r="H140" s="29" t="s">
        <v>27</v>
      </c>
      <c r="I140" s="29" t="e">
        <f>GETPIVOTDATA("Mã NVL",[2]BC!$A$3,"Model","Limo","Tình Trạng
 cấp đơn","Done","KHSX",DATE(2026,3,24),"NOTE","Hàng tập kết")</f>
        <v>#REF!</v>
      </c>
      <c r="J140" s="29" t="e">
        <f>GETPIVOTDATA("Mã NVL",[2]BC!$A$3,"Model","Limo","Tình Trạng
 cấp đơn","Partial finished","KHSX",DATE(2026,3,24))</f>
        <v>#REF!</v>
      </c>
      <c r="K140" s="29">
        <v>0</v>
      </c>
      <c r="L140" s="29" t="e">
        <f t="shared" si="40"/>
        <v>#REF!</v>
      </c>
      <c r="M140" s="31"/>
    </row>
    <row r="141" spans="2:15" ht="15.75" hidden="1" x14ac:dyDescent="0.25">
      <c r="B141" s="10">
        <v>46104</v>
      </c>
      <c r="C141" s="11" t="s">
        <v>18</v>
      </c>
      <c r="D141" s="11" t="s">
        <v>23</v>
      </c>
      <c r="F141" s="954"/>
      <c r="G141" s="29" t="s">
        <v>14</v>
      </c>
      <c r="H141" s="29" t="s">
        <v>15</v>
      </c>
      <c r="I141" s="29" t="e">
        <f>GETPIVOTDATA("Mã NVL",[2]BC!$A$3,"Model","VF5","Tình Trạng
 cấp đơn","Done")</f>
        <v>#REF!</v>
      </c>
      <c r="J141" s="29" t="e">
        <f>GETPIVOTDATA("Mã NVL",[2]BC!$A$3,"Model","VF5","Tình Trạng
 cấp đơn","Partial finished")</f>
        <v>#REF!</v>
      </c>
      <c r="K141" s="29" t="e">
        <f>GETPIVOTDATA("Mã NVL",[2]BC!$A$3,"Model","VF5","Tình Trạng
 cấp đơn","Pending","KHSX",DATE(2026,3,24),"NOTE","Hàng tập kết")</f>
        <v>#REF!</v>
      </c>
      <c r="L141" s="29" t="e">
        <f t="shared" si="40"/>
        <v>#REF!</v>
      </c>
      <c r="M141" s="31"/>
    </row>
    <row r="142" spans="2:15" ht="15.75" hidden="1" x14ac:dyDescent="0.2">
      <c r="B142" s="10">
        <v>46104</v>
      </c>
      <c r="C142" s="11" t="s">
        <v>18</v>
      </c>
      <c r="D142" s="11" t="s">
        <v>23</v>
      </c>
      <c r="F142" s="937" t="s">
        <v>40</v>
      </c>
      <c r="G142" s="937"/>
      <c r="H142" s="937"/>
      <c r="I142" s="8" t="e">
        <f>SUM(I138:I141)</f>
        <v>#REF!</v>
      </c>
      <c r="J142" s="8" t="e">
        <f>SUM(J138:J141)</f>
        <v>#REF!</v>
      </c>
      <c r="K142" s="8" t="e">
        <f>SUM(K138:K141)</f>
        <v>#REF!</v>
      </c>
      <c r="L142" s="8" t="e">
        <f t="shared" si="40"/>
        <v>#REF!</v>
      </c>
      <c r="M142" s="9"/>
      <c r="O142" s="8" t="e">
        <f>L142</f>
        <v>#REF!</v>
      </c>
    </row>
    <row r="143" spans="2:15" ht="15.75" hidden="1" x14ac:dyDescent="0.25">
      <c r="B143" s="10">
        <v>46105</v>
      </c>
      <c r="C143" s="11" t="s">
        <v>22</v>
      </c>
      <c r="D143" s="11" t="s">
        <v>13</v>
      </c>
      <c r="F143" s="951">
        <v>46105</v>
      </c>
      <c r="G143" s="29" t="s">
        <v>16</v>
      </c>
      <c r="H143" s="29" t="s">
        <v>27</v>
      </c>
      <c r="I143" s="29">
        <v>140</v>
      </c>
      <c r="J143" s="29">
        <v>58</v>
      </c>
      <c r="K143" s="29">
        <v>0</v>
      </c>
      <c r="L143" s="29">
        <f t="shared" si="40"/>
        <v>198</v>
      </c>
      <c r="M143" s="31"/>
    </row>
    <row r="144" spans="2:15" ht="15.75" hidden="1" x14ac:dyDescent="0.25">
      <c r="B144" s="10">
        <v>46105</v>
      </c>
      <c r="C144" s="11" t="s">
        <v>22</v>
      </c>
      <c r="D144" s="11" t="s">
        <v>13</v>
      </c>
      <c r="F144" s="952"/>
      <c r="G144" s="29" t="s">
        <v>32</v>
      </c>
      <c r="H144" s="29" t="s">
        <v>22</v>
      </c>
      <c r="I144" s="29">
        <v>12</v>
      </c>
      <c r="J144" s="29">
        <v>8</v>
      </c>
      <c r="K144" s="29">
        <v>0</v>
      </c>
      <c r="L144" s="29">
        <f t="shared" si="40"/>
        <v>20</v>
      </c>
      <c r="M144" s="31"/>
    </row>
    <row r="145" spans="2:15" ht="15.75" hidden="1" x14ac:dyDescent="0.25">
      <c r="B145" s="10">
        <v>46105</v>
      </c>
      <c r="C145" s="11" t="s">
        <v>22</v>
      </c>
      <c r="D145" s="11" t="s">
        <v>13</v>
      </c>
      <c r="F145" s="959"/>
      <c r="G145" s="29" t="s">
        <v>14</v>
      </c>
      <c r="H145" s="29" t="s">
        <v>15</v>
      </c>
      <c r="I145" s="29">
        <v>40</v>
      </c>
      <c r="J145" s="29">
        <v>21</v>
      </c>
      <c r="K145" s="29">
        <v>0</v>
      </c>
      <c r="L145" s="29">
        <f t="shared" si="40"/>
        <v>61</v>
      </c>
      <c r="M145" s="31"/>
    </row>
    <row r="146" spans="2:15" ht="15.75" hidden="1" x14ac:dyDescent="0.2">
      <c r="B146" s="10">
        <v>46105</v>
      </c>
      <c r="C146" s="11" t="s">
        <v>22</v>
      </c>
      <c r="D146" s="11" t="s">
        <v>13</v>
      </c>
      <c r="F146" s="937" t="s">
        <v>40</v>
      </c>
      <c r="G146" s="937"/>
      <c r="H146" s="937"/>
      <c r="I146" s="8">
        <f>SUM(I143:I145)</f>
        <v>192</v>
      </c>
      <c r="J146" s="8">
        <f>SUM(J143:J145)</f>
        <v>87</v>
      </c>
      <c r="K146" s="8">
        <f>SUM(K143:K145)</f>
        <v>0</v>
      </c>
      <c r="L146" s="8">
        <f>SUM(I146:K146)</f>
        <v>279</v>
      </c>
      <c r="M146" s="9"/>
      <c r="O146" s="8">
        <f>L146</f>
        <v>279</v>
      </c>
    </row>
    <row r="147" spans="2:15" ht="15.75" hidden="1" x14ac:dyDescent="0.25">
      <c r="B147" s="10">
        <v>46105</v>
      </c>
      <c r="C147" s="11" t="s">
        <v>12</v>
      </c>
      <c r="D147" s="11" t="s">
        <v>20</v>
      </c>
      <c r="F147" s="955">
        <v>46105</v>
      </c>
      <c r="G147" s="29" t="s">
        <v>16</v>
      </c>
      <c r="H147" s="29" t="s">
        <v>27</v>
      </c>
      <c r="I147" s="29">
        <v>48</v>
      </c>
      <c r="J147" s="29">
        <v>22</v>
      </c>
      <c r="K147" s="29">
        <v>0</v>
      </c>
      <c r="L147" s="29">
        <f t="shared" si="40"/>
        <v>70</v>
      </c>
      <c r="M147" s="31"/>
    </row>
    <row r="148" spans="2:15" ht="15.75" hidden="1" x14ac:dyDescent="0.25">
      <c r="B148" s="10">
        <v>46105</v>
      </c>
      <c r="C148" s="11" t="s">
        <v>12</v>
      </c>
      <c r="D148" s="11" t="s">
        <v>20</v>
      </c>
      <c r="F148" s="955"/>
      <c r="G148" s="42" t="s">
        <v>14</v>
      </c>
      <c r="H148" s="29" t="s">
        <v>15</v>
      </c>
      <c r="I148" s="42">
        <v>17</v>
      </c>
      <c r="J148" s="42">
        <v>7</v>
      </c>
      <c r="K148" s="42">
        <v>0</v>
      </c>
      <c r="L148" s="29">
        <f t="shared" si="40"/>
        <v>24</v>
      </c>
      <c r="M148" s="43"/>
    </row>
    <row r="149" spans="2:15" ht="15.75" hidden="1" x14ac:dyDescent="0.25">
      <c r="B149" s="10">
        <v>46105</v>
      </c>
      <c r="C149" s="11" t="s">
        <v>12</v>
      </c>
      <c r="D149" s="11" t="s">
        <v>20</v>
      </c>
      <c r="F149" s="955"/>
      <c r="G149" s="42" t="s">
        <v>17</v>
      </c>
      <c r="H149" s="29" t="s">
        <v>18</v>
      </c>
      <c r="I149" s="42">
        <v>111</v>
      </c>
      <c r="J149" s="42">
        <v>24</v>
      </c>
      <c r="K149" s="42">
        <v>0</v>
      </c>
      <c r="L149" s="29">
        <f t="shared" si="40"/>
        <v>135</v>
      </c>
      <c r="M149" s="43"/>
    </row>
    <row r="150" spans="2:15" ht="15.75" hidden="1" x14ac:dyDescent="0.25">
      <c r="B150" s="10">
        <v>46105</v>
      </c>
      <c r="C150" s="11" t="s">
        <v>12</v>
      </c>
      <c r="D150" s="11" t="s">
        <v>20</v>
      </c>
      <c r="F150" s="46">
        <v>46106</v>
      </c>
      <c r="G150" s="29" t="s">
        <v>14</v>
      </c>
      <c r="H150" s="29" t="s">
        <v>15</v>
      </c>
      <c r="I150" s="29">
        <v>0</v>
      </c>
      <c r="J150" s="29">
        <v>7</v>
      </c>
      <c r="K150" s="29">
        <v>0</v>
      </c>
      <c r="L150" s="29">
        <f t="shared" si="40"/>
        <v>7</v>
      </c>
      <c r="M150" s="31"/>
    </row>
    <row r="151" spans="2:15" ht="15.75" hidden="1" x14ac:dyDescent="0.2">
      <c r="B151" s="10">
        <v>46105</v>
      </c>
      <c r="C151" s="11" t="s">
        <v>12</v>
      </c>
      <c r="D151" s="11" t="s">
        <v>20</v>
      </c>
      <c r="F151" s="937" t="s">
        <v>40</v>
      </c>
      <c r="G151" s="937"/>
      <c r="H151" s="937"/>
      <c r="I151" s="8">
        <f>SUM(I147:I150)</f>
        <v>176</v>
      </c>
      <c r="J151" s="8">
        <f>SUM(J147:J150)</f>
        <v>60</v>
      </c>
      <c r="K151" s="8">
        <f>SUM(K147:K150)</f>
        <v>0</v>
      </c>
      <c r="L151" s="8">
        <f t="shared" ref="L151:L155" si="41">SUM(I151:K151)</f>
        <v>236</v>
      </c>
      <c r="M151" s="9"/>
      <c r="O151" s="8">
        <f>L151</f>
        <v>236</v>
      </c>
    </row>
    <row r="152" spans="2:15" ht="15.75" hidden="1" x14ac:dyDescent="0.25">
      <c r="B152" s="10">
        <v>46105</v>
      </c>
      <c r="C152" s="11" t="s">
        <v>18</v>
      </c>
      <c r="D152" s="11" t="s">
        <v>23</v>
      </c>
      <c r="F152" s="955">
        <v>46105</v>
      </c>
      <c r="G152" s="29" t="s">
        <v>16</v>
      </c>
      <c r="H152" s="29" t="s">
        <v>27</v>
      </c>
      <c r="I152" s="29" t="e">
        <f>GETPIVOTDATA("Mã NVL",[1]BC!$A$3,"Model","Limo","Tình Trạng
 cấp đơn","Done")</f>
        <v>#REF!</v>
      </c>
      <c r="J152" s="29" t="e">
        <f>GETPIVOTDATA("Mã NVL",[1]BC!$A$3,"Model","Limo","Tình Trạng
 cấp đơn","Partial finished")</f>
        <v>#REF!</v>
      </c>
      <c r="K152" s="29">
        <v>0</v>
      </c>
      <c r="L152" s="29" t="e">
        <f t="shared" si="41"/>
        <v>#REF!</v>
      </c>
      <c r="M152" s="31"/>
    </row>
    <row r="153" spans="2:15" ht="15.75" hidden="1" x14ac:dyDescent="0.25">
      <c r="B153" s="10">
        <v>46105</v>
      </c>
      <c r="C153" s="11" t="s">
        <v>18</v>
      </c>
      <c r="D153" s="11" t="s">
        <v>23</v>
      </c>
      <c r="F153" s="955"/>
      <c r="G153" s="42" t="s">
        <v>25</v>
      </c>
      <c r="H153" s="29" t="s">
        <v>15</v>
      </c>
      <c r="I153" s="42">
        <v>3</v>
      </c>
      <c r="J153" s="42">
        <v>3</v>
      </c>
      <c r="K153" s="42">
        <v>0</v>
      </c>
      <c r="L153" s="29">
        <f t="shared" si="41"/>
        <v>6</v>
      </c>
      <c r="M153" s="43"/>
    </row>
    <row r="154" spans="2:15" ht="15.75" hidden="1" x14ac:dyDescent="0.25">
      <c r="B154" s="10">
        <v>46105</v>
      </c>
      <c r="C154" s="11" t="s">
        <v>18</v>
      </c>
      <c r="D154" s="11" t="s">
        <v>23</v>
      </c>
      <c r="F154" s="955"/>
      <c r="G154" s="42" t="s">
        <v>17</v>
      </c>
      <c r="H154" s="29" t="s">
        <v>18</v>
      </c>
      <c r="I154" s="42" t="e">
        <f>GETPIVOTDATA("Mã NVL",[1]BC!$A$3,"Model","VF6","Tình Trạng
 cấp đơn","Done")</f>
        <v>#REF!</v>
      </c>
      <c r="J154" s="42" t="e">
        <f>GETPIVOTDATA("Mã NVL",[1]BC!$A$3,"Model","VF6","Tình Trạng
 cấp đơn","Partial finished")</f>
        <v>#REF!</v>
      </c>
      <c r="K154" s="42">
        <v>0</v>
      </c>
      <c r="L154" s="29" t="e">
        <f t="shared" si="41"/>
        <v>#REF!</v>
      </c>
      <c r="M154" s="43"/>
    </row>
    <row r="155" spans="2:15" ht="15.75" hidden="1" x14ac:dyDescent="0.25">
      <c r="B155" s="10">
        <v>46105</v>
      </c>
      <c r="C155" s="11" t="s">
        <v>18</v>
      </c>
      <c r="D155" s="11" t="s">
        <v>23</v>
      </c>
      <c r="F155" s="46">
        <v>46106</v>
      </c>
      <c r="G155" s="29" t="s">
        <v>14</v>
      </c>
      <c r="H155" s="29" t="s">
        <v>15</v>
      </c>
      <c r="I155" s="29" t="e">
        <f>GETPIVOTDATA("Mã NVL",[1]BC!$A$3,"Model","VF5","Tình Trạng
 cấp đơn","Done")</f>
        <v>#REF!</v>
      </c>
      <c r="J155" s="29" t="e">
        <f>GETPIVOTDATA("Mã NVL",[1]BC!$A$3,"Model","VF5","Tình Trạng
 cấp đơn","Partial finished")</f>
        <v>#REF!</v>
      </c>
      <c r="K155" s="29" t="e">
        <f>GETPIVOTDATA("Mã NVL",[1]BC!$A$3,"Model","VF5","Tình Trạng
 cấp đơn","Pending","KHSX",DATE(2026,3,25),"NOTE","Hàng tập kết")</f>
        <v>#REF!</v>
      </c>
      <c r="L155" s="29" t="e">
        <f t="shared" si="41"/>
        <v>#REF!</v>
      </c>
      <c r="M155" s="31"/>
    </row>
    <row r="156" spans="2:15" ht="15.75" hidden="1" x14ac:dyDescent="0.2">
      <c r="B156" s="10">
        <v>46105</v>
      </c>
      <c r="C156" s="11" t="s">
        <v>18</v>
      </c>
      <c r="D156" s="11" t="s">
        <v>23</v>
      </c>
      <c r="F156" s="937" t="s">
        <v>40</v>
      </c>
      <c r="G156" s="937"/>
      <c r="H156" s="937"/>
      <c r="I156" s="8" t="e">
        <f>SUM(I152:I155)</f>
        <v>#REF!</v>
      </c>
      <c r="J156" s="8" t="e">
        <f>SUM(J152:J155)</f>
        <v>#REF!</v>
      </c>
      <c r="K156" s="8" t="e">
        <f>SUM(K152:K155)</f>
        <v>#REF!</v>
      </c>
      <c r="L156" s="8" t="e">
        <f t="shared" ref="L156:L159" si="42">SUM(I156:K156)</f>
        <v>#REF!</v>
      </c>
      <c r="M156" s="9"/>
      <c r="O156" s="8" t="e">
        <f>L156</f>
        <v>#REF!</v>
      </c>
    </row>
    <row r="157" spans="2:15" ht="15.75" hidden="1" x14ac:dyDescent="0.25">
      <c r="B157" s="10">
        <v>46106</v>
      </c>
      <c r="C157" s="11" t="s">
        <v>22</v>
      </c>
      <c r="D157" s="11" t="s">
        <v>13</v>
      </c>
      <c r="F157" s="955">
        <v>46106</v>
      </c>
      <c r="G157" s="29" t="s">
        <v>16</v>
      </c>
      <c r="H157" s="29" t="s">
        <v>27</v>
      </c>
      <c r="I157" s="29">
        <v>151</v>
      </c>
      <c r="J157" s="29">
        <v>47</v>
      </c>
      <c r="K157" s="29">
        <v>0</v>
      </c>
      <c r="L157" s="29">
        <f t="shared" si="42"/>
        <v>198</v>
      </c>
      <c r="M157" s="31"/>
    </row>
    <row r="158" spans="2:15" ht="15.75" hidden="1" x14ac:dyDescent="0.25">
      <c r="B158" s="10">
        <v>46106</v>
      </c>
      <c r="C158" s="11" t="s">
        <v>22</v>
      </c>
      <c r="D158" s="11" t="s">
        <v>13</v>
      </c>
      <c r="F158" s="955"/>
      <c r="G158" s="42" t="s">
        <v>14</v>
      </c>
      <c r="H158" s="29" t="s">
        <v>15</v>
      </c>
      <c r="I158" s="29">
        <v>47</v>
      </c>
      <c r="J158" s="29">
        <v>24</v>
      </c>
      <c r="K158" s="29">
        <v>0</v>
      </c>
      <c r="L158" s="29">
        <f t="shared" si="42"/>
        <v>71</v>
      </c>
      <c r="M158" s="43"/>
    </row>
    <row r="159" spans="2:15" ht="15.75" hidden="1" x14ac:dyDescent="0.25">
      <c r="B159" s="10">
        <v>46106</v>
      </c>
      <c r="C159" s="11" t="s">
        <v>22</v>
      </c>
      <c r="D159" s="11" t="s">
        <v>13</v>
      </c>
      <c r="F159" s="955"/>
      <c r="G159" s="42" t="s">
        <v>32</v>
      </c>
      <c r="H159" s="29" t="s">
        <v>22</v>
      </c>
      <c r="I159" s="29">
        <v>12</v>
      </c>
      <c r="J159" s="29">
        <v>0</v>
      </c>
      <c r="K159" s="29">
        <v>0</v>
      </c>
      <c r="L159" s="29">
        <f t="shared" si="42"/>
        <v>12</v>
      </c>
      <c r="M159" s="43"/>
    </row>
    <row r="160" spans="2:15" ht="15.75" hidden="1" x14ac:dyDescent="0.2">
      <c r="B160" s="10">
        <v>46106</v>
      </c>
      <c r="C160" s="11" t="s">
        <v>22</v>
      </c>
      <c r="D160" s="11" t="s">
        <v>13</v>
      </c>
      <c r="F160" s="937" t="s">
        <v>40</v>
      </c>
      <c r="G160" s="937"/>
      <c r="H160" s="937"/>
      <c r="I160" s="8">
        <f>SUM(I157:I159)</f>
        <v>210</v>
      </c>
      <c r="J160" s="8">
        <f>SUM(J157:J159)</f>
        <v>71</v>
      </c>
      <c r="K160" s="8">
        <f>SUM(K157:K159)</f>
        <v>0</v>
      </c>
      <c r="L160" s="8">
        <f t="shared" ref="L160" si="43">SUM(I160:K160)</f>
        <v>281</v>
      </c>
      <c r="M160" s="9"/>
      <c r="O160" s="8">
        <f>L160</f>
        <v>281</v>
      </c>
    </row>
    <row r="161" spans="2:15" ht="15.75" hidden="1" x14ac:dyDescent="0.25">
      <c r="B161" s="10">
        <v>46106</v>
      </c>
      <c r="C161" s="11" t="s">
        <v>18</v>
      </c>
      <c r="D161" s="11" t="s">
        <v>23</v>
      </c>
      <c r="F161" s="47">
        <v>46106</v>
      </c>
      <c r="G161" s="42" t="s">
        <v>25</v>
      </c>
      <c r="H161" s="29" t="s">
        <v>18</v>
      </c>
      <c r="I161" s="42">
        <v>103</v>
      </c>
      <c r="J161" s="42">
        <v>20</v>
      </c>
      <c r="K161" s="42">
        <v>0</v>
      </c>
      <c r="L161" s="29">
        <f>SUM(I161:K161)</f>
        <v>123</v>
      </c>
      <c r="M161" s="43"/>
    </row>
    <row r="162" spans="2:15" ht="15.75" hidden="1" x14ac:dyDescent="0.25">
      <c r="B162" s="10">
        <v>46106</v>
      </c>
      <c r="C162" s="11" t="s">
        <v>18</v>
      </c>
      <c r="D162" s="11" t="s">
        <v>23</v>
      </c>
      <c r="F162" s="951">
        <v>46107</v>
      </c>
      <c r="G162" s="29" t="s">
        <v>32</v>
      </c>
      <c r="H162" s="29" t="s">
        <v>22</v>
      </c>
      <c r="I162" s="29">
        <v>0</v>
      </c>
      <c r="J162" s="29">
        <v>0</v>
      </c>
      <c r="K162" s="29">
        <v>19</v>
      </c>
      <c r="L162" s="29">
        <f>SUM(I162:K162)</f>
        <v>19</v>
      </c>
      <c r="M162" s="31"/>
    </row>
    <row r="163" spans="2:15" ht="15.75" hidden="1" x14ac:dyDescent="0.25">
      <c r="B163" s="10">
        <v>46106</v>
      </c>
      <c r="C163" s="11" t="s">
        <v>18</v>
      </c>
      <c r="D163" s="11" t="s">
        <v>23</v>
      </c>
      <c r="F163" s="952"/>
      <c r="G163" s="42" t="s">
        <v>75</v>
      </c>
      <c r="H163" s="29" t="s">
        <v>27</v>
      </c>
      <c r="I163" s="42">
        <v>0</v>
      </c>
      <c r="J163" s="42">
        <v>1</v>
      </c>
      <c r="K163" s="42">
        <v>0</v>
      </c>
      <c r="L163" s="29">
        <f>SUM(I163:K163)</f>
        <v>1</v>
      </c>
      <c r="M163" s="43"/>
    </row>
    <row r="164" spans="2:15" ht="15.75" hidden="1" x14ac:dyDescent="0.25">
      <c r="B164" s="10">
        <v>46106</v>
      </c>
      <c r="C164" s="11" t="s">
        <v>18</v>
      </c>
      <c r="D164" s="11" t="s">
        <v>23</v>
      </c>
      <c r="F164" s="952"/>
      <c r="G164" s="42" t="s">
        <v>14</v>
      </c>
      <c r="H164" s="29" t="s">
        <v>22</v>
      </c>
      <c r="I164" s="42">
        <v>121</v>
      </c>
      <c r="J164" s="42">
        <v>31</v>
      </c>
      <c r="K164" s="42">
        <v>51</v>
      </c>
      <c r="L164" s="29">
        <f>SUM(I164:K164)</f>
        <v>203</v>
      </c>
      <c r="M164" s="43"/>
    </row>
    <row r="165" spans="2:15" ht="15.75" hidden="1" x14ac:dyDescent="0.25">
      <c r="B165" s="10">
        <v>46106</v>
      </c>
      <c r="C165" s="11" t="s">
        <v>18</v>
      </c>
      <c r="D165" s="11" t="s">
        <v>23</v>
      </c>
      <c r="F165" s="959"/>
      <c r="G165" s="29" t="s">
        <v>17</v>
      </c>
      <c r="H165" s="29" t="s">
        <v>27</v>
      </c>
      <c r="I165" s="29">
        <v>12</v>
      </c>
      <c r="J165" s="29">
        <v>3</v>
      </c>
      <c r="K165" s="29">
        <v>0</v>
      </c>
      <c r="L165" s="29">
        <f t="shared" ref="L165" si="44">SUM(I165:K165)</f>
        <v>15</v>
      </c>
      <c r="M165" s="31"/>
    </row>
    <row r="166" spans="2:15" ht="15.75" hidden="1" x14ac:dyDescent="0.2">
      <c r="B166" s="10">
        <v>46106</v>
      </c>
      <c r="C166" s="11" t="s">
        <v>18</v>
      </c>
      <c r="D166" s="11" t="s">
        <v>23</v>
      </c>
      <c r="F166" s="937" t="s">
        <v>40</v>
      </c>
      <c r="G166" s="937"/>
      <c r="H166" s="937"/>
      <c r="I166" s="8">
        <f>SUBTOTAL(9,I161:I165)</f>
        <v>0</v>
      </c>
      <c r="J166" s="8">
        <f>SUBTOTAL(9,J161:J165)</f>
        <v>0</v>
      </c>
      <c r="K166" s="8">
        <f>SUBTOTAL(9,K161:K165)</f>
        <v>0</v>
      </c>
      <c r="L166" s="8">
        <f>SUBTOTAL(9,L161:L165)</f>
        <v>0</v>
      </c>
      <c r="M166" s="9"/>
      <c r="O166" s="8">
        <f>L166</f>
        <v>0</v>
      </c>
    </row>
    <row r="167" spans="2:15" ht="15.75" hidden="1" x14ac:dyDescent="0.25">
      <c r="B167" s="10">
        <v>46107</v>
      </c>
      <c r="C167" s="11" t="s">
        <v>22</v>
      </c>
      <c r="D167" s="11" t="s">
        <v>13</v>
      </c>
      <c r="F167" s="951">
        <v>46107</v>
      </c>
      <c r="G167" s="29" t="s">
        <v>16</v>
      </c>
      <c r="H167" s="29" t="s">
        <v>27</v>
      </c>
      <c r="I167" s="29">
        <v>140</v>
      </c>
      <c r="J167" s="29">
        <v>42</v>
      </c>
      <c r="K167" s="29">
        <v>0</v>
      </c>
      <c r="L167" s="29">
        <f>SUM(I167:J167:K167)</f>
        <v>182</v>
      </c>
      <c r="M167" s="43"/>
    </row>
    <row r="168" spans="2:15" ht="15.75" hidden="1" x14ac:dyDescent="0.25">
      <c r="B168" s="10">
        <v>46107</v>
      </c>
      <c r="C168" s="11" t="s">
        <v>22</v>
      </c>
      <c r="D168" s="11" t="s">
        <v>13</v>
      </c>
      <c r="F168" s="952"/>
      <c r="G168" s="29" t="s">
        <v>32</v>
      </c>
      <c r="H168" s="29" t="s">
        <v>22</v>
      </c>
      <c r="I168" s="29">
        <v>24</v>
      </c>
      <c r="J168" s="29">
        <v>12</v>
      </c>
      <c r="K168" s="29">
        <v>0</v>
      </c>
      <c r="L168" s="29">
        <v>36</v>
      </c>
      <c r="M168" s="43"/>
    </row>
    <row r="169" spans="2:15" ht="15.75" hidden="1" x14ac:dyDescent="0.25">
      <c r="B169" s="10">
        <v>46107</v>
      </c>
      <c r="C169" s="11" t="s">
        <v>22</v>
      </c>
      <c r="D169" s="11" t="s">
        <v>13</v>
      </c>
      <c r="F169" s="952"/>
      <c r="G169" s="29" t="s">
        <v>17</v>
      </c>
      <c r="H169" s="29" t="s">
        <v>27</v>
      </c>
      <c r="I169" s="29">
        <v>30</v>
      </c>
      <c r="J169" s="29">
        <v>33</v>
      </c>
      <c r="K169" s="29">
        <v>0</v>
      </c>
      <c r="L169" s="29">
        <f>SUM(I169:J169:K169)</f>
        <v>63</v>
      </c>
      <c r="M169" s="43"/>
    </row>
    <row r="170" spans="2:15" ht="15.75" hidden="1" x14ac:dyDescent="0.25">
      <c r="B170" s="10">
        <v>46107</v>
      </c>
      <c r="C170" s="11" t="s">
        <v>22</v>
      </c>
      <c r="D170" s="11" t="s">
        <v>13</v>
      </c>
      <c r="F170" s="959"/>
      <c r="G170" s="29" t="s">
        <v>14</v>
      </c>
      <c r="H170" s="29" t="s">
        <v>22</v>
      </c>
      <c r="I170" s="29">
        <v>72</v>
      </c>
      <c r="J170" s="29">
        <v>15</v>
      </c>
      <c r="K170" s="29">
        <v>0</v>
      </c>
      <c r="L170" s="29">
        <v>87</v>
      </c>
      <c r="M170" s="31"/>
    </row>
    <row r="171" spans="2:15" ht="15.75" hidden="1" x14ac:dyDescent="0.2">
      <c r="B171" s="10">
        <v>46107</v>
      </c>
      <c r="C171" s="11" t="s">
        <v>22</v>
      </c>
      <c r="D171" s="11" t="s">
        <v>13</v>
      </c>
      <c r="F171" s="937" t="s">
        <v>40</v>
      </c>
      <c r="G171" s="937"/>
      <c r="H171" s="937"/>
      <c r="I171" s="8">
        <f>SUM(I167:I170)</f>
        <v>266</v>
      </c>
      <c r="J171" s="8">
        <f>SUM(J167:J170)</f>
        <v>102</v>
      </c>
      <c r="K171" s="8">
        <f>SUM(K167:K170)</f>
        <v>0</v>
      </c>
      <c r="L171" s="8">
        <f>SUM(I171:K171)</f>
        <v>368</v>
      </c>
      <c r="M171" s="9"/>
    </row>
    <row r="172" spans="2:15" ht="15.75" hidden="1" x14ac:dyDescent="0.25">
      <c r="B172" s="10">
        <v>46107</v>
      </c>
      <c r="C172" s="11" t="s">
        <v>12</v>
      </c>
      <c r="D172" s="11" t="s">
        <v>20</v>
      </c>
      <c r="F172" s="955">
        <v>46107</v>
      </c>
      <c r="G172" s="29" t="s">
        <v>16</v>
      </c>
      <c r="H172" s="29" t="s">
        <v>27</v>
      </c>
      <c r="I172" s="29">
        <v>29</v>
      </c>
      <c r="J172" s="29">
        <v>22</v>
      </c>
      <c r="K172" s="29">
        <v>0</v>
      </c>
      <c r="L172" s="29">
        <f t="shared" ref="L172:L176" si="45">SUM(I172:K172)</f>
        <v>51</v>
      </c>
      <c r="M172" s="31"/>
    </row>
    <row r="173" spans="2:15" ht="15.75" hidden="1" x14ac:dyDescent="0.25">
      <c r="B173" s="10">
        <v>46107</v>
      </c>
      <c r="C173" s="11" t="s">
        <v>12</v>
      </c>
      <c r="D173" s="11" t="s">
        <v>20</v>
      </c>
      <c r="F173" s="955"/>
      <c r="G173" s="42" t="s">
        <v>14</v>
      </c>
      <c r="H173" s="29" t="s">
        <v>15</v>
      </c>
      <c r="I173" s="42">
        <v>4</v>
      </c>
      <c r="J173" s="42">
        <v>1</v>
      </c>
      <c r="K173" s="42">
        <v>0</v>
      </c>
      <c r="L173" s="29">
        <f t="shared" si="45"/>
        <v>5</v>
      </c>
      <c r="M173" s="43"/>
    </row>
    <row r="174" spans="2:15" ht="15.75" hidden="1" x14ac:dyDescent="0.25">
      <c r="B174" s="10">
        <v>46107</v>
      </c>
      <c r="C174" s="11" t="s">
        <v>12</v>
      </c>
      <c r="D174" s="11" t="s">
        <v>20</v>
      </c>
      <c r="F174" s="955"/>
      <c r="G174" s="42" t="s">
        <v>17</v>
      </c>
      <c r="H174" s="29" t="s">
        <v>18</v>
      </c>
      <c r="I174" s="42">
        <v>121</v>
      </c>
      <c r="J174" s="42">
        <v>33</v>
      </c>
      <c r="K174" s="42">
        <v>0</v>
      </c>
      <c r="L174" s="29">
        <f t="shared" si="45"/>
        <v>154</v>
      </c>
      <c r="M174" s="43"/>
    </row>
    <row r="175" spans="2:15" ht="15.75" hidden="1" x14ac:dyDescent="0.25">
      <c r="B175" s="10">
        <v>46107</v>
      </c>
      <c r="C175" s="11" t="s">
        <v>12</v>
      </c>
      <c r="D175" s="11" t="s">
        <v>20</v>
      </c>
      <c r="F175" s="953">
        <v>46108</v>
      </c>
      <c r="G175" s="42" t="s">
        <v>32</v>
      </c>
      <c r="H175" s="29" t="s">
        <v>22</v>
      </c>
      <c r="I175" s="42">
        <v>5</v>
      </c>
      <c r="J175" s="42">
        <v>1</v>
      </c>
      <c r="K175" s="42">
        <v>0</v>
      </c>
      <c r="L175" s="29">
        <f t="shared" si="45"/>
        <v>6</v>
      </c>
      <c r="M175" s="43"/>
    </row>
    <row r="176" spans="2:15" ht="15.75" hidden="1" x14ac:dyDescent="0.25">
      <c r="B176" s="10">
        <v>46107</v>
      </c>
      <c r="C176" s="11" t="s">
        <v>12</v>
      </c>
      <c r="D176" s="11" t="s">
        <v>20</v>
      </c>
      <c r="F176" s="954"/>
      <c r="G176" s="29" t="s">
        <v>14</v>
      </c>
      <c r="H176" s="29" t="s">
        <v>15</v>
      </c>
      <c r="I176" s="29">
        <v>0</v>
      </c>
      <c r="J176" s="29">
        <v>0</v>
      </c>
      <c r="K176" s="29">
        <v>143</v>
      </c>
      <c r="L176" s="29">
        <f t="shared" si="45"/>
        <v>143</v>
      </c>
      <c r="M176" s="31"/>
    </row>
    <row r="177" spans="2:15" ht="15.75" hidden="1" x14ac:dyDescent="0.2">
      <c r="B177" s="10">
        <v>46107</v>
      </c>
      <c r="C177" s="11" t="s">
        <v>12</v>
      </c>
      <c r="D177" s="11" t="s">
        <v>20</v>
      </c>
      <c r="F177" s="937" t="s">
        <v>40</v>
      </c>
      <c r="G177" s="937"/>
      <c r="H177" s="937"/>
      <c r="I177" s="8">
        <f>SUM(I172:I176)</f>
        <v>159</v>
      </c>
      <c r="J177" s="8">
        <f>SUM(J172:J176)</f>
        <v>57</v>
      </c>
      <c r="K177" s="8">
        <f>SUM(K172:K176)</f>
        <v>143</v>
      </c>
      <c r="L177" s="8">
        <f t="shared" ref="L177" si="46">SUM(I177:K177)</f>
        <v>359</v>
      </c>
      <c r="M177" s="9"/>
      <c r="O177" s="8">
        <f>L177</f>
        <v>359</v>
      </c>
    </row>
    <row r="178" spans="2:15" ht="15.75" hidden="1" x14ac:dyDescent="0.25">
      <c r="B178" s="10">
        <v>46107</v>
      </c>
      <c r="C178" s="11" t="s">
        <v>18</v>
      </c>
      <c r="D178" s="11" t="s">
        <v>23</v>
      </c>
      <c r="F178" s="951">
        <v>46108</v>
      </c>
      <c r="G178" s="29" t="s">
        <v>16</v>
      </c>
      <c r="H178" s="29" t="s">
        <v>27</v>
      </c>
      <c r="I178" s="29">
        <v>0</v>
      </c>
      <c r="J178" s="29">
        <v>3</v>
      </c>
      <c r="K178" s="29">
        <v>76</v>
      </c>
      <c r="L178" s="29">
        <f>SUM(I178:J178:K178)</f>
        <v>79</v>
      </c>
      <c r="M178" s="43"/>
    </row>
    <row r="179" spans="2:15" ht="15.75" hidden="1" x14ac:dyDescent="0.25">
      <c r="B179" s="10">
        <v>46107</v>
      </c>
      <c r="C179" s="11" t="s">
        <v>18</v>
      </c>
      <c r="D179" s="11" t="s">
        <v>23</v>
      </c>
      <c r="F179" s="952"/>
      <c r="G179" s="29" t="s">
        <v>32</v>
      </c>
      <c r="H179" s="29" t="s">
        <v>22</v>
      </c>
      <c r="I179" s="29">
        <v>15</v>
      </c>
      <c r="J179" s="29">
        <v>6</v>
      </c>
      <c r="K179" s="29">
        <v>0</v>
      </c>
      <c r="L179" s="29">
        <f>SUM(I179:J179:K179)</f>
        <v>21</v>
      </c>
      <c r="M179" s="43"/>
    </row>
    <row r="180" spans="2:15" ht="15.75" hidden="1" x14ac:dyDescent="0.25">
      <c r="B180" s="10">
        <v>46107</v>
      </c>
      <c r="C180" s="11" t="s">
        <v>18</v>
      </c>
      <c r="D180" s="11" t="s">
        <v>23</v>
      </c>
      <c r="F180" s="952"/>
      <c r="G180" s="29" t="s">
        <v>17</v>
      </c>
      <c r="H180" s="29" t="s">
        <v>18</v>
      </c>
      <c r="I180" s="29">
        <v>0</v>
      </c>
      <c r="J180" s="29">
        <v>0</v>
      </c>
      <c r="K180" s="29">
        <v>0</v>
      </c>
      <c r="L180" s="29">
        <f>SUM(I180:J180:K180)</f>
        <v>0</v>
      </c>
      <c r="M180" s="43"/>
    </row>
    <row r="181" spans="2:15" ht="15.75" hidden="1" x14ac:dyDescent="0.25">
      <c r="B181" s="10">
        <v>46107</v>
      </c>
      <c r="C181" s="11" t="s">
        <v>18</v>
      </c>
      <c r="D181" s="11" t="s">
        <v>23</v>
      </c>
      <c r="F181" s="959"/>
      <c r="G181" s="29" t="s">
        <v>14</v>
      </c>
      <c r="H181" s="29" t="s">
        <v>15</v>
      </c>
      <c r="I181" s="29">
        <v>139</v>
      </c>
      <c r="J181" s="29">
        <v>87</v>
      </c>
      <c r="K181" s="29">
        <v>0</v>
      </c>
      <c r="L181" s="29">
        <f>SUM(I181:J181:K181)</f>
        <v>226</v>
      </c>
      <c r="M181" s="31"/>
    </row>
    <row r="182" spans="2:15" ht="15.75" hidden="1" x14ac:dyDescent="0.2">
      <c r="B182" s="10">
        <v>46107</v>
      </c>
      <c r="C182" s="11" t="s">
        <v>18</v>
      </c>
      <c r="D182" s="11" t="s">
        <v>23</v>
      </c>
      <c r="F182" s="937" t="s">
        <v>40</v>
      </c>
      <c r="G182" s="937"/>
      <c r="H182" s="937"/>
      <c r="I182" s="8">
        <v>201</v>
      </c>
      <c r="J182" s="8">
        <v>125</v>
      </c>
      <c r="K182" s="8">
        <f>SUM(K178:K181)</f>
        <v>76</v>
      </c>
      <c r="L182" s="8">
        <v>402</v>
      </c>
      <c r="M182" s="9"/>
    </row>
    <row r="183" spans="2:15" ht="15.75" hidden="1" x14ac:dyDescent="0.25">
      <c r="B183" s="10">
        <v>46108</v>
      </c>
      <c r="C183" s="11" t="s">
        <v>22</v>
      </c>
      <c r="D183" s="11" t="s">
        <v>13</v>
      </c>
      <c r="F183" s="951">
        <v>46108</v>
      </c>
      <c r="G183" s="29" t="s">
        <v>16</v>
      </c>
      <c r="H183" s="29" t="s">
        <v>27</v>
      </c>
      <c r="I183" s="29">
        <v>153</v>
      </c>
      <c r="J183" s="29">
        <v>52</v>
      </c>
      <c r="K183" s="29">
        <v>0</v>
      </c>
      <c r="L183" s="29">
        <f>SUM(I183:J183:K183)</f>
        <v>205</v>
      </c>
      <c r="M183" s="43"/>
    </row>
    <row r="184" spans="2:15" ht="15.75" hidden="1" x14ac:dyDescent="0.25">
      <c r="B184" s="10">
        <v>46108</v>
      </c>
      <c r="C184" s="11" t="s">
        <v>22</v>
      </c>
      <c r="D184" s="11" t="s">
        <v>13</v>
      </c>
      <c r="F184" s="952"/>
      <c r="G184" s="29" t="s">
        <v>32</v>
      </c>
      <c r="H184" s="29" t="s">
        <v>22</v>
      </c>
      <c r="I184" s="29">
        <v>26</v>
      </c>
      <c r="J184" s="29">
        <v>2</v>
      </c>
      <c r="K184" s="29">
        <v>0</v>
      </c>
      <c r="L184" s="29">
        <f>SUM(I184:J184:K184)</f>
        <v>28</v>
      </c>
      <c r="M184" s="43"/>
    </row>
    <row r="185" spans="2:15" ht="15.75" hidden="1" x14ac:dyDescent="0.25">
      <c r="B185" s="10">
        <v>46108</v>
      </c>
      <c r="C185" s="11" t="s">
        <v>22</v>
      </c>
      <c r="D185" s="11" t="s">
        <v>13</v>
      </c>
      <c r="F185" s="959"/>
      <c r="G185" s="29" t="s">
        <v>14</v>
      </c>
      <c r="H185" s="29" t="s">
        <v>15</v>
      </c>
      <c r="I185" s="29">
        <v>11</v>
      </c>
      <c r="J185" s="29">
        <v>2</v>
      </c>
      <c r="K185" s="29">
        <v>0</v>
      </c>
      <c r="L185" s="29">
        <f>SUM(I185:J185:K185)</f>
        <v>13</v>
      </c>
      <c r="M185" s="31"/>
    </row>
    <row r="186" spans="2:15" ht="15.75" hidden="1" x14ac:dyDescent="0.2">
      <c r="B186" s="10">
        <v>46108</v>
      </c>
      <c r="C186" s="11" t="s">
        <v>22</v>
      </c>
      <c r="D186" s="11" t="s">
        <v>13</v>
      </c>
      <c r="F186" s="937" t="s">
        <v>40</v>
      </c>
      <c r="G186" s="937"/>
      <c r="H186" s="937"/>
      <c r="I186" s="8">
        <f>SUM(I183:I185)</f>
        <v>190</v>
      </c>
      <c r="J186" s="8">
        <f>SUM(J183:J185)</f>
        <v>56</v>
      </c>
      <c r="K186" s="8">
        <f>SUM(K183:K185)</f>
        <v>0</v>
      </c>
      <c r="L186" s="8">
        <f>SUM(I186:K186)</f>
        <v>246</v>
      </c>
      <c r="M186" s="9"/>
    </row>
    <row r="187" spans="2:15" ht="15.75" hidden="1" x14ac:dyDescent="0.25">
      <c r="B187" s="10">
        <v>46108</v>
      </c>
      <c r="C187" s="11" t="s">
        <v>12</v>
      </c>
      <c r="D187" s="11" t="s">
        <v>20</v>
      </c>
      <c r="F187" s="951">
        <v>46108</v>
      </c>
      <c r="G187" s="29" t="s">
        <v>16</v>
      </c>
      <c r="H187" s="29" t="s">
        <v>27</v>
      </c>
      <c r="I187" s="29">
        <v>12</v>
      </c>
      <c r="J187" s="29">
        <v>18</v>
      </c>
      <c r="K187" s="29">
        <v>0</v>
      </c>
      <c r="L187" s="29">
        <f t="shared" ref="L187:L191" si="47">SUM(I187:K187)</f>
        <v>30</v>
      </c>
      <c r="M187" s="31"/>
    </row>
    <row r="188" spans="2:15" ht="15" hidden="1" customHeight="1" x14ac:dyDescent="0.25">
      <c r="B188" s="10">
        <v>46108</v>
      </c>
      <c r="C188" s="11" t="s">
        <v>12</v>
      </c>
      <c r="D188" s="11" t="s">
        <v>20</v>
      </c>
      <c r="F188" s="952"/>
      <c r="G188" s="42" t="s">
        <v>14</v>
      </c>
      <c r="H188" s="29" t="s">
        <v>15</v>
      </c>
      <c r="I188" s="42">
        <v>10</v>
      </c>
      <c r="J188" s="42">
        <v>1</v>
      </c>
      <c r="K188" s="42">
        <v>0</v>
      </c>
      <c r="L188" s="29">
        <f t="shared" si="47"/>
        <v>11</v>
      </c>
      <c r="M188" s="43"/>
    </row>
    <row r="189" spans="2:15" ht="15.75" hidden="1" x14ac:dyDescent="0.25">
      <c r="B189" s="10">
        <v>46108</v>
      </c>
      <c r="C189" s="11" t="s">
        <v>12</v>
      </c>
      <c r="D189" s="11" t="s">
        <v>20</v>
      </c>
      <c r="F189" s="959"/>
      <c r="G189" s="42" t="s">
        <v>84</v>
      </c>
      <c r="H189" s="29" t="s">
        <v>12</v>
      </c>
      <c r="I189" s="42">
        <v>6</v>
      </c>
      <c r="J189" s="42">
        <v>0</v>
      </c>
      <c r="K189" s="42">
        <v>0</v>
      </c>
      <c r="L189" s="29">
        <f t="shared" si="47"/>
        <v>6</v>
      </c>
      <c r="M189" s="43"/>
    </row>
    <row r="190" spans="2:15" ht="15.75" hidden="1" x14ac:dyDescent="0.25">
      <c r="B190" s="10">
        <v>46108</v>
      </c>
      <c r="C190" s="11" t="s">
        <v>12</v>
      </c>
      <c r="D190" s="11" t="s">
        <v>20</v>
      </c>
      <c r="F190" s="953">
        <v>46109</v>
      </c>
      <c r="G190" s="48" t="s">
        <v>16</v>
      </c>
      <c r="H190" s="29" t="s">
        <v>83</v>
      </c>
      <c r="I190" s="42">
        <v>0</v>
      </c>
      <c r="J190" s="42">
        <v>0</v>
      </c>
      <c r="K190" s="42">
        <v>87</v>
      </c>
      <c r="L190" s="29">
        <f t="shared" si="47"/>
        <v>87</v>
      </c>
      <c r="M190" s="43"/>
    </row>
    <row r="191" spans="2:15" ht="15.75" hidden="1" x14ac:dyDescent="0.25">
      <c r="B191" s="10">
        <v>46108</v>
      </c>
      <c r="C191" s="11" t="s">
        <v>12</v>
      </c>
      <c r="D191" s="11" t="s">
        <v>20</v>
      </c>
      <c r="F191" s="954"/>
      <c r="G191" s="49" t="s">
        <v>14</v>
      </c>
      <c r="H191" s="29" t="s">
        <v>12</v>
      </c>
      <c r="I191" s="42">
        <v>0</v>
      </c>
      <c r="J191" s="42">
        <v>0</v>
      </c>
      <c r="K191" s="29">
        <v>53</v>
      </c>
      <c r="L191" s="29">
        <f t="shared" si="47"/>
        <v>53</v>
      </c>
      <c r="M191" s="31"/>
    </row>
    <row r="192" spans="2:15" ht="15.75" hidden="1" x14ac:dyDescent="0.2">
      <c r="B192" s="10">
        <v>46108</v>
      </c>
      <c r="C192" s="11" t="s">
        <v>12</v>
      </c>
      <c r="D192" s="11" t="s">
        <v>20</v>
      </c>
      <c r="F192" s="937" t="s">
        <v>40</v>
      </c>
      <c r="G192" s="937"/>
      <c r="H192" s="937"/>
      <c r="I192" s="8">
        <f>SUM(I187:I191)</f>
        <v>28</v>
      </c>
      <c r="J192" s="8">
        <f>SUM(J187:J191)</f>
        <v>19</v>
      </c>
      <c r="K192" s="8">
        <f>SUM(K187:K191)</f>
        <v>140</v>
      </c>
      <c r="L192" s="8">
        <f t="shared" ref="L192:L193" si="48">SUM(I192:K192)</f>
        <v>187</v>
      </c>
      <c r="M192" s="9"/>
      <c r="O192" s="8">
        <f>L192</f>
        <v>187</v>
      </c>
    </row>
    <row r="193" spans="2:15" ht="15.75" hidden="1" x14ac:dyDescent="0.25">
      <c r="B193" s="10">
        <v>46108</v>
      </c>
      <c r="C193" s="11" t="s">
        <v>18</v>
      </c>
      <c r="D193" s="11" t="s">
        <v>23</v>
      </c>
      <c r="F193" s="953">
        <v>46109</v>
      </c>
      <c r="G193" s="48" t="s">
        <v>16</v>
      </c>
      <c r="H193" s="29" t="s">
        <v>83</v>
      </c>
      <c r="I193" s="42">
        <v>139</v>
      </c>
      <c r="J193" s="42">
        <v>96</v>
      </c>
      <c r="K193" s="42">
        <v>0</v>
      </c>
      <c r="L193" s="29">
        <f t="shared" si="48"/>
        <v>235</v>
      </c>
      <c r="M193" s="43"/>
    </row>
    <row r="194" spans="2:15" ht="15.75" hidden="1" x14ac:dyDescent="0.25">
      <c r="B194" s="10">
        <v>46108</v>
      </c>
      <c r="C194" s="11" t="s">
        <v>18</v>
      </c>
      <c r="D194" s="11" t="s">
        <v>23</v>
      </c>
      <c r="F194" s="972"/>
      <c r="G194" s="49" t="s">
        <v>32</v>
      </c>
      <c r="H194" s="29" t="s">
        <v>22</v>
      </c>
      <c r="I194" s="42">
        <v>7</v>
      </c>
      <c r="J194" s="42">
        <v>0</v>
      </c>
      <c r="K194" s="42">
        <v>4</v>
      </c>
      <c r="L194" s="29">
        <f t="shared" ref="L194" si="49">SUM(I194:K194)</f>
        <v>11</v>
      </c>
      <c r="M194" s="43"/>
    </row>
    <row r="195" spans="2:15" ht="15.75" hidden="1" x14ac:dyDescent="0.25">
      <c r="B195" s="10">
        <v>46108</v>
      </c>
      <c r="C195" s="11" t="s">
        <v>18</v>
      </c>
      <c r="D195" s="11" t="s">
        <v>23</v>
      </c>
      <c r="F195" s="954"/>
      <c r="G195" s="49" t="s">
        <v>14</v>
      </c>
      <c r="H195" s="29" t="s">
        <v>12</v>
      </c>
      <c r="I195" s="42">
        <v>0</v>
      </c>
      <c r="J195" s="42">
        <v>0</v>
      </c>
      <c r="K195" s="42">
        <v>12</v>
      </c>
      <c r="L195" s="42">
        <v>12</v>
      </c>
      <c r="M195" s="31"/>
    </row>
    <row r="196" spans="2:15" ht="15.75" hidden="1" x14ac:dyDescent="0.2">
      <c r="B196" s="10">
        <v>46108</v>
      </c>
      <c r="C196" s="11" t="s">
        <v>18</v>
      </c>
      <c r="D196" s="11" t="s">
        <v>23</v>
      </c>
      <c r="F196" s="937" t="s">
        <v>40</v>
      </c>
      <c r="G196" s="937"/>
      <c r="H196" s="937"/>
      <c r="I196" s="8">
        <f>SUM(I193:I195)</f>
        <v>146</v>
      </c>
      <c r="J196" s="8">
        <f>SUM(J193:J195)</f>
        <v>96</v>
      </c>
      <c r="K196" s="8">
        <f>SUM(K193:K195)</f>
        <v>16</v>
      </c>
      <c r="L196" s="8">
        <f t="shared" ref="L196" si="50">SUM(I196:K196)</f>
        <v>258</v>
      </c>
      <c r="M196" s="9"/>
      <c r="O196" s="8">
        <f>L196</f>
        <v>258</v>
      </c>
    </row>
    <row r="197" spans="2:15" ht="15.75" hidden="1" x14ac:dyDescent="0.25">
      <c r="B197" s="10">
        <v>46109</v>
      </c>
      <c r="C197" s="11" t="s">
        <v>22</v>
      </c>
      <c r="D197" s="11" t="s">
        <v>13</v>
      </c>
      <c r="F197" s="951">
        <v>46108</v>
      </c>
      <c r="G197" s="29" t="s">
        <v>16</v>
      </c>
      <c r="H197" s="29" t="s">
        <v>86</v>
      </c>
      <c r="I197" s="29">
        <v>1</v>
      </c>
      <c r="J197" s="29">
        <v>23</v>
      </c>
      <c r="K197" s="42">
        <v>0</v>
      </c>
      <c r="L197" s="82">
        <v>12</v>
      </c>
      <c r="M197" s="43"/>
    </row>
    <row r="198" spans="2:15" ht="15.75" hidden="1" x14ac:dyDescent="0.25">
      <c r="B198" s="10">
        <v>46109</v>
      </c>
      <c r="C198" s="11" t="s">
        <v>22</v>
      </c>
      <c r="D198" s="11" t="s">
        <v>13</v>
      </c>
      <c r="F198" s="952"/>
      <c r="G198" s="29" t="s">
        <v>32</v>
      </c>
      <c r="H198" s="29" t="s">
        <v>22</v>
      </c>
      <c r="I198" s="29">
        <v>13</v>
      </c>
      <c r="J198" s="29">
        <v>5</v>
      </c>
      <c r="K198" s="42">
        <v>0</v>
      </c>
      <c r="L198" s="82">
        <v>12</v>
      </c>
      <c r="M198" s="43"/>
    </row>
    <row r="199" spans="2:15" ht="15.75" hidden="1" x14ac:dyDescent="0.25">
      <c r="B199" s="10">
        <v>46109</v>
      </c>
      <c r="C199" s="11" t="s">
        <v>22</v>
      </c>
      <c r="D199" s="11" t="s">
        <v>13</v>
      </c>
      <c r="F199" s="952"/>
      <c r="G199" s="29" t="s">
        <v>17</v>
      </c>
      <c r="H199" s="29" t="s">
        <v>18</v>
      </c>
      <c r="I199" s="29">
        <v>42</v>
      </c>
      <c r="J199" s="29">
        <v>6</v>
      </c>
      <c r="K199" s="42">
        <v>0</v>
      </c>
      <c r="L199" s="82">
        <v>12</v>
      </c>
      <c r="M199" s="43"/>
    </row>
    <row r="200" spans="2:15" ht="15.75" hidden="1" x14ac:dyDescent="0.25">
      <c r="B200" s="10">
        <v>46109</v>
      </c>
      <c r="C200" s="11" t="s">
        <v>22</v>
      </c>
      <c r="D200" s="11" t="s">
        <v>13</v>
      </c>
      <c r="F200" s="959"/>
      <c r="G200" s="29" t="s">
        <v>14</v>
      </c>
      <c r="H200" s="29" t="s">
        <v>12</v>
      </c>
      <c r="I200" s="29">
        <v>174</v>
      </c>
      <c r="J200" s="29">
        <v>16</v>
      </c>
      <c r="K200" s="42">
        <v>0</v>
      </c>
      <c r="L200" s="82">
        <v>12</v>
      </c>
      <c r="M200" s="31"/>
    </row>
    <row r="201" spans="2:15" ht="15.75" hidden="1" x14ac:dyDescent="0.2">
      <c r="B201" s="10">
        <v>46109</v>
      </c>
      <c r="C201" s="11" t="s">
        <v>22</v>
      </c>
      <c r="D201" s="11" t="s">
        <v>13</v>
      </c>
      <c r="F201" s="937" t="s">
        <v>40</v>
      </c>
      <c r="G201" s="937"/>
      <c r="H201" s="937"/>
      <c r="I201" s="8">
        <f>SUM(I197:I200)</f>
        <v>230</v>
      </c>
      <c r="J201" s="8">
        <f>SUM(J197:J200)</f>
        <v>50</v>
      </c>
      <c r="K201" s="8">
        <f>SUM(K197:K200)</f>
        <v>0</v>
      </c>
      <c r="L201" s="8">
        <f>SUM(I201:K201)</f>
        <v>280</v>
      </c>
      <c r="M201" s="9"/>
      <c r="O201" s="8">
        <f>L201</f>
        <v>280</v>
      </c>
    </row>
    <row r="202" spans="2:15" ht="15.75" hidden="1" x14ac:dyDescent="0.25">
      <c r="B202" s="10">
        <v>46109</v>
      </c>
      <c r="C202" s="11" t="s">
        <v>12</v>
      </c>
      <c r="D202" s="11" t="s">
        <v>20</v>
      </c>
      <c r="F202" s="951">
        <v>46109</v>
      </c>
      <c r="G202" s="29" t="s">
        <v>16</v>
      </c>
      <c r="H202" s="29" t="s">
        <v>83</v>
      </c>
      <c r="I202" s="29">
        <v>10</v>
      </c>
      <c r="J202" s="29">
        <v>12</v>
      </c>
      <c r="K202" s="29">
        <v>0</v>
      </c>
      <c r="L202" s="29">
        <f t="shared" ref="L202:L207" si="51">SUM(I202:K202)</f>
        <v>22</v>
      </c>
      <c r="M202" s="31"/>
    </row>
    <row r="203" spans="2:15" ht="15" hidden="1" customHeight="1" x14ac:dyDescent="0.25">
      <c r="B203" s="10">
        <v>46109</v>
      </c>
      <c r="C203" s="11" t="s">
        <v>12</v>
      </c>
      <c r="D203" s="11" t="s">
        <v>20</v>
      </c>
      <c r="F203" s="952"/>
      <c r="G203" s="42" t="s">
        <v>14</v>
      </c>
      <c r="H203" s="29" t="s">
        <v>12</v>
      </c>
      <c r="I203" s="42">
        <v>14</v>
      </c>
      <c r="J203" s="42">
        <v>3</v>
      </c>
      <c r="K203" s="42">
        <v>0</v>
      </c>
      <c r="L203" s="29">
        <f t="shared" si="51"/>
        <v>17</v>
      </c>
      <c r="M203" s="43"/>
    </row>
    <row r="204" spans="2:15" ht="15.75" hidden="1" x14ac:dyDescent="0.25">
      <c r="B204" s="10">
        <v>46109</v>
      </c>
      <c r="C204" s="11" t="s">
        <v>12</v>
      </c>
      <c r="D204" s="11" t="s">
        <v>20</v>
      </c>
      <c r="F204" s="959"/>
      <c r="G204" s="42" t="s">
        <v>17</v>
      </c>
      <c r="H204" s="29" t="s">
        <v>18</v>
      </c>
      <c r="I204" s="42">
        <v>77</v>
      </c>
      <c r="J204" s="42">
        <v>18</v>
      </c>
      <c r="K204" s="42">
        <v>0</v>
      </c>
      <c r="L204" s="29">
        <f t="shared" si="51"/>
        <v>95</v>
      </c>
      <c r="M204" s="43"/>
    </row>
    <row r="205" spans="2:15" ht="15.75" hidden="1" x14ac:dyDescent="0.25">
      <c r="B205" s="10">
        <v>46109</v>
      </c>
      <c r="C205" s="11" t="s">
        <v>12</v>
      </c>
      <c r="D205" s="11" t="s">
        <v>20</v>
      </c>
      <c r="F205" s="953">
        <v>46111</v>
      </c>
      <c r="G205" s="48" t="s">
        <v>16</v>
      </c>
      <c r="H205" s="29" t="s">
        <v>83</v>
      </c>
      <c r="I205" s="42">
        <v>0</v>
      </c>
      <c r="J205" s="42">
        <v>0</v>
      </c>
      <c r="K205" s="42">
        <v>36</v>
      </c>
      <c r="L205" s="29">
        <f t="shared" si="51"/>
        <v>36</v>
      </c>
      <c r="M205" s="43"/>
    </row>
    <row r="206" spans="2:15" ht="15.75" hidden="1" x14ac:dyDescent="0.25">
      <c r="B206" s="10">
        <v>46109</v>
      </c>
      <c r="C206" s="11" t="s">
        <v>12</v>
      </c>
      <c r="D206" s="11" t="s">
        <v>20</v>
      </c>
      <c r="F206" s="954"/>
      <c r="G206" s="49" t="s">
        <v>32</v>
      </c>
      <c r="H206" s="29" t="s">
        <v>12</v>
      </c>
      <c r="I206" s="42">
        <v>43</v>
      </c>
      <c r="J206" s="42">
        <v>7</v>
      </c>
      <c r="K206" s="29">
        <v>0</v>
      </c>
      <c r="L206" s="29">
        <f t="shared" si="51"/>
        <v>50</v>
      </c>
      <c r="M206" s="31"/>
    </row>
    <row r="207" spans="2:15" ht="15.75" hidden="1" x14ac:dyDescent="0.2">
      <c r="B207" s="10">
        <v>46109</v>
      </c>
      <c r="C207" s="11" t="s">
        <v>12</v>
      </c>
      <c r="D207" s="11" t="s">
        <v>20</v>
      </c>
      <c r="F207" s="937" t="s">
        <v>40</v>
      </c>
      <c r="G207" s="937"/>
      <c r="H207" s="937"/>
      <c r="I207" s="8">
        <f>SUM(I202:I206)</f>
        <v>144</v>
      </c>
      <c r="J207" s="8">
        <f>SUM(J202:J206)</f>
        <v>40</v>
      </c>
      <c r="K207" s="8">
        <f>SUM(K202:K206)</f>
        <v>36</v>
      </c>
      <c r="L207" s="8">
        <f t="shared" si="51"/>
        <v>220</v>
      </c>
      <c r="M207" s="9"/>
      <c r="O207" s="8">
        <f>L207</f>
        <v>220</v>
      </c>
    </row>
    <row r="208" spans="2:15" ht="15.75" hidden="1" x14ac:dyDescent="0.25">
      <c r="B208" s="10">
        <v>46109</v>
      </c>
      <c r="C208" s="11" t="s">
        <v>18</v>
      </c>
      <c r="D208" s="11" t="s">
        <v>23</v>
      </c>
      <c r="F208" s="953">
        <v>46109</v>
      </c>
      <c r="G208" s="48" t="s">
        <v>16</v>
      </c>
      <c r="H208" s="29" t="s">
        <v>83</v>
      </c>
      <c r="I208" s="29">
        <v>19</v>
      </c>
      <c r="J208" s="29">
        <v>0</v>
      </c>
      <c r="K208" s="29">
        <v>0</v>
      </c>
      <c r="L208" s="29">
        <f t="shared" ref="L208:L213" si="52">SUM(I208:K208)</f>
        <v>19</v>
      </c>
      <c r="M208" s="31"/>
    </row>
    <row r="209" spans="2:16" ht="15" hidden="1" customHeight="1" x14ac:dyDescent="0.25">
      <c r="B209" s="10">
        <v>46109</v>
      </c>
      <c r="C209" s="11" t="s">
        <v>18</v>
      </c>
      <c r="D209" s="11" t="s">
        <v>23</v>
      </c>
      <c r="F209" s="972"/>
      <c r="G209" s="49" t="s">
        <v>14</v>
      </c>
      <c r="H209" s="29" t="s">
        <v>12</v>
      </c>
      <c r="I209" s="42">
        <v>20</v>
      </c>
      <c r="J209" s="42">
        <v>0</v>
      </c>
      <c r="K209" s="42">
        <v>0</v>
      </c>
      <c r="L209" s="29">
        <f t="shared" si="52"/>
        <v>20</v>
      </c>
      <c r="M209" s="43"/>
    </row>
    <row r="210" spans="2:16" ht="15.75" hidden="1" x14ac:dyDescent="0.25">
      <c r="B210" s="10">
        <v>46109</v>
      </c>
      <c r="C210" s="11" t="s">
        <v>18</v>
      </c>
      <c r="D210" s="11" t="s">
        <v>23</v>
      </c>
      <c r="F210" s="954"/>
      <c r="G210" s="48" t="s">
        <v>17</v>
      </c>
      <c r="H210" s="29" t="s">
        <v>18</v>
      </c>
      <c r="I210" s="42">
        <v>27</v>
      </c>
      <c r="J210" s="42">
        <v>1</v>
      </c>
      <c r="K210" s="42">
        <v>0</v>
      </c>
      <c r="L210" s="29">
        <f t="shared" si="52"/>
        <v>28</v>
      </c>
      <c r="M210" s="43"/>
    </row>
    <row r="211" spans="2:16" ht="15.75" hidden="1" x14ac:dyDescent="0.25">
      <c r="B211" s="10">
        <v>46109</v>
      </c>
      <c r="C211" s="11" t="s">
        <v>18</v>
      </c>
      <c r="D211" s="11" t="s">
        <v>23</v>
      </c>
      <c r="F211" s="953">
        <v>46111</v>
      </c>
      <c r="G211" s="48" t="s">
        <v>16</v>
      </c>
      <c r="H211" s="29" t="s">
        <v>83</v>
      </c>
      <c r="I211" s="42">
        <v>88</v>
      </c>
      <c r="J211" s="42">
        <v>95</v>
      </c>
      <c r="K211" s="42">
        <v>29</v>
      </c>
      <c r="L211" s="29">
        <f t="shared" si="52"/>
        <v>212</v>
      </c>
      <c r="M211" s="43"/>
    </row>
    <row r="212" spans="2:16" ht="15.75" hidden="1" x14ac:dyDescent="0.25">
      <c r="B212" s="10">
        <v>46109</v>
      </c>
      <c r="C212" s="11" t="s">
        <v>18</v>
      </c>
      <c r="D212" s="11" t="s">
        <v>23</v>
      </c>
      <c r="F212" s="954"/>
      <c r="G212" s="49" t="s">
        <v>32</v>
      </c>
      <c r="H212" s="29" t="s">
        <v>12</v>
      </c>
      <c r="I212" s="42">
        <v>0</v>
      </c>
      <c r="J212" s="42">
        <v>0</v>
      </c>
      <c r="K212" s="29">
        <v>65</v>
      </c>
      <c r="L212" s="29">
        <f t="shared" si="52"/>
        <v>65</v>
      </c>
      <c r="M212" s="31"/>
    </row>
    <row r="213" spans="2:16" ht="15.75" hidden="1" x14ac:dyDescent="0.2">
      <c r="B213" s="10">
        <v>46109</v>
      </c>
      <c r="C213" s="11" t="s">
        <v>18</v>
      </c>
      <c r="D213" s="11" t="s">
        <v>23</v>
      </c>
      <c r="F213" s="937" t="s">
        <v>40</v>
      </c>
      <c r="G213" s="937"/>
      <c r="H213" s="937"/>
      <c r="I213" s="8">
        <f>SUM(I208:I212)</f>
        <v>154</v>
      </c>
      <c r="J213" s="8">
        <f>SUM(J208:J212)</f>
        <v>96</v>
      </c>
      <c r="K213" s="8">
        <f>SUM(K208:K212)</f>
        <v>94</v>
      </c>
      <c r="L213" s="8">
        <f t="shared" si="52"/>
        <v>344</v>
      </c>
      <c r="M213" s="9"/>
      <c r="O213" s="8">
        <f>L213</f>
        <v>344</v>
      </c>
    </row>
    <row r="214" spans="2:16" ht="15.75" hidden="1" x14ac:dyDescent="0.25">
      <c r="B214" s="10">
        <v>46111</v>
      </c>
      <c r="C214" s="11" t="s">
        <v>22</v>
      </c>
      <c r="D214" s="11" t="s">
        <v>20</v>
      </c>
      <c r="F214" s="953">
        <v>46111</v>
      </c>
      <c r="G214" s="29" t="s">
        <v>32</v>
      </c>
      <c r="H214" s="29" t="s">
        <v>22</v>
      </c>
      <c r="I214" s="29">
        <v>143</v>
      </c>
      <c r="J214" s="29">
        <v>61</v>
      </c>
      <c r="K214" s="29">
        <v>0</v>
      </c>
      <c r="L214" s="29">
        <f>SUM(I214:K214)</f>
        <v>204</v>
      </c>
      <c r="M214" s="31"/>
    </row>
    <row r="215" spans="2:16" ht="15" hidden="1" customHeight="1" x14ac:dyDescent="0.25">
      <c r="B215" s="10">
        <v>46111</v>
      </c>
      <c r="C215" s="11" t="s">
        <v>22</v>
      </c>
      <c r="D215" s="11" t="s">
        <v>20</v>
      </c>
      <c r="F215" s="972"/>
      <c r="G215" s="42" t="s">
        <v>16</v>
      </c>
      <c r="H215" s="29" t="s">
        <v>83</v>
      </c>
      <c r="I215" s="42">
        <v>28</v>
      </c>
      <c r="J215" s="42">
        <v>109</v>
      </c>
      <c r="K215" s="42">
        <v>0</v>
      </c>
      <c r="L215" s="29">
        <f t="shared" ref="L215:L217" si="53">SUM(I215:K215)</f>
        <v>137</v>
      </c>
      <c r="M215" s="43"/>
    </row>
    <row r="216" spans="2:16" ht="15.75" hidden="1" x14ac:dyDescent="0.25">
      <c r="B216" s="10">
        <v>46111</v>
      </c>
      <c r="C216" s="11" t="s">
        <v>22</v>
      </c>
      <c r="D216" s="11" t="s">
        <v>20</v>
      </c>
      <c r="F216" s="972"/>
      <c r="G216" s="42" t="s">
        <v>87</v>
      </c>
      <c r="H216" s="29" t="s">
        <v>43</v>
      </c>
      <c r="I216" s="42">
        <v>49</v>
      </c>
      <c r="J216" s="42">
        <v>5</v>
      </c>
      <c r="K216" s="42">
        <v>0</v>
      </c>
      <c r="L216" s="29">
        <f t="shared" si="53"/>
        <v>54</v>
      </c>
      <c r="M216" s="43"/>
      <c r="P216" s="50"/>
    </row>
    <row r="217" spans="2:16" ht="15.75" hidden="1" x14ac:dyDescent="0.25">
      <c r="B217" s="10">
        <v>46111</v>
      </c>
      <c r="C217" s="11" t="s">
        <v>22</v>
      </c>
      <c r="D217" s="11" t="s">
        <v>20</v>
      </c>
      <c r="F217" s="972"/>
      <c r="G217" s="48" t="s">
        <v>14</v>
      </c>
      <c r="H217" s="29" t="s">
        <v>27</v>
      </c>
      <c r="I217" s="42">
        <v>15</v>
      </c>
      <c r="J217" s="42">
        <v>5</v>
      </c>
      <c r="K217" s="42">
        <v>0</v>
      </c>
      <c r="L217" s="29">
        <f t="shared" si="53"/>
        <v>20</v>
      </c>
      <c r="M217" s="43"/>
    </row>
    <row r="218" spans="2:16" ht="15.75" hidden="1" x14ac:dyDescent="0.2">
      <c r="B218" s="10">
        <v>46111</v>
      </c>
      <c r="C218" s="11" t="s">
        <v>22</v>
      </c>
      <c r="D218" s="11" t="s">
        <v>20</v>
      </c>
      <c r="F218" s="937" t="s">
        <v>40</v>
      </c>
      <c r="G218" s="937"/>
      <c r="H218" s="937"/>
      <c r="I218" s="8">
        <f>SUM(I214:I217)</f>
        <v>235</v>
      </c>
      <c r="J218" s="8">
        <f t="shared" ref="J218:L218" si="54">SUM(J214:J217)</f>
        <v>180</v>
      </c>
      <c r="K218" s="8">
        <f t="shared" si="54"/>
        <v>0</v>
      </c>
      <c r="L218" s="8">
        <f t="shared" si="54"/>
        <v>415</v>
      </c>
      <c r="M218" s="9"/>
      <c r="O218" s="8">
        <f>L218</f>
        <v>415</v>
      </c>
    </row>
    <row r="219" spans="2:16" ht="15" hidden="1" customHeight="1" x14ac:dyDescent="0.25">
      <c r="B219" s="10">
        <v>46111</v>
      </c>
      <c r="C219" s="11" t="s">
        <v>12</v>
      </c>
      <c r="D219" s="11" t="s">
        <v>23</v>
      </c>
      <c r="F219" s="974">
        <v>46111</v>
      </c>
      <c r="G219" s="42" t="s">
        <v>16</v>
      </c>
      <c r="H219" s="29" t="s">
        <v>83</v>
      </c>
      <c r="I219" s="42">
        <v>4</v>
      </c>
      <c r="J219" s="42">
        <v>18</v>
      </c>
      <c r="K219" s="42">
        <v>5</v>
      </c>
      <c r="L219" s="29">
        <f t="shared" ref="L219:L220" si="55">SUM(I219:K219)</f>
        <v>27</v>
      </c>
      <c r="M219" s="43"/>
    </row>
    <row r="220" spans="2:16" ht="15.75" hidden="1" x14ac:dyDescent="0.25">
      <c r="B220" s="10">
        <v>46111</v>
      </c>
      <c r="C220" s="11" t="s">
        <v>12</v>
      </c>
      <c r="D220" s="11" t="s">
        <v>23</v>
      </c>
      <c r="F220" s="974"/>
      <c r="G220" s="29" t="s">
        <v>14</v>
      </c>
      <c r="H220" s="29" t="s">
        <v>27</v>
      </c>
      <c r="I220" s="42">
        <v>162</v>
      </c>
      <c r="J220" s="42">
        <v>59</v>
      </c>
      <c r="K220" s="42">
        <v>2</v>
      </c>
      <c r="L220" s="29">
        <f t="shared" si="55"/>
        <v>223</v>
      </c>
      <c r="M220" s="43"/>
    </row>
    <row r="221" spans="2:16" ht="15.75" hidden="1" x14ac:dyDescent="0.2">
      <c r="B221" s="10">
        <v>46111</v>
      </c>
      <c r="C221" s="11" t="s">
        <v>12</v>
      </c>
      <c r="D221" s="11" t="s">
        <v>23</v>
      </c>
      <c r="F221" s="937" t="s">
        <v>40</v>
      </c>
      <c r="G221" s="937"/>
      <c r="H221" s="937"/>
      <c r="I221" s="8">
        <f>SUM(I219:I220)</f>
        <v>166</v>
      </c>
      <c r="J221" s="8">
        <f>SUM(J219:J220)</f>
        <v>77</v>
      </c>
      <c r="K221" s="8">
        <f>SUM(K219:K220)</f>
        <v>7</v>
      </c>
      <c r="L221" s="8">
        <f>SUM(L219:L220)</f>
        <v>250</v>
      </c>
      <c r="M221" s="9"/>
      <c r="O221" s="8">
        <f>L221</f>
        <v>250</v>
      </c>
    </row>
    <row r="222" spans="2:16" ht="15.75" hidden="1" x14ac:dyDescent="0.25">
      <c r="B222" s="10">
        <v>46111</v>
      </c>
      <c r="C222" s="11" t="s">
        <v>18</v>
      </c>
      <c r="D222" s="11" t="s">
        <v>13</v>
      </c>
      <c r="F222" s="939" t="s">
        <v>89</v>
      </c>
      <c r="G222" s="29" t="s">
        <v>14</v>
      </c>
      <c r="H222" s="29" t="s">
        <v>27</v>
      </c>
      <c r="I222" s="29">
        <v>17</v>
      </c>
      <c r="J222" s="29">
        <v>2</v>
      </c>
      <c r="K222" s="29">
        <v>0</v>
      </c>
      <c r="L222" s="29">
        <v>19</v>
      </c>
      <c r="M222" s="31"/>
    </row>
    <row r="223" spans="2:16" ht="15.75" hidden="1" x14ac:dyDescent="0.25">
      <c r="B223" s="10">
        <v>46111</v>
      </c>
      <c r="C223" s="11" t="s">
        <v>18</v>
      </c>
      <c r="D223" s="11" t="s">
        <v>13</v>
      </c>
      <c r="F223" s="940"/>
      <c r="G223" s="42" t="s">
        <v>32</v>
      </c>
      <c r="H223" s="29" t="s">
        <v>22</v>
      </c>
      <c r="I223" s="29">
        <v>0</v>
      </c>
      <c r="J223" s="29">
        <v>1</v>
      </c>
      <c r="K223" s="29">
        <v>0</v>
      </c>
      <c r="L223" s="29">
        <v>1</v>
      </c>
      <c r="M223" s="43"/>
    </row>
    <row r="224" spans="2:16" ht="15.75" hidden="1" x14ac:dyDescent="0.25">
      <c r="B224" s="10">
        <v>46111</v>
      </c>
      <c r="C224" s="11" t="s">
        <v>18</v>
      </c>
      <c r="D224" s="11" t="s">
        <v>13</v>
      </c>
      <c r="F224" s="940"/>
      <c r="G224" s="42" t="s">
        <v>17</v>
      </c>
      <c r="H224" s="29" t="s">
        <v>12</v>
      </c>
      <c r="I224" s="29">
        <v>1</v>
      </c>
      <c r="J224" s="29">
        <v>0</v>
      </c>
      <c r="K224" s="29">
        <v>0</v>
      </c>
      <c r="L224" s="29">
        <v>1</v>
      </c>
      <c r="M224" s="43"/>
    </row>
    <row r="225" spans="2:15" ht="15.75" hidden="1" x14ac:dyDescent="0.25">
      <c r="B225" s="10">
        <v>46111</v>
      </c>
      <c r="C225" s="11" t="s">
        <v>18</v>
      </c>
      <c r="D225" s="11" t="s">
        <v>13</v>
      </c>
      <c r="F225" s="940"/>
      <c r="G225" s="42" t="s">
        <v>16</v>
      </c>
      <c r="H225" s="29" t="s">
        <v>83</v>
      </c>
      <c r="I225" s="29">
        <v>148</v>
      </c>
      <c r="J225" s="29">
        <v>57</v>
      </c>
      <c r="K225" s="29">
        <v>0</v>
      </c>
      <c r="L225" s="29">
        <v>205</v>
      </c>
      <c r="M225" s="43"/>
    </row>
    <row r="226" spans="2:15" ht="15.75" hidden="1" x14ac:dyDescent="0.2">
      <c r="B226" s="10">
        <v>46111</v>
      </c>
      <c r="C226" s="11" t="s">
        <v>18</v>
      </c>
      <c r="D226" s="11" t="s">
        <v>13</v>
      </c>
      <c r="F226" s="937" t="s">
        <v>40</v>
      </c>
      <c r="G226" s="937"/>
      <c r="H226" s="937"/>
      <c r="I226" s="8">
        <f>SUM(I222:I225)</f>
        <v>166</v>
      </c>
      <c r="J226" s="8">
        <f>SUM(J222:J225)</f>
        <v>60</v>
      </c>
      <c r="K226" s="8">
        <f>SUM(K222:K225)</f>
        <v>0</v>
      </c>
      <c r="L226" s="8">
        <f>SUM(L222:L225)</f>
        <v>226</v>
      </c>
      <c r="M226" s="9"/>
      <c r="O226" s="8">
        <f>L226</f>
        <v>226</v>
      </c>
    </row>
    <row r="227" spans="2:15" ht="15.75" hidden="1" x14ac:dyDescent="0.2">
      <c r="B227" s="10">
        <v>46112</v>
      </c>
      <c r="C227" s="11" t="s">
        <v>22</v>
      </c>
      <c r="D227" s="11" t="s">
        <v>20</v>
      </c>
      <c r="F227" s="939" t="s">
        <v>90</v>
      </c>
      <c r="G227" s="29" t="s">
        <v>14</v>
      </c>
      <c r="H227" s="29" t="s">
        <v>27</v>
      </c>
      <c r="I227" s="29">
        <v>76</v>
      </c>
      <c r="J227" s="29">
        <v>16</v>
      </c>
      <c r="K227" s="29">
        <v>46</v>
      </c>
      <c r="L227" s="29">
        <v>138</v>
      </c>
      <c r="M227" s="29"/>
      <c r="O227" s="64"/>
    </row>
    <row r="228" spans="2:15" ht="15.75" hidden="1" x14ac:dyDescent="0.2">
      <c r="B228" s="10">
        <v>46112</v>
      </c>
      <c r="C228" s="11" t="s">
        <v>22</v>
      </c>
      <c r="D228" s="11" t="s">
        <v>20</v>
      </c>
      <c r="F228" s="940"/>
      <c r="G228" s="29" t="s">
        <v>32</v>
      </c>
      <c r="H228" s="29" t="s">
        <v>22</v>
      </c>
      <c r="I228" s="29">
        <v>70</v>
      </c>
      <c r="J228" s="29">
        <v>14</v>
      </c>
      <c r="K228" s="29">
        <v>1</v>
      </c>
      <c r="L228" s="29">
        <v>85</v>
      </c>
      <c r="M228" s="29"/>
      <c r="O228" s="64"/>
    </row>
    <row r="229" spans="2:15" ht="15.75" hidden="1" x14ac:dyDescent="0.2">
      <c r="B229" s="10">
        <v>46112</v>
      </c>
      <c r="C229" s="11" t="s">
        <v>22</v>
      </c>
      <c r="D229" s="11" t="s">
        <v>20</v>
      </c>
      <c r="F229" s="940"/>
      <c r="G229" s="29" t="s">
        <v>17</v>
      </c>
      <c r="H229" s="29" t="s">
        <v>12</v>
      </c>
      <c r="I229" s="29">
        <v>20</v>
      </c>
      <c r="J229" s="29">
        <v>4</v>
      </c>
      <c r="K229" s="29">
        <v>23</v>
      </c>
      <c r="L229" s="29">
        <v>47</v>
      </c>
      <c r="M229" s="29"/>
      <c r="O229" s="64"/>
    </row>
    <row r="230" spans="2:15" ht="15.75" hidden="1" x14ac:dyDescent="0.2">
      <c r="B230" s="10">
        <v>46112</v>
      </c>
      <c r="C230" s="11" t="s">
        <v>22</v>
      </c>
      <c r="D230" s="11" t="s">
        <v>20</v>
      </c>
      <c r="F230" s="940"/>
      <c r="G230" s="29" t="s">
        <v>16</v>
      </c>
      <c r="H230" s="29" t="s">
        <v>83</v>
      </c>
      <c r="I230" s="29">
        <v>3</v>
      </c>
      <c r="J230" s="29">
        <v>25</v>
      </c>
      <c r="K230" s="29">
        <v>0</v>
      </c>
      <c r="L230" s="29">
        <v>28</v>
      </c>
      <c r="M230" s="29"/>
      <c r="O230" s="64"/>
    </row>
    <row r="231" spans="2:15" ht="15.75" hidden="1" x14ac:dyDescent="0.2">
      <c r="B231" s="10">
        <v>46112</v>
      </c>
      <c r="C231" s="11" t="s">
        <v>22</v>
      </c>
      <c r="D231" s="11" t="s">
        <v>20</v>
      </c>
      <c r="F231" s="937" t="s">
        <v>40</v>
      </c>
      <c r="G231" s="937"/>
      <c r="H231" s="937"/>
      <c r="I231" s="8">
        <f>SUM(I227:I230)</f>
        <v>169</v>
      </c>
      <c r="J231" s="8">
        <f t="shared" ref="J231:L231" si="56">SUM(J227:J230)</f>
        <v>59</v>
      </c>
      <c r="K231" s="8">
        <f t="shared" si="56"/>
        <v>70</v>
      </c>
      <c r="L231" s="8">
        <f t="shared" si="56"/>
        <v>298</v>
      </c>
      <c r="M231" s="9"/>
      <c r="O231" s="64"/>
    </row>
    <row r="232" spans="2:15" ht="15.75" hidden="1" x14ac:dyDescent="0.25">
      <c r="B232" s="10">
        <v>46112</v>
      </c>
      <c r="C232" s="11" t="s">
        <v>12</v>
      </c>
      <c r="D232" s="11" t="s">
        <v>23</v>
      </c>
      <c r="F232" s="939" t="s">
        <v>90</v>
      </c>
      <c r="G232" s="29" t="s">
        <v>14</v>
      </c>
      <c r="H232" s="29" t="s">
        <v>27</v>
      </c>
      <c r="I232" s="29">
        <v>95</v>
      </c>
      <c r="J232" s="29">
        <v>8</v>
      </c>
      <c r="K232" s="29">
        <v>0</v>
      </c>
      <c r="L232" s="29">
        <f>+SUM(I232:K232)</f>
        <v>103</v>
      </c>
      <c r="M232" s="31"/>
    </row>
    <row r="233" spans="2:15" ht="15.75" hidden="1" x14ac:dyDescent="0.25">
      <c r="B233" s="10">
        <v>46112</v>
      </c>
      <c r="C233" s="11" t="s">
        <v>12</v>
      </c>
      <c r="D233" s="11" t="s">
        <v>23</v>
      </c>
      <c r="F233" s="940"/>
      <c r="G233" s="42" t="s">
        <v>17</v>
      </c>
      <c r="H233" s="29" t="s">
        <v>12</v>
      </c>
      <c r="I233" s="29">
        <v>125</v>
      </c>
      <c r="J233" s="29">
        <v>45</v>
      </c>
      <c r="K233" s="29">
        <v>0</v>
      </c>
      <c r="L233" s="29">
        <f t="shared" ref="L233:L234" si="57">+SUM(I233:K233)</f>
        <v>170</v>
      </c>
      <c r="M233" s="43"/>
    </row>
    <row r="234" spans="2:15" ht="15.75" hidden="1" x14ac:dyDescent="0.25">
      <c r="B234" s="10">
        <v>46112</v>
      </c>
      <c r="C234" s="11" t="s">
        <v>12</v>
      </c>
      <c r="D234" s="11" t="s">
        <v>23</v>
      </c>
      <c r="F234" s="940"/>
      <c r="G234" s="42" t="s">
        <v>16</v>
      </c>
      <c r="H234" s="29" t="s">
        <v>83</v>
      </c>
      <c r="I234" s="29">
        <v>1</v>
      </c>
      <c r="J234" s="29">
        <v>16</v>
      </c>
      <c r="K234" s="29">
        <v>0</v>
      </c>
      <c r="L234" s="29">
        <f t="shared" si="57"/>
        <v>17</v>
      </c>
      <c r="M234" s="43"/>
    </row>
    <row r="235" spans="2:15" ht="15.75" hidden="1" x14ac:dyDescent="0.2">
      <c r="B235" s="10">
        <v>46112</v>
      </c>
      <c r="C235" s="11" t="s">
        <v>12</v>
      </c>
      <c r="D235" s="11" t="s">
        <v>23</v>
      </c>
      <c r="F235" s="937" t="s">
        <v>40</v>
      </c>
      <c r="G235" s="937"/>
      <c r="H235" s="937"/>
      <c r="I235" s="8">
        <f>SUM(I232:I234)</f>
        <v>221</v>
      </c>
      <c r="J235" s="8">
        <f t="shared" ref="J235:K235" si="58">SUM(J232:J234)</f>
        <v>69</v>
      </c>
      <c r="K235" s="8">
        <f t="shared" si="58"/>
        <v>0</v>
      </c>
      <c r="L235" s="8">
        <f>SUM(L232:L234)</f>
        <v>290</v>
      </c>
      <c r="M235" s="9"/>
      <c r="O235" s="8">
        <f>L235</f>
        <v>290</v>
      </c>
    </row>
    <row r="236" spans="2:15" ht="15.75" hidden="1" x14ac:dyDescent="0.25">
      <c r="B236" s="10">
        <v>46112</v>
      </c>
      <c r="C236" s="11" t="s">
        <v>18</v>
      </c>
      <c r="D236" s="11" t="s">
        <v>13</v>
      </c>
      <c r="F236" s="940" t="s">
        <v>92</v>
      </c>
      <c r="G236" s="42" t="s">
        <v>17</v>
      </c>
      <c r="H236" s="29" t="s">
        <v>12</v>
      </c>
      <c r="I236" s="29">
        <v>17</v>
      </c>
      <c r="J236" s="29">
        <v>6</v>
      </c>
      <c r="K236" s="29">
        <v>0</v>
      </c>
      <c r="L236" s="29">
        <f t="shared" ref="L236:L237" si="59">+SUM(I236:K236)</f>
        <v>23</v>
      </c>
      <c r="M236" s="43"/>
    </row>
    <row r="237" spans="2:15" ht="15.75" hidden="1" x14ac:dyDescent="0.25">
      <c r="B237" s="10">
        <v>46112</v>
      </c>
      <c r="C237" s="11" t="s">
        <v>18</v>
      </c>
      <c r="D237" s="11" t="s">
        <v>13</v>
      </c>
      <c r="F237" s="940"/>
      <c r="G237" s="42" t="s">
        <v>16</v>
      </c>
      <c r="H237" s="29" t="s">
        <v>83</v>
      </c>
      <c r="I237" s="29">
        <v>152</v>
      </c>
      <c r="J237" s="29">
        <v>83</v>
      </c>
      <c r="K237" s="29">
        <v>0</v>
      </c>
      <c r="L237" s="29">
        <f t="shared" si="59"/>
        <v>235</v>
      </c>
      <c r="M237" s="43"/>
    </row>
    <row r="238" spans="2:15" ht="15.75" hidden="1" x14ac:dyDescent="0.2">
      <c r="B238" s="10">
        <v>46112</v>
      </c>
      <c r="C238" s="11" t="s">
        <v>18</v>
      </c>
      <c r="D238" s="11" t="s">
        <v>13</v>
      </c>
      <c r="F238" s="937" t="s">
        <v>40</v>
      </c>
      <c r="G238" s="937"/>
      <c r="H238" s="937"/>
      <c r="I238" s="8">
        <f>SUM(I236:I237)</f>
        <v>169</v>
      </c>
      <c r="J238" s="8">
        <f>SUM(J236:J237)</f>
        <v>89</v>
      </c>
      <c r="K238" s="8">
        <f>SUM(K236:K237)</f>
        <v>0</v>
      </c>
      <c r="L238" s="8">
        <f>SUM(L236:L237)</f>
        <v>258</v>
      </c>
      <c r="M238" s="9"/>
      <c r="O238" s="8">
        <f>L238</f>
        <v>258</v>
      </c>
    </row>
    <row r="239" spans="2:15" ht="15.75" hidden="1" x14ac:dyDescent="0.25">
      <c r="B239" s="10">
        <v>46113</v>
      </c>
      <c r="C239" s="11" t="s">
        <v>22</v>
      </c>
      <c r="D239" s="11" t="s">
        <v>20</v>
      </c>
      <c r="F239" s="939">
        <v>46113</v>
      </c>
      <c r="G239" s="29" t="s">
        <v>32</v>
      </c>
      <c r="H239" s="29" t="s">
        <v>22</v>
      </c>
      <c r="I239" s="29">
        <v>43</v>
      </c>
      <c r="J239" s="29">
        <v>14</v>
      </c>
      <c r="K239" s="29">
        <v>11</v>
      </c>
      <c r="L239" s="29">
        <f>SUM(I239:K239)</f>
        <v>68</v>
      </c>
      <c r="M239" s="31"/>
    </row>
    <row r="240" spans="2:15" ht="15.75" hidden="1" x14ac:dyDescent="0.25">
      <c r="B240" s="10">
        <v>46113</v>
      </c>
      <c r="C240" s="11" t="s">
        <v>22</v>
      </c>
      <c r="D240" s="11" t="s">
        <v>20</v>
      </c>
      <c r="F240" s="940"/>
      <c r="G240" s="42" t="s">
        <v>75</v>
      </c>
      <c r="H240" s="29" t="s">
        <v>83</v>
      </c>
      <c r="I240" s="29">
        <v>12</v>
      </c>
      <c r="J240" s="29">
        <v>20</v>
      </c>
      <c r="K240" s="29">
        <v>0</v>
      </c>
      <c r="L240" s="29">
        <f t="shared" ref="L240:L244" si="60">SUM(I240:K240)</f>
        <v>32</v>
      </c>
      <c r="M240" s="43"/>
    </row>
    <row r="241" spans="2:15" ht="15.75" hidden="1" x14ac:dyDescent="0.25">
      <c r="B241" s="10">
        <v>46113</v>
      </c>
      <c r="C241" s="11" t="s">
        <v>22</v>
      </c>
      <c r="D241" s="11" t="s">
        <v>20</v>
      </c>
      <c r="F241" s="940"/>
      <c r="G241" s="42" t="s">
        <v>87</v>
      </c>
      <c r="H241" s="29" t="s">
        <v>22</v>
      </c>
      <c r="I241" s="29">
        <v>1</v>
      </c>
      <c r="J241" s="29">
        <v>0</v>
      </c>
      <c r="K241" s="29">
        <v>0</v>
      </c>
      <c r="L241" s="29">
        <f t="shared" si="60"/>
        <v>1</v>
      </c>
      <c r="M241" s="43"/>
    </row>
    <row r="242" spans="2:15" ht="15.75" hidden="1" x14ac:dyDescent="0.25">
      <c r="B242" s="10">
        <v>46113</v>
      </c>
      <c r="C242" s="11" t="s">
        <v>22</v>
      </c>
      <c r="D242" s="11" t="s">
        <v>20</v>
      </c>
      <c r="F242" s="940"/>
      <c r="G242" s="42" t="s">
        <v>84</v>
      </c>
      <c r="H242" s="29" t="s">
        <v>22</v>
      </c>
      <c r="I242" s="29">
        <v>3</v>
      </c>
      <c r="J242" s="29">
        <v>0</v>
      </c>
      <c r="K242" s="29">
        <v>0</v>
      </c>
      <c r="L242" s="29">
        <f t="shared" si="60"/>
        <v>3</v>
      </c>
      <c r="M242" s="43"/>
    </row>
    <row r="243" spans="2:15" ht="15.75" hidden="1" x14ac:dyDescent="0.25">
      <c r="B243" s="10">
        <v>46113</v>
      </c>
      <c r="C243" s="11" t="s">
        <v>22</v>
      </c>
      <c r="D243" s="11" t="s">
        <v>20</v>
      </c>
      <c r="F243" s="940"/>
      <c r="G243" s="42" t="s">
        <v>14</v>
      </c>
      <c r="H243" s="29" t="s">
        <v>12</v>
      </c>
      <c r="I243" s="29">
        <v>107</v>
      </c>
      <c r="J243" s="29">
        <v>20</v>
      </c>
      <c r="K243" s="29">
        <v>12</v>
      </c>
      <c r="L243" s="29">
        <f t="shared" si="60"/>
        <v>139</v>
      </c>
      <c r="M243" s="43"/>
    </row>
    <row r="244" spans="2:15" ht="15.75" hidden="1" x14ac:dyDescent="0.25">
      <c r="B244" s="10">
        <v>46113</v>
      </c>
      <c r="C244" s="11" t="s">
        <v>22</v>
      </c>
      <c r="D244" s="11" t="s">
        <v>20</v>
      </c>
      <c r="F244" s="940"/>
      <c r="G244" s="42" t="s">
        <v>17</v>
      </c>
      <c r="H244" s="29" t="s">
        <v>18</v>
      </c>
      <c r="I244" s="29">
        <v>2</v>
      </c>
      <c r="J244" s="29">
        <v>2</v>
      </c>
      <c r="K244" s="29">
        <v>0</v>
      </c>
      <c r="L244" s="29">
        <f t="shared" si="60"/>
        <v>4</v>
      </c>
      <c r="M244" s="43"/>
    </row>
    <row r="245" spans="2:15" ht="15.75" hidden="1" x14ac:dyDescent="0.2">
      <c r="B245" s="10">
        <v>46113</v>
      </c>
      <c r="C245" s="11" t="s">
        <v>22</v>
      </c>
      <c r="D245" s="11" t="s">
        <v>20</v>
      </c>
      <c r="F245" s="937" t="s">
        <v>40</v>
      </c>
      <c r="G245" s="937"/>
      <c r="H245" s="937"/>
      <c r="I245" s="8">
        <f>SUM(I239:I244)</f>
        <v>168</v>
      </c>
      <c r="J245" s="8">
        <f>SUM(J239:J244)</f>
        <v>56</v>
      </c>
      <c r="K245" s="8">
        <f>SUM(K239:K244)</f>
        <v>23</v>
      </c>
      <c r="L245" s="8">
        <f>SUM(L239:L244)</f>
        <v>247</v>
      </c>
      <c r="M245" s="9"/>
      <c r="O245" s="8">
        <f>L245</f>
        <v>247</v>
      </c>
    </row>
    <row r="246" spans="2:15" ht="15.75" hidden="1" x14ac:dyDescent="0.25">
      <c r="B246" s="10">
        <v>46113</v>
      </c>
      <c r="C246" s="11" t="s">
        <v>12</v>
      </c>
      <c r="D246" s="11" t="s">
        <v>23</v>
      </c>
      <c r="F246" s="940">
        <v>46113</v>
      </c>
      <c r="G246" s="42" t="s">
        <v>75</v>
      </c>
      <c r="H246" s="29" t="s">
        <v>83</v>
      </c>
      <c r="I246" s="29">
        <v>9</v>
      </c>
      <c r="J246" s="29">
        <v>0</v>
      </c>
      <c r="K246" s="29">
        <v>0</v>
      </c>
      <c r="L246" s="29">
        <f t="shared" ref="L246:L249" si="61">SUM(I246:K246)</f>
        <v>9</v>
      </c>
      <c r="M246" s="43"/>
    </row>
    <row r="247" spans="2:15" ht="15.75" hidden="1" x14ac:dyDescent="0.25">
      <c r="B247" s="10">
        <v>46113</v>
      </c>
      <c r="C247" s="11" t="s">
        <v>12</v>
      </c>
      <c r="D247" s="11" t="s">
        <v>23</v>
      </c>
      <c r="F247" s="940"/>
      <c r="G247" s="42" t="s">
        <v>87</v>
      </c>
      <c r="H247" s="29" t="s">
        <v>22</v>
      </c>
      <c r="I247" s="29">
        <v>0</v>
      </c>
      <c r="J247" s="29">
        <v>0</v>
      </c>
      <c r="K247" s="29">
        <v>20</v>
      </c>
      <c r="L247" s="29">
        <f t="shared" si="61"/>
        <v>20</v>
      </c>
      <c r="M247" s="43"/>
    </row>
    <row r="248" spans="2:15" ht="15.75" hidden="1" x14ac:dyDescent="0.25">
      <c r="B248" s="10">
        <v>46113</v>
      </c>
      <c r="C248" s="11" t="s">
        <v>12</v>
      </c>
      <c r="D248" s="11" t="s">
        <v>23</v>
      </c>
      <c r="F248" s="940"/>
      <c r="G248" s="42" t="s">
        <v>14</v>
      </c>
      <c r="H248" s="29" t="s">
        <v>12</v>
      </c>
      <c r="I248" s="29">
        <v>76</v>
      </c>
      <c r="J248" s="29">
        <v>12</v>
      </c>
      <c r="K248" s="29">
        <v>1</v>
      </c>
      <c r="L248" s="29">
        <f t="shared" si="61"/>
        <v>89</v>
      </c>
      <c r="M248" s="43"/>
    </row>
    <row r="249" spans="2:15" ht="15.75" hidden="1" x14ac:dyDescent="0.25">
      <c r="B249" s="10">
        <v>46113</v>
      </c>
      <c r="C249" s="11" t="s">
        <v>12</v>
      </c>
      <c r="D249" s="11" t="s">
        <v>23</v>
      </c>
      <c r="F249" s="940"/>
      <c r="G249" s="42" t="s">
        <v>17</v>
      </c>
      <c r="H249" s="29" t="s">
        <v>18</v>
      </c>
      <c r="I249" s="29">
        <v>126</v>
      </c>
      <c r="J249" s="29">
        <v>20</v>
      </c>
      <c r="K249" s="29">
        <v>13</v>
      </c>
      <c r="L249" s="29">
        <f t="shared" si="61"/>
        <v>159</v>
      </c>
      <c r="M249" s="43"/>
    </row>
    <row r="250" spans="2:15" ht="15.75" hidden="1" x14ac:dyDescent="0.2">
      <c r="B250" s="10">
        <v>46113</v>
      </c>
      <c r="C250" s="11" t="s">
        <v>12</v>
      </c>
      <c r="D250" s="11" t="s">
        <v>23</v>
      </c>
      <c r="F250" s="937" t="s">
        <v>40</v>
      </c>
      <c r="G250" s="937"/>
      <c r="H250" s="937"/>
      <c r="I250" s="8">
        <f>SUM(I246:I249)</f>
        <v>211</v>
      </c>
      <c r="J250" s="8">
        <f>SUM(J246:J249)</f>
        <v>32</v>
      </c>
      <c r="K250" s="8">
        <f>SUM(K246:K249)</f>
        <v>34</v>
      </c>
      <c r="L250" s="8">
        <f>SUM(L246:L249)</f>
        <v>277</v>
      </c>
      <c r="M250" s="9"/>
      <c r="O250" s="8">
        <f>L250</f>
        <v>277</v>
      </c>
    </row>
    <row r="251" spans="2:15" ht="15.75" hidden="1" x14ac:dyDescent="0.25">
      <c r="B251" s="10">
        <v>46113</v>
      </c>
      <c r="C251" s="11" t="s">
        <v>18</v>
      </c>
      <c r="D251" s="11" t="s">
        <v>13</v>
      </c>
      <c r="F251" s="940" t="s">
        <v>94</v>
      </c>
      <c r="G251" s="42" t="s">
        <v>17</v>
      </c>
      <c r="H251" s="29" t="s">
        <v>18</v>
      </c>
      <c r="I251" s="29">
        <v>24</v>
      </c>
      <c r="J251" s="29">
        <v>5</v>
      </c>
      <c r="K251" s="29">
        <v>0</v>
      </c>
      <c r="L251" s="29">
        <f t="shared" ref="L251:L259" si="62">+SUM(I251:K251)</f>
        <v>29</v>
      </c>
      <c r="M251" s="43"/>
    </row>
    <row r="252" spans="2:15" ht="15.75" hidden="1" x14ac:dyDescent="0.25">
      <c r="B252" s="10">
        <v>46113</v>
      </c>
      <c r="C252" s="11" t="s">
        <v>18</v>
      </c>
      <c r="D252" s="11" t="s">
        <v>13</v>
      </c>
      <c r="F252" s="940"/>
      <c r="G252" s="42" t="s">
        <v>42</v>
      </c>
      <c r="H252" s="29" t="s">
        <v>43</v>
      </c>
      <c r="I252" s="29">
        <v>70</v>
      </c>
      <c r="J252" s="29">
        <v>0</v>
      </c>
      <c r="K252" s="29">
        <v>0</v>
      </c>
      <c r="L252" s="29">
        <f t="shared" si="62"/>
        <v>70</v>
      </c>
      <c r="M252" s="43"/>
    </row>
    <row r="253" spans="2:15" ht="15.75" hidden="1" x14ac:dyDescent="0.25">
      <c r="B253" s="10">
        <v>46113</v>
      </c>
      <c r="C253" s="11" t="s">
        <v>18</v>
      </c>
      <c r="D253" s="11" t="s">
        <v>13</v>
      </c>
      <c r="F253" s="940"/>
      <c r="G253" s="42" t="s">
        <v>14</v>
      </c>
      <c r="H253" s="29" t="s">
        <v>12</v>
      </c>
      <c r="I253" s="29">
        <v>2</v>
      </c>
      <c r="J253" s="29">
        <v>0</v>
      </c>
      <c r="K253" s="29">
        <v>0</v>
      </c>
      <c r="L253" s="29">
        <f t="shared" si="62"/>
        <v>2</v>
      </c>
      <c r="M253" s="43"/>
    </row>
    <row r="254" spans="2:15" ht="15.75" hidden="1" x14ac:dyDescent="0.25">
      <c r="B254" s="10">
        <v>46113</v>
      </c>
      <c r="C254" s="11" t="s">
        <v>18</v>
      </c>
      <c r="D254" s="11" t="s">
        <v>13</v>
      </c>
      <c r="F254" s="940"/>
      <c r="G254" s="42" t="s">
        <v>16</v>
      </c>
      <c r="H254" s="29" t="s">
        <v>83</v>
      </c>
      <c r="I254" s="29">
        <v>114</v>
      </c>
      <c r="J254" s="29">
        <v>56</v>
      </c>
      <c r="K254" s="29">
        <v>0</v>
      </c>
      <c r="L254" s="29">
        <f t="shared" si="62"/>
        <v>170</v>
      </c>
      <c r="M254" s="43"/>
    </row>
    <row r="255" spans="2:15" ht="15.75" hidden="1" x14ac:dyDescent="0.2">
      <c r="B255" s="10">
        <v>46113</v>
      </c>
      <c r="C255" s="11" t="s">
        <v>18</v>
      </c>
      <c r="D255" s="11" t="s">
        <v>13</v>
      </c>
      <c r="F255" s="937" t="s">
        <v>40</v>
      </c>
      <c r="G255" s="937"/>
      <c r="H255" s="937"/>
      <c r="I255" s="8">
        <f>SUM(I251:I254)</f>
        <v>210</v>
      </c>
      <c r="J255" s="8">
        <f>SUM(J251:J254)</f>
        <v>61</v>
      </c>
      <c r="K255" s="8">
        <f>SUM(K251:K254)</f>
        <v>0</v>
      </c>
      <c r="L255" s="8">
        <f>SUM(L251:L254)</f>
        <v>271</v>
      </c>
      <c r="M255" s="9"/>
    </row>
    <row r="256" spans="2:15" ht="15.75" hidden="1" x14ac:dyDescent="0.25">
      <c r="B256" s="10">
        <v>46114</v>
      </c>
      <c r="C256" s="11" t="s">
        <v>22</v>
      </c>
      <c r="D256" s="11" t="s">
        <v>20</v>
      </c>
      <c r="F256" s="939">
        <v>46114</v>
      </c>
      <c r="G256" s="29" t="s">
        <v>32</v>
      </c>
      <c r="H256" s="29" t="s">
        <v>22</v>
      </c>
      <c r="I256" s="29">
        <v>8</v>
      </c>
      <c r="J256" s="29">
        <v>0</v>
      </c>
      <c r="K256" s="29">
        <v>0</v>
      </c>
      <c r="L256" s="29">
        <f t="shared" si="62"/>
        <v>8</v>
      </c>
      <c r="M256" s="31"/>
    </row>
    <row r="257" spans="2:15" ht="15.75" hidden="1" x14ac:dyDescent="0.25">
      <c r="B257" s="10">
        <v>46114</v>
      </c>
      <c r="C257" s="11" t="s">
        <v>22</v>
      </c>
      <c r="D257" s="11" t="s">
        <v>20</v>
      </c>
      <c r="F257" s="940"/>
      <c r="G257" s="42" t="s">
        <v>16</v>
      </c>
      <c r="H257" s="29" t="s">
        <v>83</v>
      </c>
      <c r="I257" s="29">
        <v>25</v>
      </c>
      <c r="J257" s="29">
        <v>27</v>
      </c>
      <c r="K257" s="29">
        <v>0</v>
      </c>
      <c r="L257" s="29">
        <f t="shared" si="62"/>
        <v>52</v>
      </c>
      <c r="M257" s="43"/>
    </row>
    <row r="258" spans="2:15" ht="15.75" hidden="1" x14ac:dyDescent="0.25">
      <c r="B258" s="10">
        <v>46114</v>
      </c>
      <c r="C258" s="11" t="s">
        <v>22</v>
      </c>
      <c r="D258" s="11" t="s">
        <v>20</v>
      </c>
      <c r="F258" s="940"/>
      <c r="G258" s="42" t="s">
        <v>84</v>
      </c>
      <c r="H258" s="29" t="s">
        <v>22</v>
      </c>
      <c r="I258" s="29">
        <v>24</v>
      </c>
      <c r="J258" s="29">
        <v>1</v>
      </c>
      <c r="K258" s="29">
        <v>0</v>
      </c>
      <c r="L258" s="29">
        <f t="shared" si="62"/>
        <v>25</v>
      </c>
      <c r="M258" s="43"/>
    </row>
    <row r="259" spans="2:15" ht="15.75" hidden="1" x14ac:dyDescent="0.25">
      <c r="B259" s="10">
        <v>46114</v>
      </c>
      <c r="C259" s="11" t="s">
        <v>22</v>
      </c>
      <c r="D259" s="11" t="s">
        <v>20</v>
      </c>
      <c r="F259" s="940"/>
      <c r="G259" s="42" t="s">
        <v>14</v>
      </c>
      <c r="H259" s="29" t="s">
        <v>12</v>
      </c>
      <c r="I259" s="29">
        <v>102</v>
      </c>
      <c r="J259" s="29">
        <v>26</v>
      </c>
      <c r="K259" s="29">
        <v>27</v>
      </c>
      <c r="L259" s="29">
        <f t="shared" si="62"/>
        <v>155</v>
      </c>
      <c r="M259" s="43"/>
    </row>
    <row r="260" spans="2:15" ht="15.75" hidden="1" x14ac:dyDescent="0.2">
      <c r="B260" s="10">
        <v>46114</v>
      </c>
      <c r="C260" s="11" t="s">
        <v>22</v>
      </c>
      <c r="D260" s="11" t="s">
        <v>20</v>
      </c>
      <c r="F260" s="937" t="s">
        <v>40</v>
      </c>
      <c r="G260" s="937"/>
      <c r="H260" s="937"/>
      <c r="I260" s="8">
        <f>SUM(I256:I259)</f>
        <v>159</v>
      </c>
      <c r="J260" s="8">
        <f>SUM(J256:J259)</f>
        <v>54</v>
      </c>
      <c r="K260" s="8">
        <f>SUM(K256:K259)</f>
        <v>27</v>
      </c>
      <c r="L260" s="8">
        <f>SUM(L256:L259)</f>
        <v>240</v>
      </c>
      <c r="M260" s="9"/>
      <c r="O260" s="8">
        <f>L260</f>
        <v>240</v>
      </c>
    </row>
    <row r="261" spans="2:15" ht="15.75" hidden="1" x14ac:dyDescent="0.25">
      <c r="B261" s="10">
        <v>46114</v>
      </c>
      <c r="C261" s="11" t="s">
        <v>12</v>
      </c>
      <c r="D261" s="11" t="s">
        <v>23</v>
      </c>
      <c r="F261" s="940"/>
      <c r="G261" s="42" t="s">
        <v>16</v>
      </c>
      <c r="H261" s="29" t="s">
        <v>83</v>
      </c>
      <c r="I261" s="29">
        <v>12</v>
      </c>
      <c r="J261" s="29">
        <v>8</v>
      </c>
      <c r="K261" s="29">
        <v>0</v>
      </c>
      <c r="L261" s="29">
        <f t="shared" ref="L261:L263" si="63">+SUM(I261:K261)</f>
        <v>20</v>
      </c>
      <c r="M261" s="43"/>
    </row>
    <row r="262" spans="2:15" ht="15.75" hidden="1" x14ac:dyDescent="0.25">
      <c r="B262" s="10">
        <v>46114</v>
      </c>
      <c r="C262" s="11" t="s">
        <v>12</v>
      </c>
      <c r="D262" s="11" t="s">
        <v>23</v>
      </c>
      <c r="F262" s="940"/>
      <c r="G262" s="42" t="s">
        <v>14</v>
      </c>
      <c r="H262" s="29" t="s">
        <v>12</v>
      </c>
      <c r="I262" s="29">
        <v>96</v>
      </c>
      <c r="J262" s="29">
        <v>12</v>
      </c>
      <c r="K262" s="29">
        <v>0</v>
      </c>
      <c r="L262" s="29">
        <f t="shared" si="63"/>
        <v>108</v>
      </c>
      <c r="M262" s="43"/>
    </row>
    <row r="263" spans="2:15" ht="15.75" hidden="1" x14ac:dyDescent="0.25">
      <c r="B263" s="10">
        <v>46114</v>
      </c>
      <c r="C263" s="11" t="s">
        <v>12</v>
      </c>
      <c r="D263" s="11" t="s">
        <v>23</v>
      </c>
      <c r="F263" s="940"/>
      <c r="G263" s="42" t="s">
        <v>25</v>
      </c>
      <c r="H263" s="29" t="s">
        <v>18</v>
      </c>
      <c r="I263" s="29">
        <v>151</v>
      </c>
      <c r="J263" s="29">
        <v>29</v>
      </c>
      <c r="K263" s="29">
        <v>5</v>
      </c>
      <c r="L263" s="29">
        <f t="shared" si="63"/>
        <v>185</v>
      </c>
      <c r="M263" s="43"/>
    </row>
    <row r="264" spans="2:15" ht="15.75" hidden="1" x14ac:dyDescent="0.2">
      <c r="B264" s="10">
        <v>46114</v>
      </c>
      <c r="C264" s="11" t="s">
        <v>12</v>
      </c>
      <c r="D264" s="11" t="s">
        <v>23</v>
      </c>
      <c r="F264" s="937" t="s">
        <v>40</v>
      </c>
      <c r="G264" s="937"/>
      <c r="H264" s="937"/>
      <c r="I264" s="8">
        <f>SUM(I261:I263)</f>
        <v>259</v>
      </c>
      <c r="J264" s="8">
        <f>SUM(J261:J263)</f>
        <v>49</v>
      </c>
      <c r="K264" s="8">
        <f>SUM(K261:K263)</f>
        <v>5</v>
      </c>
      <c r="L264" s="8">
        <f>SUM(L261:L263)</f>
        <v>313</v>
      </c>
      <c r="M264" s="9"/>
      <c r="O264" s="8">
        <f>L264</f>
        <v>313</v>
      </c>
    </row>
    <row r="265" spans="2:15" ht="15.75" hidden="1" x14ac:dyDescent="0.25">
      <c r="B265" s="10">
        <v>46114</v>
      </c>
      <c r="C265" s="11" t="s">
        <v>18</v>
      </c>
      <c r="D265" s="11" t="s">
        <v>13</v>
      </c>
      <c r="F265" s="940" t="s">
        <v>95</v>
      </c>
      <c r="G265" s="42" t="s">
        <v>25</v>
      </c>
      <c r="H265" s="29" t="s">
        <v>18</v>
      </c>
      <c r="I265" s="29">
        <v>14</v>
      </c>
      <c r="J265" s="29">
        <v>8</v>
      </c>
      <c r="K265" s="29">
        <v>0</v>
      </c>
      <c r="L265" s="29">
        <f t="shared" ref="L265:L274" si="64">+SUM(I265:K265)</f>
        <v>22</v>
      </c>
      <c r="M265" s="43"/>
    </row>
    <row r="266" spans="2:15" ht="15.75" hidden="1" x14ac:dyDescent="0.25">
      <c r="B266" s="10">
        <v>46114</v>
      </c>
      <c r="C266" s="11" t="s">
        <v>18</v>
      </c>
      <c r="D266" s="11" t="s">
        <v>13</v>
      </c>
      <c r="F266" s="940"/>
      <c r="G266" s="42" t="s">
        <v>42</v>
      </c>
      <c r="H266" s="29" t="s">
        <v>43</v>
      </c>
      <c r="I266" s="29">
        <v>9</v>
      </c>
      <c r="J266" s="29">
        <v>3</v>
      </c>
      <c r="K266" s="29">
        <v>0</v>
      </c>
      <c r="L266" s="29">
        <f t="shared" si="64"/>
        <v>12</v>
      </c>
      <c r="M266" s="43"/>
    </row>
    <row r="267" spans="2:15" ht="15.75" hidden="1" x14ac:dyDescent="0.25">
      <c r="B267" s="10">
        <v>46114</v>
      </c>
      <c r="C267" s="11" t="s">
        <v>18</v>
      </c>
      <c r="D267" s="11" t="s">
        <v>13</v>
      </c>
      <c r="F267" s="940"/>
      <c r="G267" s="42" t="s">
        <v>14</v>
      </c>
      <c r="H267" s="29" t="s">
        <v>12</v>
      </c>
      <c r="I267" s="29">
        <v>9</v>
      </c>
      <c r="J267" s="29">
        <v>2</v>
      </c>
      <c r="K267" s="29">
        <v>0</v>
      </c>
      <c r="L267" s="29">
        <f t="shared" si="64"/>
        <v>11</v>
      </c>
      <c r="M267" s="43"/>
    </row>
    <row r="268" spans="2:15" ht="15.75" hidden="1" x14ac:dyDescent="0.25">
      <c r="B268" s="10">
        <v>46114</v>
      </c>
      <c r="C268" s="11" t="s">
        <v>18</v>
      </c>
      <c r="D268" s="11" t="s">
        <v>13</v>
      </c>
      <c r="F268" s="940"/>
      <c r="G268" s="42" t="s">
        <v>16</v>
      </c>
      <c r="H268" s="29" t="s">
        <v>83</v>
      </c>
      <c r="I268" s="29">
        <v>129</v>
      </c>
      <c r="J268" s="29">
        <v>68</v>
      </c>
      <c r="K268" s="29">
        <v>0</v>
      </c>
      <c r="L268" s="29">
        <f t="shared" si="64"/>
        <v>197</v>
      </c>
      <c r="M268" s="43"/>
    </row>
    <row r="269" spans="2:15" ht="15.75" hidden="1" x14ac:dyDescent="0.2">
      <c r="B269" s="10">
        <v>46114</v>
      </c>
      <c r="C269" s="11" t="s">
        <v>18</v>
      </c>
      <c r="D269" s="11" t="s">
        <v>13</v>
      </c>
      <c r="F269" s="937" t="s">
        <v>40</v>
      </c>
      <c r="G269" s="937"/>
      <c r="H269" s="937"/>
      <c r="I269" s="8">
        <f>SUM(I265:I268)</f>
        <v>161</v>
      </c>
      <c r="J269" s="8">
        <f>SUM(J265:J268)</f>
        <v>81</v>
      </c>
      <c r="K269" s="8">
        <f>SUM(K265:K268)</f>
        <v>0</v>
      </c>
      <c r="L269" s="8">
        <f>SUM(L265:L268)</f>
        <v>242</v>
      </c>
      <c r="M269" s="9"/>
      <c r="O269" s="8">
        <f>L269</f>
        <v>242</v>
      </c>
    </row>
    <row r="270" spans="2:15" ht="15.75" hidden="1" x14ac:dyDescent="0.25">
      <c r="B270" s="10">
        <v>46115</v>
      </c>
      <c r="C270" s="11" t="s">
        <v>22</v>
      </c>
      <c r="D270" s="11" t="s">
        <v>20</v>
      </c>
      <c r="F270" s="939">
        <v>46115</v>
      </c>
      <c r="G270" s="29" t="s">
        <v>32</v>
      </c>
      <c r="H270" s="29" t="s">
        <v>22</v>
      </c>
      <c r="I270" s="29">
        <v>7</v>
      </c>
      <c r="J270" s="29">
        <v>0</v>
      </c>
      <c r="K270" s="29">
        <v>0</v>
      </c>
      <c r="L270" s="29">
        <f t="shared" si="64"/>
        <v>7</v>
      </c>
      <c r="M270" s="31"/>
    </row>
    <row r="271" spans="2:15" ht="15.75" hidden="1" x14ac:dyDescent="0.25">
      <c r="B271" s="10">
        <v>46115</v>
      </c>
      <c r="C271" s="11" t="s">
        <v>22</v>
      </c>
      <c r="D271" s="11" t="s">
        <v>20</v>
      </c>
      <c r="F271" s="940"/>
      <c r="G271" s="42" t="s">
        <v>87</v>
      </c>
      <c r="H271" s="29" t="s">
        <v>22</v>
      </c>
      <c r="I271" s="29">
        <v>7</v>
      </c>
      <c r="J271" s="29">
        <v>0</v>
      </c>
      <c r="K271" s="29">
        <v>0</v>
      </c>
      <c r="L271" s="29">
        <f t="shared" si="64"/>
        <v>7</v>
      </c>
      <c r="M271" s="43"/>
    </row>
    <row r="272" spans="2:15" ht="15.75" hidden="1" x14ac:dyDescent="0.25">
      <c r="B272" s="10">
        <v>46115</v>
      </c>
      <c r="C272" s="11" t="s">
        <v>22</v>
      </c>
      <c r="D272" s="11" t="s">
        <v>20</v>
      </c>
      <c r="F272" s="940"/>
      <c r="G272" s="42" t="s">
        <v>16</v>
      </c>
      <c r="H272" s="29" t="s">
        <v>83</v>
      </c>
      <c r="I272" s="29">
        <v>11</v>
      </c>
      <c r="J272" s="29">
        <v>27</v>
      </c>
      <c r="K272" s="29">
        <v>0</v>
      </c>
      <c r="L272" s="29">
        <f t="shared" si="64"/>
        <v>38</v>
      </c>
      <c r="M272" s="43"/>
    </row>
    <row r="273" spans="2:15" ht="15.75" hidden="1" x14ac:dyDescent="0.25">
      <c r="B273" s="10">
        <v>46115</v>
      </c>
      <c r="C273" s="11" t="s">
        <v>22</v>
      </c>
      <c r="D273" s="11" t="s">
        <v>20</v>
      </c>
      <c r="F273" s="940"/>
      <c r="G273" s="42" t="s">
        <v>14</v>
      </c>
      <c r="H273" s="29" t="s">
        <v>12</v>
      </c>
      <c r="I273" s="29">
        <v>120</v>
      </c>
      <c r="J273" s="29">
        <v>33</v>
      </c>
      <c r="K273" s="29">
        <v>31</v>
      </c>
      <c r="L273" s="29">
        <f t="shared" si="64"/>
        <v>184</v>
      </c>
      <c r="M273" s="43"/>
    </row>
    <row r="274" spans="2:15" ht="15.75" hidden="1" x14ac:dyDescent="0.25">
      <c r="B274" s="10">
        <v>46115</v>
      </c>
      <c r="C274" s="11" t="s">
        <v>22</v>
      </c>
      <c r="D274" s="11" t="s">
        <v>20</v>
      </c>
      <c r="F274" s="940"/>
      <c r="G274" s="42" t="s">
        <v>17</v>
      </c>
      <c r="H274" s="29" t="s">
        <v>18</v>
      </c>
      <c r="I274" s="29">
        <v>0</v>
      </c>
      <c r="J274" s="29">
        <v>0</v>
      </c>
      <c r="K274" s="29">
        <v>48</v>
      </c>
      <c r="L274" s="29">
        <f t="shared" si="64"/>
        <v>48</v>
      </c>
      <c r="M274" s="43"/>
    </row>
    <row r="275" spans="2:15" ht="15.75" hidden="1" x14ac:dyDescent="0.2">
      <c r="B275" s="10">
        <v>46115</v>
      </c>
      <c r="C275" s="11" t="s">
        <v>22</v>
      </c>
      <c r="D275" s="11" t="s">
        <v>20</v>
      </c>
      <c r="F275" s="937" t="s">
        <v>40</v>
      </c>
      <c r="G275" s="937"/>
      <c r="H275" s="937"/>
      <c r="I275" s="8">
        <f>SUM(I270:I274)</f>
        <v>145</v>
      </c>
      <c r="J275" s="8">
        <f>SUM(J270:J274)</f>
        <v>60</v>
      </c>
      <c r="K275" s="8">
        <f>SUM(K270:K274)</f>
        <v>79</v>
      </c>
      <c r="L275" s="8">
        <f>SUM(L270:L274)</f>
        <v>284</v>
      </c>
      <c r="M275" s="9"/>
      <c r="O275" s="8">
        <f>L275</f>
        <v>284</v>
      </c>
    </row>
    <row r="276" spans="2:15" ht="15.75" hidden="1" x14ac:dyDescent="0.25">
      <c r="B276" s="10">
        <v>46115</v>
      </c>
      <c r="C276" s="11" t="s">
        <v>12</v>
      </c>
      <c r="D276" s="11" t="s">
        <v>23</v>
      </c>
      <c r="F276" s="940">
        <v>46115</v>
      </c>
      <c r="G276" s="42" t="s">
        <v>16</v>
      </c>
      <c r="H276" s="29" t="s">
        <v>83</v>
      </c>
      <c r="I276" s="29">
        <v>16</v>
      </c>
      <c r="J276" s="29">
        <v>2</v>
      </c>
      <c r="K276" s="29">
        <v>74</v>
      </c>
      <c r="L276" s="29">
        <f t="shared" ref="L276:L278" si="65">+SUM(I276:K276)</f>
        <v>92</v>
      </c>
      <c r="M276" s="43"/>
    </row>
    <row r="277" spans="2:15" ht="15.75" hidden="1" x14ac:dyDescent="0.25">
      <c r="B277" s="10">
        <v>46115</v>
      </c>
      <c r="C277" s="11" t="s">
        <v>12</v>
      </c>
      <c r="D277" s="11" t="s">
        <v>23</v>
      </c>
      <c r="F277" s="940"/>
      <c r="G277" s="42" t="s">
        <v>14</v>
      </c>
      <c r="H277" s="29" t="s">
        <v>12</v>
      </c>
      <c r="I277" s="29">
        <v>55</v>
      </c>
      <c r="J277" s="29">
        <v>3</v>
      </c>
      <c r="K277" s="29">
        <v>0</v>
      </c>
      <c r="L277" s="29">
        <f t="shared" ref="L277" si="66">+SUM(I277:K277)</f>
        <v>58</v>
      </c>
      <c r="M277" s="43"/>
    </row>
    <row r="278" spans="2:15" ht="15.75" hidden="1" x14ac:dyDescent="0.25">
      <c r="B278" s="10">
        <v>46115</v>
      </c>
      <c r="C278" s="11" t="s">
        <v>12</v>
      </c>
      <c r="D278" s="11" t="s">
        <v>23</v>
      </c>
      <c r="F278" s="940"/>
      <c r="G278" s="42" t="s">
        <v>17</v>
      </c>
      <c r="H278" s="29" t="s">
        <v>18</v>
      </c>
      <c r="I278" s="29">
        <v>126</v>
      </c>
      <c r="J278" s="29">
        <v>38</v>
      </c>
      <c r="K278" s="29">
        <v>0</v>
      </c>
      <c r="L278" s="29">
        <f t="shared" si="65"/>
        <v>164</v>
      </c>
      <c r="M278" s="43"/>
    </row>
    <row r="279" spans="2:15" ht="15.75" hidden="1" x14ac:dyDescent="0.2">
      <c r="B279" s="10">
        <v>46115</v>
      </c>
      <c r="C279" s="11" t="s">
        <v>12</v>
      </c>
      <c r="D279" s="11" t="s">
        <v>23</v>
      </c>
      <c r="F279" s="937" t="s">
        <v>40</v>
      </c>
      <c r="G279" s="937"/>
      <c r="H279" s="937"/>
      <c r="I279" s="8">
        <f>SUM(I276:I278)</f>
        <v>197</v>
      </c>
      <c r="J279" s="8">
        <f>SUM(J276:J278)</f>
        <v>43</v>
      </c>
      <c r="K279" s="8">
        <f>SUM(K276:K278)</f>
        <v>74</v>
      </c>
      <c r="L279" s="8">
        <f>SUM(L276:L278)</f>
        <v>314</v>
      </c>
      <c r="M279" s="9"/>
      <c r="O279" s="8">
        <f>L279</f>
        <v>314</v>
      </c>
    </row>
    <row r="280" spans="2:15" ht="15.75" hidden="1" x14ac:dyDescent="0.25">
      <c r="B280" s="10">
        <v>46115</v>
      </c>
      <c r="C280" s="11" t="s">
        <v>18</v>
      </c>
      <c r="D280" s="11" t="s">
        <v>13</v>
      </c>
      <c r="F280" s="940" t="s">
        <v>97</v>
      </c>
      <c r="G280" s="42" t="s">
        <v>25</v>
      </c>
      <c r="H280" s="29" t="s">
        <v>18</v>
      </c>
      <c r="I280" s="29">
        <v>2</v>
      </c>
      <c r="J280" s="29">
        <v>0</v>
      </c>
      <c r="K280" s="29">
        <v>0</v>
      </c>
      <c r="L280" s="29">
        <f t="shared" ref="L280:L284" si="67">+SUM(I280:K280)</f>
        <v>2</v>
      </c>
      <c r="M280" s="43"/>
    </row>
    <row r="281" spans="2:15" ht="15.75" hidden="1" x14ac:dyDescent="0.25">
      <c r="B281" s="10">
        <v>46115</v>
      </c>
      <c r="C281" s="11" t="s">
        <v>18</v>
      </c>
      <c r="D281" s="11" t="s">
        <v>13</v>
      </c>
      <c r="F281" s="940"/>
      <c r="G281" s="42" t="s">
        <v>42</v>
      </c>
      <c r="H281" s="29" t="s">
        <v>43</v>
      </c>
      <c r="I281" s="29">
        <v>16</v>
      </c>
      <c r="J281" s="29">
        <v>3</v>
      </c>
      <c r="K281" s="29">
        <v>0</v>
      </c>
      <c r="L281" s="29">
        <f t="shared" si="67"/>
        <v>19</v>
      </c>
      <c r="M281" s="43"/>
    </row>
    <row r="282" spans="2:15" ht="15.75" hidden="1" x14ac:dyDescent="0.25">
      <c r="B282" s="10">
        <v>46115</v>
      </c>
      <c r="C282" s="11" t="s">
        <v>18</v>
      </c>
      <c r="D282" s="11" t="s">
        <v>13</v>
      </c>
      <c r="F282" s="940"/>
      <c r="G282" s="42" t="s">
        <v>14</v>
      </c>
      <c r="H282" s="29" t="s">
        <v>27</v>
      </c>
      <c r="I282" s="29">
        <v>13</v>
      </c>
      <c r="J282" s="29">
        <v>0</v>
      </c>
      <c r="K282" s="29">
        <v>32</v>
      </c>
      <c r="L282" s="29">
        <f t="shared" si="67"/>
        <v>45</v>
      </c>
      <c r="M282" s="43"/>
    </row>
    <row r="283" spans="2:15" ht="15.75" hidden="1" x14ac:dyDescent="0.25">
      <c r="B283" s="10">
        <v>46115</v>
      </c>
      <c r="C283" s="11" t="s">
        <v>18</v>
      </c>
      <c r="D283" s="11" t="s">
        <v>13</v>
      </c>
      <c r="F283" s="940"/>
      <c r="G283" s="42" t="s">
        <v>17</v>
      </c>
      <c r="H283" s="29" t="s">
        <v>18</v>
      </c>
      <c r="I283" s="29">
        <v>12</v>
      </c>
      <c r="J283" s="29">
        <v>13</v>
      </c>
      <c r="K283" s="29">
        <v>0</v>
      </c>
      <c r="L283" s="29">
        <f t="shared" si="67"/>
        <v>25</v>
      </c>
      <c r="M283" s="43"/>
    </row>
    <row r="284" spans="2:15" ht="15.75" hidden="1" x14ac:dyDescent="0.25">
      <c r="B284" s="10">
        <v>46115</v>
      </c>
      <c r="C284" s="11" t="s">
        <v>18</v>
      </c>
      <c r="D284" s="11" t="s">
        <v>13</v>
      </c>
      <c r="F284" s="940"/>
      <c r="G284" s="42" t="s">
        <v>16</v>
      </c>
      <c r="H284" s="29" t="s">
        <v>83</v>
      </c>
      <c r="I284" s="29">
        <v>115</v>
      </c>
      <c r="J284" s="29">
        <v>107</v>
      </c>
      <c r="K284" s="29">
        <v>0</v>
      </c>
      <c r="L284" s="29">
        <f t="shared" si="67"/>
        <v>222</v>
      </c>
      <c r="M284" s="43"/>
    </row>
    <row r="285" spans="2:15" ht="15.75" hidden="1" x14ac:dyDescent="0.2">
      <c r="B285" s="10">
        <v>46115</v>
      </c>
      <c r="C285" s="11" t="s">
        <v>18</v>
      </c>
      <c r="D285" s="11" t="s">
        <v>13</v>
      </c>
      <c r="F285" s="937" t="s">
        <v>40</v>
      </c>
      <c r="G285" s="937"/>
      <c r="H285" s="937"/>
      <c r="I285" s="8">
        <f>SUM(I280:I284)</f>
        <v>158</v>
      </c>
      <c r="J285" s="8">
        <f>SUM(J280:J284)</f>
        <v>123</v>
      </c>
      <c r="K285" s="8">
        <f>SUM(K280:K284)</f>
        <v>32</v>
      </c>
      <c r="L285" s="8">
        <f>SUM(L280:L284)</f>
        <v>313</v>
      </c>
      <c r="M285" s="9"/>
    </row>
    <row r="286" spans="2:15" ht="15.75" hidden="1" x14ac:dyDescent="0.2">
      <c r="B286" s="10">
        <v>46116</v>
      </c>
      <c r="C286" s="11" t="s">
        <v>22</v>
      </c>
      <c r="D286" s="11" t="s">
        <v>20</v>
      </c>
      <c r="F286" s="940">
        <v>46116</v>
      </c>
      <c r="G286" s="42" t="s">
        <v>32</v>
      </c>
      <c r="H286" s="42" t="s">
        <v>22</v>
      </c>
      <c r="I286" s="42">
        <v>8</v>
      </c>
      <c r="J286" s="42">
        <v>0</v>
      </c>
      <c r="K286" s="42">
        <v>0</v>
      </c>
      <c r="L286" s="42">
        <v>8</v>
      </c>
      <c r="M286" s="65"/>
    </row>
    <row r="287" spans="2:15" ht="15.75" hidden="1" x14ac:dyDescent="0.2">
      <c r="B287" s="10">
        <v>46116</v>
      </c>
      <c r="C287" s="11" t="s">
        <v>22</v>
      </c>
      <c r="D287" s="11" t="s">
        <v>20</v>
      </c>
      <c r="F287" s="940"/>
      <c r="G287" s="42" t="s">
        <v>16</v>
      </c>
      <c r="H287" s="42" t="s">
        <v>83</v>
      </c>
      <c r="I287" s="42">
        <v>2</v>
      </c>
      <c r="J287" s="42">
        <v>12</v>
      </c>
      <c r="K287" s="42">
        <v>0</v>
      </c>
      <c r="L287" s="42">
        <v>14</v>
      </c>
      <c r="M287" s="65"/>
    </row>
    <row r="288" spans="2:15" ht="15.75" hidden="1" x14ac:dyDescent="0.2">
      <c r="B288" s="10">
        <v>46116</v>
      </c>
      <c r="C288" s="11" t="s">
        <v>22</v>
      </c>
      <c r="D288" s="11" t="s">
        <v>20</v>
      </c>
      <c r="F288" s="940"/>
      <c r="G288" s="42" t="s">
        <v>14</v>
      </c>
      <c r="H288" s="42" t="s">
        <v>27</v>
      </c>
      <c r="I288" s="42">
        <v>150</v>
      </c>
      <c r="J288" s="42">
        <v>61</v>
      </c>
      <c r="K288" s="42">
        <v>0</v>
      </c>
      <c r="L288" s="42">
        <v>211</v>
      </c>
      <c r="M288" s="65"/>
    </row>
    <row r="289" spans="2:15" ht="15.75" hidden="1" x14ac:dyDescent="0.2">
      <c r="B289" s="10">
        <v>46116</v>
      </c>
      <c r="C289" s="11" t="s">
        <v>22</v>
      </c>
      <c r="D289" s="11" t="s">
        <v>20</v>
      </c>
      <c r="F289" s="937" t="s">
        <v>40</v>
      </c>
      <c r="G289" s="937"/>
      <c r="H289" s="937"/>
      <c r="I289" s="8">
        <f>SUM(I286:I288)</f>
        <v>160</v>
      </c>
      <c r="J289" s="8">
        <f t="shared" ref="J289:L289" si="68">SUM(J286:J288)</f>
        <v>73</v>
      </c>
      <c r="K289" s="8">
        <f t="shared" si="68"/>
        <v>0</v>
      </c>
      <c r="L289" s="8">
        <f t="shared" si="68"/>
        <v>233</v>
      </c>
      <c r="M289" s="65"/>
    </row>
    <row r="290" spans="2:15" ht="15.75" hidden="1" x14ac:dyDescent="0.25">
      <c r="B290" s="10">
        <v>46116</v>
      </c>
      <c r="C290" s="11" t="s">
        <v>12</v>
      </c>
      <c r="D290" s="11" t="s">
        <v>23</v>
      </c>
      <c r="F290" s="940">
        <v>46116</v>
      </c>
      <c r="G290" s="42" t="s">
        <v>16</v>
      </c>
      <c r="H290" s="29" t="s">
        <v>83</v>
      </c>
      <c r="I290" s="29">
        <v>90</v>
      </c>
      <c r="J290" s="29">
        <v>30</v>
      </c>
      <c r="K290" s="29">
        <v>99</v>
      </c>
      <c r="L290" s="29">
        <f>+SUM(I290:K290)</f>
        <v>219</v>
      </c>
      <c r="M290" s="43"/>
    </row>
    <row r="291" spans="2:15" ht="15.75" hidden="1" x14ac:dyDescent="0.25">
      <c r="B291" s="10">
        <v>46116</v>
      </c>
      <c r="C291" s="11" t="s">
        <v>12</v>
      </c>
      <c r="D291" s="11" t="s">
        <v>23</v>
      </c>
      <c r="F291" s="940"/>
      <c r="G291" s="42" t="s">
        <v>17</v>
      </c>
      <c r="H291" s="29" t="s">
        <v>18</v>
      </c>
      <c r="I291" s="29">
        <v>13</v>
      </c>
      <c r="J291" s="29">
        <v>0</v>
      </c>
      <c r="K291" s="29">
        <v>0</v>
      </c>
      <c r="L291" s="29">
        <f t="shared" ref="L291:L292" si="69">+SUM(I291:K291)</f>
        <v>13</v>
      </c>
      <c r="M291" s="43"/>
    </row>
    <row r="292" spans="2:15" ht="15.75" hidden="1" x14ac:dyDescent="0.25">
      <c r="B292" s="10">
        <v>46116</v>
      </c>
      <c r="C292" s="11" t="s">
        <v>12</v>
      </c>
      <c r="D292" s="11" t="s">
        <v>23</v>
      </c>
      <c r="F292" s="940"/>
      <c r="G292" s="42" t="s">
        <v>14</v>
      </c>
      <c r="H292" s="29" t="s">
        <v>27</v>
      </c>
      <c r="I292" s="29">
        <v>35</v>
      </c>
      <c r="J292" s="29">
        <v>5</v>
      </c>
      <c r="K292" s="29">
        <v>0</v>
      </c>
      <c r="L292" s="29">
        <f t="shared" si="69"/>
        <v>40</v>
      </c>
      <c r="M292" s="43"/>
    </row>
    <row r="293" spans="2:15" ht="15.75" hidden="1" x14ac:dyDescent="0.2">
      <c r="B293" s="10">
        <v>46116</v>
      </c>
      <c r="C293" s="11" t="s">
        <v>12</v>
      </c>
      <c r="D293" s="11" t="s">
        <v>23</v>
      </c>
      <c r="F293" s="937" t="s">
        <v>40</v>
      </c>
      <c r="G293" s="937"/>
      <c r="H293" s="937"/>
      <c r="I293" s="8">
        <f>SUM(I290:I292)</f>
        <v>138</v>
      </c>
      <c r="J293" s="8">
        <f t="shared" ref="J293:K293" si="70">SUM(J290:J292)</f>
        <v>35</v>
      </c>
      <c r="K293" s="8">
        <f t="shared" si="70"/>
        <v>99</v>
      </c>
      <c r="L293" s="8">
        <f>SUM(L290:L292)</f>
        <v>272</v>
      </c>
      <c r="M293" s="9"/>
      <c r="O293" s="8">
        <f>L293</f>
        <v>272</v>
      </c>
    </row>
    <row r="294" spans="2:15" ht="15.75" hidden="1" x14ac:dyDescent="0.25">
      <c r="B294" s="10">
        <v>46116</v>
      </c>
      <c r="C294" s="11" t="s">
        <v>18</v>
      </c>
      <c r="D294" s="11" t="s">
        <v>13</v>
      </c>
      <c r="F294" s="940" t="s">
        <v>99</v>
      </c>
      <c r="G294" s="42" t="s">
        <v>16</v>
      </c>
      <c r="H294" s="29" t="s">
        <v>83</v>
      </c>
      <c r="I294" s="29">
        <v>79</v>
      </c>
      <c r="J294" s="29">
        <v>70</v>
      </c>
      <c r="K294" s="29">
        <v>0</v>
      </c>
      <c r="L294" s="29">
        <f>+SUM(I294:K294)</f>
        <v>149</v>
      </c>
      <c r="M294" s="43"/>
    </row>
    <row r="295" spans="2:15" ht="15.75" hidden="1" x14ac:dyDescent="0.25">
      <c r="B295" s="10">
        <v>46116</v>
      </c>
      <c r="C295" s="11" t="s">
        <v>18</v>
      </c>
      <c r="D295" s="11" t="s">
        <v>13</v>
      </c>
      <c r="F295" s="940"/>
      <c r="G295" s="42" t="s">
        <v>84</v>
      </c>
      <c r="H295" s="29" t="s">
        <v>22</v>
      </c>
      <c r="I295" s="29">
        <v>0</v>
      </c>
      <c r="J295" s="29">
        <v>0</v>
      </c>
      <c r="K295" s="29">
        <v>98</v>
      </c>
      <c r="L295" s="29">
        <f>+SUM(I295:K295)</f>
        <v>98</v>
      </c>
      <c r="M295" s="43"/>
    </row>
    <row r="296" spans="2:15" ht="15.75" hidden="1" x14ac:dyDescent="0.25">
      <c r="B296" s="10">
        <v>46116</v>
      </c>
      <c r="C296" s="11" t="s">
        <v>18</v>
      </c>
      <c r="D296" s="11" t="s">
        <v>13</v>
      </c>
      <c r="F296" s="940"/>
      <c r="G296" s="42" t="s">
        <v>14</v>
      </c>
      <c r="H296" s="29" t="s">
        <v>100</v>
      </c>
      <c r="I296" s="29">
        <v>17</v>
      </c>
      <c r="J296" s="29">
        <v>0</v>
      </c>
      <c r="K296" s="29">
        <v>0</v>
      </c>
      <c r="L296" s="29">
        <f t="shared" ref="L296" si="71">+SUM(I296:K296)</f>
        <v>17</v>
      </c>
      <c r="M296" s="43"/>
    </row>
    <row r="297" spans="2:15" ht="15.75" hidden="1" x14ac:dyDescent="0.2">
      <c r="B297" s="10">
        <v>46116</v>
      </c>
      <c r="C297" s="11" t="s">
        <v>18</v>
      </c>
      <c r="D297" s="11" t="s">
        <v>13</v>
      </c>
      <c r="F297" s="937" t="s">
        <v>40</v>
      </c>
      <c r="G297" s="937"/>
      <c r="H297" s="937"/>
      <c r="I297" s="8">
        <f>SUM(I294:I296)</f>
        <v>96</v>
      </c>
      <c r="J297" s="8">
        <f>SUM(J294:J296)</f>
        <v>70</v>
      </c>
      <c r="K297" s="8">
        <f>SUM(K294:K296)</f>
        <v>98</v>
      </c>
      <c r="L297" s="8">
        <f>SUM(L294:L296)</f>
        <v>264</v>
      </c>
      <c r="M297" s="9"/>
    </row>
    <row r="298" spans="2:15" ht="15.75" hidden="1" x14ac:dyDescent="0.25">
      <c r="B298" s="10">
        <v>46117</v>
      </c>
      <c r="C298" s="11" t="s">
        <v>22</v>
      </c>
      <c r="D298" s="11" t="s">
        <v>20</v>
      </c>
      <c r="F298" s="939" t="s">
        <v>102</v>
      </c>
      <c r="G298" s="29" t="s">
        <v>84</v>
      </c>
      <c r="H298" s="29" t="s">
        <v>22</v>
      </c>
      <c r="I298" s="29">
        <v>0</v>
      </c>
      <c r="J298" s="29">
        <v>0</v>
      </c>
      <c r="K298" s="29">
        <v>39</v>
      </c>
      <c r="L298" s="29">
        <f t="shared" ref="L298:L300" si="72">+SUM(I298:K298)</f>
        <v>39</v>
      </c>
      <c r="M298" s="31"/>
    </row>
    <row r="299" spans="2:15" ht="15.75" hidden="1" x14ac:dyDescent="0.25">
      <c r="B299" s="10">
        <v>46117</v>
      </c>
      <c r="C299" s="11" t="s">
        <v>22</v>
      </c>
      <c r="D299" s="11" t="s">
        <v>20</v>
      </c>
      <c r="F299" s="940"/>
      <c r="G299" s="42" t="s">
        <v>87</v>
      </c>
      <c r="H299" s="29" t="s">
        <v>22</v>
      </c>
      <c r="I299" s="29">
        <v>0</v>
      </c>
      <c r="J299" s="29">
        <v>1</v>
      </c>
      <c r="K299" s="29">
        <v>0</v>
      </c>
      <c r="L299" s="29">
        <f t="shared" si="72"/>
        <v>1</v>
      </c>
      <c r="M299" s="43"/>
    </row>
    <row r="300" spans="2:15" ht="15.75" hidden="1" x14ac:dyDescent="0.25">
      <c r="B300" s="10">
        <v>46117</v>
      </c>
      <c r="C300" s="11" t="s">
        <v>22</v>
      </c>
      <c r="D300" s="11" t="s">
        <v>20</v>
      </c>
      <c r="F300" s="940"/>
      <c r="G300" s="42" t="s">
        <v>16</v>
      </c>
      <c r="H300" s="29" t="s">
        <v>15</v>
      </c>
      <c r="I300" s="29">
        <v>80</v>
      </c>
      <c r="J300" s="29">
        <v>72</v>
      </c>
      <c r="K300" s="29">
        <v>0</v>
      </c>
      <c r="L300" s="29">
        <f t="shared" si="72"/>
        <v>152</v>
      </c>
      <c r="M300" s="43"/>
    </row>
    <row r="301" spans="2:15" ht="15.75" hidden="1" x14ac:dyDescent="0.2">
      <c r="B301" s="10">
        <v>46117</v>
      </c>
      <c r="C301" s="11" t="s">
        <v>22</v>
      </c>
      <c r="D301" s="11" t="s">
        <v>20</v>
      </c>
      <c r="F301" s="937" t="s">
        <v>40</v>
      </c>
      <c r="G301" s="937"/>
      <c r="H301" s="937"/>
      <c r="I301" s="8">
        <f>SUM(I298:I300)</f>
        <v>80</v>
      </c>
      <c r="J301" s="8">
        <f>SUM(J298:J300)</f>
        <v>73</v>
      </c>
      <c r="K301" s="8">
        <f>SUM(K298:K300)</f>
        <v>39</v>
      </c>
      <c r="L301" s="8">
        <f>SUM(L298:L300)</f>
        <v>192</v>
      </c>
      <c r="M301" s="9"/>
      <c r="O301" s="8">
        <f>L301</f>
        <v>192</v>
      </c>
    </row>
    <row r="302" spans="2:15" ht="15.75" hidden="1" x14ac:dyDescent="0.2">
      <c r="B302" s="10">
        <v>46118</v>
      </c>
      <c r="C302" s="11" t="s">
        <v>22</v>
      </c>
      <c r="D302" s="11" t="s">
        <v>20</v>
      </c>
      <c r="F302" s="939">
        <v>46118</v>
      </c>
      <c r="G302" s="29" t="s">
        <v>16</v>
      </c>
      <c r="H302" s="29" t="s">
        <v>83</v>
      </c>
      <c r="I302" s="29">
        <v>32</v>
      </c>
      <c r="J302" s="29">
        <v>32</v>
      </c>
      <c r="K302" s="29">
        <v>16</v>
      </c>
      <c r="L302" s="29">
        <v>80</v>
      </c>
      <c r="M302" s="29"/>
      <c r="O302" s="64"/>
    </row>
    <row r="303" spans="2:15" ht="15.75" hidden="1" x14ac:dyDescent="0.2">
      <c r="B303" s="10">
        <v>46118</v>
      </c>
      <c r="C303" s="11" t="s">
        <v>22</v>
      </c>
      <c r="D303" s="11" t="s">
        <v>20</v>
      </c>
      <c r="F303" s="940"/>
      <c r="G303" s="42" t="s">
        <v>84</v>
      </c>
      <c r="H303" s="29" t="s">
        <v>22</v>
      </c>
      <c r="I303" s="29">
        <v>99</v>
      </c>
      <c r="J303" s="29">
        <v>7</v>
      </c>
      <c r="K303" s="29">
        <v>0</v>
      </c>
      <c r="L303" s="29">
        <v>106</v>
      </c>
      <c r="M303" s="29"/>
      <c r="O303" s="64"/>
    </row>
    <row r="304" spans="2:15" ht="15.75" hidden="1" x14ac:dyDescent="0.2">
      <c r="B304" s="10">
        <v>46118</v>
      </c>
      <c r="C304" s="11" t="s">
        <v>22</v>
      </c>
      <c r="D304" s="11" t="s">
        <v>20</v>
      </c>
      <c r="F304" s="940"/>
      <c r="G304" s="42" t="s">
        <v>14</v>
      </c>
      <c r="H304" s="29" t="s">
        <v>100</v>
      </c>
      <c r="I304" s="29">
        <v>165</v>
      </c>
      <c r="J304" s="29">
        <v>53</v>
      </c>
      <c r="K304" s="29">
        <v>0</v>
      </c>
      <c r="L304" s="29">
        <v>218</v>
      </c>
      <c r="M304" s="29"/>
      <c r="O304" s="64"/>
    </row>
    <row r="305" spans="2:15" ht="15.75" hidden="1" x14ac:dyDescent="0.2">
      <c r="B305" s="10">
        <v>46118</v>
      </c>
      <c r="C305" s="11" t="s">
        <v>22</v>
      </c>
      <c r="D305" s="11" t="s">
        <v>20</v>
      </c>
      <c r="F305" s="937" t="s">
        <v>40</v>
      </c>
      <c r="G305" s="937"/>
      <c r="H305" s="937"/>
      <c r="I305" s="8">
        <f>SUM(I302:I304)</f>
        <v>296</v>
      </c>
      <c r="J305" s="8">
        <f t="shared" ref="J305:K305" si="73">SUM(J302:J304)</f>
        <v>92</v>
      </c>
      <c r="K305" s="8">
        <f t="shared" si="73"/>
        <v>16</v>
      </c>
      <c r="L305" s="8">
        <f>SUM(L302:L304)</f>
        <v>404</v>
      </c>
      <c r="M305" s="9"/>
      <c r="O305" s="64"/>
    </row>
    <row r="306" spans="2:15" ht="15.75" hidden="1" x14ac:dyDescent="0.25">
      <c r="B306" s="10">
        <v>46118</v>
      </c>
      <c r="C306" s="11" t="s">
        <v>12</v>
      </c>
      <c r="D306" s="11" t="s">
        <v>23</v>
      </c>
      <c r="F306" s="939">
        <v>46118</v>
      </c>
      <c r="G306" s="29" t="s">
        <v>16</v>
      </c>
      <c r="H306" s="29" t="s">
        <v>83</v>
      </c>
      <c r="I306" s="29">
        <v>17</v>
      </c>
      <c r="J306" s="29">
        <v>8</v>
      </c>
      <c r="K306" s="29">
        <v>0</v>
      </c>
      <c r="L306" s="29">
        <f t="shared" ref="L306:L309" si="74">+SUM(I306:K306)</f>
        <v>25</v>
      </c>
      <c r="M306" s="31"/>
    </row>
    <row r="307" spans="2:15" ht="15.75" hidden="1" x14ac:dyDescent="0.25">
      <c r="B307" s="10">
        <v>46118</v>
      </c>
      <c r="C307" s="11" t="s">
        <v>12</v>
      </c>
      <c r="D307" s="11" t="s">
        <v>23</v>
      </c>
      <c r="F307" s="940"/>
      <c r="G307" s="42" t="s">
        <v>84</v>
      </c>
      <c r="H307" s="29" t="s">
        <v>22</v>
      </c>
      <c r="I307" s="29">
        <v>0</v>
      </c>
      <c r="J307" s="29">
        <v>0</v>
      </c>
      <c r="K307" s="29">
        <v>13</v>
      </c>
      <c r="L307" s="29">
        <f t="shared" si="74"/>
        <v>13</v>
      </c>
      <c r="M307" s="43"/>
    </row>
    <row r="308" spans="2:15" ht="15.75" hidden="1" x14ac:dyDescent="0.25">
      <c r="B308" s="10">
        <v>46118</v>
      </c>
      <c r="C308" s="11" t="s">
        <v>12</v>
      </c>
      <c r="D308" s="11" t="s">
        <v>23</v>
      </c>
      <c r="F308" s="940"/>
      <c r="G308" s="42" t="s">
        <v>17</v>
      </c>
      <c r="H308" s="29" t="s">
        <v>18</v>
      </c>
      <c r="I308" s="29">
        <v>4</v>
      </c>
      <c r="J308" s="29">
        <v>5</v>
      </c>
      <c r="K308" s="29">
        <v>9</v>
      </c>
      <c r="L308" s="29">
        <f t="shared" si="74"/>
        <v>18</v>
      </c>
      <c r="M308" s="43"/>
    </row>
    <row r="309" spans="2:15" ht="15.75" hidden="1" x14ac:dyDescent="0.25">
      <c r="B309" s="10">
        <v>46118</v>
      </c>
      <c r="C309" s="11" t="s">
        <v>12</v>
      </c>
      <c r="D309" s="11" t="s">
        <v>23</v>
      </c>
      <c r="F309" s="940"/>
      <c r="G309" s="42" t="s">
        <v>14</v>
      </c>
      <c r="H309" s="29" t="s">
        <v>100</v>
      </c>
      <c r="I309" s="29">
        <v>37</v>
      </c>
      <c r="J309" s="29">
        <v>10</v>
      </c>
      <c r="K309" s="29">
        <v>60</v>
      </c>
      <c r="L309" s="29">
        <f t="shared" si="74"/>
        <v>107</v>
      </c>
      <c r="M309" s="43"/>
    </row>
    <row r="310" spans="2:15" ht="15.75" hidden="1" x14ac:dyDescent="0.2">
      <c r="B310" s="10">
        <v>46118</v>
      </c>
      <c r="C310" s="11" t="s">
        <v>12</v>
      </c>
      <c r="D310" s="11" t="s">
        <v>23</v>
      </c>
      <c r="F310" s="937" t="s">
        <v>40</v>
      </c>
      <c r="G310" s="937"/>
      <c r="H310" s="937"/>
      <c r="I310" s="8">
        <f>SUM(I306:I309)</f>
        <v>58</v>
      </c>
      <c r="J310" s="8">
        <f t="shared" ref="J310:K310" si="75">SUM(J306:J309)</f>
        <v>23</v>
      </c>
      <c r="K310" s="8">
        <f t="shared" si="75"/>
        <v>82</v>
      </c>
      <c r="L310" s="8">
        <f>SUM(L306:L309)</f>
        <v>163</v>
      </c>
      <c r="M310" s="9"/>
      <c r="O310" s="8">
        <f>L310</f>
        <v>163</v>
      </c>
    </row>
    <row r="311" spans="2:15" ht="15.75" hidden="1" x14ac:dyDescent="0.25">
      <c r="B311" s="10">
        <v>46118</v>
      </c>
      <c r="C311" s="11" t="s">
        <v>18</v>
      </c>
      <c r="D311" s="11" t="s">
        <v>13</v>
      </c>
      <c r="F311" s="939">
        <v>46118</v>
      </c>
      <c r="G311" s="29" t="s">
        <v>16</v>
      </c>
      <c r="H311" s="29" t="s">
        <v>83</v>
      </c>
      <c r="I311" s="29">
        <v>71</v>
      </c>
      <c r="J311" s="29">
        <v>63</v>
      </c>
      <c r="K311" s="29">
        <v>22</v>
      </c>
      <c r="L311" s="29">
        <f t="shared" ref="L311:L313" si="76">+SUM(I311:K311)</f>
        <v>156</v>
      </c>
      <c r="M311" s="31"/>
    </row>
    <row r="312" spans="2:15" ht="15.75" hidden="1" x14ac:dyDescent="0.25">
      <c r="B312" s="10">
        <v>46118</v>
      </c>
      <c r="C312" s="11" t="s">
        <v>18</v>
      </c>
      <c r="D312" s="11" t="s">
        <v>13</v>
      </c>
      <c r="F312" s="940"/>
      <c r="G312" s="42" t="s">
        <v>17</v>
      </c>
      <c r="H312" s="29" t="s">
        <v>18</v>
      </c>
      <c r="I312" s="29">
        <v>6</v>
      </c>
      <c r="J312" s="29">
        <v>3</v>
      </c>
      <c r="K312" s="29">
        <v>0</v>
      </c>
      <c r="L312" s="29">
        <f t="shared" si="76"/>
        <v>9</v>
      </c>
      <c r="M312" s="43"/>
    </row>
    <row r="313" spans="2:15" ht="15.75" hidden="1" x14ac:dyDescent="0.25">
      <c r="B313" s="10">
        <v>46118</v>
      </c>
      <c r="C313" s="11" t="s">
        <v>18</v>
      </c>
      <c r="D313" s="11" t="s">
        <v>13</v>
      </c>
      <c r="F313" s="940"/>
      <c r="G313" s="42" t="s">
        <v>14</v>
      </c>
      <c r="H313" s="29" t="s">
        <v>100</v>
      </c>
      <c r="I313" s="29">
        <v>92</v>
      </c>
      <c r="J313" s="29">
        <v>41</v>
      </c>
      <c r="K313" s="29">
        <v>0</v>
      </c>
      <c r="L313" s="29">
        <f t="shared" si="76"/>
        <v>133</v>
      </c>
      <c r="M313" s="43"/>
    </row>
    <row r="314" spans="2:15" ht="15.75" hidden="1" x14ac:dyDescent="0.2">
      <c r="B314" s="10">
        <v>46118</v>
      </c>
      <c r="C314" s="11" t="s">
        <v>18</v>
      </c>
      <c r="D314" s="11" t="s">
        <v>13</v>
      </c>
      <c r="F314" s="937" t="s">
        <v>40</v>
      </c>
      <c r="G314" s="937"/>
      <c r="H314" s="937"/>
      <c r="I314" s="8">
        <f>SUM(I311:I313)</f>
        <v>169</v>
      </c>
      <c r="J314" s="8">
        <f>SUM(J311:J313)</f>
        <v>107</v>
      </c>
      <c r="K314" s="8">
        <f>SUM(K311:K313)</f>
        <v>22</v>
      </c>
      <c r="L314" s="8">
        <f>SUM(L311:L313)</f>
        <v>298</v>
      </c>
      <c r="M314" s="9"/>
    </row>
    <row r="315" spans="2:15" ht="15.75" hidden="1" x14ac:dyDescent="0.25">
      <c r="B315" s="10">
        <v>46119</v>
      </c>
      <c r="C315" s="11" t="s">
        <v>22</v>
      </c>
      <c r="D315" s="11" t="s">
        <v>20</v>
      </c>
      <c r="F315" s="939">
        <v>46119</v>
      </c>
      <c r="G315" s="29" t="s">
        <v>84</v>
      </c>
      <c r="H315" s="29" t="s">
        <v>22</v>
      </c>
      <c r="I315" s="29">
        <v>26</v>
      </c>
      <c r="J315" s="29">
        <v>34</v>
      </c>
      <c r="K315" s="29">
        <v>0</v>
      </c>
      <c r="L315" s="29">
        <f t="shared" ref="L315:L317" si="77">+SUM(I315:K315)</f>
        <v>60</v>
      </c>
      <c r="M315" s="31"/>
    </row>
    <row r="316" spans="2:15" ht="15.75" hidden="1" x14ac:dyDescent="0.25">
      <c r="B316" s="10">
        <v>46119</v>
      </c>
      <c r="C316" s="11" t="s">
        <v>22</v>
      </c>
      <c r="D316" s="11" t="s">
        <v>20</v>
      </c>
      <c r="F316" s="940"/>
      <c r="G316" s="42" t="s">
        <v>14</v>
      </c>
      <c r="H316" s="29" t="s">
        <v>100</v>
      </c>
      <c r="I316" s="29">
        <f>89+7</f>
        <v>96</v>
      </c>
      <c r="J316" s="29">
        <f>23+2+3</f>
        <v>28</v>
      </c>
      <c r="K316" s="29">
        <v>0</v>
      </c>
      <c r="L316" s="29">
        <f t="shared" si="77"/>
        <v>124</v>
      </c>
      <c r="M316" s="43"/>
    </row>
    <row r="317" spans="2:15" ht="15.75" hidden="1" x14ac:dyDescent="0.25">
      <c r="B317" s="10">
        <v>46119</v>
      </c>
      <c r="C317" s="11" t="s">
        <v>22</v>
      </c>
      <c r="D317" s="11" t="s">
        <v>20</v>
      </c>
      <c r="F317" s="940"/>
      <c r="G317" s="42" t="s">
        <v>16</v>
      </c>
      <c r="H317" s="29" t="s">
        <v>83</v>
      </c>
      <c r="I317" s="29">
        <v>26</v>
      </c>
      <c r="J317" s="29">
        <v>34</v>
      </c>
      <c r="K317" s="29">
        <v>0</v>
      </c>
      <c r="L317" s="29">
        <f t="shared" si="77"/>
        <v>60</v>
      </c>
      <c r="M317" s="43"/>
    </row>
    <row r="318" spans="2:15" ht="15.75" hidden="1" x14ac:dyDescent="0.25">
      <c r="B318" s="10">
        <v>46119</v>
      </c>
      <c r="C318" s="11" t="s">
        <v>22</v>
      </c>
      <c r="D318" s="11" t="s">
        <v>20</v>
      </c>
      <c r="F318" s="51">
        <v>46120</v>
      </c>
      <c r="G318" s="42" t="s">
        <v>16</v>
      </c>
      <c r="H318" s="29" t="s">
        <v>83</v>
      </c>
      <c r="I318" s="29">
        <v>0</v>
      </c>
      <c r="J318" s="29">
        <v>0</v>
      </c>
      <c r="K318" s="29">
        <v>37</v>
      </c>
      <c r="L318" s="29">
        <f t="shared" ref="L318" si="78">+SUM(I318:K318)</f>
        <v>37</v>
      </c>
      <c r="M318" s="43"/>
    </row>
    <row r="319" spans="2:15" ht="15.75" hidden="1" x14ac:dyDescent="0.2">
      <c r="B319" s="10">
        <v>46119</v>
      </c>
      <c r="C319" s="11" t="s">
        <v>22</v>
      </c>
      <c r="D319" s="11" t="s">
        <v>20</v>
      </c>
      <c r="F319" s="937" t="s">
        <v>40</v>
      </c>
      <c r="G319" s="937"/>
      <c r="H319" s="937"/>
      <c r="I319" s="8">
        <f>SUM(I315:I318)</f>
        <v>148</v>
      </c>
      <c r="J319" s="8">
        <f t="shared" ref="J319:L319" si="79">SUM(J315:J318)</f>
        <v>96</v>
      </c>
      <c r="K319" s="8">
        <f t="shared" si="79"/>
        <v>37</v>
      </c>
      <c r="L319" s="8">
        <f t="shared" si="79"/>
        <v>281</v>
      </c>
      <c r="M319" s="9"/>
      <c r="O319" s="8">
        <f>L319</f>
        <v>281</v>
      </c>
    </row>
    <row r="320" spans="2:15" ht="15.75" hidden="1" x14ac:dyDescent="0.25">
      <c r="B320" s="10">
        <v>46119</v>
      </c>
      <c r="C320" s="11" t="s">
        <v>12</v>
      </c>
      <c r="D320" s="11" t="s">
        <v>23</v>
      </c>
      <c r="F320" s="939">
        <v>46119</v>
      </c>
      <c r="G320" s="29" t="s">
        <v>84</v>
      </c>
      <c r="H320" s="29" t="s">
        <v>22</v>
      </c>
      <c r="I320" s="29">
        <v>7</v>
      </c>
      <c r="J320" s="29">
        <v>0</v>
      </c>
      <c r="K320" s="29">
        <v>0</v>
      </c>
      <c r="L320" s="29">
        <f t="shared" ref="L320:L322" si="80">+SUM(I320:K320)</f>
        <v>7</v>
      </c>
      <c r="M320" s="31"/>
    </row>
    <row r="321" spans="2:15" ht="15.75" hidden="1" x14ac:dyDescent="0.25">
      <c r="B321" s="10">
        <v>46119</v>
      </c>
      <c r="C321" s="11" t="s">
        <v>12</v>
      </c>
      <c r="D321" s="11" t="s">
        <v>23</v>
      </c>
      <c r="F321" s="940"/>
      <c r="G321" s="42" t="s">
        <v>14</v>
      </c>
      <c r="H321" s="29" t="s">
        <v>100</v>
      </c>
      <c r="I321" s="29">
        <v>4</v>
      </c>
      <c r="J321" s="29">
        <v>0</v>
      </c>
      <c r="K321" s="29">
        <v>138</v>
      </c>
      <c r="L321" s="29">
        <f t="shared" si="80"/>
        <v>142</v>
      </c>
      <c r="M321" s="43"/>
    </row>
    <row r="322" spans="2:15" ht="15.75" hidden="1" x14ac:dyDescent="0.25">
      <c r="B322" s="10">
        <v>46119</v>
      </c>
      <c r="C322" s="11" t="s">
        <v>12</v>
      </c>
      <c r="D322" s="11" t="s">
        <v>23</v>
      </c>
      <c r="F322" s="940"/>
      <c r="G322" s="42" t="s">
        <v>16</v>
      </c>
      <c r="H322" s="29" t="s">
        <v>83</v>
      </c>
      <c r="I322" s="29">
        <v>71</v>
      </c>
      <c r="J322" s="29">
        <v>35</v>
      </c>
      <c r="K322" s="29">
        <v>0</v>
      </c>
      <c r="L322" s="29">
        <f t="shared" si="80"/>
        <v>106</v>
      </c>
      <c r="M322" s="43"/>
    </row>
    <row r="323" spans="2:15" ht="15.75" hidden="1" x14ac:dyDescent="0.2">
      <c r="B323" s="10">
        <v>46119</v>
      </c>
      <c r="C323" s="11" t="s">
        <v>12</v>
      </c>
      <c r="D323" s="11" t="s">
        <v>23</v>
      </c>
      <c r="F323" s="937" t="s">
        <v>40</v>
      </c>
      <c r="G323" s="937"/>
      <c r="H323" s="937"/>
      <c r="I323" s="8">
        <f>SUM(I320:I322)</f>
        <v>82</v>
      </c>
      <c r="J323" s="8">
        <f t="shared" ref="J323:L323" si="81">SUM(J320:J322)</f>
        <v>35</v>
      </c>
      <c r="K323" s="8">
        <f t="shared" si="81"/>
        <v>138</v>
      </c>
      <c r="L323" s="8">
        <f t="shared" si="81"/>
        <v>255</v>
      </c>
      <c r="M323" s="9"/>
      <c r="O323" s="8">
        <f>L323</f>
        <v>255</v>
      </c>
    </row>
    <row r="324" spans="2:15" ht="15.75" hidden="1" x14ac:dyDescent="0.25">
      <c r="B324" s="10">
        <v>46119</v>
      </c>
      <c r="C324" s="11" t="s">
        <v>18</v>
      </c>
      <c r="D324" s="11" t="s">
        <v>13</v>
      </c>
      <c r="F324" s="940">
        <v>46120</v>
      </c>
      <c r="G324" s="42" t="s">
        <v>14</v>
      </c>
      <c r="H324" s="29" t="s">
        <v>100</v>
      </c>
      <c r="I324" s="29">
        <v>139</v>
      </c>
      <c r="J324" s="29">
        <v>59</v>
      </c>
      <c r="K324" s="29">
        <v>40</v>
      </c>
      <c r="L324" s="29">
        <f t="shared" ref="L324:L325" si="82">+SUM(I324:K324)</f>
        <v>238</v>
      </c>
      <c r="M324" s="43"/>
    </row>
    <row r="325" spans="2:15" ht="15.75" hidden="1" x14ac:dyDescent="0.25">
      <c r="B325" s="10">
        <v>46119</v>
      </c>
      <c r="C325" s="11" t="s">
        <v>18</v>
      </c>
      <c r="D325" s="11" t="s">
        <v>13</v>
      </c>
      <c r="F325" s="940"/>
      <c r="G325" s="42" t="s">
        <v>16</v>
      </c>
      <c r="H325" s="29" t="s">
        <v>83</v>
      </c>
      <c r="I325" s="29">
        <v>59</v>
      </c>
      <c r="J325" s="29">
        <v>53</v>
      </c>
      <c r="K325" s="29">
        <v>0</v>
      </c>
      <c r="L325" s="29">
        <f t="shared" si="82"/>
        <v>112</v>
      </c>
      <c r="M325" s="43"/>
    </row>
    <row r="326" spans="2:15" ht="15.75" hidden="1" x14ac:dyDescent="0.2">
      <c r="B326" s="10">
        <v>46119</v>
      </c>
      <c r="C326" s="11" t="s">
        <v>18</v>
      </c>
      <c r="D326" s="11" t="s">
        <v>13</v>
      </c>
      <c r="F326" s="937" t="s">
        <v>40</v>
      </c>
      <c r="G326" s="937"/>
      <c r="H326" s="937"/>
      <c r="I326" s="8">
        <f>SUM(I324:I325)</f>
        <v>198</v>
      </c>
      <c r="J326" s="8">
        <f>SUM(J324:J325)</f>
        <v>112</v>
      </c>
      <c r="K326" s="8">
        <f>SUM(K324:K325)</f>
        <v>40</v>
      </c>
      <c r="L326" s="8">
        <f>SUM(L324:L325)</f>
        <v>350</v>
      </c>
      <c r="M326" s="9"/>
    </row>
    <row r="327" spans="2:15" ht="15.75" hidden="1" x14ac:dyDescent="0.25">
      <c r="B327" s="10">
        <v>46120</v>
      </c>
      <c r="C327" s="11" t="s">
        <v>22</v>
      </c>
      <c r="D327" s="11" t="s">
        <v>20</v>
      </c>
      <c r="F327" s="939">
        <v>46119</v>
      </c>
      <c r="G327" s="29" t="s">
        <v>16</v>
      </c>
      <c r="H327" s="29" t="s">
        <v>103</v>
      </c>
      <c r="I327" s="29">
        <v>9</v>
      </c>
      <c r="J327" s="29">
        <v>19</v>
      </c>
      <c r="K327" s="29">
        <v>0</v>
      </c>
      <c r="L327" s="29">
        <f t="shared" ref="L327:L330" si="83">+SUM(I327:K327)</f>
        <v>28</v>
      </c>
      <c r="M327" s="31"/>
    </row>
    <row r="328" spans="2:15" ht="15.75" hidden="1" x14ac:dyDescent="0.25">
      <c r="B328" s="10">
        <v>46120</v>
      </c>
      <c r="C328" s="11" t="s">
        <v>22</v>
      </c>
      <c r="D328" s="11" t="s">
        <v>20</v>
      </c>
      <c r="F328" s="940"/>
      <c r="G328" s="42" t="s">
        <v>84</v>
      </c>
      <c r="H328" s="29" t="s">
        <v>22</v>
      </c>
      <c r="I328" s="29">
        <v>39</v>
      </c>
      <c r="J328" s="29">
        <v>6</v>
      </c>
      <c r="K328" s="29">
        <v>0</v>
      </c>
      <c r="L328" s="29">
        <f t="shared" si="83"/>
        <v>45</v>
      </c>
      <c r="M328" s="43"/>
    </row>
    <row r="329" spans="2:15" ht="15.75" hidden="1" x14ac:dyDescent="0.25">
      <c r="B329" s="10">
        <v>46120</v>
      </c>
      <c r="C329" s="11" t="s">
        <v>22</v>
      </c>
      <c r="D329" s="11" t="s">
        <v>20</v>
      </c>
      <c r="F329" s="940"/>
      <c r="G329" s="42" t="s">
        <v>14</v>
      </c>
      <c r="H329" s="29" t="s">
        <v>100</v>
      </c>
      <c r="I329" s="29">
        <v>66</v>
      </c>
      <c r="J329" s="29">
        <v>29</v>
      </c>
      <c r="K329" s="29">
        <v>0</v>
      </c>
      <c r="L329" s="29">
        <f t="shared" si="83"/>
        <v>95</v>
      </c>
      <c r="M329" s="43"/>
    </row>
    <row r="330" spans="2:15" ht="15.75" hidden="1" x14ac:dyDescent="0.25">
      <c r="B330" s="10">
        <v>46120</v>
      </c>
      <c r="C330" s="11" t="s">
        <v>22</v>
      </c>
      <c r="D330" s="11" t="s">
        <v>20</v>
      </c>
      <c r="F330" s="51">
        <v>46120</v>
      </c>
      <c r="G330" s="42" t="s">
        <v>25</v>
      </c>
      <c r="H330" s="29" t="s">
        <v>22</v>
      </c>
      <c r="I330" s="29">
        <v>0</v>
      </c>
      <c r="J330" s="29">
        <v>0</v>
      </c>
      <c r="K330" s="29">
        <v>154</v>
      </c>
      <c r="L330" s="29">
        <f t="shared" si="83"/>
        <v>154</v>
      </c>
      <c r="M330" s="43"/>
    </row>
    <row r="331" spans="2:15" ht="15.75" hidden="1" x14ac:dyDescent="0.2">
      <c r="B331" s="10">
        <v>46120</v>
      </c>
      <c r="C331" s="11" t="s">
        <v>22</v>
      </c>
      <c r="D331" s="11" t="s">
        <v>20</v>
      </c>
      <c r="F331" s="937" t="s">
        <v>40</v>
      </c>
      <c r="G331" s="937"/>
      <c r="H331" s="937"/>
      <c r="I331" s="8">
        <f>SUM(I327:I330)</f>
        <v>114</v>
      </c>
      <c r="J331" s="8">
        <f t="shared" ref="J331:L331" si="84">SUM(J327:J330)</f>
        <v>54</v>
      </c>
      <c r="K331" s="8">
        <f t="shared" si="84"/>
        <v>154</v>
      </c>
      <c r="L331" s="8">
        <f t="shared" si="84"/>
        <v>322</v>
      </c>
      <c r="M331" s="9"/>
      <c r="O331" s="8">
        <f>L331</f>
        <v>322</v>
      </c>
    </row>
    <row r="332" spans="2:15" ht="15.75" hidden="1" x14ac:dyDescent="0.25">
      <c r="B332" s="10">
        <v>46120</v>
      </c>
      <c r="C332" s="11" t="s">
        <v>12</v>
      </c>
      <c r="D332" s="11" t="s">
        <v>23</v>
      </c>
      <c r="F332" s="939">
        <v>46120</v>
      </c>
      <c r="G332" s="29" t="s">
        <v>16</v>
      </c>
      <c r="H332" s="29" t="s">
        <v>103</v>
      </c>
      <c r="I332" s="29">
        <v>80</v>
      </c>
      <c r="J332" s="29">
        <v>52</v>
      </c>
      <c r="K332" s="29">
        <v>9</v>
      </c>
      <c r="L332" s="29">
        <f t="shared" ref="L332:L333" si="85">+SUM(I332:K332)</f>
        <v>141</v>
      </c>
      <c r="M332" s="31"/>
    </row>
    <row r="333" spans="2:15" ht="15.75" hidden="1" x14ac:dyDescent="0.25">
      <c r="B333" s="10">
        <v>46120</v>
      </c>
      <c r="C333" s="11" t="s">
        <v>12</v>
      </c>
      <c r="D333" s="11" t="s">
        <v>23</v>
      </c>
      <c r="F333" s="941"/>
      <c r="G333" s="42" t="s">
        <v>25</v>
      </c>
      <c r="H333" s="29" t="s">
        <v>106</v>
      </c>
      <c r="I333" s="29">
        <v>0</v>
      </c>
      <c r="J333" s="29">
        <v>0</v>
      </c>
      <c r="K333" s="29">
        <f>191-150</f>
        <v>41</v>
      </c>
      <c r="L333" s="29">
        <f t="shared" si="85"/>
        <v>41</v>
      </c>
      <c r="M333" s="43"/>
    </row>
    <row r="334" spans="2:15" ht="15.75" hidden="1" x14ac:dyDescent="0.2">
      <c r="B334" s="10">
        <v>46120</v>
      </c>
      <c r="C334" s="11" t="s">
        <v>12</v>
      </c>
      <c r="D334" s="11" t="s">
        <v>23</v>
      </c>
      <c r="F334" s="937" t="s">
        <v>40</v>
      </c>
      <c r="G334" s="937"/>
      <c r="H334" s="937"/>
      <c r="I334" s="8">
        <f>SUM(I332:I333)</f>
        <v>80</v>
      </c>
      <c r="J334" s="8">
        <f>SUM(J332:J333)</f>
        <v>52</v>
      </c>
      <c r="K334" s="8">
        <f>SUM(K332:K333)</f>
        <v>50</v>
      </c>
      <c r="L334" s="8">
        <f>SUM(L332:L333)</f>
        <v>182</v>
      </c>
      <c r="M334" s="9"/>
      <c r="O334" s="8">
        <f>L334</f>
        <v>182</v>
      </c>
    </row>
    <row r="335" spans="2:15" ht="15.75" hidden="1" x14ac:dyDescent="0.25">
      <c r="B335" s="10">
        <v>46120</v>
      </c>
      <c r="C335" s="11" t="s">
        <v>18</v>
      </c>
      <c r="D335" s="11" t="s">
        <v>13</v>
      </c>
      <c r="F335" s="939">
        <v>46120</v>
      </c>
      <c r="G335" s="29" t="s">
        <v>16</v>
      </c>
      <c r="H335" s="29" t="s">
        <v>83</v>
      </c>
      <c r="I335" s="29">
        <v>61</v>
      </c>
      <c r="J335" s="29">
        <v>40</v>
      </c>
      <c r="K335" s="29">
        <v>0</v>
      </c>
      <c r="L335" s="29">
        <f t="shared" ref="L335:L338" si="86">+SUM(I335:K335)</f>
        <v>101</v>
      </c>
      <c r="M335" s="31"/>
    </row>
    <row r="336" spans="2:15" ht="15.75" hidden="1" x14ac:dyDescent="0.25">
      <c r="B336" s="10">
        <v>46120</v>
      </c>
      <c r="C336" s="11" t="s">
        <v>18</v>
      </c>
      <c r="D336" s="11" t="s">
        <v>13</v>
      </c>
      <c r="F336" s="940"/>
      <c r="G336" s="42" t="s">
        <v>84</v>
      </c>
      <c r="H336" s="29" t="s">
        <v>22</v>
      </c>
      <c r="I336" s="29">
        <v>0</v>
      </c>
      <c r="J336" s="29">
        <v>0</v>
      </c>
      <c r="K336" s="29">
        <v>52</v>
      </c>
      <c r="L336" s="29">
        <f t="shared" si="86"/>
        <v>52</v>
      </c>
      <c r="M336" s="43"/>
    </row>
    <row r="337" spans="2:15" ht="15.75" hidden="1" x14ac:dyDescent="0.25">
      <c r="B337" s="10">
        <v>46120</v>
      </c>
      <c r="C337" s="11" t="s">
        <v>18</v>
      </c>
      <c r="D337" s="11" t="s">
        <v>13</v>
      </c>
      <c r="F337" s="940"/>
      <c r="G337" s="42" t="s">
        <v>25</v>
      </c>
      <c r="H337" s="29" t="s">
        <v>106</v>
      </c>
      <c r="I337" s="29">
        <v>151</v>
      </c>
      <c r="J337" s="29">
        <v>45</v>
      </c>
      <c r="K337" s="29">
        <v>0</v>
      </c>
      <c r="L337" s="29">
        <f t="shared" si="86"/>
        <v>196</v>
      </c>
      <c r="M337" s="43"/>
    </row>
    <row r="338" spans="2:15" ht="15.75" hidden="1" x14ac:dyDescent="0.25">
      <c r="B338" s="10">
        <v>46120</v>
      </c>
      <c r="C338" s="11" t="s">
        <v>18</v>
      </c>
      <c r="D338" s="11" t="s">
        <v>13</v>
      </c>
      <c r="F338" s="940"/>
      <c r="G338" s="42" t="s">
        <v>14</v>
      </c>
      <c r="H338" s="29" t="s">
        <v>100</v>
      </c>
      <c r="I338" s="29">
        <v>29</v>
      </c>
      <c r="J338" s="29">
        <v>8</v>
      </c>
      <c r="K338" s="29">
        <v>0</v>
      </c>
      <c r="L338" s="29">
        <f t="shared" si="86"/>
        <v>37</v>
      </c>
      <c r="M338" s="43"/>
    </row>
    <row r="339" spans="2:15" ht="15.75" hidden="1" x14ac:dyDescent="0.2">
      <c r="B339" s="10">
        <v>46120</v>
      </c>
      <c r="C339" s="11" t="s">
        <v>12</v>
      </c>
      <c r="D339" s="11" t="s">
        <v>13</v>
      </c>
      <c r="F339" s="937" t="s">
        <v>40</v>
      </c>
      <c r="G339" s="937"/>
      <c r="H339" s="937"/>
      <c r="I339" s="8">
        <f>SUM(I335:I338)</f>
        <v>241</v>
      </c>
      <c r="J339" s="8">
        <f>SUM(J335:J338)</f>
        <v>93</v>
      </c>
      <c r="K339" s="8">
        <f>SUM(K335:K338)</f>
        <v>52</v>
      </c>
      <c r="L339" s="8">
        <f>SUM(L335:L338)</f>
        <v>386</v>
      </c>
      <c r="M339" s="9"/>
    </row>
    <row r="340" spans="2:15" ht="15.75" hidden="1" x14ac:dyDescent="0.2">
      <c r="B340" s="10">
        <v>46121</v>
      </c>
      <c r="C340" s="11" t="s">
        <v>22</v>
      </c>
      <c r="D340" s="11" t="s">
        <v>20</v>
      </c>
      <c r="F340" s="939">
        <v>46121</v>
      </c>
      <c r="G340" s="29" t="s">
        <v>16</v>
      </c>
      <c r="H340" s="29" t="s">
        <v>83</v>
      </c>
      <c r="I340" s="29">
        <v>3</v>
      </c>
      <c r="J340" s="29">
        <v>19</v>
      </c>
      <c r="K340" s="29">
        <v>0</v>
      </c>
      <c r="L340" s="29">
        <v>22</v>
      </c>
      <c r="M340" s="29"/>
    </row>
    <row r="341" spans="2:15" ht="15.75" hidden="1" x14ac:dyDescent="0.2">
      <c r="B341" s="10">
        <v>46121</v>
      </c>
      <c r="C341" s="11" t="s">
        <v>22</v>
      </c>
      <c r="D341" s="11" t="s">
        <v>20</v>
      </c>
      <c r="F341" s="940"/>
      <c r="G341" s="29" t="s">
        <v>84</v>
      </c>
      <c r="H341" s="29" t="s">
        <v>22</v>
      </c>
      <c r="I341" s="29">
        <v>54</v>
      </c>
      <c r="J341" s="29">
        <v>14</v>
      </c>
      <c r="K341" s="29">
        <v>35</v>
      </c>
      <c r="L341" s="29">
        <v>103</v>
      </c>
      <c r="M341" s="29"/>
    </row>
    <row r="342" spans="2:15" ht="15.75" hidden="1" x14ac:dyDescent="0.2">
      <c r="B342" s="10">
        <v>46121</v>
      </c>
      <c r="C342" s="11" t="s">
        <v>22</v>
      </c>
      <c r="D342" s="11" t="s">
        <v>20</v>
      </c>
      <c r="F342" s="940"/>
      <c r="G342" s="29" t="s">
        <v>25</v>
      </c>
      <c r="H342" s="29" t="s">
        <v>106</v>
      </c>
      <c r="I342" s="29">
        <v>7</v>
      </c>
      <c r="J342" s="29">
        <v>11</v>
      </c>
      <c r="K342" s="29">
        <v>0</v>
      </c>
      <c r="L342" s="29">
        <v>18</v>
      </c>
      <c r="M342" s="29"/>
    </row>
    <row r="343" spans="2:15" ht="15.75" hidden="1" x14ac:dyDescent="0.2">
      <c r="B343" s="10">
        <v>46121</v>
      </c>
      <c r="C343" s="11" t="s">
        <v>22</v>
      </c>
      <c r="D343" s="11" t="s">
        <v>20</v>
      </c>
      <c r="F343" s="941"/>
      <c r="G343" s="29" t="s">
        <v>14</v>
      </c>
      <c r="H343" s="29" t="s">
        <v>105</v>
      </c>
      <c r="I343" s="29">
        <v>62</v>
      </c>
      <c r="J343" s="29">
        <v>12</v>
      </c>
      <c r="K343" s="29">
        <v>97</v>
      </c>
      <c r="L343" s="29">
        <v>171</v>
      </c>
      <c r="M343" s="29"/>
    </row>
    <row r="344" spans="2:15" ht="15.75" hidden="1" x14ac:dyDescent="0.2">
      <c r="B344" s="10">
        <v>46121</v>
      </c>
      <c r="C344" s="11" t="s">
        <v>22</v>
      </c>
      <c r="D344" s="11" t="s">
        <v>20</v>
      </c>
      <c r="F344" s="937" t="s">
        <v>40</v>
      </c>
      <c r="G344" s="937"/>
      <c r="H344" s="937"/>
      <c r="I344" s="8">
        <f>SUM(I340:I343)</f>
        <v>126</v>
      </c>
      <c r="J344" s="8">
        <f t="shared" ref="J344:L344" si="87">SUM(J340:J343)</f>
        <v>56</v>
      </c>
      <c r="K344" s="8">
        <f t="shared" si="87"/>
        <v>132</v>
      </c>
      <c r="L344" s="8">
        <f t="shared" si="87"/>
        <v>314</v>
      </c>
      <c r="M344" s="9"/>
    </row>
    <row r="345" spans="2:15" ht="15.75" hidden="1" x14ac:dyDescent="0.25">
      <c r="B345" s="10">
        <v>46121</v>
      </c>
      <c r="C345" s="11" t="s">
        <v>12</v>
      </c>
      <c r="D345" s="11" t="s">
        <v>23</v>
      </c>
      <c r="F345" s="939">
        <v>46121</v>
      </c>
      <c r="G345" s="29" t="s">
        <v>16</v>
      </c>
      <c r="H345" s="29" t="s">
        <v>83</v>
      </c>
      <c r="I345" s="29">
        <v>100</v>
      </c>
      <c r="J345" s="29">
        <v>43</v>
      </c>
      <c r="K345" s="29">
        <v>73</v>
      </c>
      <c r="L345" s="29">
        <f t="shared" ref="L345:L346" si="88">+SUM(I345:K345)</f>
        <v>216</v>
      </c>
      <c r="M345" s="31"/>
    </row>
    <row r="346" spans="2:15" ht="15.75" hidden="1" x14ac:dyDescent="0.25">
      <c r="B346" s="10">
        <v>46121</v>
      </c>
      <c r="C346" s="11" t="s">
        <v>12</v>
      </c>
      <c r="D346" s="11" t="s">
        <v>23</v>
      </c>
      <c r="F346" s="941"/>
      <c r="G346" s="42" t="s">
        <v>14</v>
      </c>
      <c r="H346" s="29" t="s">
        <v>105</v>
      </c>
      <c r="I346" s="29">
        <v>131</v>
      </c>
      <c r="J346" s="29">
        <v>32</v>
      </c>
      <c r="K346" s="29">
        <v>0</v>
      </c>
      <c r="L346" s="29">
        <f t="shared" si="88"/>
        <v>163</v>
      </c>
      <c r="M346" s="43"/>
    </row>
    <row r="347" spans="2:15" ht="15.75" hidden="1" x14ac:dyDescent="0.2">
      <c r="B347" s="10">
        <v>46121</v>
      </c>
      <c r="C347" s="11" t="s">
        <v>12</v>
      </c>
      <c r="D347" s="11" t="s">
        <v>23</v>
      </c>
      <c r="F347" s="937" t="s">
        <v>40</v>
      </c>
      <c r="G347" s="937"/>
      <c r="H347" s="937"/>
      <c r="I347" s="8">
        <f>SUM(I345:I346)</f>
        <v>231</v>
      </c>
      <c r="J347" s="8">
        <f>SUM(J345:J346)</f>
        <v>75</v>
      </c>
      <c r="K347" s="8">
        <f>SUM(K345:K346)</f>
        <v>73</v>
      </c>
      <c r="L347" s="8">
        <f>SUM(L345:L346)</f>
        <v>379</v>
      </c>
      <c r="M347" s="9"/>
      <c r="O347" s="8">
        <f>L347</f>
        <v>379</v>
      </c>
    </row>
    <row r="348" spans="2:15" ht="15.75" hidden="1" x14ac:dyDescent="0.25">
      <c r="B348" s="10">
        <v>46121</v>
      </c>
      <c r="C348" s="11" t="s">
        <v>18</v>
      </c>
      <c r="D348" s="11" t="s">
        <v>13</v>
      </c>
      <c r="F348" s="939">
        <v>46122</v>
      </c>
      <c r="G348" s="29" t="s">
        <v>16</v>
      </c>
      <c r="H348" s="29" t="s">
        <v>83</v>
      </c>
      <c r="I348" s="29">
        <v>49</v>
      </c>
      <c r="J348" s="29">
        <v>33</v>
      </c>
      <c r="K348" s="29">
        <v>0</v>
      </c>
      <c r="L348" s="29">
        <f t="shared" ref="L348:L351" si="89">+SUM(I348:K348)</f>
        <v>82</v>
      </c>
      <c r="M348" s="31"/>
    </row>
    <row r="349" spans="2:15" ht="15.75" hidden="1" x14ac:dyDescent="0.25">
      <c r="B349" s="10">
        <v>46121</v>
      </c>
      <c r="C349" s="11" t="s">
        <v>18</v>
      </c>
      <c r="D349" s="11" t="s">
        <v>13</v>
      </c>
      <c r="F349" s="940"/>
      <c r="G349" s="42" t="s">
        <v>17</v>
      </c>
      <c r="H349" s="29" t="s">
        <v>106</v>
      </c>
      <c r="I349" s="29">
        <v>122</v>
      </c>
      <c r="J349" s="29">
        <v>40</v>
      </c>
      <c r="K349" s="29">
        <v>0</v>
      </c>
      <c r="L349" s="29">
        <f t="shared" si="89"/>
        <v>162</v>
      </c>
      <c r="M349" s="43"/>
    </row>
    <row r="350" spans="2:15" ht="15.75" hidden="1" x14ac:dyDescent="0.25">
      <c r="B350" s="10">
        <v>46121</v>
      </c>
      <c r="C350" s="11" t="s">
        <v>18</v>
      </c>
      <c r="D350" s="11" t="s">
        <v>13</v>
      </c>
      <c r="F350" s="940"/>
      <c r="G350" s="42" t="s">
        <v>109</v>
      </c>
      <c r="H350" s="29" t="s">
        <v>18</v>
      </c>
      <c r="I350" s="29">
        <v>5</v>
      </c>
      <c r="J350" s="29">
        <v>0</v>
      </c>
      <c r="K350" s="29">
        <v>0</v>
      </c>
      <c r="L350" s="29">
        <f t="shared" si="89"/>
        <v>5</v>
      </c>
      <c r="M350" s="43"/>
    </row>
    <row r="351" spans="2:15" ht="15.75" hidden="1" x14ac:dyDescent="0.25">
      <c r="B351" s="10">
        <v>46121</v>
      </c>
      <c r="C351" s="11" t="s">
        <v>18</v>
      </c>
      <c r="D351" s="11" t="s">
        <v>13</v>
      </c>
      <c r="F351" s="940"/>
      <c r="G351" s="42" t="s">
        <v>14</v>
      </c>
      <c r="H351" s="29" t="s">
        <v>100</v>
      </c>
      <c r="I351" s="29">
        <v>2</v>
      </c>
      <c r="J351" s="29">
        <v>6</v>
      </c>
      <c r="K351" s="29">
        <v>0</v>
      </c>
      <c r="L351" s="29">
        <f t="shared" si="89"/>
        <v>8</v>
      </c>
      <c r="M351" s="43"/>
    </row>
    <row r="352" spans="2:15" ht="15.75" hidden="1" x14ac:dyDescent="0.2">
      <c r="B352" s="10">
        <v>46121</v>
      </c>
      <c r="C352" s="11" t="s">
        <v>18</v>
      </c>
      <c r="D352" s="11" t="s">
        <v>13</v>
      </c>
      <c r="F352" s="937" t="s">
        <v>40</v>
      </c>
      <c r="G352" s="937"/>
      <c r="H352" s="937"/>
      <c r="I352" s="8">
        <f>SUM(I348:I351)</f>
        <v>178</v>
      </c>
      <c r="J352" s="8">
        <f>SUM(J348:J351)</f>
        <v>79</v>
      </c>
      <c r="K352" s="8">
        <f>SUM(K348:K351)</f>
        <v>0</v>
      </c>
      <c r="L352" s="8">
        <f>SUM(L348:L351)</f>
        <v>257</v>
      </c>
      <c r="M352" s="9"/>
    </row>
    <row r="353" spans="2:15" ht="15.75" hidden="1" x14ac:dyDescent="0.25">
      <c r="B353" s="10">
        <v>46122</v>
      </c>
      <c r="C353" s="11" t="s">
        <v>22</v>
      </c>
      <c r="D353" s="11" t="s">
        <v>20</v>
      </c>
      <c r="F353" s="942">
        <v>46122</v>
      </c>
      <c r="G353" s="29" t="s">
        <v>16</v>
      </c>
      <c r="H353" s="29" t="s">
        <v>103</v>
      </c>
      <c r="I353" s="29">
        <v>11</v>
      </c>
      <c r="J353" s="29">
        <v>12</v>
      </c>
      <c r="K353" s="29">
        <v>0</v>
      </c>
      <c r="L353" s="29">
        <f t="shared" ref="L353:L357" si="90">+SUM(I353:K353)</f>
        <v>23</v>
      </c>
      <c r="M353" s="31"/>
    </row>
    <row r="354" spans="2:15" ht="15.75" hidden="1" x14ac:dyDescent="0.25">
      <c r="B354" s="10">
        <v>46122</v>
      </c>
      <c r="C354" s="11" t="s">
        <v>22</v>
      </c>
      <c r="D354" s="11" t="s">
        <v>20</v>
      </c>
      <c r="F354" s="942"/>
      <c r="G354" s="42" t="s">
        <v>84</v>
      </c>
      <c r="H354" s="29" t="s">
        <v>22</v>
      </c>
      <c r="I354" s="29">
        <v>54</v>
      </c>
      <c r="J354" s="29">
        <v>1</v>
      </c>
      <c r="K354" s="29">
        <v>0</v>
      </c>
      <c r="L354" s="29">
        <f t="shared" si="90"/>
        <v>55</v>
      </c>
      <c r="M354" s="43"/>
    </row>
    <row r="355" spans="2:15" ht="15.75" hidden="1" x14ac:dyDescent="0.25">
      <c r="B355" s="10">
        <v>46122</v>
      </c>
      <c r="C355" s="11" t="s">
        <v>22</v>
      </c>
      <c r="D355" s="11" t="s">
        <v>20</v>
      </c>
      <c r="F355" s="942"/>
      <c r="G355" s="42" t="s">
        <v>17</v>
      </c>
      <c r="H355" s="29" t="s">
        <v>106</v>
      </c>
      <c r="I355" s="29">
        <v>22</v>
      </c>
      <c r="J355" s="29">
        <v>11</v>
      </c>
      <c r="K355" s="29">
        <v>0</v>
      </c>
      <c r="L355" s="29">
        <f t="shared" si="90"/>
        <v>33</v>
      </c>
      <c r="M355" s="43"/>
    </row>
    <row r="356" spans="2:15" ht="15.75" hidden="1" x14ac:dyDescent="0.25">
      <c r="B356" s="10">
        <v>46122</v>
      </c>
      <c r="C356" s="11" t="s">
        <v>22</v>
      </c>
      <c r="D356" s="11" t="s">
        <v>20</v>
      </c>
      <c r="F356" s="942"/>
      <c r="G356" s="42" t="s">
        <v>14</v>
      </c>
      <c r="H356" s="29" t="s">
        <v>105</v>
      </c>
      <c r="I356" s="29">
        <v>26</v>
      </c>
      <c r="J356" s="29">
        <v>14</v>
      </c>
      <c r="K356" s="29">
        <v>142</v>
      </c>
      <c r="L356" s="29">
        <f t="shared" si="90"/>
        <v>182</v>
      </c>
      <c r="M356" s="43"/>
    </row>
    <row r="357" spans="2:15" ht="15.75" hidden="1" x14ac:dyDescent="0.25">
      <c r="B357" s="10">
        <v>46122</v>
      </c>
      <c r="C357" s="11" t="s">
        <v>22</v>
      </c>
      <c r="D357" s="11" t="s">
        <v>20</v>
      </c>
      <c r="F357" s="52">
        <v>46123</v>
      </c>
      <c r="G357" s="53" t="s">
        <v>16</v>
      </c>
      <c r="H357" s="53" t="s">
        <v>103</v>
      </c>
      <c r="I357" s="53">
        <v>0</v>
      </c>
      <c r="J357" s="53">
        <v>0</v>
      </c>
      <c r="K357" s="53">
        <v>21</v>
      </c>
      <c r="L357" s="53">
        <f t="shared" si="90"/>
        <v>21</v>
      </c>
      <c r="M357" s="43"/>
    </row>
    <row r="358" spans="2:15" ht="15.75" hidden="1" x14ac:dyDescent="0.2">
      <c r="B358" s="10">
        <v>46122</v>
      </c>
      <c r="C358" s="11" t="s">
        <v>22</v>
      </c>
      <c r="D358" s="11" t="s">
        <v>20</v>
      </c>
      <c r="F358" s="937" t="s">
        <v>40</v>
      </c>
      <c r="G358" s="937"/>
      <c r="H358" s="937"/>
      <c r="I358" s="8">
        <f>SUM(I353:I357)</f>
        <v>113</v>
      </c>
      <c r="J358" s="8">
        <f>SUM(J353:J357)</f>
        <v>38</v>
      </c>
      <c r="K358" s="8">
        <f>SUM(K353:K357)</f>
        <v>163</v>
      </c>
      <c r="L358" s="8">
        <f>SUM(L353:L357)</f>
        <v>314</v>
      </c>
      <c r="M358" s="9"/>
      <c r="O358" s="8">
        <f>L358</f>
        <v>314</v>
      </c>
    </row>
    <row r="359" spans="2:15" ht="15.75" hidden="1" x14ac:dyDescent="0.25">
      <c r="B359" s="10">
        <v>46122</v>
      </c>
      <c r="C359" s="11" t="s">
        <v>12</v>
      </c>
      <c r="D359" s="11" t="s">
        <v>13</v>
      </c>
      <c r="F359" s="942">
        <v>46122</v>
      </c>
      <c r="G359" s="29" t="s">
        <v>16</v>
      </c>
      <c r="H359" s="29" t="s">
        <v>83</v>
      </c>
      <c r="I359" s="29">
        <v>67</v>
      </c>
      <c r="J359" s="29">
        <v>18</v>
      </c>
      <c r="K359" s="29">
        <v>0</v>
      </c>
      <c r="L359" s="29">
        <f t="shared" ref="L359:L362" si="91">+SUM(I359:K359)</f>
        <v>85</v>
      </c>
      <c r="M359" s="31"/>
    </row>
    <row r="360" spans="2:15" ht="15.75" hidden="1" x14ac:dyDescent="0.25">
      <c r="B360" s="10">
        <v>46122</v>
      </c>
      <c r="C360" s="11" t="s">
        <v>12</v>
      </c>
      <c r="D360" s="11" t="s">
        <v>13</v>
      </c>
      <c r="F360" s="942"/>
      <c r="G360" s="42" t="s">
        <v>17</v>
      </c>
      <c r="H360" s="29" t="s">
        <v>106</v>
      </c>
      <c r="I360" s="29">
        <v>3</v>
      </c>
      <c r="J360" s="29">
        <v>2</v>
      </c>
      <c r="K360" s="29">
        <v>0</v>
      </c>
      <c r="L360" s="29">
        <f t="shared" si="91"/>
        <v>5</v>
      </c>
      <c r="M360" s="43"/>
    </row>
    <row r="361" spans="2:15" ht="15.75" hidden="1" x14ac:dyDescent="0.25">
      <c r="B361" s="10">
        <v>46122</v>
      </c>
      <c r="C361" s="11" t="s">
        <v>12</v>
      </c>
      <c r="D361" s="11" t="s">
        <v>13</v>
      </c>
      <c r="F361" s="942"/>
      <c r="G361" s="42" t="s">
        <v>84</v>
      </c>
      <c r="H361" s="29" t="s">
        <v>22</v>
      </c>
      <c r="I361" s="29">
        <v>1</v>
      </c>
      <c r="J361" s="29">
        <v>0</v>
      </c>
      <c r="K361" s="29">
        <v>0</v>
      </c>
      <c r="L361" s="29">
        <f t="shared" si="91"/>
        <v>1</v>
      </c>
      <c r="M361" s="43"/>
    </row>
    <row r="362" spans="2:15" ht="15.75" hidden="1" x14ac:dyDescent="0.25">
      <c r="B362" s="10">
        <v>46122</v>
      </c>
      <c r="C362" s="11" t="s">
        <v>12</v>
      </c>
      <c r="D362" s="11" t="s">
        <v>13</v>
      </c>
      <c r="F362" s="942"/>
      <c r="G362" s="42" t="s">
        <v>14</v>
      </c>
      <c r="H362" s="29" t="s">
        <v>110</v>
      </c>
      <c r="I362" s="29">
        <v>93</v>
      </c>
      <c r="J362" s="29">
        <v>59</v>
      </c>
      <c r="K362" s="29">
        <v>0</v>
      </c>
      <c r="L362" s="29">
        <f t="shared" si="91"/>
        <v>152</v>
      </c>
      <c r="M362" s="43"/>
    </row>
    <row r="363" spans="2:15" ht="15.75" hidden="1" x14ac:dyDescent="0.2">
      <c r="B363" s="10">
        <v>46122</v>
      </c>
      <c r="C363" s="11" t="s">
        <v>12</v>
      </c>
      <c r="D363" s="11" t="s">
        <v>13</v>
      </c>
      <c r="F363" s="937" t="s">
        <v>40</v>
      </c>
      <c r="G363" s="937"/>
      <c r="H363" s="937"/>
      <c r="I363" s="8">
        <f>SUM(I359:I362)</f>
        <v>164</v>
      </c>
      <c r="J363" s="8">
        <f>SUM(J359:J362)</f>
        <v>79</v>
      </c>
      <c r="K363" s="8">
        <f>SUM(K359:K362)</f>
        <v>0</v>
      </c>
      <c r="L363" s="8">
        <f>SUM(L359:L362)</f>
        <v>243</v>
      </c>
      <c r="M363" s="9"/>
      <c r="O363" s="8">
        <f>L363</f>
        <v>243</v>
      </c>
    </row>
    <row r="364" spans="2:15" ht="15.75" hidden="1" x14ac:dyDescent="0.25">
      <c r="B364" s="10">
        <v>46123</v>
      </c>
      <c r="C364" s="11" t="s">
        <v>22</v>
      </c>
      <c r="D364" s="11" t="s">
        <v>20</v>
      </c>
      <c r="F364" s="942">
        <v>46123</v>
      </c>
      <c r="G364" s="29" t="s">
        <v>16</v>
      </c>
      <c r="H364" s="29" t="s">
        <v>103</v>
      </c>
      <c r="I364" s="29">
        <v>0</v>
      </c>
      <c r="J364" s="29">
        <v>17</v>
      </c>
      <c r="K364" s="29">
        <v>0</v>
      </c>
      <c r="L364" s="29">
        <f t="shared" ref="L364:L370" si="92">+SUM(I364:K364)</f>
        <v>17</v>
      </c>
      <c r="M364" s="31"/>
    </row>
    <row r="365" spans="2:15" ht="15.75" hidden="1" x14ac:dyDescent="0.25">
      <c r="B365" s="10">
        <v>46123</v>
      </c>
      <c r="C365" s="11" t="s">
        <v>22</v>
      </c>
      <c r="D365" s="11" t="s">
        <v>20</v>
      </c>
      <c r="F365" s="942"/>
      <c r="G365" s="42" t="s">
        <v>84</v>
      </c>
      <c r="H365" s="29" t="s">
        <v>22</v>
      </c>
      <c r="I365" s="29">
        <v>41</v>
      </c>
      <c r="J365" s="29">
        <v>3</v>
      </c>
      <c r="K365" s="29">
        <v>0</v>
      </c>
      <c r="L365" s="29">
        <f t="shared" si="92"/>
        <v>44</v>
      </c>
      <c r="M365" s="43"/>
    </row>
    <row r="366" spans="2:15" ht="15.75" hidden="1" x14ac:dyDescent="0.25">
      <c r="B366" s="10">
        <v>46123</v>
      </c>
      <c r="C366" s="11" t="s">
        <v>22</v>
      </c>
      <c r="D366" s="11" t="s">
        <v>20</v>
      </c>
      <c r="F366" s="942"/>
      <c r="G366" s="42" t="s">
        <v>14</v>
      </c>
      <c r="H366" s="29" t="s">
        <v>110</v>
      </c>
      <c r="I366" s="29">
        <v>58</v>
      </c>
      <c r="J366" s="29">
        <v>31</v>
      </c>
      <c r="K366" s="29">
        <v>0</v>
      </c>
      <c r="L366" s="29">
        <f t="shared" si="92"/>
        <v>89</v>
      </c>
      <c r="M366" s="43"/>
    </row>
    <row r="367" spans="2:15" ht="15.75" hidden="1" x14ac:dyDescent="0.25">
      <c r="B367" s="10">
        <v>46123</v>
      </c>
      <c r="C367" s="11" t="s">
        <v>22</v>
      </c>
      <c r="D367" s="11" t="s">
        <v>20</v>
      </c>
      <c r="F367" s="942"/>
      <c r="G367" s="42" t="s">
        <v>17</v>
      </c>
      <c r="H367" s="29" t="s">
        <v>22</v>
      </c>
      <c r="I367" s="29">
        <v>11</v>
      </c>
      <c r="J367" s="29">
        <v>0</v>
      </c>
      <c r="K367" s="29">
        <v>0</v>
      </c>
      <c r="L367" s="29"/>
      <c r="M367" s="43"/>
    </row>
    <row r="368" spans="2:15" ht="15.75" hidden="1" x14ac:dyDescent="0.25">
      <c r="B368" s="10">
        <v>46123</v>
      </c>
      <c r="C368" s="11" t="s">
        <v>22</v>
      </c>
      <c r="D368" s="11" t="s">
        <v>20</v>
      </c>
      <c r="F368" s="942"/>
      <c r="G368" s="42" t="s">
        <v>25</v>
      </c>
      <c r="H368" s="29" t="s">
        <v>105</v>
      </c>
      <c r="I368" s="29">
        <v>10</v>
      </c>
      <c r="J368" s="29">
        <v>6</v>
      </c>
      <c r="K368" s="29">
        <v>0</v>
      </c>
      <c r="L368" s="29">
        <f t="shared" si="92"/>
        <v>16</v>
      </c>
      <c r="M368" s="43"/>
    </row>
    <row r="369" spans="2:15" ht="15.75" hidden="1" x14ac:dyDescent="0.25">
      <c r="B369" s="10">
        <v>46123</v>
      </c>
      <c r="C369" s="11" t="s">
        <v>22</v>
      </c>
      <c r="D369" s="11" t="s">
        <v>20</v>
      </c>
      <c r="F369" s="54">
        <v>46124</v>
      </c>
      <c r="G369" s="55" t="s">
        <v>17</v>
      </c>
      <c r="H369" s="56" t="s">
        <v>43</v>
      </c>
      <c r="I369" s="56">
        <v>0</v>
      </c>
      <c r="J369" s="56">
        <v>0</v>
      </c>
      <c r="K369" s="56">
        <v>127</v>
      </c>
      <c r="L369" s="29">
        <f t="shared" si="92"/>
        <v>127</v>
      </c>
      <c r="M369" s="43"/>
    </row>
    <row r="370" spans="2:15" ht="15.75" hidden="1" x14ac:dyDescent="0.25">
      <c r="B370" s="10">
        <v>46123</v>
      </c>
      <c r="C370" s="11" t="s">
        <v>22</v>
      </c>
      <c r="D370" s="11" t="s">
        <v>20</v>
      </c>
      <c r="F370" s="54">
        <v>46125</v>
      </c>
      <c r="G370" s="55" t="s">
        <v>84</v>
      </c>
      <c r="H370" s="56" t="s">
        <v>106</v>
      </c>
      <c r="I370" s="56">
        <v>0</v>
      </c>
      <c r="J370" s="56">
        <v>0</v>
      </c>
      <c r="K370" s="56">
        <v>14</v>
      </c>
      <c r="L370" s="29">
        <f t="shared" si="92"/>
        <v>14</v>
      </c>
      <c r="M370" s="43"/>
    </row>
    <row r="371" spans="2:15" ht="15.75" hidden="1" x14ac:dyDescent="0.2">
      <c r="B371" s="10">
        <v>46123</v>
      </c>
      <c r="C371" s="11" t="s">
        <v>22</v>
      </c>
      <c r="D371" s="11" t="s">
        <v>20</v>
      </c>
      <c r="F371" s="937" t="s">
        <v>40</v>
      </c>
      <c r="G371" s="937"/>
      <c r="H371" s="937"/>
      <c r="I371" s="8">
        <f>SUM(I364:I370)</f>
        <v>120</v>
      </c>
      <c r="J371" s="8">
        <f>SUM(J364:J370)</f>
        <v>57</v>
      </c>
      <c r="K371" s="8">
        <f>SUM(K364:K370)</f>
        <v>141</v>
      </c>
      <c r="L371" s="8">
        <f>SUM(L364:L370)</f>
        <v>307</v>
      </c>
      <c r="M371" s="9"/>
      <c r="O371" s="8">
        <f>L371</f>
        <v>307</v>
      </c>
    </row>
    <row r="372" spans="2:15" ht="15.75" hidden="1" x14ac:dyDescent="0.25">
      <c r="B372" s="10">
        <v>46123</v>
      </c>
      <c r="C372" s="57" t="s">
        <v>12</v>
      </c>
      <c r="D372" s="57" t="s">
        <v>111</v>
      </c>
      <c r="F372" s="942">
        <v>46123</v>
      </c>
      <c r="G372" s="29" t="s">
        <v>16</v>
      </c>
      <c r="H372" s="29" t="s">
        <v>83</v>
      </c>
      <c r="I372" s="29">
        <v>64</v>
      </c>
      <c r="J372" s="29">
        <v>47</v>
      </c>
      <c r="K372" s="29">
        <v>0</v>
      </c>
      <c r="L372" s="29">
        <f t="shared" ref="L372:L373" si="93">+SUM(I372:K372)</f>
        <v>111</v>
      </c>
      <c r="M372" s="31"/>
    </row>
    <row r="373" spans="2:15" ht="15.75" hidden="1" x14ac:dyDescent="0.25">
      <c r="B373" s="10">
        <v>46123</v>
      </c>
      <c r="C373" s="57" t="s">
        <v>12</v>
      </c>
      <c r="D373" s="57" t="s">
        <v>111</v>
      </c>
      <c r="F373" s="942"/>
      <c r="G373" s="42" t="s">
        <v>14</v>
      </c>
      <c r="H373" s="29" t="s">
        <v>110</v>
      </c>
      <c r="I373" s="29">
        <v>28</v>
      </c>
      <c r="J373" s="29">
        <v>11</v>
      </c>
      <c r="K373" s="29">
        <v>0</v>
      </c>
      <c r="L373" s="29">
        <f t="shared" si="93"/>
        <v>39</v>
      </c>
      <c r="M373" s="43"/>
    </row>
    <row r="374" spans="2:15" ht="15.75" hidden="1" x14ac:dyDescent="0.25">
      <c r="B374" s="10">
        <v>46123</v>
      </c>
      <c r="C374" s="57" t="s">
        <v>12</v>
      </c>
      <c r="D374" s="57" t="s">
        <v>111</v>
      </c>
      <c r="F374" s="949">
        <v>46124</v>
      </c>
      <c r="G374" s="55" t="s">
        <v>17</v>
      </c>
      <c r="H374" s="56" t="s">
        <v>43</v>
      </c>
      <c r="I374" s="56">
        <v>0</v>
      </c>
      <c r="J374" s="56">
        <v>1</v>
      </c>
      <c r="K374" s="56">
        <v>18</v>
      </c>
      <c r="L374" s="29">
        <f t="shared" ref="L374:L376" si="94">+SUM(I374:K374)</f>
        <v>19</v>
      </c>
      <c r="M374" s="43"/>
    </row>
    <row r="375" spans="2:15" ht="15.75" hidden="1" x14ac:dyDescent="0.25">
      <c r="B375" s="10">
        <v>46123</v>
      </c>
      <c r="C375" s="57" t="s">
        <v>12</v>
      </c>
      <c r="D375" s="57" t="s">
        <v>111</v>
      </c>
      <c r="F375" s="973"/>
      <c r="G375" s="55" t="s">
        <v>16</v>
      </c>
      <c r="H375" s="56" t="s">
        <v>83</v>
      </c>
      <c r="I375" s="56">
        <v>20</v>
      </c>
      <c r="J375" s="56">
        <v>17</v>
      </c>
      <c r="K375" s="56">
        <v>0</v>
      </c>
      <c r="L375" s="29">
        <f t="shared" si="94"/>
        <v>37</v>
      </c>
      <c r="M375" s="43"/>
    </row>
    <row r="376" spans="2:15" ht="15.75" hidden="1" x14ac:dyDescent="0.25">
      <c r="B376" s="10">
        <v>46123</v>
      </c>
      <c r="C376" s="57" t="s">
        <v>12</v>
      </c>
      <c r="D376" s="57" t="s">
        <v>111</v>
      </c>
      <c r="F376" s="54">
        <v>46125</v>
      </c>
      <c r="G376" s="55" t="s">
        <v>84</v>
      </c>
      <c r="H376" s="56" t="s">
        <v>106</v>
      </c>
      <c r="I376" s="56">
        <v>60</v>
      </c>
      <c r="J376" s="56">
        <v>5</v>
      </c>
      <c r="K376" s="56">
        <v>40</v>
      </c>
      <c r="L376" s="29">
        <f t="shared" si="94"/>
        <v>105</v>
      </c>
      <c r="M376" s="43"/>
    </row>
    <row r="377" spans="2:15" ht="15.75" hidden="1" x14ac:dyDescent="0.2">
      <c r="B377" s="10">
        <v>46123</v>
      </c>
      <c r="C377" s="57" t="s">
        <v>12</v>
      </c>
      <c r="D377" s="57" t="s">
        <v>111</v>
      </c>
      <c r="F377" s="937" t="s">
        <v>40</v>
      </c>
      <c r="G377" s="937"/>
      <c r="H377" s="937"/>
      <c r="I377" s="8">
        <f>SUM(I372:I376)</f>
        <v>172</v>
      </c>
      <c r="J377" s="8">
        <f>SUM(J372:J376)</f>
        <v>81</v>
      </c>
      <c r="K377" s="8">
        <f>SUM(K372:K376)</f>
        <v>58</v>
      </c>
      <c r="L377" s="8">
        <f>SUM(L372:L376)</f>
        <v>311</v>
      </c>
      <c r="M377" s="9"/>
    </row>
    <row r="378" spans="2:15" ht="15.75" hidden="1" x14ac:dyDescent="0.25">
      <c r="B378" s="10">
        <v>46123</v>
      </c>
      <c r="C378" s="57" t="s">
        <v>12</v>
      </c>
      <c r="D378" s="57" t="s">
        <v>13</v>
      </c>
      <c r="F378" s="939">
        <v>46123</v>
      </c>
      <c r="G378" s="29" t="s">
        <v>16</v>
      </c>
      <c r="H378" s="29" t="s">
        <v>83</v>
      </c>
      <c r="I378" s="29">
        <v>86</v>
      </c>
      <c r="J378" s="29">
        <v>86</v>
      </c>
      <c r="K378" s="29">
        <v>0</v>
      </c>
      <c r="L378" s="29">
        <f t="shared" ref="L378:L381" si="95">+SUM(I378:K378)</f>
        <v>172</v>
      </c>
      <c r="M378" s="31"/>
    </row>
    <row r="379" spans="2:15" ht="15.75" hidden="1" x14ac:dyDescent="0.25">
      <c r="B379" s="10">
        <v>46123</v>
      </c>
      <c r="C379" s="57" t="s">
        <v>12</v>
      </c>
      <c r="D379" s="57" t="s">
        <v>13</v>
      </c>
      <c r="F379" s="940"/>
      <c r="G379" s="42" t="s">
        <v>14</v>
      </c>
      <c r="H379" s="29" t="s">
        <v>110</v>
      </c>
      <c r="I379" s="29">
        <v>1</v>
      </c>
      <c r="J379" s="29">
        <v>0</v>
      </c>
      <c r="K379" s="29">
        <v>0</v>
      </c>
      <c r="L379" s="29">
        <f t="shared" si="95"/>
        <v>1</v>
      </c>
      <c r="M379" s="43"/>
    </row>
    <row r="380" spans="2:15" ht="15.75" hidden="1" x14ac:dyDescent="0.25">
      <c r="B380" s="10">
        <v>46123</v>
      </c>
      <c r="C380" s="57" t="s">
        <v>12</v>
      </c>
      <c r="D380" s="57" t="s">
        <v>13</v>
      </c>
      <c r="F380" s="940"/>
      <c r="G380" s="42" t="s">
        <v>17</v>
      </c>
      <c r="H380" s="29" t="s">
        <v>43</v>
      </c>
      <c r="I380" s="29">
        <v>127</v>
      </c>
      <c r="J380" s="29">
        <v>21</v>
      </c>
      <c r="K380" s="29">
        <v>0</v>
      </c>
      <c r="L380" s="29">
        <f t="shared" si="95"/>
        <v>148</v>
      </c>
      <c r="M380" s="43"/>
    </row>
    <row r="381" spans="2:15" ht="15.75" hidden="1" x14ac:dyDescent="0.25">
      <c r="B381" s="10">
        <v>46123</v>
      </c>
      <c r="C381" s="57" t="s">
        <v>12</v>
      </c>
      <c r="D381" s="57" t="s">
        <v>13</v>
      </c>
      <c r="F381" s="941"/>
      <c r="G381" s="42" t="s">
        <v>84</v>
      </c>
      <c r="H381" s="29" t="s">
        <v>106</v>
      </c>
      <c r="I381" s="29">
        <v>1</v>
      </c>
      <c r="J381" s="29">
        <v>0</v>
      </c>
      <c r="K381" s="29">
        <v>0</v>
      </c>
      <c r="L381" s="29">
        <f t="shared" si="95"/>
        <v>1</v>
      </c>
      <c r="M381" s="43"/>
    </row>
    <row r="382" spans="2:15" ht="15.75" hidden="1" x14ac:dyDescent="0.2">
      <c r="B382" s="10">
        <v>46123</v>
      </c>
      <c r="C382" s="57" t="s">
        <v>12</v>
      </c>
      <c r="D382" s="57" t="s">
        <v>13</v>
      </c>
      <c r="F382" s="937" t="s">
        <v>40</v>
      </c>
      <c r="G382" s="937"/>
      <c r="H382" s="937"/>
      <c r="I382" s="8">
        <f>SUM(I378:I381)</f>
        <v>215</v>
      </c>
      <c r="J382" s="8">
        <f>SUM(J378:J381)</f>
        <v>107</v>
      </c>
      <c r="K382" s="8">
        <f>SUM(K378:K381)</f>
        <v>0</v>
      </c>
      <c r="L382" s="8">
        <f>SUM(L378:L381)</f>
        <v>322</v>
      </c>
      <c r="M382" s="9"/>
    </row>
    <row r="383" spans="2:15" ht="15.75" hidden="1" x14ac:dyDescent="0.25">
      <c r="B383" s="10">
        <v>46124</v>
      </c>
      <c r="C383" s="11" t="s">
        <v>22</v>
      </c>
      <c r="D383" s="11" t="s">
        <v>20</v>
      </c>
      <c r="F383" s="939">
        <v>46124</v>
      </c>
      <c r="G383" s="29" t="s">
        <v>16</v>
      </c>
      <c r="H383" s="29" t="s">
        <v>103</v>
      </c>
      <c r="I383" s="29">
        <v>4</v>
      </c>
      <c r="J383" s="29">
        <v>20</v>
      </c>
      <c r="K383" s="29">
        <v>0</v>
      </c>
      <c r="L383" s="29">
        <f t="shared" ref="L383:L386" si="96">+SUM(I383:K383)</f>
        <v>24</v>
      </c>
      <c r="M383" s="31"/>
    </row>
    <row r="384" spans="2:15" ht="15.75" hidden="1" x14ac:dyDescent="0.25">
      <c r="B384" s="10">
        <v>46124</v>
      </c>
      <c r="C384" s="11" t="s">
        <v>22</v>
      </c>
      <c r="D384" s="11" t="s">
        <v>20</v>
      </c>
      <c r="F384" s="940"/>
      <c r="G384" s="42" t="s">
        <v>14</v>
      </c>
      <c r="H384" s="29" t="s">
        <v>43</v>
      </c>
      <c r="I384" s="29">
        <v>4</v>
      </c>
      <c r="J384" s="29">
        <v>0</v>
      </c>
      <c r="K384" s="29">
        <v>0</v>
      </c>
      <c r="L384" s="29">
        <f t="shared" si="96"/>
        <v>4</v>
      </c>
      <c r="M384" s="43"/>
    </row>
    <row r="385" spans="2:15" ht="15.75" hidden="1" x14ac:dyDescent="0.25">
      <c r="B385" s="10">
        <v>46124</v>
      </c>
      <c r="C385" s="11" t="s">
        <v>22</v>
      </c>
      <c r="D385" s="11" t="s">
        <v>20</v>
      </c>
      <c r="F385" s="940"/>
      <c r="G385" s="42" t="s">
        <v>17</v>
      </c>
      <c r="H385" s="29" t="s">
        <v>43</v>
      </c>
      <c r="I385" s="29">
        <v>19</v>
      </c>
      <c r="J385" s="29">
        <v>8</v>
      </c>
      <c r="K385" s="29">
        <v>0</v>
      </c>
      <c r="L385" s="29">
        <f t="shared" si="96"/>
        <v>27</v>
      </c>
      <c r="M385" s="43"/>
    </row>
    <row r="386" spans="2:15" ht="15.75" hidden="1" x14ac:dyDescent="0.25">
      <c r="B386" s="10">
        <v>46124</v>
      </c>
      <c r="C386" s="11" t="s">
        <v>22</v>
      </c>
      <c r="D386" s="11" t="s">
        <v>20</v>
      </c>
      <c r="F386" s="941"/>
      <c r="G386" s="42" t="s">
        <v>25</v>
      </c>
      <c r="H386" s="29" t="s">
        <v>43</v>
      </c>
      <c r="I386" s="29">
        <v>27</v>
      </c>
      <c r="J386" s="29">
        <v>1</v>
      </c>
      <c r="K386" s="29">
        <v>0</v>
      </c>
      <c r="L386" s="29">
        <f t="shared" si="96"/>
        <v>28</v>
      </c>
      <c r="M386" s="43"/>
    </row>
    <row r="387" spans="2:15" ht="15.75" hidden="1" x14ac:dyDescent="0.25">
      <c r="B387" s="10">
        <v>46124</v>
      </c>
      <c r="C387" s="11" t="s">
        <v>22</v>
      </c>
      <c r="D387" s="11" t="s">
        <v>20</v>
      </c>
      <c r="F387" s="949">
        <v>46125</v>
      </c>
      <c r="G387" s="42" t="s">
        <v>16</v>
      </c>
      <c r="H387" s="29" t="s">
        <v>103</v>
      </c>
      <c r="I387" s="29">
        <v>0</v>
      </c>
      <c r="J387" s="29">
        <v>1</v>
      </c>
      <c r="K387" s="29">
        <v>0</v>
      </c>
      <c r="L387" s="29">
        <f t="shared" ref="L387:L389" si="97">+SUM(I387:K387)</f>
        <v>1</v>
      </c>
      <c r="M387" s="43"/>
    </row>
    <row r="388" spans="2:15" ht="15.75" hidden="1" x14ac:dyDescent="0.25">
      <c r="B388" s="10">
        <v>46124</v>
      </c>
      <c r="C388" s="11" t="s">
        <v>22</v>
      </c>
      <c r="D388" s="11" t="s">
        <v>20</v>
      </c>
      <c r="F388" s="950"/>
      <c r="G388" s="42" t="s">
        <v>84</v>
      </c>
      <c r="H388" s="29" t="s">
        <v>106</v>
      </c>
      <c r="I388" s="29">
        <v>48</v>
      </c>
      <c r="J388" s="29">
        <v>13</v>
      </c>
      <c r="K388" s="29">
        <v>96</v>
      </c>
      <c r="L388" s="29">
        <f t="shared" si="97"/>
        <v>157</v>
      </c>
      <c r="M388" s="43"/>
    </row>
    <row r="389" spans="2:15" ht="15.75" hidden="1" x14ac:dyDescent="0.25">
      <c r="B389" s="10">
        <v>46124</v>
      </c>
      <c r="C389" s="11" t="s">
        <v>22</v>
      </c>
      <c r="D389" s="11" t="s">
        <v>20</v>
      </c>
      <c r="F389" s="973"/>
      <c r="G389" s="42" t="s">
        <v>14</v>
      </c>
      <c r="H389" s="29" t="s">
        <v>110</v>
      </c>
      <c r="I389" s="29">
        <v>0</v>
      </c>
      <c r="J389" s="29">
        <v>0</v>
      </c>
      <c r="K389" s="29">
        <v>29</v>
      </c>
      <c r="L389" s="29">
        <f t="shared" si="97"/>
        <v>29</v>
      </c>
      <c r="M389" s="43"/>
    </row>
    <row r="390" spans="2:15" ht="15.75" hidden="1" x14ac:dyDescent="0.2">
      <c r="B390" s="10">
        <v>46124</v>
      </c>
      <c r="C390" s="11" t="s">
        <v>22</v>
      </c>
      <c r="D390" s="11" t="s">
        <v>20</v>
      </c>
      <c r="F390" s="937" t="s">
        <v>40</v>
      </c>
      <c r="G390" s="937"/>
      <c r="H390" s="937"/>
      <c r="I390" s="8">
        <f>SUM(I383:I389)</f>
        <v>102</v>
      </c>
      <c r="J390" s="8">
        <f>SUM(J383:J389)</f>
        <v>43</v>
      </c>
      <c r="K390" s="8">
        <f>SUM(K383:K389)</f>
        <v>125</v>
      </c>
      <c r="L390" s="8">
        <f>SUM(L383:L389)</f>
        <v>270</v>
      </c>
      <c r="M390" s="9"/>
      <c r="O390" s="8">
        <f>L390</f>
        <v>270</v>
      </c>
    </row>
    <row r="391" spans="2:15" ht="15.75" hidden="1" x14ac:dyDescent="0.25">
      <c r="B391" s="10">
        <v>46124</v>
      </c>
      <c r="C391" s="11" t="s">
        <v>12</v>
      </c>
      <c r="D391" s="11" t="s">
        <v>23</v>
      </c>
      <c r="F391" s="58">
        <v>46124</v>
      </c>
      <c r="G391" s="29" t="s">
        <v>16</v>
      </c>
      <c r="H391" s="29" t="s">
        <v>103</v>
      </c>
      <c r="I391" s="29">
        <v>25</v>
      </c>
      <c r="J391" s="29">
        <v>20</v>
      </c>
      <c r="K391" s="29">
        <v>0</v>
      </c>
      <c r="L391" s="29">
        <f t="shared" ref="L391:L394" si="98">+SUM(I391:K391)</f>
        <v>45</v>
      </c>
      <c r="M391" s="31"/>
    </row>
    <row r="392" spans="2:15" ht="15.75" hidden="1" x14ac:dyDescent="0.25">
      <c r="B392" s="10">
        <v>46124</v>
      </c>
      <c r="C392" s="11" t="s">
        <v>12</v>
      </c>
      <c r="D392" s="11" t="s">
        <v>23</v>
      </c>
      <c r="F392" s="949">
        <v>46125</v>
      </c>
      <c r="G392" s="42" t="s">
        <v>16</v>
      </c>
      <c r="H392" s="29" t="s">
        <v>103</v>
      </c>
      <c r="I392" s="29">
        <v>0</v>
      </c>
      <c r="J392" s="29">
        <v>1</v>
      </c>
      <c r="K392" s="29">
        <v>0</v>
      </c>
      <c r="L392" s="29">
        <f t="shared" si="98"/>
        <v>1</v>
      </c>
      <c r="M392" s="43"/>
    </row>
    <row r="393" spans="2:15" ht="15.75" hidden="1" x14ac:dyDescent="0.25">
      <c r="B393" s="10">
        <v>46124</v>
      </c>
      <c r="C393" s="11" t="s">
        <v>12</v>
      </c>
      <c r="D393" s="11" t="s">
        <v>23</v>
      </c>
      <c r="F393" s="950"/>
      <c r="G393" s="42" t="s">
        <v>17</v>
      </c>
      <c r="H393" s="29" t="s">
        <v>22</v>
      </c>
      <c r="I393" s="29">
        <v>0</v>
      </c>
      <c r="J393" s="29">
        <v>0</v>
      </c>
      <c r="K393" s="29">
        <v>22</v>
      </c>
      <c r="L393" s="29">
        <f t="shared" si="98"/>
        <v>22</v>
      </c>
      <c r="M393" s="43"/>
    </row>
    <row r="394" spans="2:15" ht="15.75" hidden="1" x14ac:dyDescent="0.25">
      <c r="B394" s="10">
        <v>46124</v>
      </c>
      <c r="C394" s="11" t="s">
        <v>12</v>
      </c>
      <c r="D394" s="11" t="s">
        <v>23</v>
      </c>
      <c r="F394" s="973"/>
      <c r="G394" s="42" t="s">
        <v>14</v>
      </c>
      <c r="H394" s="29" t="s">
        <v>100</v>
      </c>
      <c r="I394" s="29">
        <v>10</v>
      </c>
      <c r="J394" s="29">
        <v>2</v>
      </c>
      <c r="K394" s="29">
        <v>88</v>
      </c>
      <c r="L394" s="29">
        <f t="shared" si="98"/>
        <v>100</v>
      </c>
      <c r="M394" s="43"/>
    </row>
    <row r="395" spans="2:15" ht="15.75" hidden="1" x14ac:dyDescent="0.2">
      <c r="B395" s="10">
        <v>46124</v>
      </c>
      <c r="C395" s="11" t="s">
        <v>12</v>
      </c>
      <c r="D395" s="11" t="s">
        <v>23</v>
      </c>
      <c r="F395" s="937" t="s">
        <v>40</v>
      </c>
      <c r="G395" s="937"/>
      <c r="H395" s="937"/>
      <c r="I395" s="8">
        <f>SUM(I391:I394)</f>
        <v>35</v>
      </c>
      <c r="J395" s="8">
        <f>SUM(J391:J394)</f>
        <v>23</v>
      </c>
      <c r="K395" s="8">
        <f>SUM(K391:K394)</f>
        <v>110</v>
      </c>
      <c r="L395" s="8">
        <f>SUM(L391:L394)</f>
        <v>168</v>
      </c>
      <c r="M395" s="9"/>
    </row>
    <row r="396" spans="2:15" ht="15.75" hidden="1" x14ac:dyDescent="0.25">
      <c r="B396" s="10">
        <v>46124</v>
      </c>
      <c r="C396" s="57" t="s">
        <v>18</v>
      </c>
      <c r="D396" s="57" t="s">
        <v>13</v>
      </c>
      <c r="F396" s="939">
        <v>46123</v>
      </c>
      <c r="G396" s="29" t="s">
        <v>16</v>
      </c>
      <c r="H396" s="29" t="s">
        <v>83</v>
      </c>
      <c r="I396" s="29">
        <v>105</v>
      </c>
      <c r="J396" s="29">
        <v>93</v>
      </c>
      <c r="K396" s="29">
        <v>0</v>
      </c>
      <c r="L396" s="29">
        <f t="shared" ref="L396" si="99">+SUM(I396:K396)</f>
        <v>198</v>
      </c>
      <c r="M396" s="31"/>
    </row>
    <row r="397" spans="2:15" ht="15.75" hidden="1" x14ac:dyDescent="0.25">
      <c r="B397" s="10">
        <v>46124</v>
      </c>
      <c r="C397" s="57" t="s">
        <v>18</v>
      </c>
      <c r="D397" s="57" t="s">
        <v>13</v>
      </c>
      <c r="F397" s="940"/>
      <c r="G397" s="42" t="s">
        <v>14</v>
      </c>
      <c r="H397" s="29" t="s">
        <v>100</v>
      </c>
      <c r="I397" s="29">
        <v>82</v>
      </c>
      <c r="J397" s="29">
        <v>25</v>
      </c>
      <c r="K397" s="29">
        <v>0</v>
      </c>
      <c r="L397" s="29">
        <f t="shared" ref="L397:L399" si="100">+SUM(I397:K397)</f>
        <v>107</v>
      </c>
      <c r="M397" s="43"/>
    </row>
    <row r="398" spans="2:15" ht="15.75" hidden="1" x14ac:dyDescent="0.25">
      <c r="B398" s="10">
        <v>46124</v>
      </c>
      <c r="C398" s="57" t="s">
        <v>18</v>
      </c>
      <c r="D398" s="57" t="s">
        <v>13</v>
      </c>
      <c r="F398" s="940"/>
      <c r="G398" s="42" t="s">
        <v>17</v>
      </c>
      <c r="H398" s="29" t="s">
        <v>100</v>
      </c>
      <c r="I398" s="29">
        <v>17</v>
      </c>
      <c r="J398" s="29">
        <v>6</v>
      </c>
      <c r="K398" s="29">
        <v>0</v>
      </c>
      <c r="L398" s="29">
        <f t="shared" si="100"/>
        <v>23</v>
      </c>
      <c r="M398" s="43"/>
    </row>
    <row r="399" spans="2:15" ht="15.75" hidden="1" x14ac:dyDescent="0.25">
      <c r="B399" s="10">
        <v>46124</v>
      </c>
      <c r="C399" s="57" t="s">
        <v>18</v>
      </c>
      <c r="D399" s="57" t="s">
        <v>13</v>
      </c>
      <c r="F399" s="941"/>
      <c r="G399" s="42" t="s">
        <v>84</v>
      </c>
      <c r="H399" s="29" t="s">
        <v>106</v>
      </c>
      <c r="I399" s="29">
        <v>74</v>
      </c>
      <c r="J399" s="29">
        <v>6</v>
      </c>
      <c r="K399" s="29">
        <v>0</v>
      </c>
      <c r="L399" s="29">
        <f t="shared" si="100"/>
        <v>80</v>
      </c>
      <c r="M399" s="43"/>
    </row>
    <row r="400" spans="2:15" ht="15.75" hidden="1" x14ac:dyDescent="0.2">
      <c r="B400" s="10">
        <v>46124</v>
      </c>
      <c r="C400" s="57" t="s">
        <v>18</v>
      </c>
      <c r="D400" s="57" t="s">
        <v>13</v>
      </c>
      <c r="F400" s="937" t="s">
        <v>40</v>
      </c>
      <c r="G400" s="937"/>
      <c r="H400" s="937"/>
      <c r="I400" s="8">
        <f>SUM(I396:I399)</f>
        <v>278</v>
      </c>
      <c r="J400" s="8">
        <f>SUM(J396:J399)</f>
        <v>130</v>
      </c>
      <c r="K400" s="8">
        <f>SUM(K396:K399)</f>
        <v>0</v>
      </c>
      <c r="L400" s="8">
        <f>SUM(L396:L399)</f>
        <v>408</v>
      </c>
      <c r="M400" s="9"/>
    </row>
    <row r="401" spans="2:15" ht="15.75" hidden="1" x14ac:dyDescent="0.25">
      <c r="B401" s="10">
        <v>46125</v>
      </c>
      <c r="C401" s="11" t="s">
        <v>22</v>
      </c>
      <c r="D401" s="11" t="s">
        <v>20</v>
      </c>
      <c r="F401" s="939">
        <v>46125</v>
      </c>
      <c r="G401" s="29" t="s">
        <v>16</v>
      </c>
      <c r="H401" s="29" t="s">
        <v>103</v>
      </c>
      <c r="I401" s="29">
        <v>27</v>
      </c>
      <c r="J401" s="29">
        <v>28</v>
      </c>
      <c r="K401" s="29">
        <v>0</v>
      </c>
      <c r="L401" s="29">
        <f t="shared" ref="L401:L405" si="101">+SUM(I401:K401)</f>
        <v>55</v>
      </c>
      <c r="M401" s="31"/>
    </row>
    <row r="402" spans="2:15" ht="15.75" hidden="1" x14ac:dyDescent="0.25">
      <c r="B402" s="10">
        <v>46125</v>
      </c>
      <c r="C402" s="11" t="s">
        <v>22</v>
      </c>
      <c r="D402" s="11" t="s">
        <v>20</v>
      </c>
      <c r="F402" s="940"/>
      <c r="G402" s="42" t="s">
        <v>84</v>
      </c>
      <c r="H402" s="29" t="s">
        <v>106</v>
      </c>
      <c r="I402" s="29">
        <v>13</v>
      </c>
      <c r="J402" s="29">
        <v>0</v>
      </c>
      <c r="K402" s="29">
        <v>0</v>
      </c>
      <c r="L402" s="29">
        <f t="shared" si="101"/>
        <v>13</v>
      </c>
      <c r="M402" s="43"/>
    </row>
    <row r="403" spans="2:15" ht="15.75" hidden="1" x14ac:dyDescent="0.25">
      <c r="B403" s="10">
        <v>46125</v>
      </c>
      <c r="C403" s="11" t="s">
        <v>22</v>
      </c>
      <c r="D403" s="11" t="s">
        <v>20</v>
      </c>
      <c r="F403" s="941"/>
      <c r="G403" s="42" t="s">
        <v>14</v>
      </c>
      <c r="H403" s="29" t="s">
        <v>100</v>
      </c>
      <c r="I403" s="29">
        <v>88</v>
      </c>
      <c r="J403" s="29">
        <v>24</v>
      </c>
      <c r="K403" s="29">
        <v>0</v>
      </c>
      <c r="L403" s="29">
        <f t="shared" si="101"/>
        <v>112</v>
      </c>
      <c r="M403" s="43"/>
    </row>
    <row r="404" spans="2:15" ht="15.75" hidden="1" x14ac:dyDescent="0.25">
      <c r="B404" s="10">
        <v>46125</v>
      </c>
      <c r="C404" s="11" t="s">
        <v>22</v>
      </c>
      <c r="D404" s="11" t="s">
        <v>20</v>
      </c>
      <c r="F404" s="949">
        <v>46126</v>
      </c>
      <c r="G404" s="42" t="s">
        <v>25</v>
      </c>
      <c r="H404" s="29" t="s">
        <v>106</v>
      </c>
      <c r="I404" s="29">
        <v>2</v>
      </c>
      <c r="J404" s="29">
        <v>2</v>
      </c>
      <c r="K404" s="29">
        <v>42</v>
      </c>
      <c r="L404" s="29">
        <f t="shared" si="101"/>
        <v>46</v>
      </c>
      <c r="M404" s="43"/>
    </row>
    <row r="405" spans="2:15" ht="15.75" hidden="1" x14ac:dyDescent="0.25">
      <c r="B405" s="10">
        <v>46125</v>
      </c>
      <c r="C405" s="11" t="s">
        <v>22</v>
      </c>
      <c r="D405" s="11" t="s">
        <v>20</v>
      </c>
      <c r="F405" s="950"/>
      <c r="G405" s="42" t="s">
        <v>84</v>
      </c>
      <c r="H405" s="29" t="s">
        <v>106</v>
      </c>
      <c r="I405" s="29">
        <v>23</v>
      </c>
      <c r="J405" s="29">
        <v>3</v>
      </c>
      <c r="K405" s="29">
        <v>0</v>
      </c>
      <c r="L405" s="29">
        <f t="shared" si="101"/>
        <v>26</v>
      </c>
      <c r="M405" s="43"/>
    </row>
    <row r="406" spans="2:15" ht="15.75" hidden="1" x14ac:dyDescent="0.2">
      <c r="B406" s="10">
        <v>46125</v>
      </c>
      <c r="C406" s="11" t="s">
        <v>22</v>
      </c>
      <c r="D406" s="11" t="s">
        <v>20</v>
      </c>
      <c r="F406" s="937" t="s">
        <v>40</v>
      </c>
      <c r="G406" s="937"/>
      <c r="H406" s="937"/>
      <c r="I406" s="8">
        <f>SUM(I401:I405)</f>
        <v>153</v>
      </c>
      <c r="J406" s="8">
        <f>SUM(J401:J405)</f>
        <v>57</v>
      </c>
      <c r="K406" s="8">
        <f>SUM(K401:K405)</f>
        <v>42</v>
      </c>
      <c r="L406" s="8">
        <f>SUM(L401:L405)</f>
        <v>252</v>
      </c>
      <c r="M406" s="9"/>
      <c r="O406" s="8">
        <f>L406</f>
        <v>252</v>
      </c>
    </row>
    <row r="407" spans="2:15" ht="15.75" hidden="1" x14ac:dyDescent="0.25">
      <c r="B407" s="10">
        <v>46125</v>
      </c>
      <c r="C407" s="11" t="s">
        <v>12</v>
      </c>
      <c r="D407" s="11" t="s">
        <v>23</v>
      </c>
      <c r="F407" s="939">
        <v>46125</v>
      </c>
      <c r="G407" s="29" t="s">
        <v>16</v>
      </c>
      <c r="H407" s="29" t="s">
        <v>103</v>
      </c>
      <c r="I407" s="29">
        <v>39</v>
      </c>
      <c r="J407" s="29">
        <v>5</v>
      </c>
      <c r="K407" s="29">
        <v>0</v>
      </c>
      <c r="L407" s="29">
        <f t="shared" ref="L407:L410" si="102">+SUM(I407:K407)</f>
        <v>44</v>
      </c>
      <c r="M407" s="31"/>
    </row>
    <row r="408" spans="2:15" ht="15.75" hidden="1" x14ac:dyDescent="0.25">
      <c r="B408" s="10">
        <v>46125</v>
      </c>
      <c r="C408" s="11" t="s">
        <v>12</v>
      </c>
      <c r="D408" s="11" t="s">
        <v>23</v>
      </c>
      <c r="F408" s="941"/>
      <c r="G408" s="42" t="s">
        <v>14</v>
      </c>
      <c r="H408" s="29" t="s">
        <v>100</v>
      </c>
      <c r="I408" s="29">
        <v>2</v>
      </c>
      <c r="J408" s="29">
        <v>1</v>
      </c>
      <c r="K408" s="29">
        <v>0</v>
      </c>
      <c r="L408" s="29">
        <f t="shared" si="102"/>
        <v>3</v>
      </c>
      <c r="M408" s="43"/>
    </row>
    <row r="409" spans="2:15" ht="15.75" hidden="1" x14ac:dyDescent="0.25">
      <c r="B409" s="10">
        <v>46125</v>
      </c>
      <c r="C409" s="11" t="s">
        <v>12</v>
      </c>
      <c r="D409" s="11" t="s">
        <v>23</v>
      </c>
      <c r="F409" s="949">
        <v>46126</v>
      </c>
      <c r="G409" s="42" t="s">
        <v>25</v>
      </c>
      <c r="H409" s="29" t="s">
        <v>106</v>
      </c>
      <c r="I409" s="29">
        <v>2</v>
      </c>
      <c r="J409" s="29">
        <v>1</v>
      </c>
      <c r="K409" s="29">
        <v>106</v>
      </c>
      <c r="L409" s="29">
        <f t="shared" si="102"/>
        <v>109</v>
      </c>
      <c r="M409" s="43"/>
    </row>
    <row r="410" spans="2:15" ht="15.75" hidden="1" x14ac:dyDescent="0.25">
      <c r="B410" s="10">
        <v>46125</v>
      </c>
      <c r="C410" s="11" t="s">
        <v>12</v>
      </c>
      <c r="D410" s="11" t="s">
        <v>23</v>
      </c>
      <c r="F410" s="950"/>
      <c r="G410" s="42" t="s">
        <v>17</v>
      </c>
      <c r="H410" s="29" t="s">
        <v>106</v>
      </c>
      <c r="I410" s="29">
        <v>12</v>
      </c>
      <c r="J410" s="29">
        <v>1</v>
      </c>
      <c r="K410" s="29">
        <v>36</v>
      </c>
      <c r="L410" s="29">
        <f t="shared" si="102"/>
        <v>49</v>
      </c>
      <c r="M410" s="43"/>
    </row>
    <row r="411" spans="2:15" ht="15.75" hidden="1" x14ac:dyDescent="0.2">
      <c r="B411" s="10">
        <v>46125</v>
      </c>
      <c r="C411" s="11" t="s">
        <v>12</v>
      </c>
      <c r="D411" s="11" t="s">
        <v>23</v>
      </c>
      <c r="F411" s="937" t="s">
        <v>40</v>
      </c>
      <c r="G411" s="937"/>
      <c r="H411" s="937"/>
      <c r="I411" s="8">
        <f>SUM(I407:I410)</f>
        <v>55</v>
      </c>
      <c r="J411" s="8">
        <f>SUM(J407:J410)</f>
        <v>8</v>
      </c>
      <c r="K411" s="8">
        <f>SUM(K407:K410)</f>
        <v>142</v>
      </c>
      <c r="L411" s="8">
        <f>SUM(L407:L410)</f>
        <v>205</v>
      </c>
      <c r="M411" s="9"/>
      <c r="O411" s="8">
        <f>L411</f>
        <v>205</v>
      </c>
    </row>
    <row r="412" spans="2:15" ht="15.75" hidden="1" x14ac:dyDescent="0.25">
      <c r="B412" s="10">
        <v>46125</v>
      </c>
      <c r="C412" s="57" t="s">
        <v>18</v>
      </c>
      <c r="D412" s="57" t="s">
        <v>13</v>
      </c>
      <c r="F412" s="939">
        <v>46125</v>
      </c>
      <c r="G412" s="29" t="s">
        <v>16</v>
      </c>
      <c r="H412" s="29" t="s">
        <v>83</v>
      </c>
      <c r="I412" s="29">
        <v>78</v>
      </c>
      <c r="J412" s="29">
        <v>49</v>
      </c>
      <c r="K412" s="29">
        <v>0</v>
      </c>
      <c r="L412" s="29">
        <f t="shared" ref="L412:L416" si="103">+SUM(I412:K412)</f>
        <v>127</v>
      </c>
      <c r="M412" s="31"/>
    </row>
    <row r="413" spans="2:15" ht="15.75" hidden="1" x14ac:dyDescent="0.25">
      <c r="B413" s="10">
        <v>46125</v>
      </c>
      <c r="C413" s="57" t="s">
        <v>18</v>
      </c>
      <c r="D413" s="57" t="s">
        <v>13</v>
      </c>
      <c r="F413" s="940"/>
      <c r="G413" s="42" t="s">
        <v>14</v>
      </c>
      <c r="H413" s="29" t="s">
        <v>105</v>
      </c>
      <c r="I413" s="29">
        <v>9</v>
      </c>
      <c r="J413" s="29">
        <v>9</v>
      </c>
      <c r="K413" s="29">
        <v>0</v>
      </c>
      <c r="L413" s="29">
        <f t="shared" si="103"/>
        <v>18</v>
      </c>
      <c r="M413" s="43"/>
    </row>
    <row r="414" spans="2:15" ht="15.75" hidden="1" x14ac:dyDescent="0.25">
      <c r="B414" s="10">
        <v>46125</v>
      </c>
      <c r="C414" s="57" t="s">
        <v>18</v>
      </c>
      <c r="D414" s="57" t="s">
        <v>13</v>
      </c>
      <c r="F414" s="940"/>
      <c r="G414" s="42" t="s">
        <v>25</v>
      </c>
      <c r="H414" s="29" t="s">
        <v>106</v>
      </c>
      <c r="I414" s="29">
        <v>118</v>
      </c>
      <c r="J414" s="29">
        <v>24</v>
      </c>
      <c r="K414" s="29">
        <v>0</v>
      </c>
      <c r="L414" s="29">
        <f t="shared" si="103"/>
        <v>142</v>
      </c>
      <c r="M414" s="43"/>
    </row>
    <row r="415" spans="2:15" ht="15.75" hidden="1" x14ac:dyDescent="0.25">
      <c r="B415" s="10">
        <v>46125</v>
      </c>
      <c r="C415" s="57" t="s">
        <v>18</v>
      </c>
      <c r="D415" s="57" t="s">
        <v>13</v>
      </c>
      <c r="F415" s="940"/>
      <c r="G415" s="42" t="s">
        <v>17</v>
      </c>
      <c r="H415" s="29" t="s">
        <v>106</v>
      </c>
      <c r="I415" s="29">
        <v>43</v>
      </c>
      <c r="J415" s="29">
        <v>3</v>
      </c>
      <c r="K415" s="29">
        <v>0</v>
      </c>
      <c r="L415" s="29">
        <f t="shared" ref="L415" si="104">+SUM(I415:K415)</f>
        <v>46</v>
      </c>
      <c r="M415" s="43"/>
    </row>
    <row r="416" spans="2:15" ht="15.75" hidden="1" x14ac:dyDescent="0.25">
      <c r="B416" s="10">
        <v>46125</v>
      </c>
      <c r="C416" s="57" t="s">
        <v>18</v>
      </c>
      <c r="D416" s="57" t="s">
        <v>13</v>
      </c>
      <c r="F416" s="941"/>
      <c r="G416" s="42" t="s">
        <v>26</v>
      </c>
      <c r="H416" s="29" t="s">
        <v>106</v>
      </c>
      <c r="I416" s="29">
        <v>2</v>
      </c>
      <c r="J416" s="29">
        <v>1</v>
      </c>
      <c r="K416" s="29">
        <v>0</v>
      </c>
      <c r="L416" s="29">
        <f t="shared" si="103"/>
        <v>3</v>
      </c>
      <c r="M416" s="43"/>
    </row>
    <row r="417" spans="2:15" ht="15.75" hidden="1" x14ac:dyDescent="0.2">
      <c r="B417" s="10">
        <v>46125</v>
      </c>
      <c r="C417" s="57" t="s">
        <v>18</v>
      </c>
      <c r="D417" s="57" t="s">
        <v>13</v>
      </c>
      <c r="F417" s="937" t="s">
        <v>40</v>
      </c>
      <c r="G417" s="937"/>
      <c r="H417" s="937"/>
      <c r="I417" s="8">
        <f>SUM(I412:I416)</f>
        <v>250</v>
      </c>
      <c r="J417" s="8">
        <f>SUM(J412:J416)</f>
        <v>86</v>
      </c>
      <c r="K417" s="8">
        <f>SUM(K412:K416)</f>
        <v>0</v>
      </c>
      <c r="L417" s="8">
        <f>SUM(L412:L416)</f>
        <v>336</v>
      </c>
      <c r="M417" s="9"/>
      <c r="O417" s="8">
        <f>L417</f>
        <v>336</v>
      </c>
    </row>
    <row r="418" spans="2:15" ht="15.75" hidden="1" x14ac:dyDescent="0.25">
      <c r="B418" s="10">
        <v>46126</v>
      </c>
      <c r="C418" s="57" t="s">
        <v>22</v>
      </c>
      <c r="D418" s="57" t="s">
        <v>20</v>
      </c>
      <c r="F418" s="939">
        <v>46125</v>
      </c>
      <c r="G418" s="29" t="s">
        <v>16</v>
      </c>
      <c r="H418" s="29" t="s">
        <v>103</v>
      </c>
      <c r="I418" s="29">
        <v>46</v>
      </c>
      <c r="J418" s="29">
        <v>63</v>
      </c>
      <c r="K418" s="29">
        <v>0</v>
      </c>
      <c r="L418" s="29">
        <f t="shared" ref="L418:L421" si="105">+SUM(I418:K418)</f>
        <v>109</v>
      </c>
      <c r="M418" s="31"/>
    </row>
    <row r="419" spans="2:15" ht="15.75" hidden="1" x14ac:dyDescent="0.25">
      <c r="B419" s="10">
        <v>46126</v>
      </c>
      <c r="C419" s="57" t="s">
        <v>22</v>
      </c>
      <c r="D419" s="57" t="s">
        <v>20</v>
      </c>
      <c r="F419" s="940"/>
      <c r="G419" s="42" t="s">
        <v>84</v>
      </c>
      <c r="H419" s="29" t="s">
        <v>106</v>
      </c>
      <c r="I419" s="29">
        <v>81</v>
      </c>
      <c r="J419" s="29">
        <v>9</v>
      </c>
      <c r="K419" s="29">
        <v>0</v>
      </c>
      <c r="L419" s="29">
        <f t="shared" si="105"/>
        <v>90</v>
      </c>
      <c r="M419" s="43"/>
    </row>
    <row r="420" spans="2:15" ht="15.75" hidden="1" x14ac:dyDescent="0.25">
      <c r="B420" s="10">
        <v>46126</v>
      </c>
      <c r="C420" s="57" t="s">
        <v>22</v>
      </c>
      <c r="D420" s="57" t="s">
        <v>20</v>
      </c>
      <c r="F420" s="940"/>
      <c r="G420" s="42" t="s">
        <v>25</v>
      </c>
      <c r="H420" s="29" t="s">
        <v>100</v>
      </c>
      <c r="I420" s="29">
        <v>17</v>
      </c>
      <c r="J420" s="29">
        <v>5</v>
      </c>
      <c r="K420" s="29">
        <v>0</v>
      </c>
      <c r="L420" s="29">
        <f t="shared" si="105"/>
        <v>22</v>
      </c>
      <c r="M420" s="43"/>
    </row>
    <row r="421" spans="2:15" ht="15.75" hidden="1" x14ac:dyDescent="0.25">
      <c r="B421" s="10">
        <v>46126</v>
      </c>
      <c r="C421" s="57" t="s">
        <v>22</v>
      </c>
      <c r="D421" s="57" t="s">
        <v>20</v>
      </c>
      <c r="F421" s="940"/>
      <c r="G421" s="42" t="s">
        <v>14</v>
      </c>
      <c r="H421" s="29" t="s">
        <v>22</v>
      </c>
      <c r="I421" s="29">
        <v>1</v>
      </c>
      <c r="J421" s="29">
        <v>0</v>
      </c>
      <c r="K421" s="29">
        <v>10</v>
      </c>
      <c r="L421" s="29">
        <f t="shared" si="105"/>
        <v>11</v>
      </c>
      <c r="M421" s="43"/>
    </row>
    <row r="422" spans="2:15" ht="15.75" hidden="1" x14ac:dyDescent="0.2">
      <c r="B422" s="10">
        <v>46126</v>
      </c>
      <c r="C422" s="57" t="s">
        <v>22</v>
      </c>
      <c r="D422" s="57" t="s">
        <v>20</v>
      </c>
      <c r="F422" s="937" t="s">
        <v>40</v>
      </c>
      <c r="G422" s="937"/>
      <c r="H422" s="937"/>
      <c r="I422" s="8">
        <f>SUM(I418:I421)</f>
        <v>145</v>
      </c>
      <c r="J422" s="8">
        <f>SUM(J418:J421)</f>
        <v>77</v>
      </c>
      <c r="K422" s="8">
        <f>SUM(K418:K421)</f>
        <v>10</v>
      </c>
      <c r="L422" s="8">
        <f>SUM(L418:L421)</f>
        <v>232</v>
      </c>
      <c r="M422" s="9"/>
      <c r="O422" s="8">
        <f>L422</f>
        <v>232</v>
      </c>
    </row>
    <row r="423" spans="2:15" ht="15.75" hidden="1" x14ac:dyDescent="0.25">
      <c r="B423" s="10">
        <v>46126</v>
      </c>
      <c r="C423" s="57" t="s">
        <v>12</v>
      </c>
      <c r="D423" s="57" t="s">
        <v>23</v>
      </c>
      <c r="F423" s="939">
        <v>46125</v>
      </c>
      <c r="G423" s="29" t="s">
        <v>16</v>
      </c>
      <c r="H423" s="29" t="s">
        <v>103</v>
      </c>
      <c r="I423" s="29">
        <v>40</v>
      </c>
      <c r="J423" s="29">
        <v>21</v>
      </c>
      <c r="K423" s="29">
        <v>0</v>
      </c>
      <c r="L423" s="29">
        <f t="shared" ref="L423:L426" si="106">+SUM(I423:K423)</f>
        <v>61</v>
      </c>
      <c r="M423" s="31"/>
    </row>
    <row r="424" spans="2:15" ht="15.75" hidden="1" x14ac:dyDescent="0.25">
      <c r="B424" s="10">
        <v>46126</v>
      </c>
      <c r="C424" s="57" t="s">
        <v>12</v>
      </c>
      <c r="D424" s="57" t="s">
        <v>23</v>
      </c>
      <c r="F424" s="940"/>
      <c r="G424" s="42" t="s">
        <v>84</v>
      </c>
      <c r="H424" s="29" t="s">
        <v>106</v>
      </c>
      <c r="I424" s="29">
        <v>18</v>
      </c>
      <c r="J424" s="29">
        <v>2</v>
      </c>
      <c r="K424" s="29">
        <v>0</v>
      </c>
      <c r="L424" s="29">
        <f t="shared" si="106"/>
        <v>20</v>
      </c>
      <c r="M424" s="43"/>
    </row>
    <row r="425" spans="2:15" ht="15.75" hidden="1" x14ac:dyDescent="0.25">
      <c r="B425" s="10">
        <v>46126</v>
      </c>
      <c r="C425" s="57" t="s">
        <v>12</v>
      </c>
      <c r="D425" s="57" t="s">
        <v>23</v>
      </c>
      <c r="F425" s="940"/>
      <c r="G425" s="42" t="s">
        <v>25</v>
      </c>
      <c r="H425" s="29" t="s">
        <v>100</v>
      </c>
      <c r="I425" s="29">
        <v>1</v>
      </c>
      <c r="J425" s="29">
        <v>0</v>
      </c>
      <c r="K425" s="29">
        <v>0</v>
      </c>
      <c r="L425" s="29">
        <f t="shared" si="106"/>
        <v>1</v>
      </c>
      <c r="M425" s="43"/>
    </row>
    <row r="426" spans="2:15" ht="15.75" hidden="1" x14ac:dyDescent="0.25">
      <c r="B426" s="10">
        <v>46126</v>
      </c>
      <c r="C426" s="57" t="s">
        <v>12</v>
      </c>
      <c r="D426" s="57" t="s">
        <v>23</v>
      </c>
      <c r="F426" s="940"/>
      <c r="G426" s="42" t="s">
        <v>14</v>
      </c>
      <c r="H426" s="29" t="s">
        <v>22</v>
      </c>
      <c r="I426" s="29">
        <v>146</v>
      </c>
      <c r="J426" s="29">
        <v>33</v>
      </c>
      <c r="K426" s="29">
        <v>0</v>
      </c>
      <c r="L426" s="29">
        <f t="shared" si="106"/>
        <v>179</v>
      </c>
      <c r="M426" s="43"/>
    </row>
    <row r="427" spans="2:15" ht="15.75" hidden="1" x14ac:dyDescent="0.2">
      <c r="B427" s="10">
        <v>46126</v>
      </c>
      <c r="C427" s="57" t="s">
        <v>12</v>
      </c>
      <c r="D427" s="57" t="s">
        <v>23</v>
      </c>
      <c r="F427" s="937" t="s">
        <v>40</v>
      </c>
      <c r="G427" s="937"/>
      <c r="H427" s="937"/>
      <c r="I427" s="8">
        <f>SUM(I423:I426)</f>
        <v>205</v>
      </c>
      <c r="J427" s="8">
        <f>SUM(J423:J426)</f>
        <v>56</v>
      </c>
      <c r="K427" s="8">
        <f>SUM(K423:K426)</f>
        <v>0</v>
      </c>
      <c r="L427" s="8">
        <f>SUM(L423:L426)</f>
        <v>261</v>
      </c>
      <c r="M427" s="9"/>
      <c r="O427" s="8">
        <f>L427</f>
        <v>261</v>
      </c>
    </row>
    <row r="428" spans="2:15" ht="15.75" hidden="1" x14ac:dyDescent="0.25">
      <c r="B428" s="10">
        <v>46126</v>
      </c>
      <c r="C428" s="57" t="s">
        <v>18</v>
      </c>
      <c r="D428" s="57" t="s">
        <v>13</v>
      </c>
      <c r="F428" s="939">
        <v>46126</v>
      </c>
      <c r="G428" s="29" t="s">
        <v>16</v>
      </c>
      <c r="H428" s="29" t="s">
        <v>103</v>
      </c>
      <c r="I428" s="29">
        <v>144</v>
      </c>
      <c r="J428" s="29">
        <v>76</v>
      </c>
      <c r="K428" s="29">
        <v>0</v>
      </c>
      <c r="L428" s="29">
        <f t="shared" ref="L428:L431" si="107">+SUM(I428:K428)</f>
        <v>220</v>
      </c>
      <c r="M428" s="31"/>
    </row>
    <row r="429" spans="2:15" ht="15.75" hidden="1" x14ac:dyDescent="0.25">
      <c r="B429" s="10">
        <v>46126</v>
      </c>
      <c r="C429" s="57" t="s">
        <v>18</v>
      </c>
      <c r="D429" s="57" t="s">
        <v>13</v>
      </c>
      <c r="F429" s="940"/>
      <c r="G429" s="42" t="s">
        <v>17</v>
      </c>
      <c r="H429" s="29" t="s">
        <v>106</v>
      </c>
      <c r="I429" s="29">
        <v>98</v>
      </c>
      <c r="J429" s="29">
        <v>8</v>
      </c>
      <c r="K429" s="29">
        <v>0</v>
      </c>
      <c r="L429" s="29">
        <f t="shared" si="107"/>
        <v>106</v>
      </c>
      <c r="M429" s="43"/>
    </row>
    <row r="430" spans="2:15" ht="15.75" hidden="1" x14ac:dyDescent="0.25">
      <c r="B430" s="10">
        <v>46126</v>
      </c>
      <c r="C430" s="57" t="s">
        <v>18</v>
      </c>
      <c r="D430" s="57" t="s">
        <v>13</v>
      </c>
      <c r="F430" s="940"/>
      <c r="G430" s="42" t="s">
        <v>26</v>
      </c>
      <c r="H430" s="29" t="s">
        <v>106</v>
      </c>
      <c r="I430" s="29">
        <v>3</v>
      </c>
      <c r="J430" s="29">
        <v>0</v>
      </c>
      <c r="K430" s="29">
        <v>0</v>
      </c>
      <c r="L430" s="29">
        <f t="shared" si="107"/>
        <v>3</v>
      </c>
      <c r="M430" s="43"/>
    </row>
    <row r="431" spans="2:15" ht="15.75" hidden="1" x14ac:dyDescent="0.25">
      <c r="B431" s="10">
        <v>46126</v>
      </c>
      <c r="C431" s="57" t="s">
        <v>18</v>
      </c>
      <c r="D431" s="57" t="s">
        <v>13</v>
      </c>
      <c r="F431" s="940"/>
      <c r="G431" s="42" t="s">
        <v>14</v>
      </c>
      <c r="H431" s="29" t="s">
        <v>105</v>
      </c>
      <c r="I431" s="29">
        <v>2</v>
      </c>
      <c r="J431" s="29">
        <v>5</v>
      </c>
      <c r="K431" s="29">
        <v>0</v>
      </c>
      <c r="L431" s="29">
        <f t="shared" si="107"/>
        <v>7</v>
      </c>
      <c r="M431" s="43"/>
    </row>
    <row r="432" spans="2:15" ht="15.75" hidden="1" x14ac:dyDescent="0.2">
      <c r="B432" s="10">
        <v>46126</v>
      </c>
      <c r="C432" s="57" t="s">
        <v>18</v>
      </c>
      <c r="D432" s="57" t="s">
        <v>13</v>
      </c>
      <c r="F432" s="937" t="s">
        <v>40</v>
      </c>
      <c r="G432" s="937"/>
      <c r="H432" s="937"/>
      <c r="I432" s="8">
        <f>SUM(I428:I431)</f>
        <v>247</v>
      </c>
      <c r="J432" s="8">
        <f>SUM(J428:J431)</f>
        <v>89</v>
      </c>
      <c r="K432" s="8">
        <f>SUM(K428:K431)</f>
        <v>0</v>
      </c>
      <c r="L432" s="8">
        <f>SUM(L428:L431)</f>
        <v>336</v>
      </c>
      <c r="M432" s="9"/>
      <c r="O432" s="8">
        <f>L432</f>
        <v>336</v>
      </c>
    </row>
    <row r="433" spans="2:15" ht="15.75" hidden="1" x14ac:dyDescent="0.25">
      <c r="B433" s="10">
        <v>46127</v>
      </c>
      <c r="C433" s="57" t="s">
        <v>22</v>
      </c>
      <c r="D433" s="57" t="s">
        <v>20</v>
      </c>
      <c r="F433" s="939">
        <v>46125</v>
      </c>
      <c r="G433" s="29" t="s">
        <v>16</v>
      </c>
      <c r="H433" s="29" t="s">
        <v>103</v>
      </c>
      <c r="I433" s="29">
        <v>14</v>
      </c>
      <c r="J433" s="29">
        <v>26</v>
      </c>
      <c r="K433" s="29">
        <v>0</v>
      </c>
      <c r="L433" s="29">
        <f t="shared" ref="L433:L438" si="108">+SUM(I433:K433)</f>
        <v>40</v>
      </c>
      <c r="M433" s="31"/>
    </row>
    <row r="434" spans="2:15" ht="15.75" hidden="1" x14ac:dyDescent="0.25">
      <c r="B434" s="10">
        <v>46127</v>
      </c>
      <c r="C434" s="57" t="s">
        <v>22</v>
      </c>
      <c r="D434" s="57" t="s">
        <v>20</v>
      </c>
      <c r="F434" s="940"/>
      <c r="G434" s="42" t="s">
        <v>84</v>
      </c>
      <c r="H434" s="29" t="s">
        <v>106</v>
      </c>
      <c r="I434" s="29">
        <v>120</v>
      </c>
      <c r="J434" s="29">
        <v>29</v>
      </c>
      <c r="K434" s="29">
        <v>7</v>
      </c>
      <c r="L434" s="29">
        <f t="shared" si="108"/>
        <v>156</v>
      </c>
      <c r="M434" s="43"/>
    </row>
    <row r="435" spans="2:15" ht="15.75" hidden="1" x14ac:dyDescent="0.25">
      <c r="B435" s="10">
        <v>46127</v>
      </c>
      <c r="C435" s="57" t="s">
        <v>22</v>
      </c>
      <c r="D435" s="57" t="s">
        <v>20</v>
      </c>
      <c r="F435" s="940"/>
      <c r="G435" s="42" t="s">
        <v>32</v>
      </c>
      <c r="H435" s="29" t="s">
        <v>106</v>
      </c>
      <c r="I435" s="29">
        <v>35</v>
      </c>
      <c r="J435" s="29">
        <v>0</v>
      </c>
      <c r="K435" s="29">
        <v>0</v>
      </c>
      <c r="L435" s="29">
        <f t="shared" si="108"/>
        <v>35</v>
      </c>
      <c r="M435" s="43"/>
    </row>
    <row r="436" spans="2:15" ht="15.75" hidden="1" x14ac:dyDescent="0.25">
      <c r="B436" s="10">
        <v>46127</v>
      </c>
      <c r="C436" s="57" t="s">
        <v>22</v>
      </c>
      <c r="D436" s="57" t="s">
        <v>20</v>
      </c>
      <c r="F436" s="940"/>
      <c r="G436" s="42" t="s">
        <v>14</v>
      </c>
      <c r="H436" s="29" t="s">
        <v>105</v>
      </c>
      <c r="I436" s="29">
        <v>4</v>
      </c>
      <c r="J436" s="29">
        <v>3</v>
      </c>
      <c r="K436" s="29">
        <v>6</v>
      </c>
      <c r="L436" s="29">
        <f t="shared" si="108"/>
        <v>13</v>
      </c>
      <c r="M436" s="43"/>
    </row>
    <row r="437" spans="2:15" ht="15.75" hidden="1" x14ac:dyDescent="0.25">
      <c r="B437" s="10">
        <v>46127</v>
      </c>
      <c r="C437" s="57" t="s">
        <v>22</v>
      </c>
      <c r="D437" s="57" t="s">
        <v>20</v>
      </c>
      <c r="F437" s="940"/>
      <c r="G437" s="42" t="s">
        <v>17</v>
      </c>
      <c r="H437" s="29" t="s">
        <v>106</v>
      </c>
      <c r="I437" s="29">
        <v>82</v>
      </c>
      <c r="J437" s="29">
        <v>27</v>
      </c>
      <c r="K437" s="29">
        <v>8</v>
      </c>
      <c r="L437" s="29">
        <f t="shared" si="108"/>
        <v>117</v>
      </c>
      <c r="M437" s="43"/>
    </row>
    <row r="438" spans="2:15" ht="15.75" hidden="1" x14ac:dyDescent="0.25">
      <c r="B438" s="10">
        <v>46127</v>
      </c>
      <c r="C438" s="57" t="s">
        <v>22</v>
      </c>
      <c r="D438" s="57" t="s">
        <v>20</v>
      </c>
      <c r="F438" s="940"/>
      <c r="G438" s="42" t="s">
        <v>25</v>
      </c>
      <c r="H438" s="29" t="s">
        <v>106</v>
      </c>
      <c r="I438" s="29">
        <v>4</v>
      </c>
      <c r="J438" s="29">
        <v>0</v>
      </c>
      <c r="K438" s="29">
        <v>0</v>
      </c>
      <c r="L438" s="29">
        <f t="shared" si="108"/>
        <v>4</v>
      </c>
      <c r="M438" s="43"/>
    </row>
    <row r="439" spans="2:15" ht="15.75" hidden="1" x14ac:dyDescent="0.2">
      <c r="B439" s="10">
        <v>46127</v>
      </c>
      <c r="C439" s="57" t="s">
        <v>22</v>
      </c>
      <c r="D439" s="57" t="s">
        <v>20</v>
      </c>
      <c r="F439" s="937" t="s">
        <v>40</v>
      </c>
      <c r="G439" s="937"/>
      <c r="H439" s="937"/>
      <c r="I439" s="8">
        <f>SUM(I433:I438)</f>
        <v>259</v>
      </c>
      <c r="J439" s="8">
        <f>SUM(J433:J438)</f>
        <v>85</v>
      </c>
      <c r="K439" s="8">
        <f>SUM(K433:K438)</f>
        <v>21</v>
      </c>
      <c r="L439" s="8">
        <f>SUM(L433:L438)</f>
        <v>365</v>
      </c>
      <c r="M439" s="9"/>
      <c r="O439" s="8">
        <f>L439</f>
        <v>365</v>
      </c>
    </row>
    <row r="440" spans="2:15" ht="15.75" hidden="1" x14ac:dyDescent="0.25">
      <c r="B440" s="10">
        <v>46127</v>
      </c>
      <c r="C440" s="57" t="s">
        <v>12</v>
      </c>
      <c r="D440" s="57" t="s">
        <v>23</v>
      </c>
      <c r="F440" s="939">
        <v>46127</v>
      </c>
      <c r="G440" s="29" t="s">
        <v>16</v>
      </c>
      <c r="H440" s="29" t="s">
        <v>114</v>
      </c>
      <c r="I440" s="29">
        <v>30</v>
      </c>
      <c r="J440" s="29">
        <v>4</v>
      </c>
      <c r="K440" s="29">
        <v>0</v>
      </c>
      <c r="L440" s="29">
        <f t="shared" ref="L440:L444" si="109">+SUM(I440:K440)</f>
        <v>34</v>
      </c>
      <c r="M440" s="31"/>
    </row>
    <row r="441" spans="2:15" ht="15.75" hidden="1" x14ac:dyDescent="0.25">
      <c r="B441" s="10">
        <v>46127</v>
      </c>
      <c r="C441" s="57" t="s">
        <v>12</v>
      </c>
      <c r="D441" s="57" t="s">
        <v>23</v>
      </c>
      <c r="F441" s="940"/>
      <c r="G441" s="42" t="s">
        <v>84</v>
      </c>
      <c r="H441" s="29" t="s">
        <v>106</v>
      </c>
      <c r="I441" s="29">
        <v>68</v>
      </c>
      <c r="J441" s="29">
        <v>4</v>
      </c>
      <c r="K441" s="29">
        <v>0</v>
      </c>
      <c r="L441" s="29">
        <f t="shared" si="109"/>
        <v>72</v>
      </c>
      <c r="M441" s="43"/>
    </row>
    <row r="442" spans="2:15" ht="15.75" hidden="1" x14ac:dyDescent="0.25">
      <c r="B442" s="10">
        <v>46127</v>
      </c>
      <c r="C442" s="57" t="s">
        <v>12</v>
      </c>
      <c r="D442" s="57" t="s">
        <v>23</v>
      </c>
      <c r="F442" s="940"/>
      <c r="G442" s="42" t="s">
        <v>14</v>
      </c>
      <c r="H442" s="29" t="s">
        <v>105</v>
      </c>
      <c r="I442" s="29">
        <v>135</v>
      </c>
      <c r="J442" s="29">
        <v>38</v>
      </c>
      <c r="K442" s="29">
        <v>49</v>
      </c>
      <c r="L442" s="29">
        <f t="shared" si="109"/>
        <v>222</v>
      </c>
      <c r="M442" s="43"/>
    </row>
    <row r="443" spans="2:15" ht="15.75" hidden="1" x14ac:dyDescent="0.25">
      <c r="B443" s="10">
        <v>46127</v>
      </c>
      <c r="C443" s="57" t="s">
        <v>12</v>
      </c>
      <c r="D443" s="57" t="s">
        <v>23</v>
      </c>
      <c r="F443" s="940"/>
      <c r="G443" s="42" t="s">
        <v>17</v>
      </c>
      <c r="H443" s="29" t="s">
        <v>106</v>
      </c>
      <c r="I443" s="29">
        <v>27</v>
      </c>
      <c r="J443" s="29">
        <v>7</v>
      </c>
      <c r="K443" s="29">
        <v>0</v>
      </c>
      <c r="L443" s="29">
        <f t="shared" si="109"/>
        <v>34</v>
      </c>
      <c r="M443" s="43"/>
    </row>
    <row r="444" spans="2:15" ht="15.75" hidden="1" x14ac:dyDescent="0.25">
      <c r="B444" s="10">
        <v>46127</v>
      </c>
      <c r="C444" s="57" t="s">
        <v>12</v>
      </c>
      <c r="D444" s="57" t="s">
        <v>23</v>
      </c>
      <c r="F444" s="940"/>
      <c r="G444" s="42" t="s">
        <v>25</v>
      </c>
      <c r="H444" s="29" t="s">
        <v>106</v>
      </c>
      <c r="I444" s="29">
        <v>14</v>
      </c>
      <c r="J444" s="29">
        <v>2</v>
      </c>
      <c r="K444" s="29">
        <v>0</v>
      </c>
      <c r="L444" s="29">
        <f t="shared" si="109"/>
        <v>16</v>
      </c>
      <c r="M444" s="43"/>
    </row>
    <row r="445" spans="2:15" ht="15.75" hidden="1" x14ac:dyDescent="0.2">
      <c r="B445" s="10">
        <v>46127</v>
      </c>
      <c r="C445" s="57" t="s">
        <v>12</v>
      </c>
      <c r="D445" s="57" t="s">
        <v>23</v>
      </c>
      <c r="F445" s="937" t="s">
        <v>40</v>
      </c>
      <c r="G445" s="937"/>
      <c r="H445" s="937"/>
      <c r="I445" s="8">
        <f>SUM(I440:I444)</f>
        <v>274</v>
      </c>
      <c r="J445" s="8">
        <f t="shared" ref="J445:L445" si="110">SUM(J440:J444)</f>
        <v>55</v>
      </c>
      <c r="K445" s="8">
        <f t="shared" si="110"/>
        <v>49</v>
      </c>
      <c r="L445" s="8">
        <f t="shared" si="110"/>
        <v>378</v>
      </c>
      <c r="M445" s="9"/>
      <c r="O445" s="8">
        <f>L445</f>
        <v>378</v>
      </c>
    </row>
    <row r="446" spans="2:15" ht="15.75" hidden="1" x14ac:dyDescent="0.25">
      <c r="B446" s="10">
        <v>46127</v>
      </c>
      <c r="C446" s="57" t="s">
        <v>18</v>
      </c>
      <c r="D446" s="57" t="s">
        <v>13</v>
      </c>
      <c r="F446" s="939">
        <v>46127</v>
      </c>
      <c r="G446" s="29" t="s">
        <v>16</v>
      </c>
      <c r="H446" s="29" t="s">
        <v>114</v>
      </c>
      <c r="I446" s="29">
        <v>62</v>
      </c>
      <c r="J446" s="29">
        <v>39</v>
      </c>
      <c r="K446" s="29">
        <v>0</v>
      </c>
      <c r="L446" s="29">
        <f t="shared" ref="L446:L451" si="111">+SUM(I446:K446)</f>
        <v>101</v>
      </c>
      <c r="M446" s="31"/>
    </row>
    <row r="447" spans="2:15" ht="15.75" hidden="1" x14ac:dyDescent="0.25">
      <c r="B447" s="10">
        <v>46127</v>
      </c>
      <c r="C447" s="57" t="s">
        <v>18</v>
      </c>
      <c r="D447" s="57" t="s">
        <v>13</v>
      </c>
      <c r="F447" s="940"/>
      <c r="G447" s="42" t="s">
        <v>84</v>
      </c>
      <c r="H447" s="29" t="s">
        <v>106</v>
      </c>
      <c r="I447" s="29">
        <v>0</v>
      </c>
      <c r="J447" s="29">
        <v>1</v>
      </c>
      <c r="K447" s="29">
        <v>18</v>
      </c>
      <c r="L447" s="29">
        <f t="shared" si="111"/>
        <v>19</v>
      </c>
      <c r="M447" s="43"/>
    </row>
    <row r="448" spans="2:15" ht="15.75" hidden="1" x14ac:dyDescent="0.25">
      <c r="B448" s="10">
        <v>46127</v>
      </c>
      <c r="C448" s="57" t="s">
        <v>18</v>
      </c>
      <c r="D448" s="57" t="s">
        <v>13</v>
      </c>
      <c r="F448" s="940"/>
      <c r="G448" s="42" t="s">
        <v>14</v>
      </c>
      <c r="H448" s="29" t="s">
        <v>105</v>
      </c>
      <c r="I448" s="29">
        <v>23</v>
      </c>
      <c r="J448" s="29">
        <v>3</v>
      </c>
      <c r="K448" s="29">
        <v>0</v>
      </c>
      <c r="L448" s="29">
        <f t="shared" si="111"/>
        <v>26</v>
      </c>
      <c r="M448" s="43"/>
    </row>
    <row r="449" spans="2:15" ht="15.75" hidden="1" x14ac:dyDescent="0.25">
      <c r="B449" s="10">
        <v>46127</v>
      </c>
      <c r="C449" s="57" t="s">
        <v>18</v>
      </c>
      <c r="D449" s="57" t="s">
        <v>13</v>
      </c>
      <c r="F449" s="940"/>
      <c r="G449" s="42" t="s">
        <v>17</v>
      </c>
      <c r="H449" s="29" t="s">
        <v>106</v>
      </c>
      <c r="I449" s="29">
        <v>161</v>
      </c>
      <c r="J449" s="29">
        <v>34</v>
      </c>
      <c r="K449" s="29">
        <v>0</v>
      </c>
      <c r="L449" s="29">
        <f t="shared" si="111"/>
        <v>195</v>
      </c>
      <c r="M449" s="43"/>
    </row>
    <row r="450" spans="2:15" ht="15.75" hidden="1" x14ac:dyDescent="0.25">
      <c r="B450" s="10">
        <v>46127</v>
      </c>
      <c r="C450" s="57" t="s">
        <v>18</v>
      </c>
      <c r="D450" s="57" t="s">
        <v>13</v>
      </c>
      <c r="F450" s="940"/>
      <c r="G450" s="42" t="s">
        <v>32</v>
      </c>
      <c r="H450" s="29" t="s">
        <v>106</v>
      </c>
      <c r="I450" s="29">
        <v>2</v>
      </c>
      <c r="J450" s="29">
        <v>0</v>
      </c>
      <c r="K450" s="29">
        <v>0</v>
      </c>
      <c r="L450" s="29">
        <f t="shared" si="111"/>
        <v>2</v>
      </c>
      <c r="M450" s="43"/>
    </row>
    <row r="451" spans="2:15" ht="15.75" hidden="1" x14ac:dyDescent="0.25">
      <c r="B451" s="10">
        <v>46127</v>
      </c>
      <c r="C451" s="57" t="s">
        <v>18</v>
      </c>
      <c r="D451" s="57" t="s">
        <v>13</v>
      </c>
      <c r="F451" s="940"/>
      <c r="G451" s="42" t="s">
        <v>25</v>
      </c>
      <c r="H451" s="29" t="s">
        <v>106</v>
      </c>
      <c r="I451" s="29">
        <v>5</v>
      </c>
      <c r="J451" s="29">
        <v>3</v>
      </c>
      <c r="K451" s="29">
        <v>0</v>
      </c>
      <c r="L451" s="29">
        <f t="shared" si="111"/>
        <v>8</v>
      </c>
      <c r="M451" s="43"/>
    </row>
    <row r="452" spans="2:15" ht="15.75" hidden="1" x14ac:dyDescent="0.2">
      <c r="B452" s="10">
        <v>46127</v>
      </c>
      <c r="C452" s="57" t="s">
        <v>18</v>
      </c>
      <c r="D452" s="57" t="s">
        <v>13</v>
      </c>
      <c r="F452" s="937" t="s">
        <v>40</v>
      </c>
      <c r="G452" s="937"/>
      <c r="H452" s="937"/>
      <c r="I452" s="8">
        <f>SUM(I446:I451)</f>
        <v>253</v>
      </c>
      <c r="J452" s="8">
        <f t="shared" ref="J452:L452" si="112">SUM(J446:J451)</f>
        <v>80</v>
      </c>
      <c r="K452" s="8">
        <f t="shared" si="112"/>
        <v>18</v>
      </c>
      <c r="L452" s="8">
        <f t="shared" si="112"/>
        <v>351</v>
      </c>
      <c r="M452" s="9"/>
      <c r="O452" s="8">
        <f>L452</f>
        <v>351</v>
      </c>
    </row>
    <row r="453" spans="2:15" ht="15.75" hidden="1" x14ac:dyDescent="0.25">
      <c r="B453" s="10">
        <v>46128</v>
      </c>
      <c r="C453" s="10" t="s">
        <v>22</v>
      </c>
      <c r="D453" s="10" t="s">
        <v>20</v>
      </c>
      <c r="F453" s="939">
        <v>46128</v>
      </c>
      <c r="G453" s="29" t="s">
        <v>16</v>
      </c>
      <c r="H453" s="29" t="s">
        <v>83</v>
      </c>
      <c r="I453" s="42">
        <v>65</v>
      </c>
      <c r="J453" s="42">
        <v>86</v>
      </c>
      <c r="K453" s="42">
        <v>0</v>
      </c>
      <c r="L453" s="42">
        <v>151</v>
      </c>
      <c r="M453" s="31"/>
    </row>
    <row r="454" spans="2:15" ht="15.75" hidden="1" x14ac:dyDescent="0.25">
      <c r="B454" s="10">
        <v>46128</v>
      </c>
      <c r="C454" s="10" t="s">
        <v>22</v>
      </c>
      <c r="D454" s="10" t="s">
        <v>20</v>
      </c>
      <c r="F454" s="940"/>
      <c r="G454" s="42" t="s">
        <v>32</v>
      </c>
      <c r="H454" s="29" t="s">
        <v>106</v>
      </c>
      <c r="I454" s="42">
        <v>91</v>
      </c>
      <c r="J454" s="42">
        <v>4</v>
      </c>
      <c r="K454" s="42">
        <v>0</v>
      </c>
      <c r="L454" s="42">
        <v>95</v>
      </c>
      <c r="M454" s="43"/>
    </row>
    <row r="455" spans="2:15" ht="15.75" hidden="1" x14ac:dyDescent="0.25">
      <c r="B455" s="10">
        <v>46128</v>
      </c>
      <c r="C455" s="10" t="s">
        <v>22</v>
      </c>
      <c r="D455" s="10" t="s">
        <v>20</v>
      </c>
      <c r="F455" s="940"/>
      <c r="G455" s="42" t="s">
        <v>17</v>
      </c>
      <c r="H455" s="29" t="s">
        <v>106</v>
      </c>
      <c r="I455" s="29">
        <v>5</v>
      </c>
      <c r="J455" s="29">
        <v>12</v>
      </c>
      <c r="K455" s="29">
        <v>0</v>
      </c>
      <c r="L455" s="29">
        <v>17</v>
      </c>
      <c r="M455" s="43"/>
    </row>
    <row r="456" spans="2:15" ht="15.75" hidden="1" x14ac:dyDescent="0.25">
      <c r="B456" s="10">
        <v>46128</v>
      </c>
      <c r="C456" s="10" t="s">
        <v>22</v>
      </c>
      <c r="D456" s="10" t="s">
        <v>20</v>
      </c>
      <c r="F456" s="940"/>
      <c r="G456" s="42" t="s">
        <v>25</v>
      </c>
      <c r="H456" s="29" t="s">
        <v>106</v>
      </c>
      <c r="I456" s="29">
        <v>2</v>
      </c>
      <c r="J456" s="29">
        <v>0</v>
      </c>
      <c r="K456" s="29">
        <v>9</v>
      </c>
      <c r="L456" s="29">
        <v>11</v>
      </c>
      <c r="M456" s="43"/>
    </row>
    <row r="457" spans="2:15" ht="15.75" hidden="1" x14ac:dyDescent="0.25">
      <c r="B457" s="10">
        <v>46128</v>
      </c>
      <c r="C457" s="10" t="s">
        <v>22</v>
      </c>
      <c r="D457" s="10" t="s">
        <v>20</v>
      </c>
      <c r="F457" s="940"/>
      <c r="G457" s="42" t="s">
        <v>14</v>
      </c>
      <c r="H457" s="29" t="s">
        <v>105</v>
      </c>
      <c r="I457" s="29">
        <v>10</v>
      </c>
      <c r="J457" s="29">
        <v>3</v>
      </c>
      <c r="K457" s="29">
        <v>82</v>
      </c>
      <c r="L457" s="29">
        <v>95</v>
      </c>
      <c r="M457" s="43"/>
    </row>
    <row r="458" spans="2:15" ht="15.75" hidden="1" x14ac:dyDescent="0.25">
      <c r="B458" s="10">
        <v>46128</v>
      </c>
      <c r="C458" s="10" t="s">
        <v>22</v>
      </c>
      <c r="D458" s="10" t="s">
        <v>20</v>
      </c>
      <c r="F458" s="937" t="s">
        <v>40</v>
      </c>
      <c r="G458" s="937"/>
      <c r="H458" s="937"/>
      <c r="I458" s="8">
        <f>SUM(I453:I457)</f>
        <v>173</v>
      </c>
      <c r="J458" s="8">
        <f t="shared" ref="J458:L458" si="113">SUM(J453:J457)</f>
        <v>105</v>
      </c>
      <c r="K458" s="8">
        <f t="shared" si="113"/>
        <v>91</v>
      </c>
      <c r="L458" s="8">
        <f t="shared" si="113"/>
        <v>369</v>
      </c>
      <c r="M458" s="43"/>
      <c r="O458" s="8">
        <f>L458</f>
        <v>369</v>
      </c>
    </row>
    <row r="459" spans="2:15" ht="15.75" hidden="1" x14ac:dyDescent="0.25">
      <c r="B459" s="10">
        <v>46128</v>
      </c>
      <c r="C459" s="57" t="s">
        <v>12</v>
      </c>
      <c r="D459" s="57" t="s">
        <v>23</v>
      </c>
      <c r="F459" s="940">
        <v>46128</v>
      </c>
      <c r="G459" s="29" t="s">
        <v>16</v>
      </c>
      <c r="H459" s="29" t="s">
        <v>83</v>
      </c>
      <c r="I459" s="29">
        <v>19</v>
      </c>
      <c r="J459" s="29">
        <v>15</v>
      </c>
      <c r="K459" s="29">
        <v>0</v>
      </c>
      <c r="L459" s="29">
        <f>+SUM(I459:K459)</f>
        <v>34</v>
      </c>
      <c r="M459" s="43"/>
    </row>
    <row r="460" spans="2:15" ht="15.75" hidden="1" x14ac:dyDescent="0.25">
      <c r="B460" s="10">
        <v>46128</v>
      </c>
      <c r="C460" s="57" t="s">
        <v>12</v>
      </c>
      <c r="D460" s="57" t="s">
        <v>23</v>
      </c>
      <c r="F460" s="940"/>
      <c r="G460" s="42" t="s">
        <v>17</v>
      </c>
      <c r="H460" s="29" t="s">
        <v>106</v>
      </c>
      <c r="I460" s="29">
        <v>23</v>
      </c>
      <c r="J460" s="29">
        <v>5</v>
      </c>
      <c r="K460" s="29">
        <v>94</v>
      </c>
      <c r="L460" s="29">
        <f t="shared" ref="L460:L462" si="114">+SUM(I460:K460)</f>
        <v>122</v>
      </c>
      <c r="M460" s="43"/>
    </row>
    <row r="461" spans="2:15" ht="15.75" hidden="1" x14ac:dyDescent="0.25">
      <c r="B461" s="10">
        <v>46128</v>
      </c>
      <c r="C461" s="57" t="s">
        <v>12</v>
      </c>
      <c r="D461" s="57" t="s">
        <v>23</v>
      </c>
      <c r="F461" s="940"/>
      <c r="G461" s="42" t="s">
        <v>25</v>
      </c>
      <c r="H461" s="29" t="s">
        <v>106</v>
      </c>
      <c r="I461" s="29">
        <v>7</v>
      </c>
      <c r="J461" s="29">
        <v>5</v>
      </c>
      <c r="K461" s="29">
        <v>13</v>
      </c>
      <c r="L461" s="29">
        <f t="shared" si="114"/>
        <v>25</v>
      </c>
      <c r="M461" s="43"/>
    </row>
    <row r="462" spans="2:15" ht="15.75" hidden="1" x14ac:dyDescent="0.25">
      <c r="B462" s="10">
        <v>46128</v>
      </c>
      <c r="C462" s="57" t="s">
        <v>12</v>
      </c>
      <c r="D462" s="57" t="s">
        <v>23</v>
      </c>
      <c r="F462" s="941"/>
      <c r="G462" s="42" t="s">
        <v>14</v>
      </c>
      <c r="H462" s="29" t="s">
        <v>105</v>
      </c>
      <c r="I462" s="29">
        <v>148</v>
      </c>
      <c r="J462" s="29">
        <v>55</v>
      </c>
      <c r="K462" s="29">
        <v>0</v>
      </c>
      <c r="L462" s="29">
        <f t="shared" si="114"/>
        <v>203</v>
      </c>
      <c r="M462" s="43"/>
    </row>
    <row r="463" spans="2:15" ht="15.75" hidden="1" x14ac:dyDescent="0.2">
      <c r="B463" s="10">
        <v>46128</v>
      </c>
      <c r="C463" s="57" t="s">
        <v>12</v>
      </c>
      <c r="D463" s="57" t="s">
        <v>23</v>
      </c>
      <c r="F463" s="937" t="s">
        <v>40</v>
      </c>
      <c r="G463" s="937"/>
      <c r="H463" s="937"/>
      <c r="I463" s="8">
        <f>SUM(I459:I462)</f>
        <v>197</v>
      </c>
      <c r="J463" s="8">
        <f t="shared" ref="J463:L463" si="115">SUM(J459:J462)</f>
        <v>80</v>
      </c>
      <c r="K463" s="8">
        <f t="shared" si="115"/>
        <v>107</v>
      </c>
      <c r="L463" s="8">
        <f t="shared" si="115"/>
        <v>384</v>
      </c>
      <c r="M463" s="9"/>
      <c r="O463" s="8">
        <f>L463</f>
        <v>384</v>
      </c>
    </row>
    <row r="464" spans="2:15" ht="15.75" hidden="1" x14ac:dyDescent="0.25">
      <c r="B464" s="10">
        <v>46128</v>
      </c>
      <c r="C464" s="57" t="s">
        <v>18</v>
      </c>
      <c r="D464" s="57" t="s">
        <v>13</v>
      </c>
      <c r="F464" s="976">
        <v>46128</v>
      </c>
      <c r="G464" s="60" t="s">
        <v>16</v>
      </c>
      <c r="H464" s="60" t="s">
        <v>83</v>
      </c>
      <c r="I464" s="60">
        <v>24</v>
      </c>
      <c r="J464" s="60">
        <v>3</v>
      </c>
      <c r="K464" s="60">
        <v>0</v>
      </c>
      <c r="L464" s="60">
        <f t="shared" ref="L464:L466" si="116">+SUM(I464:K464)</f>
        <v>27</v>
      </c>
      <c r="M464" s="61"/>
    </row>
    <row r="465" spans="2:15" ht="15.75" hidden="1" x14ac:dyDescent="0.25">
      <c r="B465" s="10">
        <v>46128</v>
      </c>
      <c r="C465" s="57" t="s">
        <v>18</v>
      </c>
      <c r="D465" s="57" t="s">
        <v>13</v>
      </c>
      <c r="F465" s="977"/>
      <c r="G465" s="62" t="s">
        <v>25</v>
      </c>
      <c r="H465" s="60" t="s">
        <v>105</v>
      </c>
      <c r="I465" s="60">
        <v>9</v>
      </c>
      <c r="J465" s="60">
        <v>4</v>
      </c>
      <c r="K465" s="60">
        <v>2</v>
      </c>
      <c r="L465" s="60">
        <f t="shared" si="116"/>
        <v>15</v>
      </c>
      <c r="M465" s="63"/>
    </row>
    <row r="466" spans="2:15" ht="15.75" hidden="1" x14ac:dyDescent="0.25">
      <c r="B466" s="10">
        <v>46128</v>
      </c>
      <c r="C466" s="57" t="s">
        <v>18</v>
      </c>
      <c r="D466" s="57" t="s">
        <v>13</v>
      </c>
      <c r="F466" s="978"/>
      <c r="G466" s="62" t="s">
        <v>14</v>
      </c>
      <c r="H466" s="60" t="s">
        <v>105</v>
      </c>
      <c r="I466" s="60">
        <v>9</v>
      </c>
      <c r="J466" s="60">
        <v>1</v>
      </c>
      <c r="K466" s="60">
        <v>0</v>
      </c>
      <c r="L466" s="60">
        <f t="shared" si="116"/>
        <v>10</v>
      </c>
      <c r="M466" s="63"/>
    </row>
    <row r="467" spans="2:15" ht="15.75" hidden="1" x14ac:dyDescent="0.25">
      <c r="B467" s="10">
        <v>46128</v>
      </c>
      <c r="C467" s="57" t="s">
        <v>18</v>
      </c>
      <c r="D467" s="57" t="s">
        <v>13</v>
      </c>
      <c r="F467" s="976">
        <v>46129</v>
      </c>
      <c r="G467" s="62" t="s">
        <v>16</v>
      </c>
      <c r="H467" s="60" t="s">
        <v>83</v>
      </c>
      <c r="I467" s="60">
        <v>44</v>
      </c>
      <c r="J467" s="60">
        <v>39</v>
      </c>
      <c r="K467" s="60">
        <v>0</v>
      </c>
      <c r="L467" s="60">
        <f>+SUM(I467:K467)</f>
        <v>83</v>
      </c>
      <c r="M467" s="63"/>
    </row>
    <row r="468" spans="2:15" ht="15.75" hidden="1" x14ac:dyDescent="0.25">
      <c r="B468" s="10">
        <v>46128</v>
      </c>
      <c r="C468" s="57" t="s">
        <v>18</v>
      </c>
      <c r="D468" s="57" t="s">
        <v>13</v>
      </c>
      <c r="F468" s="978"/>
      <c r="G468" s="62" t="s">
        <v>17</v>
      </c>
      <c r="H468" s="60" t="s">
        <v>106</v>
      </c>
      <c r="I468" s="60">
        <v>131</v>
      </c>
      <c r="J468" s="60">
        <v>41</v>
      </c>
      <c r="K468" s="60">
        <v>12</v>
      </c>
      <c r="L468" s="60">
        <f>+SUM(I468:K468)</f>
        <v>184</v>
      </c>
      <c r="M468" s="63"/>
    </row>
    <row r="469" spans="2:15" ht="15.75" hidden="1" x14ac:dyDescent="0.25">
      <c r="B469" s="10">
        <v>46128</v>
      </c>
      <c r="C469" s="57" t="s">
        <v>18</v>
      </c>
      <c r="D469" s="57" t="s">
        <v>13</v>
      </c>
      <c r="F469" s="937" t="s">
        <v>40</v>
      </c>
      <c r="G469" s="937"/>
      <c r="H469" s="937"/>
      <c r="I469" s="8">
        <f>SUM(I464:I468)</f>
        <v>217</v>
      </c>
      <c r="J469" s="8">
        <f t="shared" ref="J469:K469" si="117">SUM(J464:J468)</f>
        <v>88</v>
      </c>
      <c r="K469" s="8">
        <f t="shared" si="117"/>
        <v>14</v>
      </c>
      <c r="L469" s="8">
        <f>SUM(I469:K469)</f>
        <v>319</v>
      </c>
      <c r="M469" s="63"/>
      <c r="O469" s="8">
        <f>L469</f>
        <v>319</v>
      </c>
    </row>
    <row r="470" spans="2:15" ht="15.75" hidden="1" x14ac:dyDescent="0.25">
      <c r="B470" s="10">
        <v>46129</v>
      </c>
      <c r="C470" s="10" t="s">
        <v>22</v>
      </c>
      <c r="D470" s="10" t="s">
        <v>20</v>
      </c>
      <c r="F470" s="939">
        <v>46129</v>
      </c>
      <c r="G470" s="29" t="s">
        <v>16</v>
      </c>
      <c r="H470" s="29" t="s">
        <v>83</v>
      </c>
      <c r="I470" s="42">
        <v>84</v>
      </c>
      <c r="J470" s="42">
        <v>58</v>
      </c>
      <c r="K470" s="42">
        <v>0</v>
      </c>
      <c r="L470" s="66">
        <f>SUM(I470:K470)</f>
        <v>142</v>
      </c>
      <c r="M470" s="31"/>
    </row>
    <row r="471" spans="2:15" ht="15.75" hidden="1" x14ac:dyDescent="0.25">
      <c r="B471" s="10">
        <v>46129</v>
      </c>
      <c r="C471" s="10" t="s">
        <v>22</v>
      </c>
      <c r="D471" s="10" t="s">
        <v>20</v>
      </c>
      <c r="F471" s="940"/>
      <c r="G471" s="42" t="s">
        <v>32</v>
      </c>
      <c r="H471" s="29" t="s">
        <v>106</v>
      </c>
      <c r="I471" s="42">
        <v>23</v>
      </c>
      <c r="J471" s="42">
        <v>2</v>
      </c>
      <c r="K471" s="42">
        <v>0</v>
      </c>
      <c r="L471" s="66">
        <f t="shared" ref="L471:L474" si="118">SUM(I471:K471)</f>
        <v>25</v>
      </c>
      <c r="M471" s="43"/>
    </row>
    <row r="472" spans="2:15" ht="15.75" hidden="1" x14ac:dyDescent="0.25">
      <c r="B472" s="10">
        <v>46129</v>
      </c>
      <c r="C472" s="10" t="s">
        <v>22</v>
      </c>
      <c r="D472" s="10" t="s">
        <v>20</v>
      </c>
      <c r="F472" s="940"/>
      <c r="G472" s="42" t="s">
        <v>17</v>
      </c>
      <c r="H472" s="29" t="s">
        <v>106</v>
      </c>
      <c r="I472" s="29">
        <v>21</v>
      </c>
      <c r="J472" s="29">
        <v>14</v>
      </c>
      <c r="K472" s="29">
        <v>9</v>
      </c>
      <c r="L472" s="66">
        <f t="shared" si="118"/>
        <v>44</v>
      </c>
      <c r="M472" s="43"/>
    </row>
    <row r="473" spans="2:15" ht="15.75" hidden="1" x14ac:dyDescent="0.25">
      <c r="B473" s="10">
        <v>46129</v>
      </c>
      <c r="C473" s="10" t="s">
        <v>22</v>
      </c>
      <c r="D473" s="10" t="s">
        <v>20</v>
      </c>
      <c r="F473" s="940"/>
      <c r="G473" s="42" t="s">
        <v>25</v>
      </c>
      <c r="H473" s="29" t="s">
        <v>106</v>
      </c>
      <c r="I473" s="29">
        <v>1</v>
      </c>
      <c r="J473" s="29">
        <v>1</v>
      </c>
      <c r="K473" s="29">
        <v>3</v>
      </c>
      <c r="L473" s="66">
        <f t="shared" si="118"/>
        <v>5</v>
      </c>
      <c r="M473" s="43"/>
    </row>
    <row r="474" spans="2:15" ht="15.75" hidden="1" x14ac:dyDescent="0.25">
      <c r="B474" s="10">
        <v>46129</v>
      </c>
      <c r="C474" s="10" t="s">
        <v>22</v>
      </c>
      <c r="D474" s="10" t="s">
        <v>20</v>
      </c>
      <c r="F474" s="940"/>
      <c r="G474" s="42" t="s">
        <v>14</v>
      </c>
      <c r="H474" s="29" t="s">
        <v>105</v>
      </c>
      <c r="I474" s="29">
        <v>8</v>
      </c>
      <c r="J474" s="29">
        <v>2</v>
      </c>
      <c r="K474" s="29">
        <v>104</v>
      </c>
      <c r="L474" s="66">
        <f t="shared" si="118"/>
        <v>114</v>
      </c>
      <c r="M474" s="43"/>
    </row>
    <row r="475" spans="2:15" ht="15.75" hidden="1" x14ac:dyDescent="0.25">
      <c r="B475" s="10">
        <v>46129</v>
      </c>
      <c r="C475" s="10" t="s">
        <v>22</v>
      </c>
      <c r="D475" s="10" t="s">
        <v>20</v>
      </c>
      <c r="F475" s="937" t="s">
        <v>40</v>
      </c>
      <c r="G475" s="937"/>
      <c r="H475" s="937"/>
      <c r="I475" s="8">
        <f>SUM(I470:I474)</f>
        <v>137</v>
      </c>
      <c r="J475" s="8">
        <f t="shared" ref="J475:K475" si="119">SUM(J470:J474)</f>
        <v>77</v>
      </c>
      <c r="K475" s="8">
        <f t="shared" si="119"/>
        <v>116</v>
      </c>
      <c r="L475" s="8">
        <f>SUM(I475:K475)</f>
        <v>330</v>
      </c>
      <c r="M475" s="31"/>
      <c r="O475" s="8">
        <f>L475</f>
        <v>330</v>
      </c>
    </row>
    <row r="476" spans="2:15" ht="15.75" hidden="1" x14ac:dyDescent="0.25">
      <c r="B476" s="10">
        <v>46129</v>
      </c>
      <c r="C476" s="57" t="s">
        <v>12</v>
      </c>
      <c r="D476" s="57" t="s">
        <v>23</v>
      </c>
      <c r="F476" s="940">
        <v>46129</v>
      </c>
      <c r="G476" s="29" t="s">
        <v>16</v>
      </c>
      <c r="H476" s="29" t="s">
        <v>83</v>
      </c>
      <c r="I476" s="29">
        <v>20</v>
      </c>
      <c r="J476" s="29">
        <v>4</v>
      </c>
      <c r="K476" s="29">
        <v>0</v>
      </c>
      <c r="L476" s="29">
        <f>+SUM(I476:K476)</f>
        <v>24</v>
      </c>
      <c r="M476" s="43"/>
    </row>
    <row r="477" spans="2:15" ht="15.75" hidden="1" x14ac:dyDescent="0.25">
      <c r="B477" s="10">
        <v>46129</v>
      </c>
      <c r="C477" s="57" t="s">
        <v>12</v>
      </c>
      <c r="D477" s="57" t="s">
        <v>23</v>
      </c>
      <c r="F477" s="940"/>
      <c r="G477" s="42" t="s">
        <v>17</v>
      </c>
      <c r="H477" s="29" t="s">
        <v>106</v>
      </c>
      <c r="I477" s="29">
        <v>49</v>
      </c>
      <c r="J477" s="29">
        <v>3</v>
      </c>
      <c r="K477" s="29">
        <v>116</v>
      </c>
      <c r="L477" s="29">
        <f t="shared" ref="L477:L478" si="120">+SUM(I477:K477)</f>
        <v>168</v>
      </c>
      <c r="M477" s="43"/>
    </row>
    <row r="478" spans="2:15" ht="15.75" hidden="1" x14ac:dyDescent="0.25">
      <c r="B478" s="10">
        <v>46129</v>
      </c>
      <c r="C478" s="57" t="s">
        <v>12</v>
      </c>
      <c r="D478" s="57" t="s">
        <v>23</v>
      </c>
      <c r="F478" s="941"/>
      <c r="G478" s="42" t="s">
        <v>14</v>
      </c>
      <c r="H478" s="29" t="s">
        <v>105</v>
      </c>
      <c r="I478" s="29">
        <v>132</v>
      </c>
      <c r="J478" s="29">
        <v>47</v>
      </c>
      <c r="K478" s="29">
        <v>0</v>
      </c>
      <c r="L478" s="29">
        <f t="shared" si="120"/>
        <v>179</v>
      </c>
      <c r="M478" s="43"/>
    </row>
    <row r="479" spans="2:15" ht="15.75" hidden="1" x14ac:dyDescent="0.2">
      <c r="B479" s="10">
        <v>46129</v>
      </c>
      <c r="C479" s="57" t="s">
        <v>12</v>
      </c>
      <c r="D479" s="57" t="s">
        <v>23</v>
      </c>
      <c r="F479" s="937" t="s">
        <v>40</v>
      </c>
      <c r="G479" s="937"/>
      <c r="H479" s="937"/>
      <c r="I479" s="8">
        <f>SUM(I476:I478)</f>
        <v>201</v>
      </c>
      <c r="J479" s="8">
        <f>SUM(J476:J478)</f>
        <v>54</v>
      </c>
      <c r="K479" s="8">
        <f>SUM(K476:K478)</f>
        <v>116</v>
      </c>
      <c r="L479" s="8">
        <f>SUM(L476:L478)</f>
        <v>371</v>
      </c>
      <c r="M479" s="9"/>
      <c r="O479" s="8">
        <f>L479</f>
        <v>371</v>
      </c>
    </row>
    <row r="480" spans="2:15" ht="15.75" hidden="1" x14ac:dyDescent="0.25">
      <c r="B480" s="10">
        <v>46129</v>
      </c>
      <c r="C480" s="57" t="s">
        <v>18</v>
      </c>
      <c r="D480" s="57" t="s">
        <v>13</v>
      </c>
      <c r="F480" s="940">
        <v>46129</v>
      </c>
      <c r="G480" s="29" t="s">
        <v>16</v>
      </c>
      <c r="H480" s="29" t="s">
        <v>83</v>
      </c>
      <c r="I480" s="29">
        <v>93</v>
      </c>
      <c r="J480" s="29">
        <v>83</v>
      </c>
      <c r="K480" s="29">
        <v>0</v>
      </c>
      <c r="L480" s="29">
        <f>+SUM(I480:K480)</f>
        <v>176</v>
      </c>
      <c r="M480" s="43"/>
    </row>
    <row r="481" spans="2:15" ht="15.75" hidden="1" x14ac:dyDescent="0.25">
      <c r="B481" s="10">
        <v>46129</v>
      </c>
      <c r="C481" s="57" t="s">
        <v>18</v>
      </c>
      <c r="D481" s="57" t="s">
        <v>13</v>
      </c>
      <c r="F481" s="940"/>
      <c r="G481" s="42" t="s">
        <v>17</v>
      </c>
      <c r="H481" s="29" t="s">
        <v>106</v>
      </c>
      <c r="I481" s="29">
        <v>105</v>
      </c>
      <c r="J481" s="29">
        <v>37</v>
      </c>
      <c r="K481" s="29">
        <v>0</v>
      </c>
      <c r="L481" s="29">
        <f t="shared" ref="L481:L484" si="121">+SUM(I481:K481)</f>
        <v>142</v>
      </c>
      <c r="M481" s="43"/>
    </row>
    <row r="482" spans="2:15" ht="15.75" hidden="1" x14ac:dyDescent="0.25">
      <c r="B482" s="10">
        <v>46129</v>
      </c>
      <c r="C482" s="57" t="s">
        <v>18</v>
      </c>
      <c r="D482" s="57" t="s">
        <v>13</v>
      </c>
      <c r="F482" s="940"/>
      <c r="G482" s="42" t="s">
        <v>25</v>
      </c>
      <c r="H482" s="29" t="s">
        <v>105</v>
      </c>
      <c r="I482" s="29">
        <v>4</v>
      </c>
      <c r="J482" s="29">
        <v>0</v>
      </c>
      <c r="K482" s="29">
        <v>0</v>
      </c>
      <c r="L482" s="29">
        <f t="shared" si="121"/>
        <v>4</v>
      </c>
      <c r="M482" s="43"/>
    </row>
    <row r="483" spans="2:15" ht="15.75" hidden="1" x14ac:dyDescent="0.25">
      <c r="B483" s="10">
        <v>46129</v>
      </c>
      <c r="C483" s="57" t="s">
        <v>18</v>
      </c>
      <c r="D483" s="57" t="s">
        <v>13</v>
      </c>
      <c r="F483" s="940"/>
      <c r="G483" s="42" t="s">
        <v>26</v>
      </c>
      <c r="H483" s="29" t="s">
        <v>18</v>
      </c>
      <c r="I483" s="29">
        <v>3</v>
      </c>
      <c r="J483" s="29">
        <v>0</v>
      </c>
      <c r="K483" s="29">
        <v>0</v>
      </c>
      <c r="L483" s="29">
        <f t="shared" si="121"/>
        <v>3</v>
      </c>
      <c r="M483" s="43"/>
    </row>
    <row r="484" spans="2:15" ht="15.75" hidden="1" x14ac:dyDescent="0.25">
      <c r="B484" s="10">
        <v>46129</v>
      </c>
      <c r="C484" s="57" t="s">
        <v>18</v>
      </c>
      <c r="D484" s="57" t="s">
        <v>13</v>
      </c>
      <c r="F484" s="941"/>
      <c r="G484" s="42" t="s">
        <v>14</v>
      </c>
      <c r="H484" s="29" t="s">
        <v>105</v>
      </c>
      <c r="I484" s="29">
        <v>2</v>
      </c>
      <c r="J484" s="29">
        <v>3</v>
      </c>
      <c r="K484" s="29">
        <v>0</v>
      </c>
      <c r="L484" s="29">
        <f t="shared" si="121"/>
        <v>5</v>
      </c>
      <c r="M484" s="43"/>
    </row>
    <row r="485" spans="2:15" ht="15.75" hidden="1" x14ac:dyDescent="0.2">
      <c r="B485" s="10">
        <v>46129</v>
      </c>
      <c r="C485" s="57" t="s">
        <v>18</v>
      </c>
      <c r="D485" s="57" t="s">
        <v>13</v>
      </c>
      <c r="F485" s="937" t="s">
        <v>40</v>
      </c>
      <c r="G485" s="937"/>
      <c r="H485" s="937"/>
      <c r="I485" s="8">
        <f>SUM(I480:I484)</f>
        <v>207</v>
      </c>
      <c r="J485" s="8">
        <f>SUM(J480:J484)</f>
        <v>123</v>
      </c>
      <c r="K485" s="8">
        <f>SUM(K480:K484)</f>
        <v>0</v>
      </c>
      <c r="L485" s="8">
        <f>SUM(L480:L484)</f>
        <v>330</v>
      </c>
      <c r="M485" s="9"/>
      <c r="O485" s="8">
        <f>L485</f>
        <v>330</v>
      </c>
    </row>
    <row r="486" spans="2:15" ht="15.75" hidden="1" x14ac:dyDescent="0.25">
      <c r="B486" s="10">
        <v>46130</v>
      </c>
      <c r="C486" s="10" t="s">
        <v>22</v>
      </c>
      <c r="D486" s="10" t="s">
        <v>20</v>
      </c>
      <c r="F486" s="942">
        <v>46130</v>
      </c>
      <c r="G486" s="29" t="s">
        <v>16</v>
      </c>
      <c r="H486" s="29" t="s">
        <v>83</v>
      </c>
      <c r="I486" s="42">
        <v>27</v>
      </c>
      <c r="J486" s="42">
        <v>36</v>
      </c>
      <c r="K486" s="42">
        <v>0</v>
      </c>
      <c r="L486" s="66">
        <f>SUM(I486:K486)</f>
        <v>63</v>
      </c>
      <c r="M486" s="31"/>
    </row>
    <row r="487" spans="2:15" ht="15.75" hidden="1" x14ac:dyDescent="0.25">
      <c r="B487" s="10">
        <v>46130</v>
      </c>
      <c r="C487" s="10" t="s">
        <v>22</v>
      </c>
      <c r="D487" s="10" t="s">
        <v>20</v>
      </c>
      <c r="F487" s="942"/>
      <c r="G487" s="42" t="s">
        <v>32</v>
      </c>
      <c r="H487" s="29" t="s">
        <v>106</v>
      </c>
      <c r="I487" s="42">
        <v>23</v>
      </c>
      <c r="J487" s="42">
        <v>4</v>
      </c>
      <c r="K487" s="42">
        <v>0</v>
      </c>
      <c r="L487" s="66">
        <f t="shared" ref="L487:L490" si="122">SUM(I487:K487)</f>
        <v>27</v>
      </c>
      <c r="M487" s="43"/>
    </row>
    <row r="488" spans="2:15" ht="15.75" hidden="1" x14ac:dyDescent="0.25">
      <c r="B488" s="10">
        <v>46130</v>
      </c>
      <c r="C488" s="10" t="s">
        <v>22</v>
      </c>
      <c r="D488" s="10" t="s">
        <v>20</v>
      </c>
      <c r="F488" s="942"/>
      <c r="G488" s="42" t="s">
        <v>17</v>
      </c>
      <c r="H488" s="29" t="s">
        <v>106</v>
      </c>
      <c r="I488" s="29">
        <v>10</v>
      </c>
      <c r="J488" s="29">
        <v>9</v>
      </c>
      <c r="K488" s="29">
        <v>0</v>
      </c>
      <c r="L488" s="66">
        <f t="shared" si="122"/>
        <v>19</v>
      </c>
      <c r="M488" s="43"/>
    </row>
    <row r="489" spans="2:15" ht="15.75" hidden="1" x14ac:dyDescent="0.25">
      <c r="B489" s="10">
        <v>46130</v>
      </c>
      <c r="C489" s="10" t="s">
        <v>22</v>
      </c>
      <c r="D489" s="10" t="s">
        <v>20</v>
      </c>
      <c r="F489" s="942"/>
      <c r="G489" s="42" t="s">
        <v>14</v>
      </c>
      <c r="H489" s="29" t="s">
        <v>106</v>
      </c>
      <c r="I489" s="29">
        <v>13</v>
      </c>
      <c r="J489" s="29">
        <v>3</v>
      </c>
      <c r="K489" s="29">
        <v>136</v>
      </c>
      <c r="L489" s="66">
        <f t="shared" si="122"/>
        <v>152</v>
      </c>
      <c r="M489" s="43"/>
    </row>
    <row r="490" spans="2:15" ht="15.75" hidden="1" x14ac:dyDescent="0.25">
      <c r="B490" s="10">
        <v>46130</v>
      </c>
      <c r="C490" s="10" t="s">
        <v>22</v>
      </c>
      <c r="D490" s="10" t="s">
        <v>20</v>
      </c>
      <c r="F490" s="67">
        <v>46132</v>
      </c>
      <c r="G490" s="68" t="s">
        <v>84</v>
      </c>
      <c r="H490" s="69" t="s">
        <v>106</v>
      </c>
      <c r="I490" s="69">
        <v>0</v>
      </c>
      <c r="J490" s="69">
        <v>0</v>
      </c>
      <c r="K490" s="69">
        <v>36</v>
      </c>
      <c r="L490" s="66">
        <f t="shared" si="122"/>
        <v>36</v>
      </c>
      <c r="M490" s="43"/>
    </row>
    <row r="491" spans="2:15" ht="15.75" hidden="1" x14ac:dyDescent="0.25">
      <c r="B491" s="10">
        <v>46130</v>
      </c>
      <c r="C491" s="10" t="s">
        <v>22</v>
      </c>
      <c r="D491" s="10" t="s">
        <v>20</v>
      </c>
      <c r="F491" s="937" t="s">
        <v>40</v>
      </c>
      <c r="G491" s="937"/>
      <c r="H491" s="937"/>
      <c r="I491" s="8">
        <f>SUM(I486:I490)</f>
        <v>73</v>
      </c>
      <c r="J491" s="8">
        <f>SUM(J486:J490)</f>
        <v>52</v>
      </c>
      <c r="K491" s="8">
        <f>SUM(K486:K490)</f>
        <v>172</v>
      </c>
      <c r="L491" s="8">
        <f>SUM(I491:K491)</f>
        <v>297</v>
      </c>
      <c r="M491" s="31"/>
      <c r="O491" s="8">
        <f>L491</f>
        <v>297</v>
      </c>
    </row>
    <row r="492" spans="2:15" ht="15.75" hidden="1" x14ac:dyDescent="0.25">
      <c r="B492" s="10">
        <v>46130</v>
      </c>
      <c r="C492" s="10" t="s">
        <v>12</v>
      </c>
      <c r="D492" s="10" t="s">
        <v>23</v>
      </c>
      <c r="F492" s="942">
        <v>46130</v>
      </c>
      <c r="G492" s="29" t="s">
        <v>16</v>
      </c>
      <c r="H492" s="29" t="s">
        <v>83</v>
      </c>
      <c r="I492" s="42">
        <v>2</v>
      </c>
      <c r="J492" s="42">
        <v>17</v>
      </c>
      <c r="K492" s="42">
        <v>165</v>
      </c>
      <c r="L492" s="66">
        <f>SUM(I492:K492)</f>
        <v>184</v>
      </c>
      <c r="M492" s="31"/>
    </row>
    <row r="493" spans="2:15" ht="15.75" hidden="1" x14ac:dyDescent="0.25">
      <c r="B493" s="10">
        <v>46130</v>
      </c>
      <c r="C493" s="10" t="s">
        <v>12</v>
      </c>
      <c r="D493" s="10" t="s">
        <v>23</v>
      </c>
      <c r="F493" s="942"/>
      <c r="G493" s="42" t="s">
        <v>17</v>
      </c>
      <c r="H493" s="29" t="s">
        <v>106</v>
      </c>
      <c r="I493" s="29">
        <v>6</v>
      </c>
      <c r="J493" s="29">
        <v>20</v>
      </c>
      <c r="K493" s="29">
        <v>0</v>
      </c>
      <c r="L493" s="66">
        <f t="shared" ref="L493:L495" si="123">SUM(I493:K493)</f>
        <v>26</v>
      </c>
      <c r="M493" s="43"/>
    </row>
    <row r="494" spans="2:15" ht="15.75" hidden="1" x14ac:dyDescent="0.25">
      <c r="B494" s="10">
        <v>46130</v>
      </c>
      <c r="C494" s="10" t="s">
        <v>12</v>
      </c>
      <c r="D494" s="10" t="s">
        <v>23</v>
      </c>
      <c r="F494" s="942"/>
      <c r="G494" s="42" t="s">
        <v>32</v>
      </c>
      <c r="H494" s="29" t="s">
        <v>106</v>
      </c>
      <c r="I494" s="29">
        <v>10</v>
      </c>
      <c r="J494" s="29">
        <v>4</v>
      </c>
      <c r="K494" s="29">
        <v>0</v>
      </c>
      <c r="L494" s="66">
        <f t="shared" si="123"/>
        <v>14</v>
      </c>
      <c r="M494" s="43"/>
    </row>
    <row r="495" spans="2:15" ht="15.75" hidden="1" x14ac:dyDescent="0.25">
      <c r="B495" s="10">
        <v>46130</v>
      </c>
      <c r="C495" s="10" t="s">
        <v>12</v>
      </c>
      <c r="D495" s="10" t="s">
        <v>23</v>
      </c>
      <c r="F495" s="942"/>
      <c r="G495" s="42" t="s">
        <v>14</v>
      </c>
      <c r="H495" s="29" t="s">
        <v>105</v>
      </c>
      <c r="I495" s="29">
        <v>114</v>
      </c>
      <c r="J495" s="29">
        <v>34</v>
      </c>
      <c r="K495" s="29">
        <v>0</v>
      </c>
      <c r="L495" s="66">
        <f t="shared" si="123"/>
        <v>148</v>
      </c>
      <c r="M495" s="43"/>
    </row>
    <row r="496" spans="2:15" ht="15.75" hidden="1" x14ac:dyDescent="0.25">
      <c r="B496" s="10">
        <v>46130</v>
      </c>
      <c r="C496" s="10" t="s">
        <v>12</v>
      </c>
      <c r="D496" s="10" t="s">
        <v>23</v>
      </c>
      <c r="F496" s="937" t="s">
        <v>40</v>
      </c>
      <c r="G496" s="937"/>
      <c r="H496" s="937"/>
      <c r="I496" s="8">
        <f>SUM(I492:I495)</f>
        <v>132</v>
      </c>
      <c r="J496" s="8">
        <f t="shared" ref="J496:K496" si="124">SUM(J492:J495)</f>
        <v>75</v>
      </c>
      <c r="K496" s="8">
        <f t="shared" si="124"/>
        <v>165</v>
      </c>
      <c r="L496" s="8">
        <f>SUM(I496:K496)</f>
        <v>372</v>
      </c>
      <c r="M496" s="70"/>
      <c r="O496" s="8">
        <f>L496</f>
        <v>372</v>
      </c>
    </row>
    <row r="497" spans="2:15" ht="15.75" hidden="1" x14ac:dyDescent="0.25">
      <c r="B497" s="10">
        <v>46130</v>
      </c>
      <c r="C497" s="10" t="s">
        <v>18</v>
      </c>
      <c r="D497" s="10" t="s">
        <v>13</v>
      </c>
      <c r="F497" s="942">
        <v>46130</v>
      </c>
      <c r="G497" s="29" t="s">
        <v>16</v>
      </c>
      <c r="H497" s="29" t="s">
        <v>83</v>
      </c>
      <c r="I497" s="42">
        <v>115</v>
      </c>
      <c r="J497" s="42">
        <v>81</v>
      </c>
      <c r="K497" s="42">
        <v>0</v>
      </c>
      <c r="L497" s="66">
        <f>SUM(I497:K497)</f>
        <v>196</v>
      </c>
      <c r="M497" s="31"/>
    </row>
    <row r="498" spans="2:15" ht="15.75" hidden="1" x14ac:dyDescent="0.25">
      <c r="B498" s="10">
        <v>46130</v>
      </c>
      <c r="C498" s="10" t="s">
        <v>18</v>
      </c>
      <c r="D498" s="10" t="s">
        <v>13</v>
      </c>
      <c r="F498" s="942"/>
      <c r="G498" s="42" t="s">
        <v>17</v>
      </c>
      <c r="H498" s="29" t="s">
        <v>106</v>
      </c>
      <c r="I498" s="42">
        <v>104</v>
      </c>
      <c r="J498" s="42">
        <v>29</v>
      </c>
      <c r="K498" s="42">
        <v>0</v>
      </c>
      <c r="L498" s="66">
        <f t="shared" ref="L498:L500" si="125">SUM(I498:K498)</f>
        <v>133</v>
      </c>
      <c r="M498" s="43"/>
    </row>
    <row r="499" spans="2:15" ht="15.75" hidden="1" x14ac:dyDescent="0.25">
      <c r="B499" s="10">
        <v>46130</v>
      </c>
      <c r="C499" s="10" t="s">
        <v>18</v>
      </c>
      <c r="D499" s="10" t="s">
        <v>13</v>
      </c>
      <c r="F499" s="942"/>
      <c r="G499" s="42" t="s">
        <v>26</v>
      </c>
      <c r="H499" s="29" t="s">
        <v>106</v>
      </c>
      <c r="I499" s="42">
        <v>2</v>
      </c>
      <c r="J499" s="42">
        <v>0</v>
      </c>
      <c r="K499" s="42">
        <v>0</v>
      </c>
      <c r="L499" s="66">
        <f t="shared" si="125"/>
        <v>2</v>
      </c>
      <c r="M499" s="43"/>
    </row>
    <row r="500" spans="2:15" ht="15.75" hidden="1" x14ac:dyDescent="0.25">
      <c r="B500" s="10">
        <v>46130</v>
      </c>
      <c r="C500" s="10" t="s">
        <v>18</v>
      </c>
      <c r="D500" s="10" t="s">
        <v>13</v>
      </c>
      <c r="F500" s="942"/>
      <c r="G500" s="42" t="s">
        <v>14</v>
      </c>
      <c r="H500" s="29" t="s">
        <v>105</v>
      </c>
      <c r="I500" s="42">
        <v>1</v>
      </c>
      <c r="J500" s="42">
        <v>0</v>
      </c>
      <c r="K500" s="42">
        <v>0</v>
      </c>
      <c r="L500" s="66">
        <f t="shared" si="125"/>
        <v>1</v>
      </c>
      <c r="M500" s="43"/>
    </row>
    <row r="501" spans="2:15" ht="15.75" hidden="1" x14ac:dyDescent="0.25">
      <c r="B501" s="10">
        <v>46130</v>
      </c>
      <c r="C501" s="10" t="s">
        <v>18</v>
      </c>
      <c r="D501" s="10" t="s">
        <v>13</v>
      </c>
      <c r="F501" s="937" t="s">
        <v>40</v>
      </c>
      <c r="G501" s="937"/>
      <c r="H501" s="937"/>
      <c r="I501" s="8">
        <f>SUM(I497:I500)</f>
        <v>222</v>
      </c>
      <c r="J501" s="8">
        <f t="shared" ref="J501:K501" si="126">SUM(J497:J500)</f>
        <v>110</v>
      </c>
      <c r="K501" s="8">
        <f t="shared" si="126"/>
        <v>0</v>
      </c>
      <c r="L501" s="8">
        <f>SUM(I501:K501)</f>
        <v>332</v>
      </c>
      <c r="M501" s="70"/>
    </row>
    <row r="502" spans="2:15" ht="15.75" hidden="1" x14ac:dyDescent="0.25">
      <c r="B502" s="10">
        <v>46131</v>
      </c>
      <c r="C502" s="10" t="s">
        <v>22</v>
      </c>
      <c r="D502" s="10" t="s">
        <v>20</v>
      </c>
      <c r="F502" s="939">
        <v>46131</v>
      </c>
      <c r="G502" s="29" t="s">
        <v>16</v>
      </c>
      <c r="H502" s="29" t="s">
        <v>83</v>
      </c>
      <c r="I502" s="42">
        <v>7</v>
      </c>
      <c r="J502" s="42">
        <v>16</v>
      </c>
      <c r="K502" s="42">
        <v>0</v>
      </c>
      <c r="L502" s="66">
        <f>SUM(I502:K502)</f>
        <v>23</v>
      </c>
      <c r="M502" s="31"/>
    </row>
    <row r="503" spans="2:15" ht="15.75" hidden="1" x14ac:dyDescent="0.25">
      <c r="B503" s="10">
        <v>46131</v>
      </c>
      <c r="C503" s="10" t="s">
        <v>22</v>
      </c>
      <c r="D503" s="10" t="s">
        <v>20</v>
      </c>
      <c r="F503" s="941"/>
      <c r="G503" s="42" t="s">
        <v>17</v>
      </c>
      <c r="H503" s="29" t="s">
        <v>18</v>
      </c>
      <c r="I503" s="42">
        <v>0</v>
      </c>
      <c r="J503" s="42">
        <v>0</v>
      </c>
      <c r="K503" s="42">
        <v>25</v>
      </c>
      <c r="L503" s="66">
        <f t="shared" ref="L503:L506" si="127">SUM(I503:K503)</f>
        <v>25</v>
      </c>
      <c r="M503" s="43"/>
    </row>
    <row r="504" spans="2:15" ht="15.75" hidden="1" x14ac:dyDescent="0.25">
      <c r="B504" s="10">
        <v>46131</v>
      </c>
      <c r="C504" s="10" t="s">
        <v>22</v>
      </c>
      <c r="D504" s="10" t="s">
        <v>20</v>
      </c>
      <c r="F504" s="944">
        <v>46132</v>
      </c>
      <c r="G504" s="42" t="s">
        <v>32</v>
      </c>
      <c r="H504" s="29" t="s">
        <v>105</v>
      </c>
      <c r="I504" s="42">
        <v>75</v>
      </c>
      <c r="J504" s="42">
        <v>12</v>
      </c>
      <c r="K504" s="42">
        <v>150</v>
      </c>
      <c r="L504" s="66">
        <f t="shared" si="127"/>
        <v>237</v>
      </c>
      <c r="M504" s="43"/>
    </row>
    <row r="505" spans="2:15" ht="15.75" hidden="1" x14ac:dyDescent="0.25">
      <c r="B505" s="10">
        <v>46131</v>
      </c>
      <c r="C505" s="10" t="s">
        <v>22</v>
      </c>
      <c r="D505" s="10" t="s">
        <v>20</v>
      </c>
      <c r="F505" s="944"/>
      <c r="G505" s="42" t="s">
        <v>42</v>
      </c>
      <c r="H505" s="29" t="s">
        <v>43</v>
      </c>
      <c r="I505" s="42">
        <v>0</v>
      </c>
      <c r="J505" s="42">
        <v>0</v>
      </c>
      <c r="K505" s="42">
        <v>43</v>
      </c>
      <c r="L505" s="66">
        <f t="shared" si="127"/>
        <v>43</v>
      </c>
      <c r="M505" s="43"/>
    </row>
    <row r="506" spans="2:15" ht="15.75" hidden="1" x14ac:dyDescent="0.25">
      <c r="B506" s="10">
        <v>46131</v>
      </c>
      <c r="C506" s="10" t="s">
        <v>22</v>
      </c>
      <c r="D506" s="10" t="s">
        <v>20</v>
      </c>
      <c r="F506" s="944"/>
      <c r="G506" s="42" t="s">
        <v>17</v>
      </c>
      <c r="H506" s="29" t="s">
        <v>22</v>
      </c>
      <c r="I506" s="42">
        <v>0</v>
      </c>
      <c r="J506" s="42">
        <v>0</v>
      </c>
      <c r="K506" s="42">
        <v>59</v>
      </c>
      <c r="L506" s="66">
        <f t="shared" si="127"/>
        <v>59</v>
      </c>
      <c r="M506" s="43"/>
    </row>
    <row r="507" spans="2:15" ht="15.75" hidden="1" x14ac:dyDescent="0.25">
      <c r="B507" s="10">
        <v>46131</v>
      </c>
      <c r="C507" s="10" t="s">
        <v>22</v>
      </c>
      <c r="D507" s="10" t="s">
        <v>20</v>
      </c>
      <c r="F507" s="937" t="s">
        <v>40</v>
      </c>
      <c r="G507" s="937"/>
      <c r="H507" s="937"/>
      <c r="I507" s="8">
        <f>SUM(I502:I506)</f>
        <v>82</v>
      </c>
      <c r="J507" s="8">
        <f>SUM(J502:J506)</f>
        <v>28</v>
      </c>
      <c r="K507" s="8">
        <f>SUM(K502:K506)</f>
        <v>277</v>
      </c>
      <c r="L507" s="8">
        <f>SUM(I507:K507)</f>
        <v>387</v>
      </c>
      <c r="M507" s="31"/>
      <c r="O507" s="8">
        <f>L507</f>
        <v>387</v>
      </c>
    </row>
    <row r="508" spans="2:15" ht="15.75" hidden="1" x14ac:dyDescent="0.25">
      <c r="B508" s="10">
        <v>46131</v>
      </c>
      <c r="C508" s="10" t="s">
        <v>12</v>
      </c>
      <c r="D508" s="10" t="s">
        <v>23</v>
      </c>
      <c r="F508" s="939">
        <v>46131</v>
      </c>
      <c r="G508" s="29" t="s">
        <v>16</v>
      </c>
      <c r="H508" s="29" t="s">
        <v>83</v>
      </c>
      <c r="I508" s="42">
        <v>25</v>
      </c>
      <c r="J508" s="42">
        <v>18</v>
      </c>
      <c r="K508" s="42">
        <v>62</v>
      </c>
      <c r="L508" s="66">
        <f>SUM(I508:K508)</f>
        <v>105</v>
      </c>
      <c r="M508" s="31"/>
    </row>
    <row r="509" spans="2:15" ht="15.75" hidden="1" x14ac:dyDescent="0.25">
      <c r="B509" s="10">
        <v>46131</v>
      </c>
      <c r="C509" s="10" t="s">
        <v>12</v>
      </c>
      <c r="D509" s="10" t="s">
        <v>23</v>
      </c>
      <c r="F509" s="940"/>
      <c r="G509" s="42" t="s">
        <v>32</v>
      </c>
      <c r="H509" s="29" t="s">
        <v>106</v>
      </c>
      <c r="I509" s="42">
        <v>30</v>
      </c>
      <c r="J509" s="42">
        <v>10</v>
      </c>
      <c r="K509" s="42">
        <v>0</v>
      </c>
      <c r="L509" s="66">
        <f t="shared" ref="L509:L510" si="128">SUM(I509:K509)</f>
        <v>40</v>
      </c>
      <c r="M509" s="43"/>
    </row>
    <row r="510" spans="2:15" ht="15.75" hidden="1" x14ac:dyDescent="0.25">
      <c r="B510" s="10">
        <v>46131</v>
      </c>
      <c r="C510" s="10" t="s">
        <v>12</v>
      </c>
      <c r="D510" s="10" t="s">
        <v>23</v>
      </c>
      <c r="F510" s="941"/>
      <c r="G510" s="42" t="s">
        <v>17</v>
      </c>
      <c r="H510" s="29" t="s">
        <v>22</v>
      </c>
      <c r="I510" s="42">
        <v>96</v>
      </c>
      <c r="J510" s="42">
        <v>34</v>
      </c>
      <c r="K510" s="42">
        <v>0</v>
      </c>
      <c r="L510" s="66">
        <f t="shared" si="128"/>
        <v>130</v>
      </c>
      <c r="M510" s="43"/>
    </row>
    <row r="511" spans="2:15" ht="15.75" hidden="1" x14ac:dyDescent="0.25">
      <c r="B511" s="10">
        <v>46131</v>
      </c>
      <c r="C511" s="10" t="s">
        <v>12</v>
      </c>
      <c r="D511" s="10" t="s">
        <v>23</v>
      </c>
      <c r="F511" s="937" t="s">
        <v>40</v>
      </c>
      <c r="G511" s="937"/>
      <c r="H511" s="937"/>
      <c r="I511" s="8">
        <f>SUM(I508:I510)</f>
        <v>151</v>
      </c>
      <c r="J511" s="8">
        <f>SUM(J508:J510)</f>
        <v>62</v>
      </c>
      <c r="K511" s="8">
        <f>SUM(K508:K510)</f>
        <v>62</v>
      </c>
      <c r="L511" s="8">
        <f>SUM(I511:K511)</f>
        <v>275</v>
      </c>
      <c r="M511" s="31"/>
      <c r="O511" s="8">
        <f>L511</f>
        <v>275</v>
      </c>
    </row>
    <row r="512" spans="2:15" ht="15.75" hidden="1" x14ac:dyDescent="0.25">
      <c r="B512" s="10">
        <v>46131</v>
      </c>
      <c r="C512" s="10" t="s">
        <v>18</v>
      </c>
      <c r="D512" s="10" t="s">
        <v>13</v>
      </c>
      <c r="F512" s="939">
        <v>46131</v>
      </c>
      <c r="G512" s="29" t="s">
        <v>16</v>
      </c>
      <c r="H512" s="29" t="s">
        <v>83</v>
      </c>
      <c r="I512" s="42">
        <v>127</v>
      </c>
      <c r="J512" s="42">
        <v>92</v>
      </c>
      <c r="K512" s="42">
        <v>0</v>
      </c>
      <c r="L512" s="66">
        <f>SUM(I512:K512)</f>
        <v>219</v>
      </c>
      <c r="M512" s="31"/>
    </row>
    <row r="513" spans="2:15" ht="15.75" hidden="1" x14ac:dyDescent="0.25">
      <c r="B513" s="10">
        <v>46131</v>
      </c>
      <c r="C513" s="10" t="s">
        <v>18</v>
      </c>
      <c r="D513" s="10" t="s">
        <v>13</v>
      </c>
      <c r="F513" s="940"/>
      <c r="G513" s="42" t="s">
        <v>32</v>
      </c>
      <c r="H513" s="29" t="s">
        <v>106</v>
      </c>
      <c r="I513" s="42">
        <v>97</v>
      </c>
      <c r="J513" s="42">
        <v>24</v>
      </c>
      <c r="K513" s="42">
        <v>0</v>
      </c>
      <c r="L513" s="66">
        <f t="shared" ref="L513:L517" si="129">SUM(I513:K513)</f>
        <v>121</v>
      </c>
      <c r="M513" s="43"/>
    </row>
    <row r="514" spans="2:15" ht="15.75" hidden="1" x14ac:dyDescent="0.25">
      <c r="B514" s="10">
        <v>46131</v>
      </c>
      <c r="C514" s="10" t="s">
        <v>18</v>
      </c>
      <c r="D514" s="10" t="s">
        <v>13</v>
      </c>
      <c r="F514" s="940"/>
      <c r="G514" s="42" t="s">
        <v>26</v>
      </c>
      <c r="H514" s="29" t="s">
        <v>18</v>
      </c>
      <c r="I514" s="42">
        <v>2</v>
      </c>
      <c r="J514" s="42">
        <v>0</v>
      </c>
      <c r="K514" s="42">
        <v>0</v>
      </c>
      <c r="L514" s="66">
        <f t="shared" si="129"/>
        <v>2</v>
      </c>
      <c r="M514" s="43"/>
    </row>
    <row r="515" spans="2:15" ht="15.75" hidden="1" x14ac:dyDescent="0.25">
      <c r="B515" s="10">
        <v>46131</v>
      </c>
      <c r="C515" s="10" t="s">
        <v>18</v>
      </c>
      <c r="D515" s="10" t="s">
        <v>13</v>
      </c>
      <c r="F515" s="940"/>
      <c r="G515" s="42" t="s">
        <v>117</v>
      </c>
      <c r="H515" s="29" t="s">
        <v>86</v>
      </c>
      <c r="I515" s="42">
        <v>0</v>
      </c>
      <c r="J515" s="42">
        <v>0</v>
      </c>
      <c r="K515" s="42">
        <v>0</v>
      </c>
      <c r="L515" s="66">
        <f t="shared" si="129"/>
        <v>0</v>
      </c>
      <c r="M515" s="43"/>
    </row>
    <row r="516" spans="2:15" ht="15.75" hidden="1" x14ac:dyDescent="0.25">
      <c r="B516" s="10">
        <v>46131</v>
      </c>
      <c r="C516" s="10" t="s">
        <v>18</v>
      </c>
      <c r="D516" s="10" t="s">
        <v>13</v>
      </c>
      <c r="F516" s="940"/>
      <c r="G516" s="42" t="s">
        <v>25</v>
      </c>
      <c r="H516" s="29" t="s">
        <v>18</v>
      </c>
      <c r="I516" s="42">
        <v>2</v>
      </c>
      <c r="J516" s="42">
        <v>0</v>
      </c>
      <c r="K516" s="42">
        <v>0</v>
      </c>
      <c r="L516" s="66">
        <f t="shared" si="129"/>
        <v>2</v>
      </c>
      <c r="M516" s="43"/>
    </row>
    <row r="517" spans="2:15" ht="15.75" hidden="1" x14ac:dyDescent="0.25">
      <c r="B517" s="10">
        <v>46131</v>
      </c>
      <c r="C517" s="10" t="s">
        <v>18</v>
      </c>
      <c r="D517" s="10" t="s">
        <v>13</v>
      </c>
      <c r="F517" s="941"/>
      <c r="G517" s="42" t="s">
        <v>17</v>
      </c>
      <c r="H517" s="29" t="s">
        <v>22</v>
      </c>
      <c r="I517" s="42">
        <v>11</v>
      </c>
      <c r="J517" s="42">
        <v>15</v>
      </c>
      <c r="K517" s="42">
        <v>0</v>
      </c>
      <c r="L517" s="66">
        <f t="shared" si="129"/>
        <v>26</v>
      </c>
      <c r="M517" s="43"/>
    </row>
    <row r="518" spans="2:15" ht="15.75" hidden="1" x14ac:dyDescent="0.25">
      <c r="B518" s="10">
        <v>46131</v>
      </c>
      <c r="C518" s="10" t="s">
        <v>18</v>
      </c>
      <c r="D518" s="10" t="s">
        <v>13</v>
      </c>
      <c r="F518" s="937" t="s">
        <v>40</v>
      </c>
      <c r="G518" s="937"/>
      <c r="H518" s="937"/>
      <c r="I518" s="8">
        <f>SUM(I512:I517)</f>
        <v>239</v>
      </c>
      <c r="J518" s="8">
        <f>SUM(J512:J517)</f>
        <v>131</v>
      </c>
      <c r="K518" s="8">
        <f>SUM(K512:K517)</f>
        <v>0</v>
      </c>
      <c r="L518" s="8">
        <f>SUM(I518:K518)</f>
        <v>370</v>
      </c>
      <c r="M518" s="31"/>
    </row>
    <row r="519" spans="2:15" ht="15.75" hidden="1" x14ac:dyDescent="0.25">
      <c r="B519" s="10">
        <v>46132</v>
      </c>
      <c r="C519" s="10" t="s">
        <v>22</v>
      </c>
      <c r="D519" s="10" t="s">
        <v>20</v>
      </c>
      <c r="F519" s="942">
        <v>46132</v>
      </c>
      <c r="G519" s="29" t="s">
        <v>75</v>
      </c>
      <c r="H519" s="29" t="s">
        <v>83</v>
      </c>
      <c r="I519" s="42">
        <v>5</v>
      </c>
      <c r="J519" s="42">
        <v>8</v>
      </c>
      <c r="K519" s="42">
        <v>0</v>
      </c>
      <c r="L519" s="66">
        <f>SUM(I519:K519)</f>
        <v>13</v>
      </c>
      <c r="M519" s="31"/>
    </row>
    <row r="520" spans="2:15" ht="15.75" hidden="1" x14ac:dyDescent="0.25">
      <c r="B520" s="10">
        <v>46132</v>
      </c>
      <c r="C520" s="10" t="s">
        <v>22</v>
      </c>
      <c r="D520" s="10" t="s">
        <v>20</v>
      </c>
      <c r="F520" s="942"/>
      <c r="G520" s="42" t="s">
        <v>32</v>
      </c>
      <c r="H520" s="29" t="s">
        <v>106</v>
      </c>
      <c r="I520" s="42">
        <v>7</v>
      </c>
      <c r="J520" s="42">
        <v>1</v>
      </c>
      <c r="K520" s="42">
        <v>0</v>
      </c>
      <c r="L520" s="66">
        <f t="shared" ref="L520:L529" si="130">SUM(I520:K520)</f>
        <v>8</v>
      </c>
      <c r="M520" s="43"/>
    </row>
    <row r="521" spans="2:15" ht="15.75" hidden="1" x14ac:dyDescent="0.25">
      <c r="B521" s="10">
        <v>46132</v>
      </c>
      <c r="C521" s="10" t="s">
        <v>22</v>
      </c>
      <c r="D521" s="10" t="s">
        <v>20</v>
      </c>
      <c r="F521" s="942"/>
      <c r="G521" s="42" t="s">
        <v>42</v>
      </c>
      <c r="H521" s="29" t="s">
        <v>43</v>
      </c>
      <c r="I521" s="42">
        <v>41</v>
      </c>
      <c r="J521" s="42">
        <v>2</v>
      </c>
      <c r="K521" s="42">
        <v>0</v>
      </c>
      <c r="L521" s="66">
        <f t="shared" si="130"/>
        <v>43</v>
      </c>
      <c r="M521" s="43"/>
    </row>
    <row r="522" spans="2:15" ht="15.75" hidden="1" x14ac:dyDescent="0.25">
      <c r="B522" s="10">
        <v>46132</v>
      </c>
      <c r="C522" s="10" t="s">
        <v>22</v>
      </c>
      <c r="D522" s="10" t="s">
        <v>20</v>
      </c>
      <c r="F522" s="942"/>
      <c r="G522" s="42" t="s">
        <v>17</v>
      </c>
      <c r="H522" s="29" t="s">
        <v>22</v>
      </c>
      <c r="I522" s="42">
        <v>8</v>
      </c>
      <c r="J522" s="42">
        <v>5</v>
      </c>
      <c r="K522" s="42">
        <v>0</v>
      </c>
      <c r="L522" s="66">
        <f t="shared" si="130"/>
        <v>13</v>
      </c>
      <c r="M522" s="43"/>
    </row>
    <row r="523" spans="2:15" ht="15.75" hidden="1" x14ac:dyDescent="0.25">
      <c r="B523" s="10">
        <v>46132</v>
      </c>
      <c r="C523" s="10" t="s">
        <v>22</v>
      </c>
      <c r="D523" s="10" t="s">
        <v>20</v>
      </c>
      <c r="F523" s="942"/>
      <c r="G523" s="42" t="s">
        <v>14</v>
      </c>
      <c r="H523" s="29" t="s">
        <v>18</v>
      </c>
      <c r="I523" s="42">
        <v>40</v>
      </c>
      <c r="J523" s="42">
        <v>8</v>
      </c>
      <c r="K523" s="42">
        <v>111</v>
      </c>
      <c r="L523" s="66">
        <f t="shared" si="130"/>
        <v>159</v>
      </c>
      <c r="M523" s="43"/>
    </row>
    <row r="524" spans="2:15" ht="15.75" hidden="1" x14ac:dyDescent="0.25">
      <c r="B524" s="10">
        <v>46132</v>
      </c>
      <c r="C524" s="10" t="s">
        <v>22</v>
      </c>
      <c r="D524" s="10" t="s">
        <v>20</v>
      </c>
      <c r="F524" s="52">
        <v>46133</v>
      </c>
      <c r="G524" s="42" t="s">
        <v>17</v>
      </c>
      <c r="H524" s="29" t="s">
        <v>22</v>
      </c>
      <c r="I524" s="42">
        <v>0</v>
      </c>
      <c r="J524" s="42">
        <v>0</v>
      </c>
      <c r="K524" s="42">
        <v>99</v>
      </c>
      <c r="L524" s="66">
        <f t="shared" si="130"/>
        <v>99</v>
      </c>
      <c r="M524" s="43"/>
    </row>
    <row r="525" spans="2:15" ht="15.75" hidden="1" x14ac:dyDescent="0.25">
      <c r="B525" s="10">
        <v>46132</v>
      </c>
      <c r="C525" s="10" t="s">
        <v>22</v>
      </c>
      <c r="D525" s="10" t="s">
        <v>20</v>
      </c>
      <c r="F525" s="937" t="s">
        <v>40</v>
      </c>
      <c r="G525" s="937"/>
      <c r="H525" s="937"/>
      <c r="I525" s="8">
        <f>SUM(I519:I524)</f>
        <v>101</v>
      </c>
      <c r="J525" s="8">
        <f>SUM(J519:J524)</f>
        <v>24</v>
      </c>
      <c r="K525" s="8">
        <f>SUM(K519:K524)</f>
        <v>210</v>
      </c>
      <c r="L525" s="8">
        <f>SUM(I525:K525)</f>
        <v>335</v>
      </c>
      <c r="M525" s="31"/>
      <c r="O525" s="8">
        <f>L525</f>
        <v>335</v>
      </c>
    </row>
    <row r="526" spans="2:15" ht="15.75" hidden="1" x14ac:dyDescent="0.25">
      <c r="B526" s="10">
        <v>46132</v>
      </c>
      <c r="C526" s="10" t="s">
        <v>12</v>
      </c>
      <c r="D526" s="10" t="s">
        <v>23</v>
      </c>
      <c r="F526" s="942">
        <v>46132</v>
      </c>
      <c r="G526" s="29" t="s">
        <v>75</v>
      </c>
      <c r="H526" s="29" t="s">
        <v>83</v>
      </c>
      <c r="I526" s="29">
        <v>20</v>
      </c>
      <c r="J526" s="29">
        <v>20</v>
      </c>
      <c r="K526" s="29">
        <v>135</v>
      </c>
      <c r="L526" s="66">
        <f t="shared" si="130"/>
        <v>175</v>
      </c>
      <c r="M526" s="31"/>
    </row>
    <row r="527" spans="2:15" ht="15.75" hidden="1" x14ac:dyDescent="0.25">
      <c r="B527" s="10">
        <v>46132</v>
      </c>
      <c r="C527" s="10" t="s">
        <v>12</v>
      </c>
      <c r="D527" s="10" t="s">
        <v>23</v>
      </c>
      <c r="F527" s="942"/>
      <c r="G527" s="2" t="s">
        <v>32</v>
      </c>
      <c r="H527" s="29" t="s">
        <v>106</v>
      </c>
      <c r="I527" s="29">
        <v>7</v>
      </c>
      <c r="J527" s="29">
        <v>4</v>
      </c>
      <c r="K527" s="29">
        <v>7</v>
      </c>
      <c r="L527" s="66">
        <f t="shared" si="130"/>
        <v>18</v>
      </c>
      <c r="M527" s="31"/>
    </row>
    <row r="528" spans="2:15" ht="15.75" hidden="1" x14ac:dyDescent="0.25">
      <c r="B528" s="10">
        <v>46132</v>
      </c>
      <c r="C528" s="10" t="s">
        <v>12</v>
      </c>
      <c r="D528" s="10" t="s">
        <v>23</v>
      </c>
      <c r="F528" s="942"/>
      <c r="G528" s="42" t="s">
        <v>17</v>
      </c>
      <c r="H528" s="29" t="s">
        <v>22</v>
      </c>
      <c r="I528" s="29">
        <v>13</v>
      </c>
      <c r="J528" s="29">
        <v>0</v>
      </c>
      <c r="K528" s="29">
        <v>34</v>
      </c>
      <c r="L528" s="66">
        <f t="shared" si="130"/>
        <v>47</v>
      </c>
      <c r="M528" s="31"/>
    </row>
    <row r="529" spans="2:15" ht="15.75" hidden="1" x14ac:dyDescent="0.25">
      <c r="B529" s="10">
        <v>46132</v>
      </c>
      <c r="C529" s="10" t="s">
        <v>12</v>
      </c>
      <c r="D529" s="10" t="s">
        <v>23</v>
      </c>
      <c r="F529" s="942"/>
      <c r="G529" s="42" t="s">
        <v>14</v>
      </c>
      <c r="H529" s="29" t="s">
        <v>18</v>
      </c>
      <c r="I529" s="29">
        <v>88</v>
      </c>
      <c r="J529" s="29">
        <v>23</v>
      </c>
      <c r="K529" s="29">
        <v>0</v>
      </c>
      <c r="L529" s="66">
        <f t="shared" si="130"/>
        <v>111</v>
      </c>
      <c r="M529" s="31"/>
    </row>
    <row r="530" spans="2:15" ht="15.75" hidden="1" x14ac:dyDescent="0.25">
      <c r="B530" s="10">
        <v>46132</v>
      </c>
      <c r="C530" s="10" t="s">
        <v>12</v>
      </c>
      <c r="D530" s="10" t="s">
        <v>23</v>
      </c>
      <c r="F530" s="937" t="s">
        <v>40</v>
      </c>
      <c r="G530" s="937"/>
      <c r="H530" s="937"/>
      <c r="I530" s="8">
        <f>SUM(I526:I529)</f>
        <v>128</v>
      </c>
      <c r="J530" s="8">
        <f t="shared" ref="J530:L530" si="131">SUM(J526:J529)</f>
        <v>47</v>
      </c>
      <c r="K530" s="8">
        <f t="shared" si="131"/>
        <v>176</v>
      </c>
      <c r="L530" s="8">
        <f t="shared" si="131"/>
        <v>351</v>
      </c>
      <c r="M530" s="31"/>
      <c r="O530" s="8">
        <f>L530</f>
        <v>351</v>
      </c>
    </row>
    <row r="531" spans="2:15" ht="15.75" hidden="1" x14ac:dyDescent="0.25">
      <c r="B531" s="10">
        <v>46132</v>
      </c>
      <c r="C531" s="10" t="s">
        <v>18</v>
      </c>
      <c r="D531" s="10" t="s">
        <v>13</v>
      </c>
      <c r="F531" s="942">
        <v>46132</v>
      </c>
      <c r="G531" s="29" t="s">
        <v>75</v>
      </c>
      <c r="H531" s="29" t="s">
        <v>83</v>
      </c>
      <c r="I531" s="42">
        <v>126</v>
      </c>
      <c r="J531" s="42">
        <v>65</v>
      </c>
      <c r="K531" s="42">
        <v>0</v>
      </c>
      <c r="L531" s="66">
        <f>SUM(I531:K531)</f>
        <v>191</v>
      </c>
      <c r="M531" s="31"/>
    </row>
    <row r="532" spans="2:15" ht="15.75" hidden="1" x14ac:dyDescent="0.25">
      <c r="B532" s="10">
        <v>46132</v>
      </c>
      <c r="C532" s="10" t="s">
        <v>18</v>
      </c>
      <c r="D532" s="10" t="s">
        <v>13</v>
      </c>
      <c r="F532" s="942"/>
      <c r="G532" s="42" t="s">
        <v>17</v>
      </c>
      <c r="H532" s="29" t="s">
        <v>22</v>
      </c>
      <c r="I532" s="42">
        <v>110</v>
      </c>
      <c r="J532" s="42">
        <v>38</v>
      </c>
      <c r="K532" s="42">
        <v>0</v>
      </c>
      <c r="L532" s="66">
        <f t="shared" ref="L532:L533" si="132">SUM(I532:K532)</f>
        <v>148</v>
      </c>
      <c r="M532" s="43"/>
    </row>
    <row r="533" spans="2:15" ht="15.75" hidden="1" x14ac:dyDescent="0.25">
      <c r="B533" s="10">
        <v>46132</v>
      </c>
      <c r="C533" s="10" t="s">
        <v>18</v>
      </c>
      <c r="D533" s="10" t="s">
        <v>13</v>
      </c>
      <c r="F533" s="942"/>
      <c r="G533" s="42" t="s">
        <v>14</v>
      </c>
      <c r="H533" s="29" t="s">
        <v>18</v>
      </c>
      <c r="I533" s="42">
        <v>3</v>
      </c>
      <c r="J533" s="42">
        <v>0</v>
      </c>
      <c r="K533" s="42">
        <v>73</v>
      </c>
      <c r="L533" s="66">
        <f t="shared" si="132"/>
        <v>76</v>
      </c>
      <c r="M533" s="43"/>
    </row>
    <row r="534" spans="2:15" ht="15.75" hidden="1" x14ac:dyDescent="0.25">
      <c r="B534" s="10">
        <v>46132</v>
      </c>
      <c r="C534" s="10" t="s">
        <v>18</v>
      </c>
      <c r="D534" s="10" t="s">
        <v>13</v>
      </c>
      <c r="F534" s="937" t="s">
        <v>40</v>
      </c>
      <c r="G534" s="937"/>
      <c r="H534" s="937"/>
      <c r="I534" s="8">
        <f>SUM(I531:I533)</f>
        <v>239</v>
      </c>
      <c r="J534" s="8">
        <f>SUM(J531:J533)</f>
        <v>103</v>
      </c>
      <c r="K534" s="8">
        <f>SUM(K531:K533)</f>
        <v>73</v>
      </c>
      <c r="L534" s="8">
        <f>SUM(I534:K534)</f>
        <v>415</v>
      </c>
      <c r="M534" s="31"/>
      <c r="O534" s="8">
        <f>L534</f>
        <v>415</v>
      </c>
    </row>
    <row r="535" spans="2:15" ht="15.75" hidden="1" x14ac:dyDescent="0.25">
      <c r="B535" s="10">
        <v>46133</v>
      </c>
      <c r="C535" s="10" t="s">
        <v>22</v>
      </c>
      <c r="D535" s="10" t="s">
        <v>20</v>
      </c>
      <c r="F535" s="942">
        <v>46133</v>
      </c>
      <c r="G535" s="29" t="s">
        <v>75</v>
      </c>
      <c r="H535" s="29" t="s">
        <v>83</v>
      </c>
      <c r="I535" s="42">
        <v>3</v>
      </c>
      <c r="J535" s="42">
        <v>17</v>
      </c>
      <c r="K535" s="42">
        <v>0</v>
      </c>
      <c r="L535" s="66">
        <f>SUM(I535:K535)</f>
        <v>20</v>
      </c>
      <c r="M535" s="31"/>
    </row>
    <row r="536" spans="2:15" ht="15.75" hidden="1" x14ac:dyDescent="0.25">
      <c r="B536" s="10">
        <v>46133</v>
      </c>
      <c r="C536" s="10" t="s">
        <v>22</v>
      </c>
      <c r="D536" s="10" t="s">
        <v>20</v>
      </c>
      <c r="F536" s="942"/>
      <c r="G536" s="42" t="s">
        <v>32</v>
      </c>
      <c r="H536" s="29" t="s">
        <v>106</v>
      </c>
      <c r="I536" s="42">
        <v>34</v>
      </c>
      <c r="J536" s="42">
        <v>11</v>
      </c>
      <c r="K536" s="42">
        <v>0</v>
      </c>
      <c r="L536" s="66">
        <f t="shared" ref="L536:L539" si="133">SUM(I536:K536)</f>
        <v>45</v>
      </c>
      <c r="M536" s="43"/>
    </row>
    <row r="537" spans="2:15" ht="15.75" hidden="1" x14ac:dyDescent="0.25">
      <c r="B537" s="10">
        <v>46133</v>
      </c>
      <c r="C537" s="10" t="s">
        <v>22</v>
      </c>
      <c r="D537" s="10" t="s">
        <v>20</v>
      </c>
      <c r="F537" s="942"/>
      <c r="G537" s="42" t="s">
        <v>17</v>
      </c>
      <c r="H537" s="29" t="s">
        <v>22</v>
      </c>
      <c r="I537" s="42">
        <v>8</v>
      </c>
      <c r="J537" s="42">
        <v>12</v>
      </c>
      <c r="K537" s="42">
        <v>0</v>
      </c>
      <c r="L537" s="66">
        <f t="shared" si="133"/>
        <v>20</v>
      </c>
      <c r="M537" s="43"/>
    </row>
    <row r="538" spans="2:15" ht="15.75" hidden="1" x14ac:dyDescent="0.25">
      <c r="B538" s="10">
        <v>46133</v>
      </c>
      <c r="C538" s="10" t="s">
        <v>22</v>
      </c>
      <c r="D538" s="10" t="s">
        <v>20</v>
      </c>
      <c r="F538" s="942"/>
      <c r="G538" s="42" t="s">
        <v>14</v>
      </c>
      <c r="H538" s="29" t="s">
        <v>18</v>
      </c>
      <c r="I538" s="42">
        <v>23</v>
      </c>
      <c r="J538" s="42">
        <v>5</v>
      </c>
      <c r="K538" s="42">
        <v>139</v>
      </c>
      <c r="L538" s="66">
        <f t="shared" si="133"/>
        <v>167</v>
      </c>
      <c r="M538" s="43"/>
    </row>
    <row r="539" spans="2:15" ht="15.75" hidden="1" x14ac:dyDescent="0.25">
      <c r="B539" s="10">
        <v>46133</v>
      </c>
      <c r="C539" s="10" t="s">
        <v>22</v>
      </c>
      <c r="D539" s="10" t="s">
        <v>20</v>
      </c>
      <c r="F539" s="52">
        <v>46134</v>
      </c>
      <c r="G539" s="42" t="s">
        <v>17</v>
      </c>
      <c r="H539" s="29" t="s">
        <v>22</v>
      </c>
      <c r="I539" s="42">
        <v>0</v>
      </c>
      <c r="J539" s="42">
        <v>0</v>
      </c>
      <c r="K539" s="42">
        <v>106</v>
      </c>
      <c r="L539" s="66">
        <f t="shared" si="133"/>
        <v>106</v>
      </c>
      <c r="M539" s="43"/>
    </row>
    <row r="540" spans="2:15" ht="15.75" hidden="1" x14ac:dyDescent="0.25">
      <c r="B540" s="10">
        <v>46133</v>
      </c>
      <c r="C540" s="10" t="s">
        <v>22</v>
      </c>
      <c r="D540" s="10" t="s">
        <v>20</v>
      </c>
      <c r="F540" s="937" t="s">
        <v>40</v>
      </c>
      <c r="G540" s="937"/>
      <c r="H540" s="937"/>
      <c r="I540" s="8">
        <f>SUM(I535:I539)</f>
        <v>68</v>
      </c>
      <c r="J540" s="8">
        <f>SUM(J535:J539)</f>
        <v>45</v>
      </c>
      <c r="K540" s="8">
        <f>SUM(K535:K539)</f>
        <v>245</v>
      </c>
      <c r="L540" s="8">
        <f>SUM(I540:K540)</f>
        <v>358</v>
      </c>
      <c r="M540" s="31"/>
      <c r="O540" s="8">
        <f>L540</f>
        <v>358</v>
      </c>
    </row>
    <row r="541" spans="2:15" ht="15.75" hidden="1" x14ac:dyDescent="0.25">
      <c r="B541" s="10">
        <v>46133</v>
      </c>
      <c r="C541" s="10" t="s">
        <v>12</v>
      </c>
      <c r="D541" s="10" t="s">
        <v>23</v>
      </c>
      <c r="F541" s="942">
        <v>46133</v>
      </c>
      <c r="G541" s="29" t="s">
        <v>75</v>
      </c>
      <c r="H541" s="29" t="s">
        <v>83</v>
      </c>
      <c r="I541" s="42">
        <v>22</v>
      </c>
      <c r="J541" s="42">
        <v>17</v>
      </c>
      <c r="K541" s="42">
        <v>15</v>
      </c>
      <c r="L541" s="66">
        <f>SUM(I541:K541)</f>
        <v>54</v>
      </c>
      <c r="M541" s="31"/>
    </row>
    <row r="542" spans="2:15" ht="15.75" hidden="1" x14ac:dyDescent="0.25">
      <c r="B542" s="10">
        <v>46133</v>
      </c>
      <c r="C542" s="10" t="s">
        <v>12</v>
      </c>
      <c r="D542" s="10" t="s">
        <v>23</v>
      </c>
      <c r="F542" s="942"/>
      <c r="G542" s="42" t="s">
        <v>32</v>
      </c>
      <c r="H542" s="29" t="s">
        <v>106</v>
      </c>
      <c r="I542" s="42">
        <v>5</v>
      </c>
      <c r="J542" s="42">
        <v>0</v>
      </c>
      <c r="K542" s="42">
        <v>12</v>
      </c>
      <c r="L542" s="66">
        <f t="shared" ref="L542:L544" si="134">SUM(I542:K542)</f>
        <v>17</v>
      </c>
      <c r="M542" s="43"/>
    </row>
    <row r="543" spans="2:15" ht="15.75" hidden="1" x14ac:dyDescent="0.25">
      <c r="B543" s="10">
        <v>46133</v>
      </c>
      <c r="C543" s="10" t="s">
        <v>12</v>
      </c>
      <c r="D543" s="10" t="s">
        <v>23</v>
      </c>
      <c r="F543" s="942"/>
      <c r="G543" s="42" t="s">
        <v>17</v>
      </c>
      <c r="H543" s="29" t="s">
        <v>22</v>
      </c>
      <c r="I543" s="42">
        <v>20</v>
      </c>
      <c r="J543" s="42">
        <v>20</v>
      </c>
      <c r="K543" s="42">
        <f>198-106</f>
        <v>92</v>
      </c>
      <c r="L543" s="66">
        <f t="shared" si="134"/>
        <v>132</v>
      </c>
      <c r="M543" s="43"/>
    </row>
    <row r="544" spans="2:15" ht="15.75" hidden="1" x14ac:dyDescent="0.25">
      <c r="B544" s="10">
        <v>46133</v>
      </c>
      <c r="C544" s="10" t="s">
        <v>12</v>
      </c>
      <c r="D544" s="10" t="s">
        <v>23</v>
      </c>
      <c r="F544" s="942"/>
      <c r="G544" s="42" t="s">
        <v>14</v>
      </c>
      <c r="H544" s="29" t="s">
        <v>18</v>
      </c>
      <c r="I544" s="42">
        <v>127</v>
      </c>
      <c r="J544" s="42">
        <v>18</v>
      </c>
      <c r="K544" s="42">
        <v>0</v>
      </c>
      <c r="L544" s="66">
        <f t="shared" si="134"/>
        <v>145</v>
      </c>
      <c r="M544" s="43"/>
    </row>
    <row r="545" spans="2:15" ht="15.75" hidden="1" x14ac:dyDescent="0.2">
      <c r="B545" s="10">
        <v>46133</v>
      </c>
      <c r="C545" s="10" t="s">
        <v>12</v>
      </c>
      <c r="D545" s="10" t="s">
        <v>23</v>
      </c>
      <c r="F545" s="937" t="s">
        <v>40</v>
      </c>
      <c r="G545" s="937"/>
      <c r="H545" s="937"/>
      <c r="I545" s="8">
        <f>SUM(I541:I544)</f>
        <v>174</v>
      </c>
      <c r="J545" s="8">
        <f>SUM(J541:J544)</f>
        <v>55</v>
      </c>
      <c r="K545" s="8">
        <f>SUM(K541:K544)</f>
        <v>119</v>
      </c>
      <c r="L545" s="8">
        <f>SUM(I545:K545)</f>
        <v>348</v>
      </c>
      <c r="M545" s="71"/>
    </row>
    <row r="546" spans="2:15" ht="15.75" hidden="1" x14ac:dyDescent="0.25">
      <c r="B546" s="10">
        <v>46133</v>
      </c>
      <c r="C546" s="10" t="s">
        <v>18</v>
      </c>
      <c r="D546" s="10" t="s">
        <v>13</v>
      </c>
      <c r="F546" s="942">
        <v>46133</v>
      </c>
      <c r="G546" s="29" t="s">
        <v>75</v>
      </c>
      <c r="H546" s="29" t="s">
        <v>83</v>
      </c>
      <c r="I546" s="42">
        <v>73</v>
      </c>
      <c r="J546" s="42">
        <v>94</v>
      </c>
      <c r="K546" s="42">
        <v>0</v>
      </c>
      <c r="L546" s="66">
        <f>SUM(I546:K546)</f>
        <v>167</v>
      </c>
      <c r="M546" s="31"/>
    </row>
    <row r="547" spans="2:15" ht="15.75" hidden="1" x14ac:dyDescent="0.25">
      <c r="B547" s="10">
        <v>46133</v>
      </c>
      <c r="C547" s="10" t="s">
        <v>18</v>
      </c>
      <c r="D547" s="10" t="s">
        <v>13</v>
      </c>
      <c r="F547" s="942"/>
      <c r="G547" s="42" t="s">
        <v>17</v>
      </c>
      <c r="H547" s="29" t="s">
        <v>22</v>
      </c>
      <c r="I547" s="42">
        <v>132</v>
      </c>
      <c r="J547" s="42">
        <v>59</v>
      </c>
      <c r="K547" s="42">
        <v>18</v>
      </c>
      <c r="L547" s="66">
        <f t="shared" ref="L547:L548" si="135">SUM(I547:K547)</f>
        <v>209</v>
      </c>
      <c r="M547" s="43"/>
    </row>
    <row r="548" spans="2:15" ht="15.75" hidden="1" x14ac:dyDescent="0.25">
      <c r="B548" s="10">
        <v>46133</v>
      </c>
      <c r="C548" s="10" t="s">
        <v>18</v>
      </c>
      <c r="D548" s="10" t="s">
        <v>13</v>
      </c>
      <c r="F548" s="942"/>
      <c r="G548" s="42" t="s">
        <v>14</v>
      </c>
      <c r="H548" s="29" t="s">
        <v>18</v>
      </c>
      <c r="I548" s="42">
        <v>12</v>
      </c>
      <c r="J548" s="42">
        <v>2</v>
      </c>
      <c r="K548" s="42">
        <v>0</v>
      </c>
      <c r="L548" s="66">
        <f t="shared" si="135"/>
        <v>14</v>
      </c>
      <c r="M548" s="43"/>
    </row>
    <row r="549" spans="2:15" ht="15.75" hidden="1" x14ac:dyDescent="0.2">
      <c r="B549" s="10">
        <v>46133</v>
      </c>
      <c r="C549" s="10" t="s">
        <v>18</v>
      </c>
      <c r="D549" s="10" t="s">
        <v>13</v>
      </c>
      <c r="F549" s="937" t="s">
        <v>40</v>
      </c>
      <c r="G549" s="937"/>
      <c r="H549" s="937"/>
      <c r="I549" s="8">
        <f>SUM(I546:I548)</f>
        <v>217</v>
      </c>
      <c r="J549" s="8">
        <f>SUM(J546:J548)</f>
        <v>155</v>
      </c>
      <c r="K549" s="8">
        <f>SUM(K546:K548)</f>
        <v>18</v>
      </c>
      <c r="L549" s="8">
        <f>SUM(I549:K549)</f>
        <v>390</v>
      </c>
      <c r="M549" s="71"/>
    </row>
    <row r="550" spans="2:15" ht="15.75" hidden="1" x14ac:dyDescent="0.25">
      <c r="B550" s="10">
        <v>46134</v>
      </c>
      <c r="C550" s="10" t="s">
        <v>22</v>
      </c>
      <c r="D550" s="10" t="s">
        <v>20</v>
      </c>
      <c r="F550" s="939">
        <v>46134</v>
      </c>
      <c r="G550" s="29" t="s">
        <v>75</v>
      </c>
      <c r="H550" s="29" t="s">
        <v>83</v>
      </c>
      <c r="I550" s="42">
        <v>11</v>
      </c>
      <c r="J550" s="42">
        <v>17</v>
      </c>
      <c r="K550" s="42">
        <v>0</v>
      </c>
      <c r="L550" s="66">
        <f>SUM(I550:K550)</f>
        <v>28</v>
      </c>
      <c r="M550" s="31"/>
    </row>
    <row r="551" spans="2:15" ht="15.75" hidden="1" x14ac:dyDescent="0.25">
      <c r="B551" s="10">
        <v>46134</v>
      </c>
      <c r="C551" s="10" t="s">
        <v>22</v>
      </c>
      <c r="D551" s="10" t="s">
        <v>20</v>
      </c>
      <c r="F551" s="940"/>
      <c r="G551" s="42" t="s">
        <v>32</v>
      </c>
      <c r="H551" s="29" t="s">
        <v>106</v>
      </c>
      <c r="I551" s="42">
        <v>106</v>
      </c>
      <c r="J551" s="42">
        <v>32</v>
      </c>
      <c r="K551" s="42">
        <v>0</v>
      </c>
      <c r="L551" s="66">
        <f t="shared" ref="L551:L556" si="136">SUM(I551:K551)</f>
        <v>138</v>
      </c>
      <c r="M551" s="43"/>
    </row>
    <row r="552" spans="2:15" ht="15.75" hidden="1" x14ac:dyDescent="0.25">
      <c r="B552" s="10">
        <v>46134</v>
      </c>
      <c r="C552" s="10" t="s">
        <v>22</v>
      </c>
      <c r="D552" s="10" t="s">
        <v>20</v>
      </c>
      <c r="F552" s="940"/>
      <c r="G552" s="42" t="s">
        <v>17</v>
      </c>
      <c r="H552" s="29" t="s">
        <v>106</v>
      </c>
      <c r="I552" s="42">
        <v>23</v>
      </c>
      <c r="J552" s="42">
        <v>20</v>
      </c>
      <c r="K552" s="42">
        <v>0</v>
      </c>
      <c r="L552" s="66">
        <f t="shared" si="136"/>
        <v>43</v>
      </c>
      <c r="M552" s="43"/>
    </row>
    <row r="553" spans="2:15" ht="15.75" hidden="1" x14ac:dyDescent="0.25">
      <c r="B553" s="10">
        <v>46134</v>
      </c>
      <c r="C553" s="10" t="s">
        <v>22</v>
      </c>
      <c r="D553" s="10" t="s">
        <v>20</v>
      </c>
      <c r="F553" s="940"/>
      <c r="G553" s="42" t="s">
        <v>14</v>
      </c>
      <c r="H553" s="29" t="s">
        <v>106</v>
      </c>
      <c r="I553" s="42">
        <v>2</v>
      </c>
      <c r="J553" s="42">
        <v>2</v>
      </c>
      <c r="K553" s="42">
        <v>0</v>
      </c>
      <c r="L553" s="66">
        <f t="shared" si="136"/>
        <v>4</v>
      </c>
      <c r="M553" s="43"/>
    </row>
    <row r="554" spans="2:15" ht="15.75" hidden="1" x14ac:dyDescent="0.25">
      <c r="B554" s="10">
        <v>46134</v>
      </c>
      <c r="C554" s="10" t="s">
        <v>22</v>
      </c>
      <c r="D554" s="10" t="s">
        <v>20</v>
      </c>
      <c r="F554" s="940"/>
      <c r="G554" s="42" t="s">
        <v>118</v>
      </c>
      <c r="H554" s="29" t="s">
        <v>43</v>
      </c>
      <c r="I554" s="42">
        <v>21</v>
      </c>
      <c r="J554" s="42">
        <v>4</v>
      </c>
      <c r="K554" s="42">
        <v>0</v>
      </c>
      <c r="L554" s="66">
        <f t="shared" si="136"/>
        <v>25</v>
      </c>
      <c r="M554" s="43"/>
    </row>
    <row r="555" spans="2:15" ht="15.75" hidden="1" x14ac:dyDescent="0.25">
      <c r="B555" s="10">
        <v>46134</v>
      </c>
      <c r="C555" s="10" t="s">
        <v>22</v>
      </c>
      <c r="D555" s="10" t="s">
        <v>20</v>
      </c>
      <c r="F555" s="941"/>
      <c r="G555" s="42" t="s">
        <v>25</v>
      </c>
      <c r="H555" s="29" t="s">
        <v>106</v>
      </c>
      <c r="I555" s="42">
        <v>2</v>
      </c>
      <c r="J555" s="42">
        <v>0</v>
      </c>
      <c r="K555" s="42">
        <v>0</v>
      </c>
      <c r="L555" s="66">
        <f t="shared" si="136"/>
        <v>2</v>
      </c>
      <c r="M555" s="43"/>
    </row>
    <row r="556" spans="2:15" ht="15.75" hidden="1" x14ac:dyDescent="0.25">
      <c r="B556" s="10">
        <v>46134</v>
      </c>
      <c r="C556" s="10" t="s">
        <v>22</v>
      </c>
      <c r="D556" s="10" t="s">
        <v>20</v>
      </c>
      <c r="F556" s="52">
        <v>46135</v>
      </c>
      <c r="G556" s="42" t="s">
        <v>14</v>
      </c>
      <c r="H556" s="29" t="s">
        <v>105</v>
      </c>
      <c r="I556" s="42">
        <v>0</v>
      </c>
      <c r="J556" s="42">
        <v>0</v>
      </c>
      <c r="K556" s="42">
        <v>68</v>
      </c>
      <c r="L556" s="66">
        <f t="shared" si="136"/>
        <v>68</v>
      </c>
      <c r="M556" s="43"/>
    </row>
    <row r="557" spans="2:15" ht="15.75" hidden="1" x14ac:dyDescent="0.25">
      <c r="B557" s="10">
        <v>46134</v>
      </c>
      <c r="C557" s="10" t="s">
        <v>22</v>
      </c>
      <c r="D557" s="10" t="s">
        <v>20</v>
      </c>
      <c r="F557" s="937" t="s">
        <v>40</v>
      </c>
      <c r="G557" s="937"/>
      <c r="H557" s="937"/>
      <c r="I557" s="8">
        <f>SUM(I550:I556)</f>
        <v>165</v>
      </c>
      <c r="J557" s="8">
        <f>SUM(J550:J556)</f>
        <v>75</v>
      </c>
      <c r="K557" s="8">
        <f>SUM(K550:K556)</f>
        <v>68</v>
      </c>
      <c r="L557" s="8">
        <f>SUM(I557:K557)</f>
        <v>308</v>
      </c>
      <c r="M557" s="31"/>
      <c r="O557" s="8">
        <f>L557</f>
        <v>308</v>
      </c>
    </row>
    <row r="558" spans="2:15" ht="15.75" hidden="1" x14ac:dyDescent="0.25">
      <c r="B558" s="10">
        <v>46134</v>
      </c>
      <c r="C558" s="10" t="s">
        <v>12</v>
      </c>
      <c r="D558" s="10" t="s">
        <v>23</v>
      </c>
      <c r="F558" s="939">
        <v>46134</v>
      </c>
      <c r="G558" s="29" t="s">
        <v>75</v>
      </c>
      <c r="H558" s="29" t="s">
        <v>83</v>
      </c>
      <c r="I558" s="42">
        <v>31</v>
      </c>
      <c r="J558" s="42">
        <v>21</v>
      </c>
      <c r="K558" s="42">
        <v>178</v>
      </c>
      <c r="L558" s="66">
        <f>SUM(I558:K558)</f>
        <v>230</v>
      </c>
      <c r="M558" s="31"/>
    </row>
    <row r="559" spans="2:15" ht="15.75" hidden="1" x14ac:dyDescent="0.25">
      <c r="B559" s="10">
        <v>46134</v>
      </c>
      <c r="C559" s="10" t="s">
        <v>12</v>
      </c>
      <c r="D559" s="10" t="s">
        <v>23</v>
      </c>
      <c r="F559" s="940"/>
      <c r="G559" s="42" t="s">
        <v>17</v>
      </c>
      <c r="H559" s="29" t="s">
        <v>112</v>
      </c>
      <c r="I559" s="42">
        <v>31</v>
      </c>
      <c r="J559" s="42">
        <v>31</v>
      </c>
      <c r="K559" s="42">
        <v>0</v>
      </c>
      <c r="L559" s="66">
        <f t="shared" ref="L559:L560" si="137">SUM(I559:K559)</f>
        <v>62</v>
      </c>
      <c r="M559" s="43"/>
    </row>
    <row r="560" spans="2:15" ht="15.75" hidden="1" x14ac:dyDescent="0.25">
      <c r="B560" s="10">
        <v>46134</v>
      </c>
      <c r="C560" s="10" t="s">
        <v>12</v>
      </c>
      <c r="D560" s="10" t="s">
        <v>23</v>
      </c>
      <c r="F560" s="940"/>
      <c r="G560" s="42" t="s">
        <v>14</v>
      </c>
      <c r="H560" s="29" t="s">
        <v>105</v>
      </c>
      <c r="I560" s="42">
        <v>3</v>
      </c>
      <c r="J560" s="42">
        <v>0</v>
      </c>
      <c r="K560" s="42">
        <v>8</v>
      </c>
      <c r="L560" s="66">
        <f t="shared" si="137"/>
        <v>11</v>
      </c>
      <c r="M560" s="43"/>
    </row>
    <row r="561" spans="2:15" ht="15.75" hidden="1" x14ac:dyDescent="0.25">
      <c r="B561" s="10">
        <v>46134</v>
      </c>
      <c r="C561" s="10" t="s">
        <v>12</v>
      </c>
      <c r="D561" s="10" t="s">
        <v>23</v>
      </c>
      <c r="F561" s="937" t="s">
        <v>40</v>
      </c>
      <c r="G561" s="937"/>
      <c r="H561" s="937"/>
      <c r="I561" s="8">
        <f>SUM(I558:I560)</f>
        <v>65</v>
      </c>
      <c r="J561" s="8">
        <f>SUM(J558:J560)</f>
        <v>52</v>
      </c>
      <c r="K561" s="8">
        <f>SUM(K558:K560)</f>
        <v>186</v>
      </c>
      <c r="L561" s="8">
        <f>SUM(I561:K561)</f>
        <v>303</v>
      </c>
      <c r="M561" s="31"/>
      <c r="O561" s="8">
        <f>L561</f>
        <v>303</v>
      </c>
    </row>
    <row r="562" spans="2:15" ht="15.75" hidden="1" x14ac:dyDescent="0.25">
      <c r="B562" s="10">
        <v>46134</v>
      </c>
      <c r="C562" s="10" t="s">
        <v>18</v>
      </c>
      <c r="D562" s="10" t="s">
        <v>13</v>
      </c>
      <c r="F562" s="939">
        <v>46134</v>
      </c>
      <c r="G562" s="29" t="s">
        <v>75</v>
      </c>
      <c r="H562" s="29" t="s">
        <v>83</v>
      </c>
      <c r="I562" s="42">
        <v>136</v>
      </c>
      <c r="J562" s="42">
        <v>101</v>
      </c>
      <c r="K562" s="42">
        <v>0</v>
      </c>
      <c r="L562" s="66">
        <f>SUM(I562:K562)</f>
        <v>237</v>
      </c>
      <c r="M562" s="31"/>
    </row>
    <row r="563" spans="2:15" ht="15.75" hidden="1" x14ac:dyDescent="0.25">
      <c r="B563" s="10">
        <v>46134</v>
      </c>
      <c r="C563" s="10" t="s">
        <v>18</v>
      </c>
      <c r="D563" s="10" t="s">
        <v>13</v>
      </c>
      <c r="F563" s="940"/>
      <c r="G563" s="42" t="s">
        <v>17</v>
      </c>
      <c r="H563" s="29" t="s">
        <v>112</v>
      </c>
      <c r="I563" s="42">
        <v>95</v>
      </c>
      <c r="J563" s="42">
        <v>46</v>
      </c>
      <c r="K563" s="42">
        <v>0</v>
      </c>
      <c r="L563" s="66">
        <f t="shared" ref="L563:L565" si="138">SUM(I563:K563)</f>
        <v>141</v>
      </c>
      <c r="M563" s="43"/>
    </row>
    <row r="564" spans="2:15" ht="15.75" hidden="1" x14ac:dyDescent="0.25">
      <c r="B564" s="10">
        <v>46134</v>
      </c>
      <c r="C564" s="10" t="s">
        <v>18</v>
      </c>
      <c r="D564" s="10" t="s">
        <v>13</v>
      </c>
      <c r="F564" s="940"/>
      <c r="G564" s="42" t="s">
        <v>25</v>
      </c>
      <c r="H564" s="29" t="s">
        <v>105</v>
      </c>
      <c r="I564" s="42">
        <v>8</v>
      </c>
      <c r="J564" s="42">
        <v>3</v>
      </c>
      <c r="K564" s="42">
        <v>0</v>
      </c>
      <c r="L564" s="66">
        <f t="shared" si="138"/>
        <v>11</v>
      </c>
      <c r="M564" s="43"/>
    </row>
    <row r="565" spans="2:15" ht="15.75" hidden="1" x14ac:dyDescent="0.25">
      <c r="B565" s="10">
        <v>46134</v>
      </c>
      <c r="C565" s="10" t="s">
        <v>18</v>
      </c>
      <c r="D565" s="10" t="s">
        <v>13</v>
      </c>
      <c r="F565" s="940"/>
      <c r="G565" s="42" t="s">
        <v>26</v>
      </c>
      <c r="H565" s="29" t="s">
        <v>105</v>
      </c>
      <c r="I565" s="42">
        <v>3</v>
      </c>
      <c r="J565" s="42">
        <v>0</v>
      </c>
      <c r="K565" s="42">
        <v>0</v>
      </c>
      <c r="L565" s="66">
        <f t="shared" si="138"/>
        <v>3</v>
      </c>
      <c r="M565" s="43"/>
    </row>
    <row r="566" spans="2:15" ht="15.75" hidden="1" x14ac:dyDescent="0.25">
      <c r="B566" s="10">
        <v>46134</v>
      </c>
      <c r="C566" s="10" t="s">
        <v>18</v>
      </c>
      <c r="D566" s="10" t="s">
        <v>13</v>
      </c>
      <c r="F566" s="937" t="s">
        <v>40</v>
      </c>
      <c r="G566" s="937"/>
      <c r="H566" s="937"/>
      <c r="I566" s="8">
        <f>SUM(I562:I565)</f>
        <v>242</v>
      </c>
      <c r="J566" s="8">
        <f>SUM(J562:J565)</f>
        <v>150</v>
      </c>
      <c r="K566" s="8">
        <f>SUM(K562:K565)</f>
        <v>0</v>
      </c>
      <c r="L566" s="8">
        <f>SUM(I566:K566)</f>
        <v>392</v>
      </c>
      <c r="M566" s="31"/>
    </row>
    <row r="567" spans="2:15" ht="15.75" hidden="1" x14ac:dyDescent="0.25">
      <c r="B567" s="10">
        <v>46135</v>
      </c>
      <c r="C567" s="10" t="s">
        <v>22</v>
      </c>
      <c r="D567" s="10" t="s">
        <v>20</v>
      </c>
      <c r="F567" s="942">
        <v>46135</v>
      </c>
      <c r="G567" s="29" t="s">
        <v>75</v>
      </c>
      <c r="H567" s="29" t="s">
        <v>83</v>
      </c>
      <c r="I567" s="42">
        <v>2</v>
      </c>
      <c r="J567" s="42">
        <v>18</v>
      </c>
      <c r="K567" s="42">
        <v>0</v>
      </c>
      <c r="L567" s="66">
        <f>SUM(I567:K567)</f>
        <v>20</v>
      </c>
      <c r="M567" s="31"/>
    </row>
    <row r="568" spans="2:15" ht="15.75" hidden="1" x14ac:dyDescent="0.25">
      <c r="B568" s="10">
        <v>46135</v>
      </c>
      <c r="C568" s="10" t="s">
        <v>22</v>
      </c>
      <c r="D568" s="10" t="s">
        <v>20</v>
      </c>
      <c r="F568" s="942"/>
      <c r="G568" s="42" t="s">
        <v>32</v>
      </c>
      <c r="H568" s="29" t="s">
        <v>106</v>
      </c>
      <c r="I568" s="42">
        <v>23</v>
      </c>
      <c r="J568" s="42">
        <v>2</v>
      </c>
      <c r="K568" s="42">
        <v>0</v>
      </c>
      <c r="L568" s="66">
        <f t="shared" ref="L568:L574" si="139">SUM(I568:K568)</f>
        <v>25</v>
      </c>
      <c r="M568" s="43"/>
    </row>
    <row r="569" spans="2:15" ht="15.75" hidden="1" x14ac:dyDescent="0.25">
      <c r="B569" s="10">
        <v>46135</v>
      </c>
      <c r="C569" s="10" t="s">
        <v>22</v>
      </c>
      <c r="D569" s="10" t="s">
        <v>20</v>
      </c>
      <c r="F569" s="942"/>
      <c r="G569" s="42" t="s">
        <v>17</v>
      </c>
      <c r="H569" s="29" t="s">
        <v>106</v>
      </c>
      <c r="I569" s="42">
        <v>41</v>
      </c>
      <c r="J569" s="42">
        <v>13</v>
      </c>
      <c r="K569" s="42">
        <v>0</v>
      </c>
      <c r="L569" s="66">
        <f t="shared" si="139"/>
        <v>54</v>
      </c>
      <c r="M569" s="43"/>
    </row>
    <row r="570" spans="2:15" ht="15.75" hidden="1" x14ac:dyDescent="0.25">
      <c r="B570" s="10">
        <v>46135</v>
      </c>
      <c r="C570" s="10" t="s">
        <v>22</v>
      </c>
      <c r="D570" s="10" t="s">
        <v>20</v>
      </c>
      <c r="F570" s="942"/>
      <c r="G570" s="42" t="s">
        <v>14</v>
      </c>
      <c r="H570" s="29" t="s">
        <v>105</v>
      </c>
      <c r="I570" s="42">
        <v>29</v>
      </c>
      <c r="J570" s="42">
        <v>13</v>
      </c>
      <c r="K570" s="42">
        <v>137</v>
      </c>
      <c r="L570" s="66">
        <f t="shared" si="139"/>
        <v>179</v>
      </c>
      <c r="M570" s="43"/>
    </row>
    <row r="571" spans="2:15" ht="15.75" hidden="1" x14ac:dyDescent="0.25">
      <c r="B571" s="10">
        <v>46135</v>
      </c>
      <c r="C571" s="10" t="s">
        <v>22</v>
      </c>
      <c r="D571" s="10" t="s">
        <v>20</v>
      </c>
      <c r="F571" s="942"/>
      <c r="G571" s="42" t="s">
        <v>118</v>
      </c>
      <c r="H571" s="29" t="s">
        <v>106</v>
      </c>
      <c r="I571" s="42">
        <v>3</v>
      </c>
      <c r="J571" s="42">
        <v>0</v>
      </c>
      <c r="K571" s="42">
        <v>0</v>
      </c>
      <c r="L571" s="66">
        <f t="shared" si="139"/>
        <v>3</v>
      </c>
      <c r="M571" s="43"/>
    </row>
    <row r="572" spans="2:15" ht="15.75" hidden="1" x14ac:dyDescent="0.25">
      <c r="B572" s="10">
        <v>46135</v>
      </c>
      <c r="C572" s="10" t="s">
        <v>22</v>
      </c>
      <c r="D572" s="10" t="s">
        <v>20</v>
      </c>
      <c r="F572" s="942"/>
      <c r="G572" s="42" t="s">
        <v>25</v>
      </c>
      <c r="H572" s="29" t="s">
        <v>106</v>
      </c>
      <c r="I572" s="42">
        <v>0</v>
      </c>
      <c r="J572" s="42">
        <v>1</v>
      </c>
      <c r="K572" s="42">
        <v>0</v>
      </c>
      <c r="L572" s="66">
        <f t="shared" si="139"/>
        <v>1</v>
      </c>
      <c r="M572" s="43"/>
    </row>
    <row r="573" spans="2:15" ht="15.75" hidden="1" x14ac:dyDescent="0.25">
      <c r="B573" s="10">
        <v>46135</v>
      </c>
      <c r="C573" s="10" t="s">
        <v>22</v>
      </c>
      <c r="D573" s="10" t="s">
        <v>20</v>
      </c>
      <c r="F573" s="948">
        <v>46136</v>
      </c>
      <c r="G573" s="42" t="s">
        <v>25</v>
      </c>
      <c r="H573" s="29" t="s">
        <v>106</v>
      </c>
      <c r="I573" s="42">
        <v>0</v>
      </c>
      <c r="J573" s="42">
        <v>0</v>
      </c>
      <c r="K573" s="42">
        <v>48</v>
      </c>
      <c r="L573" s="66">
        <f t="shared" si="139"/>
        <v>48</v>
      </c>
      <c r="M573" s="43"/>
    </row>
    <row r="574" spans="2:15" ht="15.75" hidden="1" x14ac:dyDescent="0.25">
      <c r="B574" s="10">
        <v>46135</v>
      </c>
      <c r="C574" s="10" t="s">
        <v>22</v>
      </c>
      <c r="D574" s="10" t="s">
        <v>20</v>
      </c>
      <c r="F574" s="948"/>
      <c r="G574" s="42" t="s">
        <v>32</v>
      </c>
      <c r="H574" s="29" t="s">
        <v>106</v>
      </c>
      <c r="I574" s="42">
        <v>12</v>
      </c>
      <c r="J574" s="42">
        <v>0</v>
      </c>
      <c r="K574" s="42">
        <v>0</v>
      </c>
      <c r="L574" s="66">
        <f t="shared" si="139"/>
        <v>12</v>
      </c>
      <c r="M574" s="43"/>
    </row>
    <row r="575" spans="2:15" ht="15.75" hidden="1" x14ac:dyDescent="0.25">
      <c r="B575" s="10">
        <v>46135</v>
      </c>
      <c r="C575" s="10" t="s">
        <v>22</v>
      </c>
      <c r="D575" s="10" t="s">
        <v>20</v>
      </c>
      <c r="F575" s="937" t="s">
        <v>40</v>
      </c>
      <c r="G575" s="937"/>
      <c r="H575" s="937"/>
      <c r="I575" s="8">
        <f>SUM(I567:I574)</f>
        <v>110</v>
      </c>
      <c r="J575" s="8">
        <f>SUM(J567:J574)</f>
        <v>47</v>
      </c>
      <c r="K575" s="8">
        <f>SUM(K567:K574)</f>
        <v>185</v>
      </c>
      <c r="L575" s="8">
        <f>SUM(I575:K575)</f>
        <v>342</v>
      </c>
      <c r="M575" s="31"/>
      <c r="O575" s="8">
        <f>L575</f>
        <v>342</v>
      </c>
    </row>
    <row r="576" spans="2:15" ht="15.75" hidden="1" x14ac:dyDescent="0.25">
      <c r="B576" s="10">
        <v>46135</v>
      </c>
      <c r="C576" s="10" t="s">
        <v>12</v>
      </c>
      <c r="D576" s="10" t="s">
        <v>23</v>
      </c>
      <c r="F576" s="942">
        <v>46135</v>
      </c>
      <c r="G576" s="29" t="s">
        <v>75</v>
      </c>
      <c r="H576" s="29" t="s">
        <v>83</v>
      </c>
      <c r="I576" s="42">
        <v>24</v>
      </c>
      <c r="J576" s="42">
        <v>3</v>
      </c>
      <c r="K576" s="42">
        <v>59</v>
      </c>
      <c r="L576" s="66">
        <f>SUM(I576:K576)</f>
        <v>86</v>
      </c>
      <c r="M576" s="31"/>
    </row>
    <row r="577" spans="2:15" ht="15.75" hidden="1" x14ac:dyDescent="0.25">
      <c r="B577" s="10">
        <v>46135</v>
      </c>
      <c r="C577" s="10" t="s">
        <v>12</v>
      </c>
      <c r="D577" s="10" t="s">
        <v>23</v>
      </c>
      <c r="F577" s="942"/>
      <c r="G577" s="42" t="s">
        <v>32</v>
      </c>
      <c r="H577" s="29" t="s">
        <v>106</v>
      </c>
      <c r="I577" s="42">
        <v>5</v>
      </c>
      <c r="J577" s="42">
        <v>0</v>
      </c>
      <c r="K577" s="42">
        <v>0</v>
      </c>
      <c r="L577" s="66">
        <f t="shared" ref="L577:L581" si="140">SUM(I577:K577)</f>
        <v>5</v>
      </c>
      <c r="M577" s="43"/>
    </row>
    <row r="578" spans="2:15" ht="15.75" hidden="1" x14ac:dyDescent="0.25">
      <c r="B578" s="10">
        <v>46135</v>
      </c>
      <c r="C578" s="10" t="s">
        <v>12</v>
      </c>
      <c r="D578" s="10" t="s">
        <v>23</v>
      </c>
      <c r="F578" s="942"/>
      <c r="G578" s="42" t="s">
        <v>17</v>
      </c>
      <c r="H578" s="29" t="s">
        <v>106</v>
      </c>
      <c r="I578" s="42">
        <v>36</v>
      </c>
      <c r="J578" s="42">
        <v>20</v>
      </c>
      <c r="K578" s="42">
        <v>0</v>
      </c>
      <c r="L578" s="66">
        <f t="shared" si="140"/>
        <v>56</v>
      </c>
      <c r="M578" s="43"/>
    </row>
    <row r="579" spans="2:15" ht="15.75" hidden="1" x14ac:dyDescent="0.25">
      <c r="B579" s="10">
        <v>46135</v>
      </c>
      <c r="C579" s="10" t="s">
        <v>12</v>
      </c>
      <c r="D579" s="10" t="s">
        <v>23</v>
      </c>
      <c r="F579" s="942"/>
      <c r="G579" s="42" t="s">
        <v>14</v>
      </c>
      <c r="H579" s="29" t="s">
        <v>105</v>
      </c>
      <c r="I579" s="42">
        <v>106</v>
      </c>
      <c r="J579" s="42">
        <v>35</v>
      </c>
      <c r="K579" s="42">
        <v>0</v>
      </c>
      <c r="L579" s="66">
        <f t="shared" si="140"/>
        <v>141</v>
      </c>
      <c r="M579" s="43"/>
    </row>
    <row r="580" spans="2:15" ht="15.75" hidden="1" x14ac:dyDescent="0.25">
      <c r="B580" s="10">
        <v>46135</v>
      </c>
      <c r="C580" s="10" t="s">
        <v>12</v>
      </c>
      <c r="D580" s="10" t="s">
        <v>23</v>
      </c>
      <c r="F580" s="942"/>
      <c r="G580" s="42" t="s">
        <v>118</v>
      </c>
      <c r="H580" s="29" t="s">
        <v>106</v>
      </c>
      <c r="I580" s="42">
        <v>20</v>
      </c>
      <c r="J580" s="42">
        <v>0</v>
      </c>
      <c r="K580" s="42">
        <v>0</v>
      </c>
      <c r="L580" s="66">
        <f t="shared" si="140"/>
        <v>20</v>
      </c>
      <c r="M580" s="43"/>
    </row>
    <row r="581" spans="2:15" ht="15.75" hidden="1" x14ac:dyDescent="0.25">
      <c r="B581" s="10">
        <v>46135</v>
      </c>
      <c r="C581" s="10" t="s">
        <v>12</v>
      </c>
      <c r="D581" s="10" t="s">
        <v>23</v>
      </c>
      <c r="F581" s="942"/>
      <c r="G581" s="42" t="s">
        <v>25</v>
      </c>
      <c r="H581" s="29" t="s">
        <v>106</v>
      </c>
      <c r="I581" s="42">
        <v>10</v>
      </c>
      <c r="J581" s="42">
        <v>2</v>
      </c>
      <c r="K581" s="42">
        <f>175-48</f>
        <v>127</v>
      </c>
      <c r="L581" s="66">
        <f t="shared" si="140"/>
        <v>139</v>
      </c>
      <c r="M581" s="43"/>
    </row>
    <row r="582" spans="2:15" ht="15.75" hidden="1" x14ac:dyDescent="0.25">
      <c r="B582" s="10">
        <v>46135</v>
      </c>
      <c r="C582" s="10" t="s">
        <v>12</v>
      </c>
      <c r="D582" s="10" t="s">
        <v>23</v>
      </c>
      <c r="F582" s="937" t="s">
        <v>40</v>
      </c>
      <c r="G582" s="937"/>
      <c r="H582" s="937"/>
      <c r="I582" s="8">
        <f>SUM(I576:I581)</f>
        <v>201</v>
      </c>
      <c r="J582" s="8">
        <f>SUM(J576:J581)</f>
        <v>60</v>
      </c>
      <c r="K582" s="8">
        <f>SUM(K576:K581)</f>
        <v>186</v>
      </c>
      <c r="L582" s="8">
        <f>SUM(I582:K582)</f>
        <v>447</v>
      </c>
      <c r="M582" s="31"/>
      <c r="O582" s="8">
        <f>L582</f>
        <v>447</v>
      </c>
    </row>
    <row r="583" spans="2:15" ht="15.75" hidden="1" x14ac:dyDescent="0.25">
      <c r="B583" s="10">
        <v>46135</v>
      </c>
      <c r="C583" s="10" t="s">
        <v>18</v>
      </c>
      <c r="D583" s="10" t="s">
        <v>13</v>
      </c>
      <c r="F583" s="942">
        <v>46135</v>
      </c>
      <c r="G583" s="29" t="s">
        <v>75</v>
      </c>
      <c r="H583" s="29" t="s">
        <v>83</v>
      </c>
      <c r="I583" s="42">
        <v>113</v>
      </c>
      <c r="J583" s="42">
        <v>83</v>
      </c>
      <c r="K583" s="42">
        <v>0</v>
      </c>
      <c r="L583" s="66">
        <f>SUM(I583:K583)</f>
        <v>196</v>
      </c>
      <c r="M583" s="31"/>
    </row>
    <row r="584" spans="2:15" ht="15.75" hidden="1" x14ac:dyDescent="0.25">
      <c r="B584" s="10">
        <v>46135</v>
      </c>
      <c r="C584" s="10" t="s">
        <v>18</v>
      </c>
      <c r="D584" s="10" t="s">
        <v>13</v>
      </c>
      <c r="F584" s="942"/>
      <c r="G584" s="42" t="s">
        <v>17</v>
      </c>
      <c r="H584" s="29" t="s">
        <v>106</v>
      </c>
      <c r="I584" s="42">
        <v>0</v>
      </c>
      <c r="J584" s="42">
        <v>0</v>
      </c>
      <c r="K584" s="42">
        <v>0</v>
      </c>
      <c r="L584" s="66">
        <f t="shared" ref="L584:L587" si="141">SUM(I584:K584)</f>
        <v>0</v>
      </c>
      <c r="M584" s="43"/>
    </row>
    <row r="585" spans="2:15" ht="15.75" hidden="1" x14ac:dyDescent="0.25">
      <c r="B585" s="10">
        <v>46135</v>
      </c>
      <c r="C585" s="10" t="s">
        <v>18</v>
      </c>
      <c r="D585" s="10" t="s">
        <v>13</v>
      </c>
      <c r="F585" s="942"/>
      <c r="G585" s="42" t="s">
        <v>14</v>
      </c>
      <c r="H585" s="29" t="s">
        <v>105</v>
      </c>
      <c r="I585" s="42">
        <v>32</v>
      </c>
      <c r="J585" s="42">
        <v>9</v>
      </c>
      <c r="K585" s="42">
        <v>41</v>
      </c>
      <c r="L585" s="66">
        <f t="shared" si="141"/>
        <v>82</v>
      </c>
      <c r="M585" s="43"/>
    </row>
    <row r="586" spans="2:15" ht="15.75" hidden="1" x14ac:dyDescent="0.25">
      <c r="B586" s="10">
        <v>46135</v>
      </c>
      <c r="C586" s="10" t="s">
        <v>18</v>
      </c>
      <c r="D586" s="10" t="s">
        <v>13</v>
      </c>
      <c r="F586" s="942"/>
      <c r="G586" s="42" t="s">
        <v>26</v>
      </c>
      <c r="H586" s="29" t="s">
        <v>106</v>
      </c>
      <c r="I586" s="42">
        <v>3</v>
      </c>
      <c r="J586" s="42">
        <v>0</v>
      </c>
      <c r="K586" s="42">
        <v>0</v>
      </c>
      <c r="L586" s="66">
        <f t="shared" si="141"/>
        <v>3</v>
      </c>
      <c r="M586" s="43"/>
    </row>
    <row r="587" spans="2:15" ht="15.75" hidden="1" x14ac:dyDescent="0.25">
      <c r="B587" s="10">
        <v>46135</v>
      </c>
      <c r="C587" s="10" t="s">
        <v>18</v>
      </c>
      <c r="D587" s="10" t="s">
        <v>13</v>
      </c>
      <c r="F587" s="942"/>
      <c r="G587" s="42" t="s">
        <v>25</v>
      </c>
      <c r="H587" s="29" t="s">
        <v>106</v>
      </c>
      <c r="I587" s="42">
        <v>131</v>
      </c>
      <c r="J587" s="42">
        <v>50</v>
      </c>
      <c r="K587" s="42">
        <v>0</v>
      </c>
      <c r="L587" s="66">
        <f t="shared" si="141"/>
        <v>181</v>
      </c>
      <c r="M587" s="43"/>
    </row>
    <row r="588" spans="2:15" ht="15.75" hidden="1" x14ac:dyDescent="0.25">
      <c r="B588" s="10">
        <v>46135</v>
      </c>
      <c r="C588" s="10" t="s">
        <v>18</v>
      </c>
      <c r="D588" s="10" t="s">
        <v>13</v>
      </c>
      <c r="F588" s="937" t="s">
        <v>40</v>
      </c>
      <c r="G588" s="937"/>
      <c r="H588" s="937"/>
      <c r="I588" s="8">
        <f>SUM(I583:I587)</f>
        <v>279</v>
      </c>
      <c r="J588" s="8">
        <f>SUM(J583:J587)</f>
        <v>142</v>
      </c>
      <c r="K588" s="8">
        <f>SUM(K583:K587)</f>
        <v>41</v>
      </c>
      <c r="L588" s="8">
        <f>SUM(I588:K588)</f>
        <v>462</v>
      </c>
      <c r="M588" s="31"/>
    </row>
    <row r="589" spans="2:15" ht="15.75" hidden="1" x14ac:dyDescent="0.25">
      <c r="B589" s="10">
        <v>46136</v>
      </c>
      <c r="C589" s="10" t="s">
        <v>22</v>
      </c>
      <c r="D589" s="10" t="s">
        <v>20</v>
      </c>
      <c r="F589" s="942">
        <v>46135</v>
      </c>
      <c r="G589" s="29" t="s">
        <v>75</v>
      </c>
      <c r="H589" s="29" t="s">
        <v>83</v>
      </c>
      <c r="I589" s="42">
        <v>2</v>
      </c>
      <c r="J589" s="42">
        <v>11</v>
      </c>
      <c r="K589" s="42">
        <v>0</v>
      </c>
      <c r="L589" s="66">
        <f>SUM(I589:K589)</f>
        <v>13</v>
      </c>
      <c r="M589" s="31"/>
    </row>
    <row r="590" spans="2:15" ht="15.75" hidden="1" x14ac:dyDescent="0.25">
      <c r="B590" s="10">
        <v>46136</v>
      </c>
      <c r="C590" s="10" t="s">
        <v>22</v>
      </c>
      <c r="D590" s="10" t="s">
        <v>20</v>
      </c>
      <c r="F590" s="942"/>
      <c r="G590" s="42" t="s">
        <v>32</v>
      </c>
      <c r="H590" s="29" t="s">
        <v>106</v>
      </c>
      <c r="I590" s="42">
        <v>33</v>
      </c>
      <c r="J590" s="42">
        <v>8</v>
      </c>
      <c r="K590" s="42">
        <v>0</v>
      </c>
      <c r="L590" s="66">
        <f t="shared" ref="L590:L595" si="142">SUM(I590:K590)</f>
        <v>41</v>
      </c>
      <c r="M590" s="43"/>
    </row>
    <row r="591" spans="2:15" ht="15.75" hidden="1" x14ac:dyDescent="0.25">
      <c r="B591" s="10">
        <v>46136</v>
      </c>
      <c r="C591" s="10" t="s">
        <v>22</v>
      </c>
      <c r="D591" s="10" t="s">
        <v>20</v>
      </c>
      <c r="F591" s="942"/>
      <c r="G591" s="42" t="s">
        <v>17</v>
      </c>
      <c r="H591" s="29" t="s">
        <v>106</v>
      </c>
      <c r="I591" s="42">
        <v>10</v>
      </c>
      <c r="J591" s="42">
        <v>9</v>
      </c>
      <c r="K591" s="42">
        <v>0</v>
      </c>
      <c r="L591" s="66">
        <f t="shared" si="142"/>
        <v>19</v>
      </c>
      <c r="M591" s="43"/>
    </row>
    <row r="592" spans="2:15" ht="15.75" hidden="1" x14ac:dyDescent="0.25">
      <c r="B592" s="10">
        <v>46136</v>
      </c>
      <c r="C592" s="10" t="s">
        <v>22</v>
      </c>
      <c r="D592" s="10" t="s">
        <v>20</v>
      </c>
      <c r="F592" s="942"/>
      <c r="G592" s="42" t="s">
        <v>14</v>
      </c>
      <c r="H592" s="29" t="s">
        <v>105</v>
      </c>
      <c r="I592" s="42">
        <v>0</v>
      </c>
      <c r="J592" s="42">
        <v>0</v>
      </c>
      <c r="K592" s="42">
        <v>136</v>
      </c>
      <c r="L592" s="66">
        <f t="shared" si="142"/>
        <v>136</v>
      </c>
      <c r="M592" s="43"/>
    </row>
    <row r="593" spans="2:15" ht="15.75" hidden="1" x14ac:dyDescent="0.25">
      <c r="B593" s="10">
        <v>46136</v>
      </c>
      <c r="C593" s="10" t="s">
        <v>22</v>
      </c>
      <c r="D593" s="10" t="s">
        <v>20</v>
      </c>
      <c r="F593" s="942"/>
      <c r="G593" s="42" t="s">
        <v>118</v>
      </c>
      <c r="H593" s="29" t="s">
        <v>106</v>
      </c>
      <c r="I593" s="42">
        <v>15</v>
      </c>
      <c r="J593" s="42">
        <v>0</v>
      </c>
      <c r="K593" s="42">
        <v>0</v>
      </c>
      <c r="L593" s="66">
        <f t="shared" si="142"/>
        <v>15</v>
      </c>
      <c r="M593" s="43"/>
    </row>
    <row r="594" spans="2:15" ht="15.75" hidden="1" x14ac:dyDescent="0.25">
      <c r="B594" s="10">
        <v>46136</v>
      </c>
      <c r="C594" s="10" t="s">
        <v>22</v>
      </c>
      <c r="D594" s="10" t="s">
        <v>20</v>
      </c>
      <c r="F594" s="942"/>
      <c r="G594" s="42" t="s">
        <v>25</v>
      </c>
      <c r="H594" s="29" t="s">
        <v>106</v>
      </c>
      <c r="I594" s="42">
        <v>6</v>
      </c>
      <c r="J594" s="42">
        <v>9</v>
      </c>
      <c r="K594" s="42">
        <v>0</v>
      </c>
      <c r="L594" s="66">
        <f t="shared" si="142"/>
        <v>15</v>
      </c>
      <c r="M594" s="43"/>
    </row>
    <row r="595" spans="2:15" ht="15.75" hidden="1" x14ac:dyDescent="0.25">
      <c r="B595" s="10">
        <v>46136</v>
      </c>
      <c r="C595" s="10" t="s">
        <v>22</v>
      </c>
      <c r="D595" s="10" t="s">
        <v>20</v>
      </c>
      <c r="F595" s="52">
        <v>46136</v>
      </c>
      <c r="G595" s="42" t="s">
        <v>17</v>
      </c>
      <c r="H595" s="29" t="s">
        <v>106</v>
      </c>
      <c r="I595" s="42">
        <v>0</v>
      </c>
      <c r="J595" s="42">
        <v>0</v>
      </c>
      <c r="K595" s="42">
        <v>55</v>
      </c>
      <c r="L595" s="66">
        <f t="shared" si="142"/>
        <v>55</v>
      </c>
      <c r="M595" s="43"/>
    </row>
    <row r="596" spans="2:15" ht="15.75" hidden="1" x14ac:dyDescent="0.25">
      <c r="B596" s="10">
        <v>46136</v>
      </c>
      <c r="C596" s="10" t="s">
        <v>22</v>
      </c>
      <c r="D596" s="10" t="s">
        <v>20</v>
      </c>
      <c r="F596" s="937" t="s">
        <v>40</v>
      </c>
      <c r="G596" s="937"/>
      <c r="H596" s="937"/>
      <c r="I596" s="8">
        <f>SUM(I589:I595)</f>
        <v>66</v>
      </c>
      <c r="J596" s="8">
        <f>SUM(J589:J595)</f>
        <v>37</v>
      </c>
      <c r="K596" s="8">
        <f>SUM(K589:K595)</f>
        <v>191</v>
      </c>
      <c r="L596" s="8">
        <f>SUM(I596:K596)</f>
        <v>294</v>
      </c>
      <c r="M596" s="31"/>
      <c r="O596" s="8">
        <f>L596</f>
        <v>294</v>
      </c>
    </row>
    <row r="597" spans="2:15" ht="15.75" hidden="1" x14ac:dyDescent="0.25">
      <c r="B597" s="10">
        <v>46136</v>
      </c>
      <c r="C597" s="10" t="s">
        <v>12</v>
      </c>
      <c r="D597" s="10" t="s">
        <v>23</v>
      </c>
      <c r="F597" s="942">
        <v>46136</v>
      </c>
      <c r="G597" s="29" t="s">
        <v>75</v>
      </c>
      <c r="H597" s="29" t="s">
        <v>83</v>
      </c>
      <c r="I597" s="42">
        <v>31</v>
      </c>
      <c r="J597" s="42">
        <v>31</v>
      </c>
      <c r="K597" s="42">
        <v>46</v>
      </c>
      <c r="L597" s="66">
        <f>SUM(I597:K597)</f>
        <v>108</v>
      </c>
      <c r="M597" s="31"/>
    </row>
    <row r="598" spans="2:15" ht="15.75" hidden="1" x14ac:dyDescent="0.25">
      <c r="B598" s="10">
        <v>46136</v>
      </c>
      <c r="C598" s="10" t="s">
        <v>12</v>
      </c>
      <c r="D598" s="10" t="s">
        <v>23</v>
      </c>
      <c r="F598" s="942"/>
      <c r="G598" s="42" t="s">
        <v>14</v>
      </c>
      <c r="H598" s="29" t="s">
        <v>105</v>
      </c>
      <c r="I598" s="42">
        <v>141</v>
      </c>
      <c r="J598" s="42">
        <v>39</v>
      </c>
      <c r="K598" s="42">
        <v>0</v>
      </c>
      <c r="L598" s="66">
        <f t="shared" ref="L598:L600" si="143">SUM(I598:K598)</f>
        <v>180</v>
      </c>
      <c r="M598" s="43"/>
    </row>
    <row r="599" spans="2:15" ht="15.75" hidden="1" x14ac:dyDescent="0.25">
      <c r="B599" s="10">
        <v>46136</v>
      </c>
      <c r="C599" s="10" t="s">
        <v>12</v>
      </c>
      <c r="D599" s="10" t="s">
        <v>23</v>
      </c>
      <c r="F599" s="942"/>
      <c r="G599" s="42" t="s">
        <v>118</v>
      </c>
      <c r="H599" s="29" t="s">
        <v>106</v>
      </c>
      <c r="I599" s="42">
        <v>0</v>
      </c>
      <c r="J599" s="42">
        <v>0</v>
      </c>
      <c r="K599" s="42">
        <v>27</v>
      </c>
      <c r="L599" s="66">
        <f t="shared" si="143"/>
        <v>27</v>
      </c>
      <c r="M599" s="43"/>
    </row>
    <row r="600" spans="2:15" ht="15.75" hidden="1" x14ac:dyDescent="0.25">
      <c r="B600" s="10">
        <v>46136</v>
      </c>
      <c r="C600" s="10" t="s">
        <v>12</v>
      </c>
      <c r="D600" s="10" t="s">
        <v>23</v>
      </c>
      <c r="F600" s="942"/>
      <c r="G600" s="42" t="s">
        <v>25</v>
      </c>
      <c r="H600" s="29" t="s">
        <v>106</v>
      </c>
      <c r="I600" s="42">
        <v>26</v>
      </c>
      <c r="J600" s="42">
        <v>15</v>
      </c>
      <c r="K600" s="42">
        <v>0</v>
      </c>
      <c r="L600" s="66">
        <f t="shared" si="143"/>
        <v>41</v>
      </c>
      <c r="M600" s="43"/>
    </row>
    <row r="601" spans="2:15" ht="15.75" hidden="1" x14ac:dyDescent="0.25">
      <c r="B601" s="10">
        <v>46136</v>
      </c>
      <c r="C601" s="10" t="s">
        <v>12</v>
      </c>
      <c r="D601" s="10" t="s">
        <v>23</v>
      </c>
      <c r="F601" s="937" t="s">
        <v>40</v>
      </c>
      <c r="G601" s="937"/>
      <c r="H601" s="937"/>
      <c r="I601" s="8">
        <f>SUM(I597:I600)</f>
        <v>198</v>
      </c>
      <c r="J601" s="8">
        <f>SUM(J597:J600)</f>
        <v>85</v>
      </c>
      <c r="K601" s="8">
        <f>SUM(K597:K600)</f>
        <v>73</v>
      </c>
      <c r="L601" s="8">
        <f>SUM(I601:K601)</f>
        <v>356</v>
      </c>
      <c r="M601" s="31"/>
      <c r="O601" s="8">
        <f>L601</f>
        <v>356</v>
      </c>
    </row>
    <row r="602" spans="2:15" ht="15.75" hidden="1" x14ac:dyDescent="0.25">
      <c r="B602" s="10">
        <v>46136</v>
      </c>
      <c r="C602" s="10" t="s">
        <v>18</v>
      </c>
      <c r="D602" s="10" t="s">
        <v>13</v>
      </c>
      <c r="F602" s="942">
        <v>46136</v>
      </c>
      <c r="G602" s="29" t="s">
        <v>75</v>
      </c>
      <c r="H602" s="29" t="s">
        <v>83</v>
      </c>
      <c r="I602" s="42">
        <v>20</v>
      </c>
      <c r="J602" s="42">
        <v>1</v>
      </c>
      <c r="K602" s="42">
        <v>0</v>
      </c>
      <c r="L602" s="66">
        <f>SUM(I602:K602)</f>
        <v>21</v>
      </c>
      <c r="M602" s="31"/>
    </row>
    <row r="603" spans="2:15" ht="16.5" hidden="1" thickBot="1" x14ac:dyDescent="0.3">
      <c r="B603" s="10">
        <v>46136</v>
      </c>
      <c r="C603" s="10" t="s">
        <v>18</v>
      </c>
      <c r="D603" s="10" t="s">
        <v>13</v>
      </c>
      <c r="F603" s="979"/>
      <c r="G603" s="77" t="s">
        <v>14</v>
      </c>
      <c r="H603" s="77" t="s">
        <v>105</v>
      </c>
      <c r="I603" s="77">
        <v>9</v>
      </c>
      <c r="J603" s="77">
        <v>3</v>
      </c>
      <c r="K603" s="77">
        <v>0</v>
      </c>
      <c r="L603" s="78">
        <f t="shared" ref="L603" si="144">SUM(I603:K603)</f>
        <v>12</v>
      </c>
      <c r="M603" s="79"/>
    </row>
    <row r="604" spans="2:15" ht="15.75" hidden="1" x14ac:dyDescent="0.25">
      <c r="B604" s="10">
        <v>46136</v>
      </c>
      <c r="C604" s="10" t="s">
        <v>18</v>
      </c>
      <c r="D604" s="10" t="s">
        <v>13</v>
      </c>
      <c r="F604" s="941">
        <v>46137</v>
      </c>
      <c r="G604" s="73" t="s">
        <v>75</v>
      </c>
      <c r="H604" s="73" t="s">
        <v>83</v>
      </c>
      <c r="I604" s="74">
        <v>125</v>
      </c>
      <c r="J604" s="74">
        <v>76</v>
      </c>
      <c r="K604" s="74">
        <v>0</v>
      </c>
      <c r="L604" s="75">
        <f>SUM(I604:K604)</f>
        <v>201</v>
      </c>
      <c r="M604" s="76"/>
    </row>
    <row r="605" spans="2:15" ht="15.75" hidden="1" x14ac:dyDescent="0.25">
      <c r="B605" s="10">
        <v>46136</v>
      </c>
      <c r="C605" s="10" t="s">
        <v>18</v>
      </c>
      <c r="D605" s="10" t="s">
        <v>13</v>
      </c>
      <c r="F605" s="942"/>
      <c r="G605" s="42" t="s">
        <v>17</v>
      </c>
      <c r="H605" s="29" t="s">
        <v>106</v>
      </c>
      <c r="I605" s="42">
        <v>111</v>
      </c>
      <c r="J605" s="42">
        <v>40</v>
      </c>
      <c r="K605" s="42">
        <v>0</v>
      </c>
      <c r="L605" s="66">
        <f>SUM(I605:K605)</f>
        <v>151</v>
      </c>
      <c r="M605" s="43"/>
    </row>
    <row r="606" spans="2:15" ht="15.75" hidden="1" x14ac:dyDescent="0.25">
      <c r="B606" s="10">
        <v>46136</v>
      </c>
      <c r="C606" s="10" t="s">
        <v>18</v>
      </c>
      <c r="D606" s="10" t="s">
        <v>13</v>
      </c>
      <c r="F606" s="942"/>
      <c r="G606" s="42" t="s">
        <v>118</v>
      </c>
      <c r="H606" s="29" t="s">
        <v>106</v>
      </c>
      <c r="I606" s="42">
        <v>29</v>
      </c>
      <c r="J606" s="42">
        <v>0</v>
      </c>
      <c r="K606" s="42">
        <v>0</v>
      </c>
      <c r="L606" s="66">
        <f>SUM(I606:K606)</f>
        <v>29</v>
      </c>
      <c r="M606" s="43"/>
    </row>
    <row r="607" spans="2:15" ht="15.75" hidden="1" x14ac:dyDescent="0.25">
      <c r="B607" s="10">
        <v>46136</v>
      </c>
      <c r="C607" s="10" t="s">
        <v>18</v>
      </c>
      <c r="D607" s="10" t="s">
        <v>13</v>
      </c>
      <c r="F607" s="937" t="s">
        <v>40</v>
      </c>
      <c r="G607" s="937"/>
      <c r="H607" s="937"/>
      <c r="I607" s="8">
        <f>SUM(I602:I606)</f>
        <v>294</v>
      </c>
      <c r="J607" s="8">
        <f>SUM(J602:J606)</f>
        <v>120</v>
      </c>
      <c r="K607" s="8">
        <f>SUM(K604:K606)</f>
        <v>0</v>
      </c>
      <c r="L607" s="8">
        <f>SUM(I607:K607)</f>
        <v>414</v>
      </c>
      <c r="M607" s="70"/>
    </row>
    <row r="608" spans="2:15" ht="15.75" hidden="1" x14ac:dyDescent="0.25">
      <c r="B608" s="10">
        <v>46137</v>
      </c>
      <c r="C608" s="10" t="s">
        <v>22</v>
      </c>
      <c r="D608" s="10" t="s">
        <v>20</v>
      </c>
      <c r="F608" s="939">
        <v>46137</v>
      </c>
      <c r="G608" s="29" t="s">
        <v>75</v>
      </c>
      <c r="H608" s="29" t="s">
        <v>83</v>
      </c>
      <c r="I608" s="42">
        <v>6</v>
      </c>
      <c r="J608" s="42">
        <v>19</v>
      </c>
      <c r="K608" s="42">
        <v>0</v>
      </c>
      <c r="L608" s="66">
        <f>SUM(I608:K608)</f>
        <v>25</v>
      </c>
      <c r="M608" s="31"/>
    </row>
    <row r="609" spans="2:15" ht="15.75" hidden="1" x14ac:dyDescent="0.25">
      <c r="B609" s="10">
        <v>46137</v>
      </c>
      <c r="C609" s="10" t="s">
        <v>22</v>
      </c>
      <c r="D609" s="10" t="s">
        <v>20</v>
      </c>
      <c r="F609" s="940"/>
      <c r="G609" s="42" t="s">
        <v>32</v>
      </c>
      <c r="H609" s="29" t="s">
        <v>106</v>
      </c>
      <c r="I609" s="42">
        <v>16</v>
      </c>
      <c r="J609" s="42">
        <v>4</v>
      </c>
      <c r="K609" s="42">
        <v>0</v>
      </c>
      <c r="L609" s="66">
        <f t="shared" ref="L609:L614" si="145">SUM(I609:K609)</f>
        <v>20</v>
      </c>
      <c r="M609" s="43"/>
    </row>
    <row r="610" spans="2:15" ht="15.75" hidden="1" x14ac:dyDescent="0.25">
      <c r="B610" s="10">
        <v>46137</v>
      </c>
      <c r="C610" s="10" t="s">
        <v>22</v>
      </c>
      <c r="D610" s="10" t="s">
        <v>20</v>
      </c>
      <c r="F610" s="940"/>
      <c r="G610" s="42" t="s">
        <v>118</v>
      </c>
      <c r="H610" s="29" t="s">
        <v>106</v>
      </c>
      <c r="I610" s="42">
        <v>45</v>
      </c>
      <c r="J610" s="42">
        <v>1</v>
      </c>
      <c r="K610" s="42">
        <v>0</v>
      </c>
      <c r="L610" s="66">
        <f t="shared" si="145"/>
        <v>46</v>
      </c>
      <c r="M610" s="43"/>
    </row>
    <row r="611" spans="2:15" ht="15.75" hidden="1" x14ac:dyDescent="0.25">
      <c r="B611" s="10">
        <v>46137</v>
      </c>
      <c r="C611" s="10" t="s">
        <v>22</v>
      </c>
      <c r="D611" s="10" t="s">
        <v>20</v>
      </c>
      <c r="F611" s="940"/>
      <c r="G611" s="42" t="s">
        <v>17</v>
      </c>
      <c r="H611" s="29" t="s">
        <v>106</v>
      </c>
      <c r="I611" s="42">
        <v>20</v>
      </c>
      <c r="J611" s="42">
        <v>14</v>
      </c>
      <c r="K611" s="42">
        <v>0</v>
      </c>
      <c r="L611" s="66">
        <f t="shared" si="145"/>
        <v>34</v>
      </c>
      <c r="M611" s="43"/>
    </row>
    <row r="612" spans="2:15" ht="15.75" hidden="1" x14ac:dyDescent="0.25">
      <c r="B612" s="10">
        <v>46137</v>
      </c>
      <c r="C612" s="10" t="s">
        <v>22</v>
      </c>
      <c r="D612" s="10" t="s">
        <v>20</v>
      </c>
      <c r="F612" s="941"/>
      <c r="G612" s="42" t="s">
        <v>25</v>
      </c>
      <c r="H612" s="29" t="s">
        <v>106</v>
      </c>
      <c r="I612" s="42">
        <v>8</v>
      </c>
      <c r="J612" s="42">
        <v>2</v>
      </c>
      <c r="K612" s="42">
        <v>0</v>
      </c>
      <c r="L612" s="66">
        <f t="shared" si="145"/>
        <v>10</v>
      </c>
      <c r="M612" s="43"/>
    </row>
    <row r="613" spans="2:15" ht="15.75" hidden="1" x14ac:dyDescent="0.25">
      <c r="B613" s="10">
        <v>46137</v>
      </c>
      <c r="C613" s="10" t="s">
        <v>22</v>
      </c>
      <c r="D613" s="10" t="s">
        <v>20</v>
      </c>
      <c r="F613" s="943">
        <v>46139</v>
      </c>
      <c r="G613" s="42" t="s">
        <v>14</v>
      </c>
      <c r="H613" s="29" t="s">
        <v>106</v>
      </c>
      <c r="I613" s="42">
        <v>0</v>
      </c>
      <c r="J613" s="42">
        <v>0</v>
      </c>
      <c r="K613" s="42">
        <v>144</v>
      </c>
      <c r="L613" s="66">
        <f t="shared" si="145"/>
        <v>144</v>
      </c>
      <c r="M613" s="43"/>
    </row>
    <row r="614" spans="2:15" ht="15.75" hidden="1" x14ac:dyDescent="0.25">
      <c r="B614" s="10">
        <v>46137</v>
      </c>
      <c r="C614" s="10" t="s">
        <v>22</v>
      </c>
      <c r="D614" s="10" t="s">
        <v>20</v>
      </c>
      <c r="F614" s="945"/>
      <c r="G614" s="42" t="s">
        <v>84</v>
      </c>
      <c r="H614" s="29" t="s">
        <v>106</v>
      </c>
      <c r="I614" s="42">
        <v>53</v>
      </c>
      <c r="J614" s="42">
        <v>6</v>
      </c>
      <c r="K614" s="42">
        <v>22</v>
      </c>
      <c r="L614" s="66">
        <f t="shared" si="145"/>
        <v>81</v>
      </c>
      <c r="M614" s="43"/>
    </row>
    <row r="615" spans="2:15" ht="15.75" hidden="1" x14ac:dyDescent="0.25">
      <c r="B615" s="10">
        <v>46137</v>
      </c>
      <c r="C615" s="10" t="s">
        <v>22</v>
      </c>
      <c r="D615" s="10" t="s">
        <v>20</v>
      </c>
      <c r="F615" s="937" t="s">
        <v>40</v>
      </c>
      <c r="G615" s="937"/>
      <c r="H615" s="937"/>
      <c r="I615" s="8">
        <f>SUM(I608:I614)</f>
        <v>148</v>
      </c>
      <c r="J615" s="8">
        <f>SUM(J608:J614)</f>
        <v>46</v>
      </c>
      <c r="K615" s="8">
        <f>SUM(K608:K614)</f>
        <v>166</v>
      </c>
      <c r="L615" s="8">
        <f>SUM(I615:K615)</f>
        <v>360</v>
      </c>
      <c r="M615" s="31"/>
      <c r="O615" s="8">
        <f>L615</f>
        <v>360</v>
      </c>
    </row>
    <row r="616" spans="2:15" ht="15.75" hidden="1" x14ac:dyDescent="0.25">
      <c r="B616" s="10">
        <v>46137</v>
      </c>
      <c r="C616" s="10" t="s">
        <v>12</v>
      </c>
      <c r="D616" s="10" t="s">
        <v>23</v>
      </c>
      <c r="F616" s="939">
        <v>46137</v>
      </c>
      <c r="G616" s="29" t="s">
        <v>75</v>
      </c>
      <c r="H616" s="29" t="s">
        <v>83</v>
      </c>
      <c r="I616" s="42">
        <v>47</v>
      </c>
      <c r="J616" s="42">
        <v>20</v>
      </c>
      <c r="K616" s="42">
        <v>61</v>
      </c>
      <c r="L616" s="66">
        <f>SUM(I616:K616)</f>
        <v>128</v>
      </c>
      <c r="M616" s="31"/>
    </row>
    <row r="617" spans="2:15" ht="15.75" hidden="1" x14ac:dyDescent="0.25">
      <c r="B617" s="10">
        <v>46137</v>
      </c>
      <c r="C617" s="10" t="s">
        <v>12</v>
      </c>
      <c r="D617" s="10" t="s">
        <v>23</v>
      </c>
      <c r="F617" s="940"/>
      <c r="G617" s="42" t="s">
        <v>14</v>
      </c>
      <c r="H617" s="29" t="s">
        <v>105</v>
      </c>
      <c r="I617" s="42">
        <v>107</v>
      </c>
      <c r="J617" s="42">
        <v>36</v>
      </c>
      <c r="K617" s="42">
        <v>64</v>
      </c>
      <c r="L617" s="66">
        <f t="shared" ref="L617:L620" si="146">SUM(I617:K617)</f>
        <v>207</v>
      </c>
      <c r="M617" s="43"/>
    </row>
    <row r="618" spans="2:15" ht="15.75" hidden="1" x14ac:dyDescent="0.25">
      <c r="B618" s="10">
        <v>46137</v>
      </c>
      <c r="C618" s="10" t="s">
        <v>12</v>
      </c>
      <c r="D618" s="10" t="s">
        <v>23</v>
      </c>
      <c r="F618" s="940"/>
      <c r="G618" s="42" t="s">
        <v>17</v>
      </c>
      <c r="H618" s="29" t="s">
        <v>106</v>
      </c>
      <c r="I618" s="42">
        <v>20</v>
      </c>
      <c r="J618" s="42">
        <v>0</v>
      </c>
      <c r="K618" s="42">
        <v>0</v>
      </c>
      <c r="L618" s="66">
        <f t="shared" si="146"/>
        <v>20</v>
      </c>
      <c r="M618" s="43"/>
    </row>
    <row r="619" spans="2:15" ht="15.75" hidden="1" x14ac:dyDescent="0.25">
      <c r="B619" s="10">
        <v>46137</v>
      </c>
      <c r="C619" s="10" t="s">
        <v>12</v>
      </c>
      <c r="D619" s="10" t="s">
        <v>23</v>
      </c>
      <c r="F619" s="940"/>
      <c r="G619" s="42" t="s">
        <v>84</v>
      </c>
      <c r="H619" s="29" t="s">
        <v>43</v>
      </c>
      <c r="I619" s="42">
        <v>31</v>
      </c>
      <c r="J619" s="42">
        <v>2</v>
      </c>
      <c r="K619" s="42">
        <v>82</v>
      </c>
      <c r="L619" s="66">
        <f t="shared" si="146"/>
        <v>115</v>
      </c>
      <c r="M619" s="43"/>
    </row>
    <row r="620" spans="2:15" ht="15.75" hidden="1" x14ac:dyDescent="0.25">
      <c r="B620" s="10">
        <v>46137</v>
      </c>
      <c r="C620" s="10" t="s">
        <v>12</v>
      </c>
      <c r="D620" s="10" t="s">
        <v>23</v>
      </c>
      <c r="F620" s="941"/>
      <c r="G620" s="42" t="s">
        <v>120</v>
      </c>
      <c r="H620" s="29" t="s">
        <v>43</v>
      </c>
      <c r="I620" s="42">
        <v>11</v>
      </c>
      <c r="J620" s="42">
        <v>0</v>
      </c>
      <c r="K620" s="42">
        <v>0</v>
      </c>
      <c r="L620" s="66">
        <f t="shared" si="146"/>
        <v>11</v>
      </c>
      <c r="M620" s="43"/>
    </row>
    <row r="621" spans="2:15" ht="15.75" hidden="1" x14ac:dyDescent="0.25">
      <c r="B621" s="10">
        <v>46137</v>
      </c>
      <c r="C621" s="10" t="s">
        <v>12</v>
      </c>
      <c r="D621" s="10" t="s">
        <v>23</v>
      </c>
      <c r="F621" s="937" t="s">
        <v>40</v>
      </c>
      <c r="G621" s="937"/>
      <c r="H621" s="937"/>
      <c r="I621" s="8">
        <f>SUM(I616:I620)</f>
        <v>216</v>
      </c>
      <c r="J621" s="8">
        <f>SUM(J616:J620)</f>
        <v>58</v>
      </c>
      <c r="K621" s="8">
        <f>SUM(K616:K620)</f>
        <v>207</v>
      </c>
      <c r="L621" s="8">
        <f>SUM(I621:K621)</f>
        <v>481</v>
      </c>
      <c r="M621" s="31"/>
      <c r="O621" s="8">
        <f>L621</f>
        <v>481</v>
      </c>
    </row>
    <row r="622" spans="2:15" ht="15.75" hidden="1" x14ac:dyDescent="0.25">
      <c r="B622" s="10">
        <v>46139</v>
      </c>
      <c r="C622" s="10" t="s">
        <v>22</v>
      </c>
      <c r="D622" s="10" t="s">
        <v>23</v>
      </c>
      <c r="F622" s="939">
        <v>46139</v>
      </c>
      <c r="G622" s="29" t="s">
        <v>75</v>
      </c>
      <c r="H622" s="29" t="s">
        <v>112</v>
      </c>
      <c r="I622" s="42">
        <v>122</v>
      </c>
      <c r="J622" s="42">
        <v>69</v>
      </c>
      <c r="K622" s="42">
        <v>0</v>
      </c>
      <c r="L622" s="66">
        <f>SUM(I622:K622)</f>
        <v>191</v>
      </c>
      <c r="M622" s="31"/>
    </row>
    <row r="623" spans="2:15" ht="15.75" hidden="1" x14ac:dyDescent="0.25">
      <c r="B623" s="10">
        <v>46139</v>
      </c>
      <c r="C623" s="10" t="s">
        <v>22</v>
      </c>
      <c r="D623" s="10" t="s">
        <v>23</v>
      </c>
      <c r="F623" s="940"/>
      <c r="G623" s="42" t="s">
        <v>14</v>
      </c>
      <c r="H623" s="29" t="s">
        <v>106</v>
      </c>
      <c r="I623" s="42">
        <v>65</v>
      </c>
      <c r="J623" s="42">
        <v>15</v>
      </c>
      <c r="K623" s="42">
        <v>0</v>
      </c>
      <c r="L623" s="66">
        <f t="shared" ref="L623:L628" si="147">SUM(I623:K623)</f>
        <v>80</v>
      </c>
      <c r="M623" s="43"/>
    </row>
    <row r="624" spans="2:15" ht="15.75" hidden="1" x14ac:dyDescent="0.25">
      <c r="B624" s="10">
        <v>46139</v>
      </c>
      <c r="C624" s="10" t="s">
        <v>22</v>
      </c>
      <c r="D624" s="10" t="s">
        <v>23</v>
      </c>
      <c r="F624" s="940"/>
      <c r="G624" s="42" t="s">
        <v>17</v>
      </c>
      <c r="H624" s="29" t="s">
        <v>105</v>
      </c>
      <c r="I624" s="42">
        <v>31</v>
      </c>
      <c r="J624" s="42">
        <v>33</v>
      </c>
      <c r="K624" s="42">
        <v>0</v>
      </c>
      <c r="L624" s="66">
        <f t="shared" si="147"/>
        <v>64</v>
      </c>
      <c r="M624" s="43"/>
    </row>
    <row r="625" spans="2:15" ht="15.75" hidden="1" x14ac:dyDescent="0.25">
      <c r="B625" s="10">
        <v>46139</v>
      </c>
      <c r="C625" s="10" t="s">
        <v>22</v>
      </c>
      <c r="D625" s="10" t="s">
        <v>23</v>
      </c>
      <c r="F625" s="940"/>
      <c r="G625" s="42" t="s">
        <v>118</v>
      </c>
      <c r="H625" s="29" t="s">
        <v>43</v>
      </c>
      <c r="I625" s="42">
        <v>12</v>
      </c>
      <c r="J625" s="42">
        <v>1</v>
      </c>
      <c r="K625" s="42">
        <v>0</v>
      </c>
      <c r="L625" s="66">
        <f t="shared" si="147"/>
        <v>13</v>
      </c>
      <c r="M625" s="43"/>
    </row>
    <row r="626" spans="2:15" ht="15.75" hidden="1" x14ac:dyDescent="0.25">
      <c r="B626" s="10">
        <v>46139</v>
      </c>
      <c r="C626" s="10" t="s">
        <v>22</v>
      </c>
      <c r="D626" s="10" t="s">
        <v>23</v>
      </c>
      <c r="F626" s="940"/>
      <c r="G626" s="42" t="s">
        <v>84</v>
      </c>
      <c r="H626" s="29" t="s">
        <v>43</v>
      </c>
      <c r="I626" s="42">
        <v>101</v>
      </c>
      <c r="J626" s="42">
        <v>14</v>
      </c>
      <c r="K626" s="42">
        <v>0</v>
      </c>
      <c r="L626" s="66">
        <f t="shared" si="147"/>
        <v>115</v>
      </c>
      <c r="M626" s="43"/>
    </row>
    <row r="627" spans="2:15" ht="15.75" hidden="1" x14ac:dyDescent="0.25">
      <c r="B627" s="10">
        <v>46139</v>
      </c>
      <c r="C627" s="10" t="s">
        <v>22</v>
      </c>
      <c r="D627" s="10" t="s">
        <v>23</v>
      </c>
      <c r="F627" s="940"/>
      <c r="G627" s="42" t="s">
        <v>120</v>
      </c>
      <c r="H627" s="29" t="s">
        <v>43</v>
      </c>
      <c r="I627" s="42">
        <v>29</v>
      </c>
      <c r="J627" s="42">
        <v>0</v>
      </c>
      <c r="K627" s="42">
        <v>0</v>
      </c>
      <c r="L627" s="66">
        <f t="shared" si="147"/>
        <v>29</v>
      </c>
      <c r="M627" s="43"/>
    </row>
    <row r="628" spans="2:15" ht="15.75" hidden="1" x14ac:dyDescent="0.25">
      <c r="B628" s="10">
        <v>46139</v>
      </c>
      <c r="C628" s="10" t="s">
        <v>22</v>
      </c>
      <c r="D628" s="10" t="s">
        <v>23</v>
      </c>
      <c r="F628" s="941"/>
      <c r="G628" s="42" t="s">
        <v>121</v>
      </c>
      <c r="H628" s="29" t="s">
        <v>43</v>
      </c>
      <c r="I628" s="42">
        <v>14</v>
      </c>
      <c r="J628" s="42">
        <v>0</v>
      </c>
      <c r="K628" s="42">
        <v>0</v>
      </c>
      <c r="L628" s="66">
        <f t="shared" si="147"/>
        <v>14</v>
      </c>
      <c r="M628" s="43"/>
    </row>
    <row r="629" spans="2:15" ht="15.75" hidden="1" x14ac:dyDescent="0.2">
      <c r="B629" s="10">
        <v>46139</v>
      </c>
      <c r="C629" s="10" t="s">
        <v>22</v>
      </c>
      <c r="D629" s="10" t="s">
        <v>23</v>
      </c>
      <c r="F629" s="937" t="s">
        <v>40</v>
      </c>
      <c r="G629" s="937"/>
      <c r="H629" s="937"/>
      <c r="I629" s="8">
        <f>SUM(I622:I628)</f>
        <v>374</v>
      </c>
      <c r="J629" s="8">
        <f>SUM(J622:J628)</f>
        <v>132</v>
      </c>
      <c r="K629" s="8">
        <f>SUM(K622:K628)</f>
        <v>0</v>
      </c>
      <c r="L629" s="8">
        <f>SUM(I629:K629)</f>
        <v>506</v>
      </c>
      <c r="M629" s="8"/>
      <c r="O629" s="8">
        <f>L629</f>
        <v>506</v>
      </c>
    </row>
    <row r="630" spans="2:15" ht="15.75" hidden="1" x14ac:dyDescent="0.25">
      <c r="B630" s="10">
        <v>46139</v>
      </c>
      <c r="C630" s="10" t="s">
        <v>12</v>
      </c>
      <c r="D630" s="10" t="s">
        <v>13</v>
      </c>
      <c r="F630" s="939">
        <v>46139</v>
      </c>
      <c r="G630" s="29" t="s">
        <v>75</v>
      </c>
      <c r="H630" s="29" t="s">
        <v>112</v>
      </c>
      <c r="I630" s="42">
        <v>32</v>
      </c>
      <c r="J630" s="42">
        <v>17</v>
      </c>
      <c r="K630" s="42">
        <v>0</v>
      </c>
      <c r="L630" s="66">
        <f>SUM(I630:K630)</f>
        <v>49</v>
      </c>
      <c r="M630" s="31"/>
    </row>
    <row r="631" spans="2:15" ht="15.75" hidden="1" x14ac:dyDescent="0.25">
      <c r="B631" s="10">
        <v>46139</v>
      </c>
      <c r="C631" s="10" t="s">
        <v>12</v>
      </c>
      <c r="D631" s="10" t="s">
        <v>13</v>
      </c>
      <c r="F631" s="940"/>
      <c r="G631" s="42" t="s">
        <v>17</v>
      </c>
      <c r="H631" s="29" t="s">
        <v>105</v>
      </c>
      <c r="I631" s="42">
        <v>83</v>
      </c>
      <c r="J631" s="42">
        <v>31</v>
      </c>
      <c r="K631" s="42">
        <v>0</v>
      </c>
      <c r="L631" s="66">
        <f t="shared" ref="L631:L632" si="148">SUM(I631:K631)</f>
        <v>114</v>
      </c>
      <c r="M631" s="43"/>
    </row>
    <row r="632" spans="2:15" ht="16.5" hidden="1" thickBot="1" x14ac:dyDescent="0.3">
      <c r="B632" s="10">
        <v>46139</v>
      </c>
      <c r="C632" s="10" t="s">
        <v>12</v>
      </c>
      <c r="D632" s="10" t="s">
        <v>13</v>
      </c>
      <c r="F632" s="975"/>
      <c r="G632" s="77" t="s">
        <v>120</v>
      </c>
      <c r="H632" s="77" t="s">
        <v>43</v>
      </c>
      <c r="I632" s="77">
        <v>28</v>
      </c>
      <c r="J632" s="77">
        <v>0</v>
      </c>
      <c r="K632" s="77">
        <v>0</v>
      </c>
      <c r="L632" s="78">
        <f t="shared" si="148"/>
        <v>28</v>
      </c>
      <c r="M632" s="79"/>
    </row>
    <row r="633" spans="2:15" ht="15.75" hidden="1" x14ac:dyDescent="0.25">
      <c r="B633" s="10">
        <v>46139</v>
      </c>
      <c r="C633" s="10" t="s">
        <v>12</v>
      </c>
      <c r="D633" s="10" t="s">
        <v>13</v>
      </c>
      <c r="F633" s="940">
        <v>46140</v>
      </c>
      <c r="G633" s="74" t="s">
        <v>14</v>
      </c>
      <c r="H633" s="73" t="s">
        <v>106</v>
      </c>
      <c r="I633" s="74">
        <v>0</v>
      </c>
      <c r="J633" s="74">
        <v>0</v>
      </c>
      <c r="K633" s="74">
        <v>74</v>
      </c>
      <c r="L633" s="75">
        <f t="shared" ref="L633" si="149">SUM(I633:K633)</f>
        <v>74</v>
      </c>
      <c r="M633" s="80"/>
    </row>
    <row r="634" spans="2:15" ht="15.75" hidden="1" x14ac:dyDescent="0.2">
      <c r="B634" s="10">
        <v>46139</v>
      </c>
      <c r="C634" s="10" t="s">
        <v>12</v>
      </c>
      <c r="D634" s="10" t="s">
        <v>13</v>
      </c>
      <c r="F634" s="937" t="s">
        <v>40</v>
      </c>
      <c r="G634" s="937"/>
      <c r="H634" s="937"/>
      <c r="I634" s="8">
        <f>SUM(I630:I633)</f>
        <v>143</v>
      </c>
      <c r="J634" s="8">
        <f t="shared" ref="J634:L634" si="150">SUM(J630:J633)</f>
        <v>48</v>
      </c>
      <c r="K634" s="8">
        <f t="shared" si="150"/>
        <v>74</v>
      </c>
      <c r="L634" s="8">
        <f t="shared" si="150"/>
        <v>265</v>
      </c>
      <c r="M634" s="8"/>
    </row>
    <row r="635" spans="2:15" ht="15.75" hidden="1" x14ac:dyDescent="0.25">
      <c r="B635" s="10">
        <v>46139</v>
      </c>
      <c r="C635" s="10" t="s">
        <v>18</v>
      </c>
      <c r="D635" s="10" t="s">
        <v>20</v>
      </c>
      <c r="F635" s="948">
        <v>46139</v>
      </c>
      <c r="G635" s="42" t="s">
        <v>75</v>
      </c>
      <c r="H635" s="29" t="s">
        <v>112</v>
      </c>
      <c r="I635" s="42">
        <v>8</v>
      </c>
      <c r="J635" s="42">
        <v>2</v>
      </c>
      <c r="K635" s="42">
        <v>0</v>
      </c>
      <c r="L635" s="66">
        <f t="shared" ref="L635:L638" si="151">SUM(I635:K635)</f>
        <v>10</v>
      </c>
      <c r="M635" s="31"/>
    </row>
    <row r="636" spans="2:15" ht="15.75" hidden="1" x14ac:dyDescent="0.25">
      <c r="B636" s="10">
        <v>46139</v>
      </c>
      <c r="C636" s="10" t="s">
        <v>18</v>
      </c>
      <c r="D636" s="10" t="s">
        <v>20</v>
      </c>
      <c r="F636" s="948"/>
      <c r="G636" s="42" t="s">
        <v>17</v>
      </c>
      <c r="H636" s="29" t="s">
        <v>106</v>
      </c>
      <c r="I636" s="42">
        <v>15</v>
      </c>
      <c r="J636" s="42">
        <v>0</v>
      </c>
      <c r="K636" s="42">
        <v>0</v>
      </c>
      <c r="L636" s="66">
        <f t="shared" si="151"/>
        <v>15</v>
      </c>
      <c r="M636" s="43"/>
    </row>
    <row r="637" spans="2:15" ht="15.75" hidden="1" x14ac:dyDescent="0.25">
      <c r="B637" s="10">
        <v>46139</v>
      </c>
      <c r="C637" s="10" t="s">
        <v>18</v>
      </c>
      <c r="D637" s="10" t="s">
        <v>20</v>
      </c>
      <c r="F637" s="948"/>
      <c r="G637" s="42" t="s">
        <v>120</v>
      </c>
      <c r="H637" s="29" t="s">
        <v>106</v>
      </c>
      <c r="I637" s="42">
        <v>0</v>
      </c>
      <c r="J637" s="42">
        <v>0</v>
      </c>
      <c r="K637" s="42">
        <v>53</v>
      </c>
      <c r="L637" s="66">
        <f t="shared" si="151"/>
        <v>53</v>
      </c>
      <c r="M637" s="43"/>
    </row>
    <row r="638" spans="2:15" ht="15.75" hidden="1" x14ac:dyDescent="0.25">
      <c r="B638" s="10">
        <v>46139</v>
      </c>
      <c r="C638" s="10" t="s">
        <v>18</v>
      </c>
      <c r="D638" s="10" t="s">
        <v>20</v>
      </c>
      <c r="F638" s="948"/>
      <c r="G638" s="42" t="s">
        <v>25</v>
      </c>
      <c r="H638" s="29" t="s">
        <v>106</v>
      </c>
      <c r="I638" s="42">
        <v>3</v>
      </c>
      <c r="J638" s="42">
        <v>14</v>
      </c>
      <c r="K638" s="42">
        <v>0</v>
      </c>
      <c r="L638" s="66">
        <f t="shared" si="151"/>
        <v>17</v>
      </c>
      <c r="M638" s="43"/>
    </row>
    <row r="639" spans="2:15" ht="15.75" hidden="1" x14ac:dyDescent="0.25">
      <c r="B639" s="10">
        <v>46139</v>
      </c>
      <c r="C639" s="10" t="s">
        <v>18</v>
      </c>
      <c r="D639" s="10" t="s">
        <v>20</v>
      </c>
      <c r="F639" s="948">
        <v>46140</v>
      </c>
      <c r="G639" s="42" t="s">
        <v>75</v>
      </c>
      <c r="H639" s="29" t="s">
        <v>112</v>
      </c>
      <c r="I639" s="42">
        <v>67</v>
      </c>
      <c r="J639" s="42">
        <v>34</v>
      </c>
      <c r="K639" s="42">
        <v>58</v>
      </c>
      <c r="L639" s="66">
        <f t="shared" ref="L639:L642" si="152">SUM(I639:K639)</f>
        <v>159</v>
      </c>
      <c r="M639" s="43"/>
    </row>
    <row r="640" spans="2:15" ht="15.75" hidden="1" x14ac:dyDescent="0.25">
      <c r="B640" s="10">
        <v>46139</v>
      </c>
      <c r="C640" s="10" t="s">
        <v>18</v>
      </c>
      <c r="D640" s="10" t="s">
        <v>20</v>
      </c>
      <c r="F640" s="948"/>
      <c r="G640" s="42" t="s">
        <v>120</v>
      </c>
      <c r="H640" s="29" t="s">
        <v>106</v>
      </c>
      <c r="I640" s="42">
        <v>0</v>
      </c>
      <c r="J640" s="42">
        <v>0</v>
      </c>
      <c r="K640" s="42">
        <v>14</v>
      </c>
      <c r="L640" s="66">
        <f t="shared" si="152"/>
        <v>14</v>
      </c>
      <c r="M640" s="43"/>
    </row>
    <row r="641" spans="2:15" ht="15.75" hidden="1" x14ac:dyDescent="0.25">
      <c r="B641" s="10">
        <v>46139</v>
      </c>
      <c r="C641" s="10" t="s">
        <v>18</v>
      </c>
      <c r="D641" s="10" t="s">
        <v>20</v>
      </c>
      <c r="F641" s="948"/>
      <c r="G641" s="42" t="s">
        <v>118</v>
      </c>
      <c r="H641" s="29" t="s">
        <v>106</v>
      </c>
      <c r="I641" s="42">
        <v>0</v>
      </c>
      <c r="J641" s="42">
        <v>0</v>
      </c>
      <c r="K641" s="42">
        <v>8</v>
      </c>
      <c r="L641" s="66">
        <f t="shared" si="152"/>
        <v>8</v>
      </c>
      <c r="M641" s="43"/>
    </row>
    <row r="642" spans="2:15" ht="15.75" hidden="1" x14ac:dyDescent="0.25">
      <c r="B642" s="10">
        <v>46139</v>
      </c>
      <c r="C642" s="10" t="s">
        <v>18</v>
      </c>
      <c r="D642" s="10" t="s">
        <v>20</v>
      </c>
      <c r="F642" s="948"/>
      <c r="G642" s="42" t="s">
        <v>14</v>
      </c>
      <c r="H642" s="29" t="s">
        <v>106</v>
      </c>
      <c r="I642" s="42">
        <v>114</v>
      </c>
      <c r="J642" s="42">
        <v>23</v>
      </c>
      <c r="K642" s="42">
        <v>39</v>
      </c>
      <c r="L642" s="66">
        <f t="shared" si="152"/>
        <v>176</v>
      </c>
      <c r="M642" s="43"/>
    </row>
    <row r="643" spans="2:15" ht="15.75" hidden="1" x14ac:dyDescent="0.25">
      <c r="B643" s="10">
        <v>46139</v>
      </c>
      <c r="C643" s="10" t="s">
        <v>18</v>
      </c>
      <c r="D643" s="10" t="s">
        <v>20</v>
      </c>
      <c r="F643" s="937" t="s">
        <v>40</v>
      </c>
      <c r="G643" s="937"/>
      <c r="H643" s="937"/>
      <c r="I643" s="8">
        <f>SUM(I635:I642)</f>
        <v>207</v>
      </c>
      <c r="J643" s="8">
        <f>SUM(J635:J642)</f>
        <v>73</v>
      </c>
      <c r="K643" s="8">
        <f>SUM(K635:K642)</f>
        <v>172</v>
      </c>
      <c r="L643" s="8">
        <f>SUM(I643:K643)</f>
        <v>452</v>
      </c>
      <c r="M643" s="31"/>
      <c r="O643" s="8">
        <f>L643</f>
        <v>452</v>
      </c>
    </row>
    <row r="644" spans="2:15" ht="15.75" hidden="1" x14ac:dyDescent="0.25">
      <c r="B644" s="10">
        <v>46140</v>
      </c>
      <c r="C644" s="10" t="s">
        <v>12</v>
      </c>
      <c r="D644" s="10" t="s">
        <v>13</v>
      </c>
      <c r="F644" s="942">
        <v>46140</v>
      </c>
      <c r="G644" s="42" t="s">
        <v>75</v>
      </c>
      <c r="H644" s="29" t="s">
        <v>112</v>
      </c>
      <c r="I644" s="42">
        <v>44</v>
      </c>
      <c r="J644" s="42">
        <v>19</v>
      </c>
      <c r="K644" s="42">
        <v>0</v>
      </c>
      <c r="L644" s="66">
        <f t="shared" ref="L644:L650" si="153">SUM(I644:K644)</f>
        <v>63</v>
      </c>
      <c r="M644" s="31"/>
    </row>
    <row r="645" spans="2:15" ht="15.75" hidden="1" x14ac:dyDescent="0.25">
      <c r="B645" s="10">
        <v>46140</v>
      </c>
      <c r="C645" s="10" t="s">
        <v>12</v>
      </c>
      <c r="D645" s="10" t="s">
        <v>13</v>
      </c>
      <c r="F645" s="942"/>
      <c r="G645" s="42" t="s">
        <v>17</v>
      </c>
      <c r="H645" s="29" t="s">
        <v>106</v>
      </c>
      <c r="I645" s="42">
        <v>2</v>
      </c>
      <c r="J645" s="42">
        <v>0</v>
      </c>
      <c r="K645" s="42">
        <v>0</v>
      </c>
      <c r="L645" s="66">
        <f t="shared" si="153"/>
        <v>2</v>
      </c>
      <c r="M645" s="43"/>
    </row>
    <row r="646" spans="2:15" ht="15.75" hidden="1" x14ac:dyDescent="0.25">
      <c r="B646" s="10">
        <v>46140</v>
      </c>
      <c r="C646" s="10" t="s">
        <v>12</v>
      </c>
      <c r="D646" s="10" t="s">
        <v>13</v>
      </c>
      <c r="F646" s="942"/>
      <c r="G646" s="42" t="s">
        <v>120</v>
      </c>
      <c r="H646" s="29" t="s">
        <v>106</v>
      </c>
      <c r="I646" s="42">
        <v>23</v>
      </c>
      <c r="J646" s="42">
        <v>0</v>
      </c>
      <c r="K646" s="42">
        <v>59</v>
      </c>
      <c r="L646" s="66">
        <f t="shared" si="153"/>
        <v>82</v>
      </c>
      <c r="M646" s="43"/>
    </row>
    <row r="647" spans="2:15" ht="15.75" hidden="1" x14ac:dyDescent="0.25">
      <c r="B647" s="10">
        <v>46140</v>
      </c>
      <c r="C647" s="10" t="s">
        <v>12</v>
      </c>
      <c r="D647" s="10" t="s">
        <v>13</v>
      </c>
      <c r="F647" s="942"/>
      <c r="G647" s="42" t="s">
        <v>118</v>
      </c>
      <c r="H647" s="29" t="s">
        <v>43</v>
      </c>
      <c r="I647" s="42">
        <v>22</v>
      </c>
      <c r="J647" s="42">
        <v>0</v>
      </c>
      <c r="K647" s="42">
        <v>0</v>
      </c>
      <c r="L647" s="66">
        <f t="shared" si="153"/>
        <v>22</v>
      </c>
      <c r="M647" s="43"/>
    </row>
    <row r="648" spans="2:15" ht="15.75" hidden="1" x14ac:dyDescent="0.25">
      <c r="B648" s="10">
        <v>46140</v>
      </c>
      <c r="C648" s="10" t="s">
        <v>12</v>
      </c>
      <c r="D648" s="10" t="s">
        <v>13</v>
      </c>
      <c r="F648" s="942"/>
      <c r="G648" s="42" t="s">
        <v>14</v>
      </c>
      <c r="H648" s="29" t="s">
        <v>106</v>
      </c>
      <c r="I648" s="42">
        <v>2</v>
      </c>
      <c r="J648" s="42">
        <v>0</v>
      </c>
      <c r="K648" s="42">
        <v>0</v>
      </c>
      <c r="L648" s="66">
        <f t="shared" si="153"/>
        <v>2</v>
      </c>
      <c r="M648" s="43"/>
    </row>
    <row r="649" spans="2:15" ht="15.75" hidden="1" x14ac:dyDescent="0.25">
      <c r="B649" s="10">
        <v>46140</v>
      </c>
      <c r="C649" s="10" t="s">
        <v>12</v>
      </c>
      <c r="D649" s="10" t="s">
        <v>13</v>
      </c>
      <c r="F649" s="942"/>
      <c r="G649" s="42" t="s">
        <v>84</v>
      </c>
      <c r="H649" s="29" t="s">
        <v>43</v>
      </c>
      <c r="I649" s="42">
        <v>1</v>
      </c>
      <c r="J649" s="42">
        <v>0</v>
      </c>
      <c r="K649" s="42">
        <v>0</v>
      </c>
      <c r="L649" s="66">
        <f t="shared" si="153"/>
        <v>1</v>
      </c>
      <c r="M649" s="43"/>
    </row>
    <row r="650" spans="2:15" ht="15.75" hidden="1" x14ac:dyDescent="0.25">
      <c r="B650" s="10">
        <v>46140</v>
      </c>
      <c r="C650" s="10" t="s">
        <v>12</v>
      </c>
      <c r="D650" s="10" t="s">
        <v>13</v>
      </c>
      <c r="F650" s="942"/>
      <c r="G650" s="42" t="s">
        <v>25</v>
      </c>
      <c r="H650" s="29" t="s">
        <v>106</v>
      </c>
      <c r="I650" s="42">
        <v>109</v>
      </c>
      <c r="J650" s="42">
        <v>58</v>
      </c>
      <c r="K650" s="42">
        <v>0</v>
      </c>
      <c r="L650" s="66">
        <f t="shared" si="153"/>
        <v>167</v>
      </c>
      <c r="M650" s="43"/>
    </row>
    <row r="651" spans="2:15" ht="15.75" hidden="1" x14ac:dyDescent="0.25">
      <c r="B651" s="10">
        <v>46140</v>
      </c>
      <c r="C651" s="10" t="s">
        <v>12</v>
      </c>
      <c r="D651" s="10" t="s">
        <v>13</v>
      </c>
      <c r="F651" s="969" t="s">
        <v>40</v>
      </c>
      <c r="G651" s="970"/>
      <c r="H651" s="971"/>
      <c r="I651" s="8">
        <f>SUM(I644:I650)</f>
        <v>203</v>
      </c>
      <c r="J651" s="8">
        <f>SUM(J644:J650)</f>
        <v>77</v>
      </c>
      <c r="K651" s="8">
        <f>SUM(K644:K650)</f>
        <v>59</v>
      </c>
      <c r="L651" s="8">
        <f>SUM(I651:K651)</f>
        <v>339</v>
      </c>
      <c r="M651" s="31"/>
    </row>
    <row r="652" spans="2:15" ht="15.75" hidden="1" x14ac:dyDescent="0.25">
      <c r="B652" s="10">
        <v>46140</v>
      </c>
      <c r="C652" s="10" t="s">
        <v>18</v>
      </c>
      <c r="D652" s="10" t="s">
        <v>20</v>
      </c>
      <c r="F652" s="939">
        <v>46140</v>
      </c>
      <c r="G652" s="42" t="s">
        <v>75</v>
      </c>
      <c r="H652" s="29" t="s">
        <v>112</v>
      </c>
      <c r="I652" s="42">
        <v>8</v>
      </c>
      <c r="J652" s="42">
        <v>16</v>
      </c>
      <c r="K652" s="42">
        <v>0</v>
      </c>
      <c r="L652" s="66">
        <f t="shared" ref="L652:L657" si="154">SUM(I652:K652)</f>
        <v>24</v>
      </c>
      <c r="M652" s="31"/>
    </row>
    <row r="653" spans="2:15" ht="15.75" hidden="1" x14ac:dyDescent="0.25">
      <c r="B653" s="10">
        <v>46140</v>
      </c>
      <c r="C653" s="10" t="s">
        <v>18</v>
      </c>
      <c r="D653" s="10" t="s">
        <v>20</v>
      </c>
      <c r="F653" s="940"/>
      <c r="G653" s="42" t="s">
        <v>25</v>
      </c>
      <c r="H653" s="29" t="s">
        <v>105</v>
      </c>
      <c r="I653" s="42">
        <v>10</v>
      </c>
      <c r="J653" s="42">
        <v>5</v>
      </c>
      <c r="K653" s="42">
        <v>0</v>
      </c>
      <c r="L653" s="66">
        <f t="shared" si="154"/>
        <v>15</v>
      </c>
      <c r="M653" s="43"/>
    </row>
    <row r="654" spans="2:15" ht="15.75" hidden="1" x14ac:dyDescent="0.25">
      <c r="B654" s="10">
        <v>46140</v>
      </c>
      <c r="C654" s="10" t="s">
        <v>18</v>
      </c>
      <c r="D654" s="10" t="s">
        <v>20</v>
      </c>
      <c r="F654" s="941"/>
      <c r="G654" s="42" t="s">
        <v>14</v>
      </c>
      <c r="H654" s="29" t="s">
        <v>105</v>
      </c>
      <c r="I654" s="42">
        <v>8</v>
      </c>
      <c r="J654" s="42">
        <v>0</v>
      </c>
      <c r="K654" s="42">
        <v>3</v>
      </c>
      <c r="L654" s="66">
        <f t="shared" si="154"/>
        <v>11</v>
      </c>
      <c r="M654" s="43"/>
    </row>
    <row r="655" spans="2:15" ht="15.75" hidden="1" x14ac:dyDescent="0.25">
      <c r="B655" s="10">
        <v>46140</v>
      </c>
      <c r="C655" s="10" t="s">
        <v>18</v>
      </c>
      <c r="D655" s="10" t="s">
        <v>20</v>
      </c>
      <c r="F655" s="943">
        <v>46141</v>
      </c>
      <c r="G655" s="42" t="s">
        <v>75</v>
      </c>
      <c r="H655" s="29" t="s">
        <v>112</v>
      </c>
      <c r="I655" s="42">
        <v>69</v>
      </c>
      <c r="J655" s="42">
        <v>55</v>
      </c>
      <c r="K655" s="42">
        <v>38</v>
      </c>
      <c r="L655" s="66">
        <f t="shared" si="154"/>
        <v>162</v>
      </c>
      <c r="M655" s="43"/>
    </row>
    <row r="656" spans="2:15" ht="15.75" hidden="1" x14ac:dyDescent="0.25">
      <c r="B656" s="10">
        <v>46140</v>
      </c>
      <c r="C656" s="10" t="s">
        <v>18</v>
      </c>
      <c r="D656" s="10" t="s">
        <v>20</v>
      </c>
      <c r="F656" s="944"/>
      <c r="G656" s="42" t="s">
        <v>120</v>
      </c>
      <c r="H656" s="29" t="s">
        <v>106</v>
      </c>
      <c r="I656" s="42">
        <v>7</v>
      </c>
      <c r="J656" s="42">
        <v>0</v>
      </c>
      <c r="K656" s="42">
        <v>3</v>
      </c>
      <c r="L656" s="66">
        <f t="shared" si="154"/>
        <v>10</v>
      </c>
      <c r="M656" s="43"/>
    </row>
    <row r="657" spans="2:15" ht="15.75" hidden="1" x14ac:dyDescent="0.25">
      <c r="B657" s="10">
        <v>46140</v>
      </c>
      <c r="C657" s="10" t="s">
        <v>18</v>
      </c>
      <c r="D657" s="10" t="s">
        <v>20</v>
      </c>
      <c r="F657" s="945"/>
      <c r="G657" s="42" t="s">
        <v>25</v>
      </c>
      <c r="H657" s="29" t="s">
        <v>105</v>
      </c>
      <c r="I657" s="42">
        <v>60</v>
      </c>
      <c r="J657" s="42">
        <v>9</v>
      </c>
      <c r="K657" s="42">
        <v>105</v>
      </c>
      <c r="L657" s="66">
        <f t="shared" si="154"/>
        <v>174</v>
      </c>
      <c r="M657" s="43"/>
    </row>
    <row r="658" spans="2:15" ht="15.75" hidden="1" x14ac:dyDescent="0.25">
      <c r="B658" s="10">
        <v>46140</v>
      </c>
      <c r="C658" s="10" t="s">
        <v>18</v>
      </c>
      <c r="D658" s="10" t="s">
        <v>20</v>
      </c>
      <c r="F658" s="937" t="s">
        <v>40</v>
      </c>
      <c r="G658" s="937"/>
      <c r="H658" s="937"/>
      <c r="I658" s="8">
        <f>SUM(I652:I657)</f>
        <v>162</v>
      </c>
      <c r="J658" s="8">
        <f>SUM(J652:J657)</f>
        <v>85</v>
      </c>
      <c r="K658" s="8">
        <f>SUM(K652:K657)</f>
        <v>149</v>
      </c>
      <c r="L658" s="8">
        <f>SUM(I658:K658)</f>
        <v>396</v>
      </c>
      <c r="M658" s="31"/>
      <c r="O658" s="8">
        <f>L658</f>
        <v>396</v>
      </c>
    </row>
    <row r="659" spans="2:15" ht="15.75" hidden="1" x14ac:dyDescent="0.25">
      <c r="B659" s="10">
        <v>46141</v>
      </c>
      <c r="C659" s="10" t="s">
        <v>22</v>
      </c>
      <c r="D659" s="10" t="s">
        <v>23</v>
      </c>
      <c r="F659" s="939">
        <v>46141</v>
      </c>
      <c r="G659" s="42" t="s">
        <v>75</v>
      </c>
      <c r="H659" s="29" t="s">
        <v>106</v>
      </c>
      <c r="I659" s="42">
        <v>32</v>
      </c>
      <c r="J659" s="42">
        <v>40</v>
      </c>
      <c r="K659" s="42">
        <v>0</v>
      </c>
      <c r="L659" s="66">
        <f t="shared" ref="L659:L663" si="155">SUM(I659:K659)</f>
        <v>72</v>
      </c>
      <c r="M659" s="31"/>
    </row>
    <row r="660" spans="2:15" ht="15.75" hidden="1" x14ac:dyDescent="0.25">
      <c r="B660" s="10">
        <v>46141</v>
      </c>
      <c r="C660" s="10" t="s">
        <v>22</v>
      </c>
      <c r="D660" s="10" t="s">
        <v>23</v>
      </c>
      <c r="F660" s="940"/>
      <c r="G660" s="42" t="s">
        <v>14</v>
      </c>
      <c r="H660" s="29" t="s">
        <v>106</v>
      </c>
      <c r="I660" s="42">
        <v>46</v>
      </c>
      <c r="J660" s="42">
        <v>15</v>
      </c>
      <c r="K660" s="42">
        <v>0</v>
      </c>
      <c r="L660" s="66">
        <f t="shared" si="155"/>
        <v>61</v>
      </c>
      <c r="M660" s="43"/>
    </row>
    <row r="661" spans="2:15" ht="15.75" hidden="1" x14ac:dyDescent="0.25">
      <c r="B661" s="10">
        <v>46141</v>
      </c>
      <c r="C661" s="10" t="s">
        <v>22</v>
      </c>
      <c r="D661" s="10" t="s">
        <v>23</v>
      </c>
      <c r="F661" s="940"/>
      <c r="G661" s="42" t="s">
        <v>25</v>
      </c>
      <c r="H661" s="29" t="s">
        <v>106</v>
      </c>
      <c r="I661" s="42">
        <v>161</v>
      </c>
      <c r="J661" s="42">
        <v>41</v>
      </c>
      <c r="K661" s="42">
        <v>0</v>
      </c>
      <c r="L661" s="66">
        <f t="shared" si="155"/>
        <v>202</v>
      </c>
      <c r="M661" s="43"/>
    </row>
    <row r="662" spans="2:15" ht="15.75" hidden="1" x14ac:dyDescent="0.25">
      <c r="B662" s="10">
        <v>46141</v>
      </c>
      <c r="C662" s="10" t="s">
        <v>22</v>
      </c>
      <c r="D662" s="10" t="s">
        <v>23</v>
      </c>
      <c r="F662" s="940"/>
      <c r="G662" s="42" t="s">
        <v>84</v>
      </c>
      <c r="H662" s="29" t="s">
        <v>43</v>
      </c>
      <c r="I662" s="42">
        <v>34</v>
      </c>
      <c r="J662" s="42">
        <v>3</v>
      </c>
      <c r="K662" s="42">
        <v>0</v>
      </c>
      <c r="L662" s="66">
        <f t="shared" si="155"/>
        <v>37</v>
      </c>
      <c r="M662" s="43"/>
    </row>
    <row r="663" spans="2:15" ht="15.75" hidden="1" x14ac:dyDescent="0.25">
      <c r="B663" s="10">
        <v>46141</v>
      </c>
      <c r="C663" s="10" t="s">
        <v>22</v>
      </c>
      <c r="D663" s="10" t="s">
        <v>23</v>
      </c>
      <c r="F663" s="940"/>
      <c r="G663" s="42" t="s">
        <v>120</v>
      </c>
      <c r="H663" s="29" t="s">
        <v>106</v>
      </c>
      <c r="I663" s="42">
        <v>63</v>
      </c>
      <c r="J663" s="42">
        <v>0</v>
      </c>
      <c r="K663" s="42">
        <v>0</v>
      </c>
      <c r="L663" s="66">
        <f t="shared" si="155"/>
        <v>63</v>
      </c>
      <c r="M663" s="43"/>
    </row>
    <row r="664" spans="2:15" ht="15.75" hidden="1" x14ac:dyDescent="0.25">
      <c r="B664" s="10">
        <v>46141</v>
      </c>
      <c r="C664" s="10" t="s">
        <v>22</v>
      </c>
      <c r="D664" s="10" t="s">
        <v>23</v>
      </c>
      <c r="F664" s="937" t="s">
        <v>40</v>
      </c>
      <c r="G664" s="937"/>
      <c r="H664" s="937"/>
      <c r="I664" s="8">
        <f>SUM(I659:I663)</f>
        <v>336</v>
      </c>
      <c r="J664" s="8">
        <f>SUM(J659:J663)</f>
        <v>99</v>
      </c>
      <c r="K664" s="8">
        <f>SUM(K659:K663)</f>
        <v>0</v>
      </c>
      <c r="L664" s="8">
        <f>SUM(I664:K664)</f>
        <v>435</v>
      </c>
      <c r="M664" s="31"/>
      <c r="O664" s="8">
        <f>L664</f>
        <v>435</v>
      </c>
    </row>
    <row r="665" spans="2:15" ht="15.75" hidden="1" x14ac:dyDescent="0.25">
      <c r="B665" s="10">
        <v>46141</v>
      </c>
      <c r="C665" s="10" t="s">
        <v>22</v>
      </c>
      <c r="D665" s="10" t="s">
        <v>13</v>
      </c>
      <c r="F665" s="72">
        <v>46141</v>
      </c>
      <c r="G665" s="15" t="s">
        <v>25</v>
      </c>
      <c r="H665" s="15" t="s">
        <v>106</v>
      </c>
      <c r="I665" s="42">
        <v>33</v>
      </c>
      <c r="J665" s="42">
        <v>27</v>
      </c>
      <c r="K665" s="42">
        <v>0</v>
      </c>
      <c r="L665" s="66">
        <f t="shared" ref="L665:L666" si="156">SUM(I665:K665)</f>
        <v>60</v>
      </c>
      <c r="M665" s="31"/>
    </row>
    <row r="666" spans="2:15" ht="15.75" hidden="1" x14ac:dyDescent="0.25">
      <c r="B666" s="10">
        <v>46141</v>
      </c>
      <c r="C666" s="10" t="s">
        <v>22</v>
      </c>
      <c r="D666" s="10" t="s">
        <v>13</v>
      </c>
      <c r="F666" s="72">
        <v>46144</v>
      </c>
      <c r="G666" s="15" t="s">
        <v>120</v>
      </c>
      <c r="H666" s="15" t="s">
        <v>43</v>
      </c>
      <c r="I666" s="42">
        <v>62</v>
      </c>
      <c r="J666" s="42">
        <v>4</v>
      </c>
      <c r="K666" s="42">
        <v>0</v>
      </c>
      <c r="L666" s="66">
        <f t="shared" si="156"/>
        <v>66</v>
      </c>
      <c r="M666" s="43"/>
    </row>
    <row r="667" spans="2:15" ht="15.75" hidden="1" x14ac:dyDescent="0.25">
      <c r="B667" s="10">
        <v>46141</v>
      </c>
      <c r="C667" s="10" t="s">
        <v>22</v>
      </c>
      <c r="D667" s="10" t="s">
        <v>13</v>
      </c>
      <c r="F667" s="72">
        <v>46146</v>
      </c>
      <c r="G667" s="15" t="s">
        <v>14</v>
      </c>
      <c r="H667" s="15" t="s">
        <v>106</v>
      </c>
      <c r="I667" s="42">
        <v>23</v>
      </c>
      <c r="J667" s="42">
        <v>3</v>
      </c>
      <c r="K667" s="42">
        <v>25</v>
      </c>
      <c r="L667" s="66">
        <f>SUM(I667:K667)</f>
        <v>51</v>
      </c>
      <c r="M667" s="31"/>
    </row>
    <row r="668" spans="2:15" ht="15.75" hidden="1" x14ac:dyDescent="0.25">
      <c r="B668" s="10">
        <v>46141</v>
      </c>
      <c r="C668" s="10" t="s">
        <v>22</v>
      </c>
      <c r="D668" s="10" t="s">
        <v>13</v>
      </c>
      <c r="F668" s="937" t="s">
        <v>40</v>
      </c>
      <c r="G668" s="937"/>
      <c r="H668" s="937"/>
      <c r="I668" s="8">
        <f>SUM(I665:I667)</f>
        <v>118</v>
      </c>
      <c r="J668" s="8">
        <f t="shared" ref="J668:L668" si="157">SUM(J665:J667)</f>
        <v>34</v>
      </c>
      <c r="K668" s="8">
        <f t="shared" si="157"/>
        <v>25</v>
      </c>
      <c r="L668" s="8">
        <f t="shared" si="157"/>
        <v>177</v>
      </c>
      <c r="M668" s="31"/>
    </row>
    <row r="669" spans="2:15" ht="15.75" hidden="1" x14ac:dyDescent="0.25">
      <c r="B669" s="10">
        <v>46140</v>
      </c>
      <c r="C669" s="10" t="s">
        <v>22</v>
      </c>
      <c r="D669" s="10" t="s">
        <v>23</v>
      </c>
      <c r="F669" s="943">
        <v>46140</v>
      </c>
      <c r="G669" s="42" t="s">
        <v>75</v>
      </c>
      <c r="H669" s="29" t="s">
        <v>112</v>
      </c>
      <c r="I669" s="42">
        <v>57</v>
      </c>
      <c r="J669" s="42">
        <v>52</v>
      </c>
      <c r="K669" s="42">
        <v>0</v>
      </c>
      <c r="L669" s="66">
        <f t="shared" ref="L669:L676" si="158">SUM(I669:K669)</f>
        <v>109</v>
      </c>
      <c r="M669" s="31"/>
    </row>
    <row r="670" spans="2:15" ht="15.75" hidden="1" x14ac:dyDescent="0.25">
      <c r="B670" s="10">
        <v>46140</v>
      </c>
      <c r="C670" s="10" t="s">
        <v>22</v>
      </c>
      <c r="D670" s="10" t="s">
        <v>23</v>
      </c>
      <c r="F670" s="944"/>
      <c r="G670" s="42" t="s">
        <v>14</v>
      </c>
      <c r="H670" s="29" t="s">
        <v>106</v>
      </c>
      <c r="I670" s="42">
        <v>47</v>
      </c>
      <c r="J670" s="42">
        <v>17</v>
      </c>
      <c r="K670" s="42">
        <v>0</v>
      </c>
      <c r="L670" s="66">
        <f t="shared" si="158"/>
        <v>64</v>
      </c>
      <c r="M670" s="43"/>
    </row>
    <row r="671" spans="2:15" ht="15.75" hidden="1" x14ac:dyDescent="0.25">
      <c r="B671" s="10">
        <v>46140</v>
      </c>
      <c r="C671" s="10" t="s">
        <v>22</v>
      </c>
      <c r="D671" s="10" t="s">
        <v>23</v>
      </c>
      <c r="F671" s="944"/>
      <c r="G671" s="42" t="s">
        <v>17</v>
      </c>
      <c r="H671" s="29" t="s">
        <v>106</v>
      </c>
      <c r="I671" s="42">
        <v>21</v>
      </c>
      <c r="J671" s="42">
        <v>0</v>
      </c>
      <c r="K671" s="42">
        <v>0</v>
      </c>
      <c r="L671" s="66">
        <f t="shared" si="158"/>
        <v>21</v>
      </c>
      <c r="M671" s="43"/>
    </row>
    <row r="672" spans="2:15" ht="15.75" hidden="1" x14ac:dyDescent="0.25">
      <c r="B672" s="10">
        <v>46140</v>
      </c>
      <c r="C672" s="10" t="s">
        <v>22</v>
      </c>
      <c r="D672" s="10" t="s">
        <v>23</v>
      </c>
      <c r="F672" s="944"/>
      <c r="G672" s="42" t="s">
        <v>25</v>
      </c>
      <c r="H672" s="29" t="s">
        <v>112</v>
      </c>
      <c r="I672" s="42">
        <v>27</v>
      </c>
      <c r="J672" s="42">
        <v>16</v>
      </c>
      <c r="K672" s="42">
        <v>0</v>
      </c>
      <c r="L672" s="66">
        <f t="shared" si="158"/>
        <v>43</v>
      </c>
      <c r="M672" s="43"/>
    </row>
    <row r="673" spans="2:15" ht="15.75" hidden="1" x14ac:dyDescent="0.25">
      <c r="B673" s="10">
        <v>46140</v>
      </c>
      <c r="C673" s="10" t="s">
        <v>22</v>
      </c>
      <c r="D673" s="10" t="s">
        <v>23</v>
      </c>
      <c r="F673" s="944"/>
      <c r="G673" s="42" t="s">
        <v>120</v>
      </c>
      <c r="H673" s="29" t="s">
        <v>106</v>
      </c>
      <c r="I673" s="42">
        <v>54</v>
      </c>
      <c r="J673" s="42">
        <v>0</v>
      </c>
      <c r="K673" s="42">
        <v>0</v>
      </c>
      <c r="L673" s="66">
        <f t="shared" si="158"/>
        <v>54</v>
      </c>
      <c r="M673" s="43"/>
    </row>
    <row r="674" spans="2:15" ht="15.75" hidden="1" x14ac:dyDescent="0.25">
      <c r="B674" s="10">
        <v>46140</v>
      </c>
      <c r="C674" s="10" t="s">
        <v>22</v>
      </c>
      <c r="D674" s="10" t="s">
        <v>23</v>
      </c>
      <c r="F674" s="944"/>
      <c r="G674" s="42" t="s">
        <v>118</v>
      </c>
      <c r="H674" s="29" t="s">
        <v>43</v>
      </c>
      <c r="I674" s="42">
        <v>4</v>
      </c>
      <c r="J674" s="42">
        <v>3</v>
      </c>
      <c r="K674" s="42">
        <v>0</v>
      </c>
      <c r="L674" s="66">
        <f t="shared" si="158"/>
        <v>7</v>
      </c>
      <c r="M674" s="43"/>
    </row>
    <row r="675" spans="2:15" ht="15.75" hidden="1" x14ac:dyDescent="0.25">
      <c r="B675" s="10">
        <v>46140</v>
      </c>
      <c r="C675" s="10" t="s">
        <v>22</v>
      </c>
      <c r="D675" s="10" t="s">
        <v>23</v>
      </c>
      <c r="F675" s="944"/>
      <c r="G675" s="42" t="s">
        <v>123</v>
      </c>
      <c r="H675" s="29" t="s">
        <v>43</v>
      </c>
      <c r="I675" s="42">
        <v>29</v>
      </c>
      <c r="J675" s="42">
        <v>0</v>
      </c>
      <c r="K675" s="42">
        <v>0</v>
      </c>
      <c r="L675" s="66">
        <f t="shared" si="158"/>
        <v>29</v>
      </c>
      <c r="M675" s="43"/>
    </row>
    <row r="676" spans="2:15" ht="15.75" hidden="1" x14ac:dyDescent="0.25">
      <c r="B676" s="10">
        <v>46140</v>
      </c>
      <c r="C676" s="10" t="s">
        <v>22</v>
      </c>
      <c r="D676" s="10" t="s">
        <v>23</v>
      </c>
      <c r="F676" s="945"/>
      <c r="G676" s="42" t="s">
        <v>84</v>
      </c>
      <c r="H676" s="29" t="s">
        <v>106</v>
      </c>
      <c r="I676" s="42">
        <v>46</v>
      </c>
      <c r="J676" s="42">
        <v>3</v>
      </c>
      <c r="K676" s="42">
        <v>0</v>
      </c>
      <c r="L676" s="66">
        <f t="shared" si="158"/>
        <v>49</v>
      </c>
      <c r="M676" s="43"/>
    </row>
    <row r="677" spans="2:15" ht="15.75" hidden="1" x14ac:dyDescent="0.25">
      <c r="B677" s="10">
        <v>46140</v>
      </c>
      <c r="C677" s="10" t="s">
        <v>22</v>
      </c>
      <c r="D677" s="10" t="s">
        <v>23</v>
      </c>
      <c r="F677" s="937" t="s">
        <v>40</v>
      </c>
      <c r="G677" s="937"/>
      <c r="H677" s="937"/>
      <c r="I677" s="8">
        <f>SUM(I669:I676)</f>
        <v>285</v>
      </c>
      <c r="J677" s="8">
        <f>SUM(J669:J676)</f>
        <v>91</v>
      </c>
      <c r="K677" s="8">
        <f>SUM(K669:K676)</f>
        <v>0</v>
      </c>
      <c r="L677" s="8">
        <f>SUM(I677:K677)</f>
        <v>376</v>
      </c>
      <c r="M677" s="31"/>
      <c r="O677" s="8">
        <f>L677</f>
        <v>376</v>
      </c>
    </row>
    <row r="678" spans="2:15" ht="15.75" hidden="1" x14ac:dyDescent="0.25">
      <c r="B678" s="10">
        <v>46145</v>
      </c>
      <c r="C678" s="10" t="s">
        <v>43</v>
      </c>
      <c r="D678" s="10" t="s">
        <v>23</v>
      </c>
      <c r="F678" s="944">
        <v>46145</v>
      </c>
      <c r="G678" s="42" t="s">
        <v>14</v>
      </c>
      <c r="H678" s="29" t="s">
        <v>106</v>
      </c>
      <c r="I678" s="42">
        <v>14</v>
      </c>
      <c r="J678" s="42">
        <v>11</v>
      </c>
      <c r="K678" s="42">
        <v>73</v>
      </c>
      <c r="L678" s="66">
        <f t="shared" ref="L678:L680" si="159">SUM(I678:K678)</f>
        <v>98</v>
      </c>
      <c r="M678" s="43"/>
    </row>
    <row r="679" spans="2:15" ht="15.75" hidden="1" x14ac:dyDescent="0.25">
      <c r="B679" s="10">
        <v>46145</v>
      </c>
      <c r="C679" s="10" t="s">
        <v>43</v>
      </c>
      <c r="D679" s="10" t="s">
        <v>23</v>
      </c>
      <c r="F679" s="944"/>
      <c r="G679" s="42" t="s">
        <v>84</v>
      </c>
      <c r="H679" s="29" t="s">
        <v>43</v>
      </c>
      <c r="I679" s="42">
        <v>0</v>
      </c>
      <c r="J679" s="42">
        <v>0</v>
      </c>
      <c r="K679" s="42">
        <v>18</v>
      </c>
      <c r="L679" s="66">
        <f t="shared" si="159"/>
        <v>18</v>
      </c>
      <c r="M679" s="43"/>
    </row>
    <row r="680" spans="2:15" ht="15.75" hidden="1" x14ac:dyDescent="0.25">
      <c r="B680" s="10">
        <v>46145</v>
      </c>
      <c r="C680" s="10" t="s">
        <v>43</v>
      </c>
      <c r="D680" s="10" t="s">
        <v>23</v>
      </c>
      <c r="F680" s="944"/>
      <c r="G680" s="42" t="s">
        <v>120</v>
      </c>
      <c r="H680" s="29" t="s">
        <v>106</v>
      </c>
      <c r="I680" s="42">
        <v>33</v>
      </c>
      <c r="J680" s="42">
        <v>0</v>
      </c>
      <c r="K680" s="42">
        <v>0</v>
      </c>
      <c r="L680" s="66">
        <f t="shared" si="159"/>
        <v>33</v>
      </c>
      <c r="M680" s="43"/>
    </row>
    <row r="681" spans="2:15" ht="15.75" hidden="1" x14ac:dyDescent="0.25">
      <c r="B681" s="10">
        <v>46145</v>
      </c>
      <c r="C681" s="10" t="s">
        <v>43</v>
      </c>
      <c r="D681" s="10" t="s">
        <v>23</v>
      </c>
      <c r="F681" s="937" t="s">
        <v>40</v>
      </c>
      <c r="G681" s="937"/>
      <c r="H681" s="937"/>
      <c r="I681" s="8">
        <f>SUM(I678:I680)</f>
        <v>47</v>
      </c>
      <c r="J681" s="8">
        <f>SUM(J678:J680)</f>
        <v>11</v>
      </c>
      <c r="K681" s="8">
        <f>SUM(K678:K680)</f>
        <v>91</v>
      </c>
      <c r="L681" s="8">
        <f>SUM(I681:K681)</f>
        <v>149</v>
      </c>
      <c r="M681" s="31"/>
      <c r="O681" s="8">
        <f>L681</f>
        <v>149</v>
      </c>
    </row>
    <row r="682" spans="2:15" ht="15.75" hidden="1" x14ac:dyDescent="0.25">
      <c r="B682" s="10">
        <v>46146</v>
      </c>
      <c r="C682" s="10" t="s">
        <v>22</v>
      </c>
      <c r="D682" s="10" t="s">
        <v>23</v>
      </c>
      <c r="F682" s="939">
        <v>46146</v>
      </c>
      <c r="G682" s="42" t="s">
        <v>16</v>
      </c>
      <c r="H682" s="29" t="s">
        <v>112</v>
      </c>
      <c r="I682" s="42">
        <v>29</v>
      </c>
      <c r="J682" s="42">
        <v>19</v>
      </c>
      <c r="K682" s="42">
        <v>0</v>
      </c>
      <c r="L682" s="66">
        <f t="shared" ref="L682" si="160">SUM(I682:K682)</f>
        <v>48</v>
      </c>
      <c r="M682" s="43"/>
      <c r="O682" s="64"/>
    </row>
    <row r="683" spans="2:15" ht="15.75" hidden="1" x14ac:dyDescent="0.25">
      <c r="B683" s="10">
        <v>46146</v>
      </c>
      <c r="C683" s="10" t="s">
        <v>22</v>
      </c>
      <c r="D683" s="10" t="s">
        <v>23</v>
      </c>
      <c r="F683" s="940"/>
      <c r="G683" s="42" t="s">
        <v>14</v>
      </c>
      <c r="H683" s="29" t="s">
        <v>106</v>
      </c>
      <c r="I683" s="42">
        <v>92</v>
      </c>
      <c r="J683" s="42">
        <v>13</v>
      </c>
      <c r="K683" s="42">
        <v>0</v>
      </c>
      <c r="L683" s="66">
        <f t="shared" ref="L683:L685" si="161">SUM(I683:K683)</f>
        <v>105</v>
      </c>
      <c r="M683" s="43"/>
    </row>
    <row r="684" spans="2:15" ht="15.75" hidden="1" x14ac:dyDescent="0.25">
      <c r="B684" s="10">
        <v>46146</v>
      </c>
      <c r="C684" s="10" t="s">
        <v>22</v>
      </c>
      <c r="D684" s="10" t="s">
        <v>23</v>
      </c>
      <c r="F684" s="940"/>
      <c r="G684" s="42" t="s">
        <v>84</v>
      </c>
      <c r="H684" s="29" t="s">
        <v>43</v>
      </c>
      <c r="I684" s="42">
        <v>107</v>
      </c>
      <c r="J684" s="42">
        <v>59</v>
      </c>
      <c r="K684" s="42">
        <v>0</v>
      </c>
      <c r="L684" s="66">
        <f t="shared" si="161"/>
        <v>166</v>
      </c>
      <c r="M684" s="43"/>
    </row>
    <row r="685" spans="2:15" ht="15.75" hidden="1" x14ac:dyDescent="0.25">
      <c r="B685" s="10">
        <v>46146</v>
      </c>
      <c r="C685" s="10" t="s">
        <v>22</v>
      </c>
      <c r="D685" s="10" t="s">
        <v>23</v>
      </c>
      <c r="F685" s="941"/>
      <c r="G685" s="42" t="s">
        <v>17</v>
      </c>
      <c r="H685" s="29" t="s">
        <v>105</v>
      </c>
      <c r="I685" s="42">
        <v>38</v>
      </c>
      <c r="J685" s="42">
        <v>6</v>
      </c>
      <c r="K685" s="42">
        <v>0</v>
      </c>
      <c r="L685" s="66">
        <f t="shared" si="161"/>
        <v>44</v>
      </c>
      <c r="M685" s="43"/>
    </row>
    <row r="686" spans="2:15" ht="15.75" hidden="1" x14ac:dyDescent="0.25">
      <c r="B686" s="10">
        <v>46146</v>
      </c>
      <c r="C686" s="10" t="s">
        <v>22</v>
      </c>
      <c r="D686" s="10" t="s">
        <v>23</v>
      </c>
      <c r="F686" s="937" t="s">
        <v>40</v>
      </c>
      <c r="G686" s="937"/>
      <c r="H686" s="937"/>
      <c r="I686" s="8">
        <f>SUM(I682:I685)</f>
        <v>266</v>
      </c>
      <c r="J686" s="8">
        <f>SUM(J682:J685)</f>
        <v>97</v>
      </c>
      <c r="K686" s="8">
        <f>SUM(K683:K685)</f>
        <v>0</v>
      </c>
      <c r="L686" s="8">
        <f>SUM(I686:K686)</f>
        <v>363</v>
      </c>
      <c r="M686" s="31"/>
      <c r="O686" s="8">
        <f>L686</f>
        <v>363</v>
      </c>
    </row>
    <row r="687" spans="2:15" ht="15.75" hidden="1" x14ac:dyDescent="0.25">
      <c r="B687" s="10">
        <v>46146</v>
      </c>
      <c r="C687" s="10" t="s">
        <v>12</v>
      </c>
      <c r="D687" s="10" t="s">
        <v>13</v>
      </c>
      <c r="F687" s="939">
        <v>46146</v>
      </c>
      <c r="G687" s="42" t="s">
        <v>16</v>
      </c>
      <c r="H687" s="29" t="s">
        <v>112</v>
      </c>
      <c r="I687" s="42">
        <v>7</v>
      </c>
      <c r="J687" s="42">
        <v>17</v>
      </c>
      <c r="K687" s="42">
        <v>0</v>
      </c>
      <c r="L687" s="66">
        <f t="shared" ref="L687:L692" si="162">SUM(I687:K687)</f>
        <v>24</v>
      </c>
      <c r="M687" s="43"/>
    </row>
    <row r="688" spans="2:15" ht="15.75" hidden="1" x14ac:dyDescent="0.25">
      <c r="B688" s="10">
        <v>46146</v>
      </c>
      <c r="C688" s="10" t="s">
        <v>12</v>
      </c>
      <c r="D688" s="10" t="s">
        <v>13</v>
      </c>
      <c r="F688" s="940"/>
      <c r="G688" s="42" t="s">
        <v>14</v>
      </c>
      <c r="H688" s="29" t="s">
        <v>106</v>
      </c>
      <c r="I688" s="42">
        <v>3</v>
      </c>
      <c r="J688" s="42">
        <v>1</v>
      </c>
      <c r="K688" s="42">
        <v>0</v>
      </c>
      <c r="L688" s="66">
        <f t="shared" si="162"/>
        <v>4</v>
      </c>
      <c r="M688" s="43"/>
    </row>
    <row r="689" spans="2:15" ht="15.75" hidden="1" x14ac:dyDescent="0.25">
      <c r="B689" s="10">
        <v>46146</v>
      </c>
      <c r="C689" s="10" t="s">
        <v>12</v>
      </c>
      <c r="D689" s="10" t="s">
        <v>13</v>
      </c>
      <c r="F689" s="940"/>
      <c r="G689" s="42" t="s">
        <v>25</v>
      </c>
      <c r="H689" s="29" t="s">
        <v>106</v>
      </c>
      <c r="I689" s="42">
        <v>7</v>
      </c>
      <c r="J689" s="42">
        <v>0</v>
      </c>
      <c r="K689" s="42">
        <v>0</v>
      </c>
      <c r="L689" s="66">
        <f t="shared" si="162"/>
        <v>7</v>
      </c>
      <c r="M689" s="43"/>
    </row>
    <row r="690" spans="2:15" ht="15.75" hidden="1" x14ac:dyDescent="0.25">
      <c r="B690" s="10">
        <v>46146</v>
      </c>
      <c r="C690" s="10" t="s">
        <v>12</v>
      </c>
      <c r="D690" s="10" t="s">
        <v>13</v>
      </c>
      <c r="F690" s="940"/>
      <c r="G690" s="42" t="s">
        <v>84</v>
      </c>
      <c r="H690" s="29" t="s">
        <v>43</v>
      </c>
      <c r="I690" s="42">
        <v>3</v>
      </c>
      <c r="J690" s="42">
        <v>3</v>
      </c>
      <c r="K690" s="42">
        <v>23</v>
      </c>
      <c r="L690" s="66">
        <f t="shared" si="162"/>
        <v>29</v>
      </c>
      <c r="M690" s="43"/>
    </row>
    <row r="691" spans="2:15" ht="15.75" hidden="1" x14ac:dyDescent="0.25">
      <c r="B691" s="10">
        <v>46146</v>
      </c>
      <c r="C691" s="10" t="s">
        <v>12</v>
      </c>
      <c r="D691" s="10" t="s">
        <v>13</v>
      </c>
      <c r="F691" s="941"/>
      <c r="G691" s="42" t="s">
        <v>17</v>
      </c>
      <c r="H691" s="29" t="s">
        <v>105</v>
      </c>
      <c r="I691" s="42">
        <v>103</v>
      </c>
      <c r="J691" s="42">
        <v>35</v>
      </c>
      <c r="K691" s="42">
        <v>0</v>
      </c>
      <c r="L691" s="66">
        <f t="shared" si="162"/>
        <v>138</v>
      </c>
      <c r="M691" s="43"/>
    </row>
    <row r="692" spans="2:15" ht="15.75" hidden="1" x14ac:dyDescent="0.25">
      <c r="B692" s="10">
        <v>46146</v>
      </c>
      <c r="C692" s="10" t="s">
        <v>12</v>
      </c>
      <c r="D692" s="10" t="s">
        <v>13</v>
      </c>
      <c r="F692" s="81">
        <v>46147</v>
      </c>
      <c r="G692" s="42" t="s">
        <v>16</v>
      </c>
      <c r="H692" s="29" t="s">
        <v>106</v>
      </c>
      <c r="I692" s="42">
        <v>16</v>
      </c>
      <c r="J692" s="42">
        <v>5</v>
      </c>
      <c r="K692" s="42">
        <v>0</v>
      </c>
      <c r="L692" s="66">
        <f t="shared" si="162"/>
        <v>21</v>
      </c>
      <c r="M692" s="43"/>
    </row>
    <row r="693" spans="2:15" ht="15.75" hidden="1" x14ac:dyDescent="0.25">
      <c r="B693" s="10">
        <v>46146</v>
      </c>
      <c r="C693" s="10" t="s">
        <v>12</v>
      </c>
      <c r="D693" s="10" t="s">
        <v>13</v>
      </c>
      <c r="F693" s="937" t="s">
        <v>40</v>
      </c>
      <c r="G693" s="937"/>
      <c r="H693" s="937"/>
      <c r="I693" s="8">
        <f>SUM(I687:I691)</f>
        <v>123</v>
      </c>
      <c r="J693" s="8">
        <f>SUM(J687:J691)</f>
        <v>56</v>
      </c>
      <c r="K693" s="8">
        <f>SUM(K688:K691)</f>
        <v>23</v>
      </c>
      <c r="L693" s="8">
        <f>SUM(I693:K693)</f>
        <v>202</v>
      </c>
      <c r="M693" s="31"/>
    </row>
    <row r="694" spans="2:15" ht="15.75" hidden="1" x14ac:dyDescent="0.25">
      <c r="B694" s="10">
        <v>46146</v>
      </c>
      <c r="C694" s="10" t="s">
        <v>18</v>
      </c>
      <c r="D694" s="10" t="s">
        <v>20</v>
      </c>
      <c r="F694" s="942">
        <v>46146</v>
      </c>
      <c r="G694" s="42" t="s">
        <v>75</v>
      </c>
      <c r="H694" s="29" t="s">
        <v>112</v>
      </c>
      <c r="I694" s="42">
        <v>8</v>
      </c>
      <c r="J694" s="42">
        <v>15</v>
      </c>
      <c r="K694" s="42">
        <v>0</v>
      </c>
      <c r="L694" s="66">
        <f t="shared" ref="L694:L699" si="163">SUM(I694:K694)</f>
        <v>23</v>
      </c>
      <c r="M694" s="31"/>
    </row>
    <row r="695" spans="2:15" ht="15.75" hidden="1" x14ac:dyDescent="0.25">
      <c r="B695" s="10">
        <v>46146</v>
      </c>
      <c r="C695" s="10" t="s">
        <v>18</v>
      </c>
      <c r="D695" s="10" t="s">
        <v>20</v>
      </c>
      <c r="F695" s="942"/>
      <c r="G695" s="42" t="s">
        <v>17</v>
      </c>
      <c r="H695" s="29" t="s">
        <v>105</v>
      </c>
      <c r="I695" s="42">
        <v>14</v>
      </c>
      <c r="J695" s="42">
        <v>10</v>
      </c>
      <c r="K695" s="42">
        <v>0</v>
      </c>
      <c r="L695" s="66">
        <f t="shared" si="163"/>
        <v>24</v>
      </c>
      <c r="M695" s="43"/>
    </row>
    <row r="696" spans="2:15" ht="15.75" hidden="1" x14ac:dyDescent="0.25">
      <c r="B696" s="10">
        <v>46146</v>
      </c>
      <c r="C696" s="10" t="s">
        <v>18</v>
      </c>
      <c r="D696" s="10" t="s">
        <v>20</v>
      </c>
      <c r="F696" s="948">
        <v>46147</v>
      </c>
      <c r="G696" s="42" t="s">
        <v>75</v>
      </c>
      <c r="H696" s="29" t="s">
        <v>112</v>
      </c>
      <c r="I696" s="42">
        <v>76</v>
      </c>
      <c r="J696" s="42">
        <v>93</v>
      </c>
      <c r="K696" s="42">
        <v>0</v>
      </c>
      <c r="L696" s="66">
        <f t="shared" si="163"/>
        <v>169</v>
      </c>
      <c r="M696" s="43"/>
    </row>
    <row r="697" spans="2:15" ht="15.75" hidden="1" x14ac:dyDescent="0.25">
      <c r="B697" s="10">
        <v>46146</v>
      </c>
      <c r="C697" s="10" t="s">
        <v>18</v>
      </c>
      <c r="D697" s="10" t="s">
        <v>20</v>
      </c>
      <c r="F697" s="948"/>
      <c r="G697" s="42" t="s">
        <v>84</v>
      </c>
      <c r="H697" s="29" t="s">
        <v>43</v>
      </c>
      <c r="I697" s="42">
        <v>3</v>
      </c>
      <c r="J697" s="42">
        <v>0</v>
      </c>
      <c r="K697" s="42">
        <v>46</v>
      </c>
      <c r="L697" s="66">
        <f t="shared" si="163"/>
        <v>49</v>
      </c>
      <c r="M697" s="43"/>
    </row>
    <row r="698" spans="2:15" ht="15.75" hidden="1" x14ac:dyDescent="0.25">
      <c r="B698" s="10">
        <v>46146</v>
      </c>
      <c r="C698" s="10" t="s">
        <v>18</v>
      </c>
      <c r="D698" s="10" t="s">
        <v>20</v>
      </c>
      <c r="F698" s="948"/>
      <c r="G698" s="42" t="s">
        <v>14</v>
      </c>
      <c r="H698" s="29" t="s">
        <v>106</v>
      </c>
      <c r="I698" s="42">
        <v>93</v>
      </c>
      <c r="J698" s="42">
        <v>20</v>
      </c>
      <c r="K698" s="42">
        <v>22</v>
      </c>
      <c r="L698" s="66">
        <f t="shared" si="163"/>
        <v>135</v>
      </c>
      <c r="M698" s="43"/>
    </row>
    <row r="699" spans="2:15" ht="15.75" hidden="1" x14ac:dyDescent="0.25">
      <c r="B699" s="10">
        <v>46146</v>
      </c>
      <c r="C699" s="10" t="s">
        <v>18</v>
      </c>
      <c r="D699" s="10" t="s">
        <v>20</v>
      </c>
      <c r="F699" s="948"/>
      <c r="G699" s="42" t="s">
        <v>118</v>
      </c>
      <c r="H699" s="29" t="s">
        <v>106</v>
      </c>
      <c r="I699" s="42">
        <v>0</v>
      </c>
      <c r="J699" s="42">
        <v>0</v>
      </c>
      <c r="K699" s="42">
        <v>41</v>
      </c>
      <c r="L699" s="66">
        <f t="shared" si="163"/>
        <v>41</v>
      </c>
      <c r="M699" s="43"/>
    </row>
    <row r="700" spans="2:15" ht="15.75" hidden="1" x14ac:dyDescent="0.25">
      <c r="B700" s="10">
        <v>46146</v>
      </c>
      <c r="C700" s="10" t="s">
        <v>18</v>
      </c>
      <c r="D700" s="10" t="s">
        <v>20</v>
      </c>
      <c r="F700" s="937" t="s">
        <v>40</v>
      </c>
      <c r="G700" s="937"/>
      <c r="H700" s="937"/>
      <c r="I700" s="8">
        <f>SUM(I694:I699)</f>
        <v>194</v>
      </c>
      <c r="J700" s="8">
        <f>SUM(J694:J699)</f>
        <v>138</v>
      </c>
      <c r="K700" s="8">
        <f>SUM(K694:K699)</f>
        <v>109</v>
      </c>
      <c r="L700" s="8">
        <f>SUM(I700:K700)</f>
        <v>441</v>
      </c>
      <c r="M700" s="31"/>
      <c r="O700" s="8">
        <f>L700</f>
        <v>441</v>
      </c>
    </row>
    <row r="701" spans="2:15" ht="15.75" hidden="1" x14ac:dyDescent="0.25">
      <c r="B701" s="10">
        <v>46147</v>
      </c>
      <c r="C701" s="10" t="s">
        <v>22</v>
      </c>
      <c r="D701" s="10" t="s">
        <v>23</v>
      </c>
      <c r="F701" s="948">
        <v>46147</v>
      </c>
      <c r="G701" s="42" t="s">
        <v>75</v>
      </c>
      <c r="H701" s="29" t="s">
        <v>112</v>
      </c>
      <c r="I701" s="42">
        <v>23</v>
      </c>
      <c r="J701" s="42">
        <v>15</v>
      </c>
      <c r="K701" s="42">
        <v>0</v>
      </c>
      <c r="L701" s="66">
        <f t="shared" ref="L701:L707" si="164">SUM(I701:K701)</f>
        <v>38</v>
      </c>
      <c r="M701" s="43"/>
    </row>
    <row r="702" spans="2:15" ht="15.75" hidden="1" x14ac:dyDescent="0.25">
      <c r="B702" s="10">
        <v>46147</v>
      </c>
      <c r="C702" s="10" t="s">
        <v>22</v>
      </c>
      <c r="D702" s="10" t="s">
        <v>23</v>
      </c>
      <c r="F702" s="948"/>
      <c r="G702" s="42" t="s">
        <v>17</v>
      </c>
      <c r="H702" s="29" t="s">
        <v>105</v>
      </c>
      <c r="I702" s="42">
        <v>25</v>
      </c>
      <c r="J702" s="42">
        <v>15</v>
      </c>
      <c r="K702" s="42">
        <v>0</v>
      </c>
      <c r="L702" s="66">
        <f t="shared" si="164"/>
        <v>40</v>
      </c>
      <c r="M702" s="43"/>
    </row>
    <row r="703" spans="2:15" ht="15.75" hidden="1" x14ac:dyDescent="0.25">
      <c r="B703" s="10">
        <v>46147</v>
      </c>
      <c r="C703" s="10" t="s">
        <v>22</v>
      </c>
      <c r="D703" s="10" t="s">
        <v>23</v>
      </c>
      <c r="F703" s="948"/>
      <c r="G703" s="42" t="s">
        <v>84</v>
      </c>
      <c r="H703" s="29" t="s">
        <v>43</v>
      </c>
      <c r="I703" s="42">
        <v>83</v>
      </c>
      <c r="J703" s="42">
        <v>24</v>
      </c>
      <c r="K703" s="42">
        <v>0</v>
      </c>
      <c r="L703" s="66">
        <f t="shared" si="164"/>
        <v>107</v>
      </c>
      <c r="M703" s="43"/>
    </row>
    <row r="704" spans="2:15" ht="15.75" hidden="1" x14ac:dyDescent="0.25">
      <c r="B704" s="10">
        <v>46147</v>
      </c>
      <c r="C704" s="10" t="s">
        <v>22</v>
      </c>
      <c r="D704" s="10" t="s">
        <v>23</v>
      </c>
      <c r="F704" s="948"/>
      <c r="G704" s="42" t="s">
        <v>14</v>
      </c>
      <c r="H704" s="29" t="s">
        <v>106</v>
      </c>
      <c r="I704" s="42">
        <v>84</v>
      </c>
      <c r="J704" s="42">
        <v>20</v>
      </c>
      <c r="K704" s="42">
        <v>0</v>
      </c>
      <c r="L704" s="66">
        <f t="shared" si="164"/>
        <v>104</v>
      </c>
      <c r="M704" s="43"/>
    </row>
    <row r="705" spans="2:15" ht="15.75" hidden="1" x14ac:dyDescent="0.25">
      <c r="B705" s="10">
        <v>46147</v>
      </c>
      <c r="C705" s="10" t="s">
        <v>22</v>
      </c>
      <c r="D705" s="10" t="s">
        <v>23</v>
      </c>
      <c r="F705" s="948"/>
      <c r="G705" s="42" t="s">
        <v>32</v>
      </c>
      <c r="H705" s="29" t="s">
        <v>43</v>
      </c>
      <c r="I705" s="42">
        <v>5</v>
      </c>
      <c r="J705" s="42">
        <v>0</v>
      </c>
      <c r="K705" s="42">
        <v>0</v>
      </c>
      <c r="L705" s="66">
        <f t="shared" si="164"/>
        <v>5</v>
      </c>
      <c r="M705" s="43"/>
    </row>
    <row r="706" spans="2:15" ht="15.75" hidden="1" x14ac:dyDescent="0.25">
      <c r="B706" s="10">
        <v>46147</v>
      </c>
      <c r="C706" s="10" t="s">
        <v>22</v>
      </c>
      <c r="D706" s="10" t="s">
        <v>23</v>
      </c>
      <c r="F706" s="948"/>
      <c r="G706" s="42" t="s">
        <v>120</v>
      </c>
      <c r="H706" s="29" t="s">
        <v>106</v>
      </c>
      <c r="I706" s="42">
        <v>4</v>
      </c>
      <c r="J706" s="42">
        <v>0</v>
      </c>
      <c r="K706" s="42">
        <v>0</v>
      </c>
      <c r="L706" s="66">
        <f t="shared" si="164"/>
        <v>4</v>
      </c>
      <c r="M706" s="43"/>
    </row>
    <row r="707" spans="2:15" ht="15.75" hidden="1" x14ac:dyDescent="0.25">
      <c r="B707" s="10">
        <v>46147</v>
      </c>
      <c r="C707" s="10" t="s">
        <v>22</v>
      </c>
      <c r="D707" s="10" t="s">
        <v>23</v>
      </c>
      <c r="F707" s="948"/>
      <c r="G707" s="42" t="s">
        <v>118</v>
      </c>
      <c r="H707" s="29" t="s">
        <v>106</v>
      </c>
      <c r="I707" s="42">
        <v>53</v>
      </c>
      <c r="J707" s="42">
        <v>4</v>
      </c>
      <c r="K707" s="42">
        <v>0</v>
      </c>
      <c r="L707" s="66">
        <f t="shared" si="164"/>
        <v>57</v>
      </c>
      <c r="M707" s="43"/>
    </row>
    <row r="708" spans="2:15" ht="15.75" hidden="1" x14ac:dyDescent="0.25">
      <c r="B708" s="10">
        <v>46147</v>
      </c>
      <c r="C708" s="10" t="s">
        <v>22</v>
      </c>
      <c r="D708" s="10" t="s">
        <v>23</v>
      </c>
      <c r="F708" s="937" t="s">
        <v>40</v>
      </c>
      <c r="G708" s="937"/>
      <c r="H708" s="937"/>
      <c r="I708" s="8">
        <f>SUM(I701:I707)</f>
        <v>277</v>
      </c>
      <c r="J708" s="8">
        <f>SUM(J701:J707)</f>
        <v>78</v>
      </c>
      <c r="K708" s="8">
        <f>SUM(K701:K707)</f>
        <v>0</v>
      </c>
      <c r="L708" s="8">
        <f>SUM(I708:K708)</f>
        <v>355</v>
      </c>
      <c r="M708" s="31"/>
      <c r="O708" s="8">
        <f>L708</f>
        <v>355</v>
      </c>
    </row>
    <row r="709" spans="2:15" ht="15.75" hidden="1" x14ac:dyDescent="0.25">
      <c r="B709" s="10">
        <v>46147</v>
      </c>
      <c r="C709" s="10" t="s">
        <v>22</v>
      </c>
      <c r="D709" s="10" t="s">
        <v>13</v>
      </c>
      <c r="F709" s="939">
        <v>46147</v>
      </c>
      <c r="G709" s="42" t="s">
        <v>75</v>
      </c>
      <c r="H709" s="29" t="s">
        <v>112</v>
      </c>
      <c r="I709" s="42">
        <v>13</v>
      </c>
      <c r="J709" s="42">
        <v>11</v>
      </c>
      <c r="K709" s="42">
        <v>0</v>
      </c>
      <c r="L709" s="66">
        <f t="shared" ref="L709:L713" si="165">SUM(I709:K709)</f>
        <v>24</v>
      </c>
      <c r="M709" s="43"/>
    </row>
    <row r="710" spans="2:15" ht="15.75" hidden="1" x14ac:dyDescent="0.25">
      <c r="B710" s="10">
        <v>46147</v>
      </c>
      <c r="C710" s="10" t="s">
        <v>22</v>
      </c>
      <c r="D710" s="10" t="s">
        <v>13</v>
      </c>
      <c r="F710" s="940"/>
      <c r="G710" s="42" t="s">
        <v>17</v>
      </c>
      <c r="H710" s="29" t="s">
        <v>105</v>
      </c>
      <c r="I710" s="42">
        <v>112</v>
      </c>
      <c r="J710" s="42">
        <v>31</v>
      </c>
      <c r="K710" s="42">
        <v>0</v>
      </c>
      <c r="L710" s="66">
        <f t="shared" si="165"/>
        <v>143</v>
      </c>
      <c r="M710" s="43"/>
    </row>
    <row r="711" spans="2:15" ht="15.75" hidden="1" x14ac:dyDescent="0.25">
      <c r="B711" s="10">
        <v>46147</v>
      </c>
      <c r="C711" s="10" t="s">
        <v>22</v>
      </c>
      <c r="D711" s="10" t="s">
        <v>13</v>
      </c>
      <c r="F711" s="940"/>
      <c r="G711" s="42" t="s">
        <v>84</v>
      </c>
      <c r="H711" s="29" t="s">
        <v>43</v>
      </c>
      <c r="I711" s="42">
        <v>1</v>
      </c>
      <c r="J711" s="42">
        <v>1</v>
      </c>
      <c r="K711" s="42">
        <v>0</v>
      </c>
      <c r="L711" s="66">
        <f t="shared" si="165"/>
        <v>2</v>
      </c>
      <c r="M711" s="43"/>
    </row>
    <row r="712" spans="2:15" ht="15.75" hidden="1" x14ac:dyDescent="0.25">
      <c r="B712" s="10">
        <v>46147</v>
      </c>
      <c r="C712" s="10" t="s">
        <v>22</v>
      </c>
      <c r="D712" s="10" t="s">
        <v>13</v>
      </c>
      <c r="F712" s="941"/>
      <c r="G712" s="42" t="s">
        <v>14</v>
      </c>
      <c r="H712" s="29" t="s">
        <v>106</v>
      </c>
      <c r="I712" s="42">
        <v>11</v>
      </c>
      <c r="J712" s="42">
        <v>12</v>
      </c>
      <c r="K712" s="42">
        <v>0</v>
      </c>
      <c r="L712" s="66">
        <f t="shared" si="165"/>
        <v>23</v>
      </c>
      <c r="M712" s="43"/>
    </row>
    <row r="713" spans="2:15" ht="15.75" hidden="1" x14ac:dyDescent="0.25">
      <c r="B713" s="10">
        <v>46147</v>
      </c>
      <c r="C713" s="10" t="s">
        <v>22</v>
      </c>
      <c r="D713" s="10" t="s">
        <v>13</v>
      </c>
      <c r="F713" s="58">
        <v>46148</v>
      </c>
      <c r="G713" s="42" t="s">
        <v>75</v>
      </c>
      <c r="H713" s="29" t="s">
        <v>112</v>
      </c>
      <c r="I713" s="42">
        <v>63</v>
      </c>
      <c r="J713" s="42">
        <v>37</v>
      </c>
      <c r="K713" s="42">
        <v>0</v>
      </c>
      <c r="L713" s="66">
        <f t="shared" si="165"/>
        <v>100</v>
      </c>
      <c r="M713" s="43"/>
    </row>
    <row r="714" spans="2:15" ht="15.75" hidden="1" x14ac:dyDescent="0.25">
      <c r="B714" s="10">
        <v>46147</v>
      </c>
      <c r="C714" s="10" t="s">
        <v>22</v>
      </c>
      <c r="D714" s="10" t="s">
        <v>13</v>
      </c>
      <c r="F714" s="937" t="s">
        <v>40</v>
      </c>
      <c r="G714" s="937"/>
      <c r="H714" s="937"/>
      <c r="I714" s="8">
        <f>SUM(I709:I713)</f>
        <v>200</v>
      </c>
      <c r="J714" s="8">
        <f>SUM(J709:J713)</f>
        <v>92</v>
      </c>
      <c r="K714" s="8">
        <f>SUM(K709:K713)</f>
        <v>0</v>
      </c>
      <c r="L714" s="8">
        <f>SUM(I714:K714)</f>
        <v>292</v>
      </c>
      <c r="M714" s="31"/>
    </row>
    <row r="715" spans="2:15" ht="15.75" hidden="1" x14ac:dyDescent="0.25">
      <c r="B715" s="10">
        <v>46147</v>
      </c>
      <c r="C715" s="10" t="s">
        <v>18</v>
      </c>
      <c r="D715" s="10" t="s">
        <v>20</v>
      </c>
      <c r="F715" s="939">
        <v>46147</v>
      </c>
      <c r="G715" s="42" t="s">
        <v>75</v>
      </c>
      <c r="H715" s="29" t="s">
        <v>112</v>
      </c>
      <c r="I715" s="42">
        <v>8</v>
      </c>
      <c r="J715" s="42">
        <v>4</v>
      </c>
      <c r="K715" s="42">
        <v>0</v>
      </c>
      <c r="L715" s="66">
        <f t="shared" ref="L715:L721" si="166">SUM(I715:K715)</f>
        <v>12</v>
      </c>
      <c r="M715" s="43"/>
    </row>
    <row r="716" spans="2:15" ht="15.75" hidden="1" x14ac:dyDescent="0.25">
      <c r="B716" s="10">
        <v>46147</v>
      </c>
      <c r="C716" s="10" t="s">
        <v>18</v>
      </c>
      <c r="D716" s="10" t="s">
        <v>20</v>
      </c>
      <c r="F716" s="940"/>
      <c r="G716" s="42" t="s">
        <v>14</v>
      </c>
      <c r="H716" s="29" t="s">
        <v>106</v>
      </c>
      <c r="I716" s="42">
        <v>1</v>
      </c>
      <c r="J716" s="42">
        <v>0</v>
      </c>
      <c r="K716" s="42">
        <v>0</v>
      </c>
      <c r="L716" s="66">
        <f t="shared" si="166"/>
        <v>1</v>
      </c>
      <c r="M716" s="43"/>
    </row>
    <row r="717" spans="2:15" ht="15.75" hidden="1" x14ac:dyDescent="0.25">
      <c r="B717" s="10">
        <v>46147</v>
      </c>
      <c r="C717" s="10" t="s">
        <v>18</v>
      </c>
      <c r="D717" s="10" t="s">
        <v>20</v>
      </c>
      <c r="F717" s="941"/>
      <c r="G717" s="42" t="s">
        <v>17</v>
      </c>
      <c r="H717" s="29" t="s">
        <v>105</v>
      </c>
      <c r="I717" s="42">
        <v>21</v>
      </c>
      <c r="J717" s="42">
        <v>18</v>
      </c>
      <c r="K717" s="42">
        <v>0</v>
      </c>
      <c r="L717" s="66">
        <f t="shared" si="166"/>
        <v>39</v>
      </c>
      <c r="M717" s="43"/>
    </row>
    <row r="718" spans="2:15" ht="15.75" hidden="1" x14ac:dyDescent="0.25">
      <c r="B718" s="10">
        <v>46147</v>
      </c>
      <c r="C718" s="10" t="s">
        <v>18</v>
      </c>
      <c r="D718" s="10" t="s">
        <v>20</v>
      </c>
      <c r="F718" s="939">
        <v>46148</v>
      </c>
      <c r="G718" s="42" t="s">
        <v>75</v>
      </c>
      <c r="H718" s="29" t="s">
        <v>112</v>
      </c>
      <c r="I718" s="42">
        <v>63</v>
      </c>
      <c r="J718" s="42">
        <v>25</v>
      </c>
      <c r="K718" s="42">
        <v>0</v>
      </c>
      <c r="L718" s="66">
        <f t="shared" si="166"/>
        <v>88</v>
      </c>
      <c r="M718" s="43"/>
    </row>
    <row r="719" spans="2:15" ht="15.75" hidden="1" x14ac:dyDescent="0.25">
      <c r="B719" s="10">
        <v>46147</v>
      </c>
      <c r="C719" s="10" t="s">
        <v>18</v>
      </c>
      <c r="D719" s="10" t="s">
        <v>20</v>
      </c>
      <c r="F719" s="940"/>
      <c r="G719" s="15" t="s">
        <v>14</v>
      </c>
      <c r="H719" s="15" t="s">
        <v>106</v>
      </c>
      <c r="I719" s="42">
        <v>97</v>
      </c>
      <c r="J719" s="42">
        <v>21</v>
      </c>
      <c r="K719" s="42">
        <v>17</v>
      </c>
      <c r="L719" s="66">
        <f t="shared" si="166"/>
        <v>135</v>
      </c>
      <c r="M719" s="43"/>
    </row>
    <row r="720" spans="2:15" ht="15.75" hidden="1" x14ac:dyDescent="0.25">
      <c r="B720" s="10">
        <v>46147</v>
      </c>
      <c r="C720" s="10" t="s">
        <v>18</v>
      </c>
      <c r="D720" s="10" t="s">
        <v>20</v>
      </c>
      <c r="F720" s="940"/>
      <c r="G720" s="15" t="s">
        <v>120</v>
      </c>
      <c r="H720" s="15" t="s">
        <v>106</v>
      </c>
      <c r="I720" s="42">
        <v>0</v>
      </c>
      <c r="J720" s="42">
        <v>0</v>
      </c>
      <c r="K720" s="42">
        <v>20</v>
      </c>
      <c r="L720" s="66">
        <f t="shared" si="166"/>
        <v>20</v>
      </c>
      <c r="M720" s="31"/>
    </row>
    <row r="721" spans="2:13" ht="15.75" hidden="1" x14ac:dyDescent="0.25">
      <c r="B721" s="10">
        <v>46147</v>
      </c>
      <c r="C721" s="10" t="s">
        <v>18</v>
      </c>
      <c r="D721" s="10" t="s">
        <v>20</v>
      </c>
      <c r="F721" s="941"/>
      <c r="G721" s="15" t="s">
        <v>17</v>
      </c>
      <c r="H721" s="15" t="s">
        <v>105</v>
      </c>
      <c r="I721" s="42">
        <v>1</v>
      </c>
      <c r="J721" s="42">
        <v>0</v>
      </c>
      <c r="K721" s="42">
        <v>19</v>
      </c>
      <c r="L721" s="66">
        <f t="shared" si="166"/>
        <v>20</v>
      </c>
      <c r="M721" s="31"/>
    </row>
    <row r="722" spans="2:13" ht="15.75" hidden="1" x14ac:dyDescent="0.25">
      <c r="B722" s="10">
        <v>46147</v>
      </c>
      <c r="C722" s="10" t="s">
        <v>18</v>
      </c>
      <c r="D722" s="10" t="s">
        <v>20</v>
      </c>
      <c r="F722" s="937" t="s">
        <v>40</v>
      </c>
      <c r="G722" s="937"/>
      <c r="H722" s="937"/>
      <c r="I722" s="8">
        <f>SUM(I715:I721)</f>
        <v>191</v>
      </c>
      <c r="J722" s="8">
        <f>SUM(J715:J721)</f>
        <v>68</v>
      </c>
      <c r="K722" s="8">
        <f>SUM(K715:K721)</f>
        <v>56</v>
      </c>
      <c r="L722" s="8">
        <f>SUBTOTAL(9,L715:L721)</f>
        <v>0</v>
      </c>
      <c r="M722" s="31"/>
    </row>
    <row r="723" spans="2:13" ht="15.75" hidden="1" x14ac:dyDescent="0.25">
      <c r="B723" s="10">
        <v>46148</v>
      </c>
      <c r="C723" s="10" t="s">
        <v>22</v>
      </c>
      <c r="D723" s="10" t="s">
        <v>23</v>
      </c>
      <c r="F723" s="939">
        <v>46148</v>
      </c>
      <c r="G723" s="42" t="s">
        <v>75</v>
      </c>
      <c r="H723" s="29" t="s">
        <v>112</v>
      </c>
      <c r="I723" s="42">
        <v>22</v>
      </c>
      <c r="J723" s="42">
        <v>10</v>
      </c>
      <c r="K723" s="42">
        <v>0</v>
      </c>
      <c r="L723" s="66">
        <f t="shared" ref="L723:L727" si="167">SUM(I723:K723)</f>
        <v>32</v>
      </c>
      <c r="M723" s="43"/>
    </row>
    <row r="724" spans="2:13" ht="15.75" hidden="1" x14ac:dyDescent="0.25">
      <c r="B724" s="10">
        <v>46148</v>
      </c>
      <c r="C724" s="10" t="s">
        <v>22</v>
      </c>
      <c r="D724" s="10" t="s">
        <v>23</v>
      </c>
      <c r="F724" s="940"/>
      <c r="G724" s="42" t="s">
        <v>14</v>
      </c>
      <c r="H724" s="29" t="s">
        <v>106</v>
      </c>
      <c r="I724" s="42">
        <v>39</v>
      </c>
      <c r="J724" s="42">
        <v>11</v>
      </c>
      <c r="K724" s="42">
        <v>0</v>
      </c>
      <c r="L724" s="66">
        <f t="shared" si="167"/>
        <v>50</v>
      </c>
      <c r="M724" s="43"/>
    </row>
    <row r="725" spans="2:13" ht="15.75" hidden="1" x14ac:dyDescent="0.25">
      <c r="B725" s="10">
        <v>46148</v>
      </c>
      <c r="C725" s="10" t="s">
        <v>22</v>
      </c>
      <c r="D725" s="10" t="s">
        <v>23</v>
      </c>
      <c r="F725" s="940"/>
      <c r="G725" s="42" t="s">
        <v>17</v>
      </c>
      <c r="H725" s="29" t="s">
        <v>105</v>
      </c>
      <c r="I725" s="42">
        <v>82</v>
      </c>
      <c r="J725" s="42">
        <v>23</v>
      </c>
      <c r="K725" s="42">
        <v>0</v>
      </c>
      <c r="L725" s="66">
        <f t="shared" si="167"/>
        <v>105</v>
      </c>
      <c r="M725" s="43"/>
    </row>
    <row r="726" spans="2:13" ht="15.75" hidden="1" x14ac:dyDescent="0.25">
      <c r="B726" s="10">
        <v>46148</v>
      </c>
      <c r="C726" s="10" t="s">
        <v>22</v>
      </c>
      <c r="D726" s="10" t="s">
        <v>23</v>
      </c>
      <c r="F726" s="940"/>
      <c r="G726" s="15" t="s">
        <v>84</v>
      </c>
      <c r="H726" s="15" t="s">
        <v>43</v>
      </c>
      <c r="I726" s="42">
        <v>24</v>
      </c>
      <c r="J726" s="42">
        <v>7</v>
      </c>
      <c r="K726" s="42">
        <v>0</v>
      </c>
      <c r="L726" s="66">
        <f t="shared" si="167"/>
        <v>31</v>
      </c>
      <c r="M726" s="43"/>
    </row>
    <row r="727" spans="2:13" ht="15.75" hidden="1" x14ac:dyDescent="0.25">
      <c r="B727" s="10">
        <v>46148</v>
      </c>
      <c r="C727" s="10" t="s">
        <v>22</v>
      </c>
      <c r="D727" s="10" t="s">
        <v>23</v>
      </c>
      <c r="F727" s="940"/>
      <c r="G727" s="15" t="s">
        <v>120</v>
      </c>
      <c r="H727" s="15" t="s">
        <v>106</v>
      </c>
      <c r="I727" s="42">
        <v>19</v>
      </c>
      <c r="J727" s="42">
        <v>1</v>
      </c>
      <c r="K727" s="42">
        <v>20</v>
      </c>
      <c r="L727" s="66">
        <f t="shared" si="167"/>
        <v>40</v>
      </c>
      <c r="M727" s="31"/>
    </row>
    <row r="728" spans="2:13" ht="15.75" hidden="1" x14ac:dyDescent="0.25">
      <c r="B728" s="10">
        <v>46148</v>
      </c>
      <c r="C728" s="10" t="s">
        <v>22</v>
      </c>
      <c r="D728" s="10" t="s">
        <v>23</v>
      </c>
      <c r="F728" s="937" t="s">
        <v>40</v>
      </c>
      <c r="G728" s="937"/>
      <c r="H728" s="937"/>
      <c r="I728" s="8">
        <f>SUM(I723:I727)</f>
        <v>186</v>
      </c>
      <c r="J728" s="8">
        <f>SUM(J723:J727)</f>
        <v>52</v>
      </c>
      <c r="K728" s="8">
        <f>SUM(K723:K727)</f>
        <v>20</v>
      </c>
      <c r="L728" s="8">
        <f>SUBTOTAL(9,L723:L727)</f>
        <v>0</v>
      </c>
      <c r="M728" s="31"/>
    </row>
    <row r="729" spans="2:13" ht="15.75" hidden="1" x14ac:dyDescent="0.25">
      <c r="B729" s="10">
        <v>46148</v>
      </c>
      <c r="C729" s="10" t="s">
        <v>22</v>
      </c>
      <c r="D729" s="10" t="s">
        <v>13</v>
      </c>
      <c r="F729" s="939">
        <v>46148</v>
      </c>
      <c r="G729" s="42" t="s">
        <v>75</v>
      </c>
      <c r="H729" s="29" t="s">
        <v>112</v>
      </c>
      <c r="I729" s="42">
        <v>18</v>
      </c>
      <c r="J729" s="42">
        <v>19</v>
      </c>
      <c r="K729" s="42">
        <v>0</v>
      </c>
      <c r="L729" s="66">
        <f t="shared" ref="L729:L733" si="168">SUM(I729:K729)</f>
        <v>37</v>
      </c>
      <c r="M729" s="31"/>
    </row>
    <row r="730" spans="2:13" ht="15.75" hidden="1" x14ac:dyDescent="0.25">
      <c r="B730" s="10">
        <v>46148</v>
      </c>
      <c r="C730" s="10" t="s">
        <v>22</v>
      </c>
      <c r="D730" s="10" t="s">
        <v>13</v>
      </c>
      <c r="F730" s="940"/>
      <c r="G730" s="42" t="s">
        <v>17</v>
      </c>
      <c r="H730" s="29" t="s">
        <v>105</v>
      </c>
      <c r="I730" s="42">
        <v>57</v>
      </c>
      <c r="J730" s="42">
        <v>26</v>
      </c>
      <c r="K730" s="42">
        <v>0</v>
      </c>
      <c r="L730" s="66">
        <f t="shared" si="168"/>
        <v>83</v>
      </c>
      <c r="M730" s="31"/>
    </row>
    <row r="731" spans="2:13" ht="15.75" hidden="1" x14ac:dyDescent="0.25">
      <c r="B731" s="10">
        <v>46148</v>
      </c>
      <c r="C731" s="10" t="s">
        <v>22</v>
      </c>
      <c r="D731" s="10" t="s">
        <v>13</v>
      </c>
      <c r="F731" s="940"/>
      <c r="G731" s="42" t="s">
        <v>84</v>
      </c>
      <c r="H731" s="29" t="s">
        <v>43</v>
      </c>
      <c r="I731" s="42">
        <v>2</v>
      </c>
      <c r="J731" s="42">
        <v>1</v>
      </c>
      <c r="K731" s="42">
        <v>0</v>
      </c>
      <c r="L731" s="66">
        <f t="shared" si="168"/>
        <v>3</v>
      </c>
      <c r="M731" s="31"/>
    </row>
    <row r="732" spans="2:13" ht="15.75" hidden="1" x14ac:dyDescent="0.25">
      <c r="B732" s="10">
        <v>46148</v>
      </c>
      <c r="C732" s="10" t="s">
        <v>22</v>
      </c>
      <c r="D732" s="10" t="s">
        <v>13</v>
      </c>
      <c r="F732" s="941"/>
      <c r="G732" s="42" t="s">
        <v>14</v>
      </c>
      <c r="H732" s="29" t="s">
        <v>106</v>
      </c>
      <c r="I732" s="42">
        <v>5</v>
      </c>
      <c r="J732" s="42">
        <v>0</v>
      </c>
      <c r="K732" s="42">
        <v>0</v>
      </c>
      <c r="L732" s="66">
        <f t="shared" si="168"/>
        <v>5</v>
      </c>
      <c r="M732" s="31"/>
    </row>
    <row r="733" spans="2:13" ht="15.75" hidden="1" x14ac:dyDescent="0.25">
      <c r="B733" s="10">
        <v>46148</v>
      </c>
      <c r="C733" s="10" t="s">
        <v>22</v>
      </c>
      <c r="D733" s="10" t="s">
        <v>13</v>
      </c>
      <c r="F733" s="58">
        <v>46149</v>
      </c>
      <c r="G733" s="42" t="s">
        <v>75</v>
      </c>
      <c r="H733" s="29" t="s">
        <v>112</v>
      </c>
      <c r="I733" s="42">
        <v>86</v>
      </c>
      <c r="J733" s="42">
        <v>49</v>
      </c>
      <c r="K733" s="42">
        <v>0</v>
      </c>
      <c r="L733" s="66">
        <f t="shared" si="168"/>
        <v>135</v>
      </c>
      <c r="M733" s="31"/>
    </row>
    <row r="734" spans="2:13" ht="15.75" hidden="1" x14ac:dyDescent="0.25">
      <c r="B734" s="10">
        <v>46148</v>
      </c>
      <c r="C734" s="10" t="s">
        <v>22</v>
      </c>
      <c r="D734" s="10" t="s">
        <v>13</v>
      </c>
      <c r="F734" s="937" t="s">
        <v>40</v>
      </c>
      <c r="G734" s="937"/>
      <c r="H734" s="937"/>
      <c r="I734" s="8">
        <f>SUM(I729:I733)</f>
        <v>168</v>
      </c>
      <c r="J734" s="8">
        <f>SUM(J729:J733)</f>
        <v>95</v>
      </c>
      <c r="K734" s="8">
        <f>SUM(K729:K733)</f>
        <v>0</v>
      </c>
      <c r="L734" s="8">
        <f>SUM(I734:K734)</f>
        <v>263</v>
      </c>
      <c r="M734" s="31"/>
    </row>
    <row r="735" spans="2:13" ht="15.75" hidden="1" x14ac:dyDescent="0.25">
      <c r="B735" s="10">
        <v>46148</v>
      </c>
      <c r="C735" s="10" t="s">
        <v>18</v>
      </c>
      <c r="D735" s="10" t="s">
        <v>20</v>
      </c>
      <c r="F735" s="939">
        <v>46148</v>
      </c>
      <c r="G735" s="29" t="s">
        <v>75</v>
      </c>
      <c r="H735" s="29" t="s">
        <v>112</v>
      </c>
      <c r="I735" s="42">
        <v>7</v>
      </c>
      <c r="J735" s="42">
        <v>14</v>
      </c>
      <c r="K735" s="42">
        <v>0</v>
      </c>
      <c r="L735" s="66">
        <f t="shared" ref="L735:L741" si="169">SUM(I735:K735)</f>
        <v>21</v>
      </c>
      <c r="M735" s="43"/>
    </row>
    <row r="736" spans="2:13" ht="15.75" hidden="1" x14ac:dyDescent="0.25">
      <c r="B736" s="10">
        <v>46148</v>
      </c>
      <c r="C736" s="10" t="s">
        <v>18</v>
      </c>
      <c r="D736" s="10" t="s">
        <v>20</v>
      </c>
      <c r="F736" s="940"/>
      <c r="G736" s="29" t="s">
        <v>14</v>
      </c>
      <c r="H736" s="29" t="s">
        <v>106</v>
      </c>
      <c r="I736" s="42">
        <v>5</v>
      </c>
      <c r="J736" s="42">
        <v>0</v>
      </c>
      <c r="K736" s="42">
        <v>0</v>
      </c>
      <c r="L736" s="66">
        <f t="shared" si="169"/>
        <v>5</v>
      </c>
      <c r="M736" s="43"/>
    </row>
    <row r="737" spans="2:13" ht="15.75" hidden="1" x14ac:dyDescent="0.25">
      <c r="B737" s="10">
        <v>46148</v>
      </c>
      <c r="C737" s="10" t="s">
        <v>18</v>
      </c>
      <c r="D737" s="10" t="s">
        <v>20</v>
      </c>
      <c r="F737" s="941"/>
      <c r="G737" s="29" t="s">
        <v>17</v>
      </c>
      <c r="H737" s="29" t="s">
        <v>105</v>
      </c>
      <c r="I737" s="42">
        <v>17</v>
      </c>
      <c r="J737" s="42">
        <v>17</v>
      </c>
      <c r="K737" s="42">
        <v>0</v>
      </c>
      <c r="L737" s="66">
        <f t="shared" si="169"/>
        <v>34</v>
      </c>
      <c r="M737" s="43"/>
    </row>
    <row r="738" spans="2:13" ht="15.75" hidden="1" x14ac:dyDescent="0.25">
      <c r="B738" s="10">
        <v>46148</v>
      </c>
      <c r="C738" s="10" t="s">
        <v>18</v>
      </c>
      <c r="D738" s="10" t="s">
        <v>20</v>
      </c>
      <c r="F738" s="943">
        <v>46149</v>
      </c>
      <c r="G738" s="29" t="s">
        <v>75</v>
      </c>
      <c r="H738" s="29" t="s">
        <v>112</v>
      </c>
      <c r="I738" s="42">
        <v>55</v>
      </c>
      <c r="J738" s="42">
        <v>37</v>
      </c>
      <c r="K738" s="42">
        <v>0</v>
      </c>
      <c r="L738" s="66">
        <f t="shared" si="169"/>
        <v>92</v>
      </c>
      <c r="M738" s="43"/>
    </row>
    <row r="739" spans="2:13" ht="15.75" hidden="1" x14ac:dyDescent="0.25">
      <c r="B739" s="10">
        <v>46148</v>
      </c>
      <c r="C739" s="10" t="s">
        <v>18</v>
      </c>
      <c r="D739" s="10" t="s">
        <v>20</v>
      </c>
      <c r="F739" s="944"/>
      <c r="G739" s="29" t="s">
        <v>14</v>
      </c>
      <c r="H739" s="29" t="s">
        <v>106</v>
      </c>
      <c r="I739" s="42">
        <v>132</v>
      </c>
      <c r="J739" s="42">
        <v>47</v>
      </c>
      <c r="K739" s="42">
        <v>0</v>
      </c>
      <c r="L739" s="66">
        <f t="shared" si="169"/>
        <v>179</v>
      </c>
      <c r="M739" s="31"/>
    </row>
    <row r="740" spans="2:13" ht="15.75" hidden="1" x14ac:dyDescent="0.25">
      <c r="B740" s="10">
        <v>46148</v>
      </c>
      <c r="C740" s="10" t="s">
        <v>18</v>
      </c>
      <c r="D740" s="10" t="s">
        <v>20</v>
      </c>
      <c r="F740" s="944"/>
      <c r="G740" s="29" t="s">
        <v>120</v>
      </c>
      <c r="H740" s="29" t="s">
        <v>106</v>
      </c>
      <c r="I740" s="42">
        <v>0</v>
      </c>
      <c r="J740" s="42">
        <v>0</v>
      </c>
      <c r="K740" s="42">
        <v>12</v>
      </c>
      <c r="L740" s="66">
        <f t="shared" si="169"/>
        <v>12</v>
      </c>
      <c r="M740" s="31"/>
    </row>
    <row r="741" spans="2:13" ht="15.75" hidden="1" x14ac:dyDescent="0.25">
      <c r="B741" s="10">
        <v>46148</v>
      </c>
      <c r="C741" s="10" t="s">
        <v>18</v>
      </c>
      <c r="D741" s="10" t="s">
        <v>20</v>
      </c>
      <c r="F741" s="945"/>
      <c r="G741" s="29" t="s">
        <v>26</v>
      </c>
      <c r="H741" s="29" t="s">
        <v>106</v>
      </c>
      <c r="I741" s="42">
        <v>1</v>
      </c>
      <c r="J741" s="42">
        <v>0</v>
      </c>
      <c r="K741" s="42">
        <v>0</v>
      </c>
      <c r="L741" s="66">
        <f t="shared" si="169"/>
        <v>1</v>
      </c>
      <c r="M741" s="31"/>
    </row>
    <row r="742" spans="2:13" ht="15.75" hidden="1" x14ac:dyDescent="0.25">
      <c r="B742" s="10">
        <v>46148</v>
      </c>
      <c r="C742" s="10" t="s">
        <v>18</v>
      </c>
      <c r="D742" s="10" t="s">
        <v>20</v>
      </c>
      <c r="F742" s="937" t="s">
        <v>40</v>
      </c>
      <c r="G742" s="937"/>
      <c r="H742" s="937"/>
      <c r="I742" s="8">
        <f>SUM(I735:I741)</f>
        <v>217</v>
      </c>
      <c r="J742" s="8">
        <f>SUM(J735:J741)</f>
        <v>115</v>
      </c>
      <c r="K742" s="8">
        <f>SUM(K735:K741)</f>
        <v>12</v>
      </c>
      <c r="L742" s="8">
        <f>SUM(L735:L741)</f>
        <v>344</v>
      </c>
      <c r="M742" s="31"/>
    </row>
    <row r="743" spans="2:13" ht="15.75" hidden="1" x14ac:dyDescent="0.25">
      <c r="B743" s="10">
        <v>46149</v>
      </c>
      <c r="C743" s="10" t="s">
        <v>22</v>
      </c>
      <c r="D743" s="10" t="s">
        <v>23</v>
      </c>
      <c r="F743" s="943">
        <v>46149</v>
      </c>
      <c r="G743" s="29" t="s">
        <v>75</v>
      </c>
      <c r="H743" s="29" t="s">
        <v>112</v>
      </c>
      <c r="I743" s="42">
        <v>36</v>
      </c>
      <c r="J743" s="42">
        <v>15</v>
      </c>
      <c r="K743" s="42">
        <v>0</v>
      </c>
      <c r="L743" s="66">
        <f t="shared" ref="L743:L748" si="170">SUM(I743:K743)</f>
        <v>51</v>
      </c>
      <c r="M743" s="43"/>
    </row>
    <row r="744" spans="2:13" ht="15.75" hidden="1" x14ac:dyDescent="0.25">
      <c r="B744" s="10">
        <v>46149</v>
      </c>
      <c r="C744" s="10" t="s">
        <v>22</v>
      </c>
      <c r="D744" s="10" t="s">
        <v>23</v>
      </c>
      <c r="F744" s="944"/>
      <c r="G744" s="29" t="s">
        <v>14</v>
      </c>
      <c r="H744" s="29" t="s">
        <v>106</v>
      </c>
      <c r="I744" s="42">
        <v>28</v>
      </c>
      <c r="J744" s="42">
        <v>13</v>
      </c>
      <c r="K744" s="42">
        <v>0</v>
      </c>
      <c r="L744" s="66">
        <f t="shared" si="170"/>
        <v>41</v>
      </c>
      <c r="M744" s="31"/>
    </row>
    <row r="745" spans="2:13" ht="15.75" hidden="1" x14ac:dyDescent="0.25">
      <c r="B745" s="10">
        <v>46149</v>
      </c>
      <c r="C745" s="10" t="s">
        <v>22</v>
      </c>
      <c r="D745" s="10" t="s">
        <v>23</v>
      </c>
      <c r="F745" s="944"/>
      <c r="G745" s="29" t="s">
        <v>17</v>
      </c>
      <c r="H745" s="29" t="s">
        <v>105</v>
      </c>
      <c r="I745" s="42">
        <v>67</v>
      </c>
      <c r="J745" s="42">
        <v>17</v>
      </c>
      <c r="K745" s="42">
        <v>29</v>
      </c>
      <c r="L745" s="66">
        <f t="shared" si="170"/>
        <v>113</v>
      </c>
      <c r="M745" s="31"/>
    </row>
    <row r="746" spans="2:13" ht="15.75" hidden="1" x14ac:dyDescent="0.25">
      <c r="B746" s="10">
        <v>46149</v>
      </c>
      <c r="C746" s="10" t="s">
        <v>22</v>
      </c>
      <c r="D746" s="10" t="s">
        <v>23</v>
      </c>
      <c r="F746" s="944"/>
      <c r="G746" s="29" t="s">
        <v>84</v>
      </c>
      <c r="H746" s="29" t="s">
        <v>43</v>
      </c>
      <c r="I746" s="42">
        <v>39</v>
      </c>
      <c r="J746" s="42">
        <v>14</v>
      </c>
      <c r="K746" s="42">
        <v>0</v>
      </c>
      <c r="L746" s="66">
        <f t="shared" si="170"/>
        <v>53</v>
      </c>
      <c r="M746" s="31"/>
    </row>
    <row r="747" spans="2:13" ht="15.75" hidden="1" x14ac:dyDescent="0.25">
      <c r="B747" s="10">
        <v>46149</v>
      </c>
      <c r="C747" s="10" t="s">
        <v>22</v>
      </c>
      <c r="D747" s="10" t="s">
        <v>23</v>
      </c>
      <c r="F747" s="944"/>
      <c r="G747" s="29" t="s">
        <v>120</v>
      </c>
      <c r="H747" s="29" t="s">
        <v>106</v>
      </c>
      <c r="I747" s="42">
        <v>14</v>
      </c>
      <c r="J747" s="42">
        <v>6</v>
      </c>
      <c r="K747" s="42">
        <v>0</v>
      </c>
      <c r="L747" s="66">
        <f t="shared" si="170"/>
        <v>20</v>
      </c>
      <c r="M747" s="31"/>
    </row>
    <row r="748" spans="2:13" ht="15.75" hidden="1" x14ac:dyDescent="0.25">
      <c r="B748" s="10">
        <v>46149</v>
      </c>
      <c r="C748" s="10" t="s">
        <v>22</v>
      </c>
      <c r="D748" s="10" t="s">
        <v>23</v>
      </c>
      <c r="F748" s="945"/>
      <c r="G748" s="29" t="s">
        <v>26</v>
      </c>
      <c r="H748" s="29" t="s">
        <v>106</v>
      </c>
      <c r="I748" s="42">
        <v>0</v>
      </c>
      <c r="J748" s="42">
        <v>3</v>
      </c>
      <c r="K748" s="42">
        <v>0</v>
      </c>
      <c r="L748" s="66">
        <f t="shared" si="170"/>
        <v>3</v>
      </c>
      <c r="M748" s="31"/>
    </row>
    <row r="749" spans="2:13" ht="15.75" hidden="1" x14ac:dyDescent="0.25">
      <c r="B749" s="10">
        <v>46149</v>
      </c>
      <c r="C749" s="10" t="s">
        <v>22</v>
      </c>
      <c r="D749" s="10" t="s">
        <v>23</v>
      </c>
      <c r="F749" s="937" t="s">
        <v>40</v>
      </c>
      <c r="G749" s="937"/>
      <c r="H749" s="937"/>
      <c r="I749" s="8">
        <f>SUM(I743:I748)</f>
        <v>184</v>
      </c>
      <c r="J749" s="8">
        <f>SUM(J743:J748)</f>
        <v>68</v>
      </c>
      <c r="K749" s="8">
        <f>SUM(K743:K748)</f>
        <v>29</v>
      </c>
      <c r="L749" s="8">
        <f>SUM(L743:L748)</f>
        <v>281</v>
      </c>
      <c r="M749" s="31"/>
    </row>
    <row r="750" spans="2:13" ht="15.75" hidden="1" x14ac:dyDescent="0.25">
      <c r="B750" s="10">
        <v>46149</v>
      </c>
      <c r="C750" s="10" t="s">
        <v>12</v>
      </c>
      <c r="D750" s="10" t="s">
        <v>13</v>
      </c>
      <c r="F750" s="939">
        <v>46149</v>
      </c>
      <c r="G750" s="42" t="s">
        <v>75</v>
      </c>
      <c r="H750" s="29" t="s">
        <v>112</v>
      </c>
      <c r="I750" s="42">
        <v>8</v>
      </c>
      <c r="J750" s="42">
        <v>14</v>
      </c>
      <c r="K750" s="42">
        <v>0</v>
      </c>
      <c r="L750" s="66">
        <f t="shared" ref="L750:L754" si="171">SUM(I750:K750)</f>
        <v>22</v>
      </c>
      <c r="M750" s="31"/>
    </row>
    <row r="751" spans="2:13" ht="15.75" hidden="1" x14ac:dyDescent="0.25">
      <c r="B751" s="10">
        <v>46149</v>
      </c>
      <c r="C751" s="10" t="s">
        <v>12</v>
      </c>
      <c r="D751" s="10" t="s">
        <v>13</v>
      </c>
      <c r="F751" s="940"/>
      <c r="G751" s="42" t="s">
        <v>17</v>
      </c>
      <c r="H751" s="29" t="s">
        <v>105</v>
      </c>
      <c r="I751" s="42">
        <v>94</v>
      </c>
      <c r="J751" s="42">
        <v>36</v>
      </c>
      <c r="K751" s="42">
        <v>0</v>
      </c>
      <c r="L751" s="66">
        <f t="shared" si="171"/>
        <v>130</v>
      </c>
      <c r="M751" s="31"/>
    </row>
    <row r="752" spans="2:13" ht="15.75" hidden="1" x14ac:dyDescent="0.25">
      <c r="B752" s="10">
        <v>46149</v>
      </c>
      <c r="C752" s="10" t="s">
        <v>12</v>
      </c>
      <c r="D752" s="10" t="s">
        <v>13</v>
      </c>
      <c r="F752" s="940"/>
      <c r="G752" s="42" t="s">
        <v>84</v>
      </c>
      <c r="H752" s="29" t="s">
        <v>43</v>
      </c>
      <c r="I752" s="42">
        <v>1</v>
      </c>
      <c r="J752" s="42">
        <v>0</v>
      </c>
      <c r="K752" s="42">
        <v>0</v>
      </c>
      <c r="L752" s="66">
        <f t="shared" si="171"/>
        <v>1</v>
      </c>
      <c r="M752" s="31"/>
    </row>
    <row r="753" spans="2:13" ht="15.75" hidden="1" x14ac:dyDescent="0.25">
      <c r="B753" s="10">
        <v>46149</v>
      </c>
      <c r="C753" s="10" t="s">
        <v>12</v>
      </c>
      <c r="D753" s="10" t="s">
        <v>13</v>
      </c>
      <c r="F753" s="941"/>
      <c r="G753" s="42" t="s">
        <v>14</v>
      </c>
      <c r="H753" s="29" t="s">
        <v>106</v>
      </c>
      <c r="I753" s="42">
        <v>1</v>
      </c>
      <c r="J753" s="42">
        <v>1</v>
      </c>
      <c r="K753" s="42">
        <v>0</v>
      </c>
      <c r="L753" s="66">
        <f t="shared" si="171"/>
        <v>2</v>
      </c>
      <c r="M753" s="31"/>
    </row>
    <row r="754" spans="2:13" ht="15.75" hidden="1" x14ac:dyDescent="0.25">
      <c r="B754" s="10">
        <v>46149</v>
      </c>
      <c r="C754" s="10" t="s">
        <v>12</v>
      </c>
      <c r="D754" s="10" t="s">
        <v>13</v>
      </c>
      <c r="F754" s="58">
        <v>46150</v>
      </c>
      <c r="G754" s="42" t="s">
        <v>75</v>
      </c>
      <c r="H754" s="29" t="s">
        <v>112</v>
      </c>
      <c r="I754" s="42">
        <v>61</v>
      </c>
      <c r="J754" s="42">
        <v>17</v>
      </c>
      <c r="K754" s="42">
        <v>19</v>
      </c>
      <c r="L754" s="66">
        <f t="shared" si="171"/>
        <v>97</v>
      </c>
      <c r="M754" s="31"/>
    </row>
    <row r="755" spans="2:13" ht="15.75" hidden="1" x14ac:dyDescent="0.25">
      <c r="B755" s="10">
        <v>46149</v>
      </c>
      <c r="C755" s="10" t="s">
        <v>12</v>
      </c>
      <c r="D755" s="10" t="s">
        <v>13</v>
      </c>
      <c r="F755" s="937" t="s">
        <v>40</v>
      </c>
      <c r="G755" s="937"/>
      <c r="H755" s="937"/>
      <c r="I755" s="8">
        <f>SUM(I750:I754)</f>
        <v>165</v>
      </c>
      <c r="J755" s="8">
        <f>SUM(J750:J754)</f>
        <v>68</v>
      </c>
      <c r="K755" s="8">
        <f>SUM(K750:K754)</f>
        <v>19</v>
      </c>
      <c r="L755" s="8">
        <f>SUM(I755:K755)</f>
        <v>252</v>
      </c>
      <c r="M755" s="31"/>
    </row>
    <row r="756" spans="2:13" ht="15.75" hidden="1" x14ac:dyDescent="0.25">
      <c r="B756" s="10">
        <v>46149</v>
      </c>
      <c r="C756" s="10" t="s">
        <v>18</v>
      </c>
      <c r="D756" s="10" t="s">
        <v>20</v>
      </c>
      <c r="F756" s="942">
        <v>46149</v>
      </c>
      <c r="G756" s="29" t="s">
        <v>75</v>
      </c>
      <c r="H756" s="29" t="s">
        <v>112</v>
      </c>
      <c r="I756" s="42">
        <v>8</v>
      </c>
      <c r="J756" s="42">
        <v>14</v>
      </c>
      <c r="K756" s="42">
        <v>0</v>
      </c>
      <c r="L756" s="66">
        <f t="shared" ref="L756:L762" si="172">SUM(I756:K756)</f>
        <v>22</v>
      </c>
      <c r="M756" s="43"/>
    </row>
    <row r="757" spans="2:13" ht="15.75" hidden="1" x14ac:dyDescent="0.25">
      <c r="B757" s="10">
        <v>46149</v>
      </c>
      <c r="C757" s="10" t="s">
        <v>18</v>
      </c>
      <c r="D757" s="10" t="s">
        <v>20</v>
      </c>
      <c r="F757" s="942"/>
      <c r="G757" s="29" t="s">
        <v>17</v>
      </c>
      <c r="H757" s="29" t="s">
        <v>105</v>
      </c>
      <c r="I757" s="42">
        <v>14</v>
      </c>
      <c r="J757" s="42">
        <v>18</v>
      </c>
      <c r="K757" s="42">
        <v>0</v>
      </c>
      <c r="L757" s="66">
        <f t="shared" si="172"/>
        <v>32</v>
      </c>
      <c r="M757" s="43"/>
    </row>
    <row r="758" spans="2:13" ht="15.75" hidden="1" x14ac:dyDescent="0.25">
      <c r="B758" s="10">
        <v>46149</v>
      </c>
      <c r="C758" s="10" t="s">
        <v>18</v>
      </c>
      <c r="D758" s="10" t="s">
        <v>20</v>
      </c>
      <c r="F758" s="948">
        <v>46150</v>
      </c>
      <c r="G758" s="29" t="s">
        <v>75</v>
      </c>
      <c r="H758" s="29" t="s">
        <v>112</v>
      </c>
      <c r="I758" s="42">
        <v>89</v>
      </c>
      <c r="J758" s="42">
        <v>42</v>
      </c>
      <c r="K758" s="42">
        <v>0</v>
      </c>
      <c r="L758" s="66">
        <f t="shared" si="172"/>
        <v>131</v>
      </c>
      <c r="M758" s="43"/>
    </row>
    <row r="759" spans="2:13" ht="15.75" hidden="1" x14ac:dyDescent="0.25">
      <c r="B759" s="10">
        <v>46149</v>
      </c>
      <c r="C759" s="10" t="s">
        <v>18</v>
      </c>
      <c r="D759" s="10" t="s">
        <v>20</v>
      </c>
      <c r="F759" s="948"/>
      <c r="G759" s="29" t="s">
        <v>14</v>
      </c>
      <c r="H759" s="29" t="s">
        <v>106</v>
      </c>
      <c r="I759" s="42">
        <v>133</v>
      </c>
      <c r="J759" s="42">
        <v>25</v>
      </c>
      <c r="K759" s="42">
        <v>4</v>
      </c>
      <c r="L759" s="66">
        <f t="shared" si="172"/>
        <v>162</v>
      </c>
      <c r="M759" s="31"/>
    </row>
    <row r="760" spans="2:13" ht="15.75" hidden="1" x14ac:dyDescent="0.25">
      <c r="B760" s="10">
        <v>46149</v>
      </c>
      <c r="C760" s="10" t="s">
        <v>18</v>
      </c>
      <c r="D760" s="10" t="s">
        <v>20</v>
      </c>
      <c r="F760" s="948"/>
      <c r="G760" s="29" t="s">
        <v>120</v>
      </c>
      <c r="H760" s="29" t="s">
        <v>106</v>
      </c>
      <c r="I760" s="42">
        <v>4</v>
      </c>
      <c r="J760" s="42">
        <v>2</v>
      </c>
      <c r="K760" s="42">
        <v>0</v>
      </c>
      <c r="L760" s="66">
        <f t="shared" si="172"/>
        <v>6</v>
      </c>
      <c r="M760" s="31"/>
    </row>
    <row r="761" spans="2:13" ht="15.75" hidden="1" x14ac:dyDescent="0.25">
      <c r="B761" s="10">
        <v>46149</v>
      </c>
      <c r="C761" s="10" t="s">
        <v>18</v>
      </c>
      <c r="D761" s="10" t="s">
        <v>20</v>
      </c>
      <c r="F761" s="948"/>
      <c r="G761" s="29" t="s">
        <v>118</v>
      </c>
      <c r="H761" s="29" t="s">
        <v>106</v>
      </c>
      <c r="I761" s="42">
        <v>14</v>
      </c>
      <c r="J761" s="42">
        <v>0</v>
      </c>
      <c r="K761" s="42">
        <v>0</v>
      </c>
      <c r="L761" s="66">
        <f t="shared" si="172"/>
        <v>14</v>
      </c>
      <c r="M761" s="31"/>
    </row>
    <row r="762" spans="2:13" ht="15.75" hidden="1" x14ac:dyDescent="0.25">
      <c r="B762" s="10">
        <v>46149</v>
      </c>
      <c r="C762" s="10" t="s">
        <v>18</v>
      </c>
      <c r="D762" s="10" t="s">
        <v>20</v>
      </c>
      <c r="F762" s="948"/>
      <c r="G762" s="29" t="s">
        <v>17</v>
      </c>
      <c r="H762" s="29" t="s">
        <v>106</v>
      </c>
      <c r="I762" s="42">
        <v>0</v>
      </c>
      <c r="J762" s="42">
        <v>0</v>
      </c>
      <c r="K762" s="42">
        <v>6</v>
      </c>
      <c r="L762" s="66">
        <f t="shared" si="172"/>
        <v>6</v>
      </c>
      <c r="M762" s="31"/>
    </row>
    <row r="763" spans="2:13" ht="15.75" hidden="1" x14ac:dyDescent="0.25">
      <c r="B763" s="10">
        <v>46149</v>
      </c>
      <c r="C763" s="10" t="s">
        <v>18</v>
      </c>
      <c r="D763" s="10" t="s">
        <v>20</v>
      </c>
      <c r="F763" s="937" t="s">
        <v>40</v>
      </c>
      <c r="G763" s="937"/>
      <c r="H763" s="937"/>
      <c r="I763" s="8">
        <f>SUM(I756:I762)</f>
        <v>262</v>
      </c>
      <c r="J763" s="8">
        <f>SUM(J756:J762)</f>
        <v>101</v>
      </c>
      <c r="K763" s="8">
        <f>SUM(K756:K762)</f>
        <v>10</v>
      </c>
      <c r="L763" s="8">
        <f>SUM(L756:L762)</f>
        <v>373</v>
      </c>
      <c r="M763" s="31"/>
    </row>
    <row r="764" spans="2:13" ht="15.75" hidden="1" x14ac:dyDescent="0.25">
      <c r="B764" s="10">
        <v>46150</v>
      </c>
      <c r="C764" s="10" t="s">
        <v>22</v>
      </c>
      <c r="D764" s="10" t="s">
        <v>23</v>
      </c>
      <c r="F764" s="948">
        <v>46150</v>
      </c>
      <c r="G764" s="29" t="s">
        <v>75</v>
      </c>
      <c r="H764" s="29" t="s">
        <v>112</v>
      </c>
      <c r="I764" s="42">
        <v>18</v>
      </c>
      <c r="J764" s="42">
        <v>19</v>
      </c>
      <c r="K764" s="42">
        <v>0</v>
      </c>
      <c r="L764" s="66">
        <f t="shared" ref="L764:L770" si="173">SUM(I764:K764)</f>
        <v>37</v>
      </c>
      <c r="M764" s="43"/>
    </row>
    <row r="765" spans="2:13" ht="15.75" hidden="1" x14ac:dyDescent="0.25">
      <c r="B765" s="10">
        <v>46150</v>
      </c>
      <c r="C765" s="10" t="s">
        <v>22</v>
      </c>
      <c r="D765" s="10" t="s">
        <v>23</v>
      </c>
      <c r="F765" s="948"/>
      <c r="G765" s="29" t="s">
        <v>26</v>
      </c>
      <c r="H765" s="29" t="s">
        <v>43</v>
      </c>
      <c r="I765" s="42">
        <v>2</v>
      </c>
      <c r="J765" s="42">
        <v>1</v>
      </c>
      <c r="K765" s="42">
        <v>0</v>
      </c>
      <c r="L765" s="66">
        <f t="shared" si="173"/>
        <v>3</v>
      </c>
      <c r="M765" s="43"/>
    </row>
    <row r="766" spans="2:13" ht="15.75" hidden="1" x14ac:dyDescent="0.25">
      <c r="B766" s="10">
        <v>46150</v>
      </c>
      <c r="C766" s="10" t="s">
        <v>22</v>
      </c>
      <c r="D766" s="10" t="s">
        <v>23</v>
      </c>
      <c r="F766" s="948"/>
      <c r="G766" s="29" t="s">
        <v>14</v>
      </c>
      <c r="H766" s="29" t="s">
        <v>106</v>
      </c>
      <c r="I766" s="42">
        <v>19</v>
      </c>
      <c r="J766" s="42">
        <v>8</v>
      </c>
      <c r="K766" s="42">
        <v>0</v>
      </c>
      <c r="L766" s="66">
        <f t="shared" si="173"/>
        <v>27</v>
      </c>
      <c r="M766" s="31"/>
    </row>
    <row r="767" spans="2:13" ht="15.75" hidden="1" x14ac:dyDescent="0.25">
      <c r="B767" s="10">
        <v>46150</v>
      </c>
      <c r="C767" s="10" t="s">
        <v>22</v>
      </c>
      <c r="D767" s="10" t="s">
        <v>23</v>
      </c>
      <c r="F767" s="948"/>
      <c r="G767" s="29" t="s">
        <v>120</v>
      </c>
      <c r="H767" s="29" t="s">
        <v>106</v>
      </c>
      <c r="I767" s="42">
        <v>5</v>
      </c>
      <c r="J767" s="42">
        <v>0</v>
      </c>
      <c r="K767" s="42">
        <v>0</v>
      </c>
      <c r="L767" s="66">
        <f t="shared" si="173"/>
        <v>5</v>
      </c>
      <c r="M767" s="31"/>
    </row>
    <row r="768" spans="2:13" ht="15.75" hidden="1" x14ac:dyDescent="0.25">
      <c r="B768" s="10">
        <v>46150</v>
      </c>
      <c r="C768" s="10" t="s">
        <v>22</v>
      </c>
      <c r="D768" s="10" t="s">
        <v>23</v>
      </c>
      <c r="F768" s="948"/>
      <c r="G768" s="29" t="s">
        <v>118</v>
      </c>
      <c r="H768" s="29" t="s">
        <v>106</v>
      </c>
      <c r="I768" s="42">
        <v>1</v>
      </c>
      <c r="J768" s="42">
        <v>0</v>
      </c>
      <c r="K768" s="42">
        <v>0</v>
      </c>
      <c r="L768" s="66">
        <f t="shared" si="173"/>
        <v>1</v>
      </c>
      <c r="M768" s="31"/>
    </row>
    <row r="769" spans="2:13" ht="15.75" hidden="1" x14ac:dyDescent="0.25">
      <c r="B769" s="10">
        <v>46150</v>
      </c>
      <c r="C769" s="10" t="s">
        <v>22</v>
      </c>
      <c r="D769" s="10" t="s">
        <v>23</v>
      </c>
      <c r="F769" s="948"/>
      <c r="G769" s="29" t="s">
        <v>84</v>
      </c>
      <c r="H769" s="29" t="s">
        <v>43</v>
      </c>
      <c r="I769" s="42">
        <v>35</v>
      </c>
      <c r="J769" s="42">
        <v>6</v>
      </c>
      <c r="K769" s="42">
        <v>0</v>
      </c>
      <c r="L769" s="66">
        <f t="shared" si="173"/>
        <v>41</v>
      </c>
      <c r="M769" s="31"/>
    </row>
    <row r="770" spans="2:13" ht="15.75" hidden="1" x14ac:dyDescent="0.25">
      <c r="B770" s="10">
        <v>46150</v>
      </c>
      <c r="C770" s="10" t="s">
        <v>22</v>
      </c>
      <c r="D770" s="10" t="s">
        <v>23</v>
      </c>
      <c r="F770" s="948"/>
      <c r="G770" s="29" t="s">
        <v>17</v>
      </c>
      <c r="H770" s="29" t="s">
        <v>106</v>
      </c>
      <c r="I770" s="42">
        <v>84</v>
      </c>
      <c r="J770" s="42">
        <v>19</v>
      </c>
      <c r="K770" s="42">
        <v>0</v>
      </c>
      <c r="L770" s="66">
        <f t="shared" si="173"/>
        <v>103</v>
      </c>
      <c r="M770" s="31"/>
    </row>
    <row r="771" spans="2:13" ht="15.75" hidden="1" x14ac:dyDescent="0.25">
      <c r="B771" s="10">
        <v>46150</v>
      </c>
      <c r="C771" s="10" t="s">
        <v>22</v>
      </c>
      <c r="D771" s="10" t="s">
        <v>23</v>
      </c>
      <c r="F771" s="937" t="s">
        <v>40</v>
      </c>
      <c r="G771" s="937"/>
      <c r="H771" s="937"/>
      <c r="I771" s="8">
        <f>SUM(I764:I770)</f>
        <v>164</v>
      </c>
      <c r="J771" s="8">
        <f>SUM(J764:J770)</f>
        <v>53</v>
      </c>
      <c r="K771" s="8">
        <f>SUM(K764:K770)</f>
        <v>0</v>
      </c>
      <c r="L771" s="8">
        <f>SUM(L764:L770)</f>
        <v>217</v>
      </c>
      <c r="M771" s="31"/>
    </row>
    <row r="772" spans="2:13" ht="15.75" hidden="1" x14ac:dyDescent="0.25">
      <c r="B772" s="10">
        <v>46150</v>
      </c>
      <c r="C772" s="10" t="s">
        <v>12</v>
      </c>
      <c r="D772" s="10" t="s">
        <v>13</v>
      </c>
      <c r="F772" s="939">
        <v>46150</v>
      </c>
      <c r="G772" s="42" t="s">
        <v>75</v>
      </c>
      <c r="H772" s="29" t="s">
        <v>112</v>
      </c>
      <c r="I772" s="42">
        <v>8</v>
      </c>
      <c r="J772" s="42">
        <v>14</v>
      </c>
      <c r="K772" s="42">
        <v>0</v>
      </c>
      <c r="L772" s="66">
        <f t="shared" ref="L772:L779" si="174">SUM(I772:K772)</f>
        <v>22</v>
      </c>
      <c r="M772" s="31"/>
    </row>
    <row r="773" spans="2:13" ht="15.75" hidden="1" x14ac:dyDescent="0.25">
      <c r="B773" s="10">
        <v>46150</v>
      </c>
      <c r="C773" s="10" t="s">
        <v>12</v>
      </c>
      <c r="D773" s="10" t="s">
        <v>13</v>
      </c>
      <c r="F773" s="940"/>
      <c r="G773" s="42" t="s">
        <v>17</v>
      </c>
      <c r="H773" s="29" t="s">
        <v>105</v>
      </c>
      <c r="I773" s="42">
        <v>44</v>
      </c>
      <c r="J773" s="42">
        <v>23</v>
      </c>
      <c r="K773" s="42">
        <v>0</v>
      </c>
      <c r="L773" s="66">
        <f t="shared" si="174"/>
        <v>67</v>
      </c>
      <c r="M773" s="31"/>
    </row>
    <row r="774" spans="2:13" ht="15.75" hidden="1" x14ac:dyDescent="0.25">
      <c r="B774" s="10">
        <v>46150</v>
      </c>
      <c r="C774" s="10" t="s">
        <v>12</v>
      </c>
      <c r="D774" s="10" t="s">
        <v>13</v>
      </c>
      <c r="F774" s="940"/>
      <c r="G774" s="42" t="s">
        <v>84</v>
      </c>
      <c r="H774" s="29" t="s">
        <v>43</v>
      </c>
      <c r="I774" s="42">
        <v>9</v>
      </c>
      <c r="J774" s="42">
        <v>0</v>
      </c>
      <c r="K774" s="42">
        <v>0</v>
      </c>
      <c r="L774" s="66">
        <f t="shared" si="174"/>
        <v>9</v>
      </c>
      <c r="M774" s="31"/>
    </row>
    <row r="775" spans="2:13" ht="15.75" hidden="1" x14ac:dyDescent="0.25">
      <c r="B775" s="10">
        <v>46150</v>
      </c>
      <c r="C775" s="10" t="s">
        <v>12</v>
      </c>
      <c r="D775" s="10" t="s">
        <v>13</v>
      </c>
      <c r="F775" s="940"/>
      <c r="G775" s="29" t="s">
        <v>25</v>
      </c>
      <c r="H775" s="29" t="s">
        <v>105</v>
      </c>
      <c r="I775" s="42">
        <v>3</v>
      </c>
      <c r="J775" s="42">
        <v>2</v>
      </c>
      <c r="K775" s="42">
        <v>0</v>
      </c>
      <c r="L775" s="66">
        <f t="shared" ref="L775" si="175">SUM(I775:K775)</f>
        <v>5</v>
      </c>
      <c r="M775" s="31"/>
    </row>
    <row r="776" spans="2:13" ht="15.75" hidden="1" x14ac:dyDescent="0.25">
      <c r="B776" s="10">
        <v>46150</v>
      </c>
      <c r="C776" s="10" t="s">
        <v>12</v>
      </c>
      <c r="D776" s="10" t="s">
        <v>13</v>
      </c>
      <c r="F776" s="940"/>
      <c r="G776" s="42" t="s">
        <v>26</v>
      </c>
      <c r="H776" s="29" t="s">
        <v>125</v>
      </c>
      <c r="I776" s="42">
        <v>3</v>
      </c>
      <c r="J776" s="42">
        <v>2</v>
      </c>
      <c r="K776" s="42">
        <v>0</v>
      </c>
      <c r="L776" s="66">
        <f t="shared" ref="L776:L777" si="176">SUM(I776:K776)</f>
        <v>5</v>
      </c>
      <c r="M776" s="31"/>
    </row>
    <row r="777" spans="2:13" ht="15.75" hidden="1" x14ac:dyDescent="0.25">
      <c r="B777" s="10">
        <v>46150</v>
      </c>
      <c r="C777" s="10" t="s">
        <v>12</v>
      </c>
      <c r="D777" s="10" t="s">
        <v>13</v>
      </c>
      <c r="F777" s="940"/>
      <c r="G777" s="42" t="s">
        <v>120</v>
      </c>
      <c r="H777" s="29" t="s">
        <v>43</v>
      </c>
      <c r="I777" s="42">
        <v>1</v>
      </c>
      <c r="J777" s="42">
        <v>0</v>
      </c>
      <c r="K777" s="42">
        <v>0</v>
      </c>
      <c r="L777" s="66">
        <f t="shared" si="176"/>
        <v>1</v>
      </c>
      <c r="M777" s="31"/>
    </row>
    <row r="778" spans="2:13" ht="15.75" hidden="1" x14ac:dyDescent="0.25">
      <c r="B778" s="10">
        <v>46150</v>
      </c>
      <c r="C778" s="10" t="s">
        <v>12</v>
      </c>
      <c r="D778" s="10" t="s">
        <v>13</v>
      </c>
      <c r="F778" s="941"/>
      <c r="G778" s="42" t="s">
        <v>14</v>
      </c>
      <c r="H778" s="29" t="s">
        <v>106</v>
      </c>
      <c r="I778" s="42">
        <v>10</v>
      </c>
      <c r="J778" s="42">
        <v>9</v>
      </c>
      <c r="K778" s="42">
        <v>0</v>
      </c>
      <c r="L778" s="66">
        <f t="shared" si="174"/>
        <v>19</v>
      </c>
      <c r="M778" s="31"/>
    </row>
    <row r="779" spans="2:13" ht="15.75" hidden="1" x14ac:dyDescent="0.25">
      <c r="B779" s="10">
        <v>46150</v>
      </c>
      <c r="C779" s="10" t="s">
        <v>12</v>
      </c>
      <c r="D779" s="10" t="s">
        <v>13</v>
      </c>
      <c r="F779" s="58">
        <v>46151</v>
      </c>
      <c r="G779" s="42" t="s">
        <v>75</v>
      </c>
      <c r="H779" s="29" t="s">
        <v>112</v>
      </c>
      <c r="I779" s="42">
        <v>59</v>
      </c>
      <c r="J779" s="42">
        <v>19</v>
      </c>
      <c r="K779" s="42">
        <v>26</v>
      </c>
      <c r="L779" s="66">
        <f t="shared" si="174"/>
        <v>104</v>
      </c>
      <c r="M779" s="31"/>
    </row>
    <row r="780" spans="2:13" ht="15.75" hidden="1" x14ac:dyDescent="0.25">
      <c r="B780" s="10">
        <v>46150</v>
      </c>
      <c r="C780" s="10" t="s">
        <v>12</v>
      </c>
      <c r="D780" s="10" t="s">
        <v>13</v>
      </c>
      <c r="F780" s="937" t="s">
        <v>40</v>
      </c>
      <c r="G780" s="937"/>
      <c r="H780" s="937"/>
      <c r="I780" s="8">
        <f>SUM(I772:I779)</f>
        <v>137</v>
      </c>
      <c r="J780" s="8">
        <f>SUM(J772:J779)</f>
        <v>69</v>
      </c>
      <c r="K780" s="8">
        <f>SUM(K772:K779)</f>
        <v>26</v>
      </c>
      <c r="L780" s="8">
        <f>SUM(I780:K780)</f>
        <v>232</v>
      </c>
      <c r="M780" s="31"/>
    </row>
    <row r="781" spans="2:13" ht="15.75" hidden="1" x14ac:dyDescent="0.25">
      <c r="B781" s="10">
        <v>46150</v>
      </c>
      <c r="C781" s="10" t="s">
        <v>18</v>
      </c>
      <c r="D781" s="10" t="s">
        <v>20</v>
      </c>
      <c r="F781" s="942">
        <v>46150</v>
      </c>
      <c r="G781" s="29" t="s">
        <v>75</v>
      </c>
      <c r="H781" s="29" t="s">
        <v>112</v>
      </c>
      <c r="I781" s="42">
        <v>4</v>
      </c>
      <c r="J781" s="42">
        <v>17</v>
      </c>
      <c r="K781" s="42">
        <v>0</v>
      </c>
      <c r="L781" s="66">
        <f t="shared" ref="L781:L785" si="177">SUM(I781:K781)</f>
        <v>21</v>
      </c>
      <c r="M781" s="43"/>
    </row>
    <row r="782" spans="2:13" ht="15.75" hidden="1" x14ac:dyDescent="0.25">
      <c r="B782" s="10">
        <v>46150</v>
      </c>
      <c r="C782" s="10" t="s">
        <v>18</v>
      </c>
      <c r="D782" s="10" t="s">
        <v>20</v>
      </c>
      <c r="F782" s="942"/>
      <c r="G782" s="29" t="s">
        <v>17</v>
      </c>
      <c r="H782" s="29" t="s">
        <v>105</v>
      </c>
      <c r="I782" s="42">
        <v>14</v>
      </c>
      <c r="J782" s="42">
        <v>21</v>
      </c>
      <c r="K782" s="42">
        <v>0</v>
      </c>
      <c r="L782" s="66">
        <f t="shared" si="177"/>
        <v>35</v>
      </c>
      <c r="M782" s="43"/>
    </row>
    <row r="783" spans="2:13" ht="15.75" hidden="1" x14ac:dyDescent="0.25">
      <c r="B783" s="10">
        <v>46150</v>
      </c>
      <c r="C783" s="10" t="s">
        <v>18</v>
      </c>
      <c r="D783" s="10" t="s">
        <v>20</v>
      </c>
      <c r="F783" s="948">
        <v>46151</v>
      </c>
      <c r="G783" s="29" t="s">
        <v>75</v>
      </c>
      <c r="H783" s="29" t="s">
        <v>112</v>
      </c>
      <c r="I783" s="42">
        <v>77</v>
      </c>
      <c r="J783" s="42">
        <v>43</v>
      </c>
      <c r="K783" s="42">
        <v>4</v>
      </c>
      <c r="L783" s="66">
        <f t="shared" si="177"/>
        <v>124</v>
      </c>
      <c r="M783" s="43"/>
    </row>
    <row r="784" spans="2:13" ht="15.75" hidden="1" x14ac:dyDescent="0.25">
      <c r="B784" s="10">
        <v>46150</v>
      </c>
      <c r="C784" s="10" t="s">
        <v>18</v>
      </c>
      <c r="D784" s="10" t="s">
        <v>20</v>
      </c>
      <c r="F784" s="948"/>
      <c r="G784" s="29" t="s">
        <v>14</v>
      </c>
      <c r="H784" s="29" t="s">
        <v>106</v>
      </c>
      <c r="I784" s="42">
        <v>130</v>
      </c>
      <c r="J784" s="42">
        <v>28</v>
      </c>
      <c r="K784" s="42">
        <v>0</v>
      </c>
      <c r="L784" s="66">
        <f t="shared" si="177"/>
        <v>158</v>
      </c>
      <c r="M784" s="31"/>
    </row>
    <row r="785" spans="2:13" ht="15.75" hidden="1" x14ac:dyDescent="0.25">
      <c r="B785" s="10">
        <v>46150</v>
      </c>
      <c r="C785" s="10" t="s">
        <v>18</v>
      </c>
      <c r="D785" s="10" t="s">
        <v>20</v>
      </c>
      <c r="F785" s="948"/>
      <c r="G785" s="29" t="s">
        <v>25</v>
      </c>
      <c r="H785" s="29" t="s">
        <v>105</v>
      </c>
      <c r="I785" s="42">
        <v>7</v>
      </c>
      <c r="J785" s="42">
        <v>9</v>
      </c>
      <c r="K785" s="42">
        <v>0</v>
      </c>
      <c r="L785" s="66">
        <f t="shared" si="177"/>
        <v>16</v>
      </c>
      <c r="M785" s="31"/>
    </row>
    <row r="786" spans="2:13" ht="15.75" hidden="1" x14ac:dyDescent="0.25">
      <c r="B786" s="10">
        <v>46150</v>
      </c>
      <c r="C786" s="10" t="s">
        <v>18</v>
      </c>
      <c r="D786" s="10" t="s">
        <v>20</v>
      </c>
      <c r="F786" s="937" t="s">
        <v>40</v>
      </c>
      <c r="G786" s="937"/>
      <c r="H786" s="937"/>
      <c r="I786" s="8">
        <f>SUM(I781:I785)</f>
        <v>232</v>
      </c>
      <c r="J786" s="8">
        <f>SUM(J781:J785)</f>
        <v>118</v>
      </c>
      <c r="K786" s="8">
        <f>SUM(K781:K785)</f>
        <v>4</v>
      </c>
      <c r="L786" s="8">
        <f>SUM(L781:L785)</f>
        <v>354</v>
      </c>
      <c r="M786" s="31"/>
    </row>
    <row r="787" spans="2:13" ht="15.75" hidden="1" x14ac:dyDescent="0.25">
      <c r="B787" s="10">
        <v>46151</v>
      </c>
      <c r="C787" s="10" t="s">
        <v>22</v>
      </c>
      <c r="D787" s="10" t="s">
        <v>23</v>
      </c>
      <c r="F787" s="948">
        <v>46151</v>
      </c>
      <c r="G787" s="29" t="s">
        <v>75</v>
      </c>
      <c r="H787" s="29" t="s">
        <v>112</v>
      </c>
      <c r="I787" s="42">
        <v>21</v>
      </c>
      <c r="J787" s="42">
        <v>20</v>
      </c>
      <c r="K787" s="42">
        <v>3</v>
      </c>
      <c r="L787" s="66">
        <f t="shared" ref="L787:L792" si="178">SUM(I787:K787)</f>
        <v>44</v>
      </c>
      <c r="M787" s="43"/>
    </row>
    <row r="788" spans="2:13" ht="15.75" hidden="1" x14ac:dyDescent="0.25">
      <c r="B788" s="10">
        <v>46151</v>
      </c>
      <c r="C788" s="10" t="s">
        <v>22</v>
      </c>
      <c r="D788" s="10" t="s">
        <v>23</v>
      </c>
      <c r="F788" s="948"/>
      <c r="G788" s="29" t="s">
        <v>14</v>
      </c>
      <c r="H788" s="29" t="s">
        <v>106</v>
      </c>
      <c r="I788" s="42">
        <v>41</v>
      </c>
      <c r="J788" s="42">
        <v>7</v>
      </c>
      <c r="K788" s="42">
        <v>0</v>
      </c>
      <c r="L788" s="66">
        <f t="shared" si="178"/>
        <v>48</v>
      </c>
      <c r="M788" s="31"/>
    </row>
    <row r="789" spans="2:13" ht="15.75" hidden="1" x14ac:dyDescent="0.25">
      <c r="B789" s="10">
        <v>46151</v>
      </c>
      <c r="C789" s="10" t="s">
        <v>22</v>
      </c>
      <c r="D789" s="10" t="s">
        <v>23</v>
      </c>
      <c r="F789" s="948"/>
      <c r="G789" s="29" t="s">
        <v>17</v>
      </c>
      <c r="H789" s="29" t="s">
        <v>106</v>
      </c>
      <c r="I789" s="42">
        <v>23</v>
      </c>
      <c r="J789" s="42">
        <v>7</v>
      </c>
      <c r="K789" s="42">
        <v>0</v>
      </c>
      <c r="L789" s="66">
        <f t="shared" si="178"/>
        <v>30</v>
      </c>
      <c r="M789" s="31"/>
    </row>
    <row r="790" spans="2:13" ht="15.75" hidden="1" x14ac:dyDescent="0.25">
      <c r="B790" s="10">
        <v>46151</v>
      </c>
      <c r="C790" s="10" t="s">
        <v>22</v>
      </c>
      <c r="D790" s="10" t="s">
        <v>23</v>
      </c>
      <c r="F790" s="948"/>
      <c r="G790" s="29" t="s">
        <v>84</v>
      </c>
      <c r="H790" s="29" t="s">
        <v>43</v>
      </c>
      <c r="I790" s="42">
        <v>11</v>
      </c>
      <c r="J790" s="42">
        <v>4</v>
      </c>
      <c r="K790" s="42">
        <v>4</v>
      </c>
      <c r="L790" s="66">
        <f t="shared" si="178"/>
        <v>19</v>
      </c>
      <c r="M790" s="31"/>
    </row>
    <row r="791" spans="2:13" ht="15.75" hidden="1" x14ac:dyDescent="0.25">
      <c r="B791" s="10">
        <v>46151</v>
      </c>
      <c r="C791" s="10" t="s">
        <v>22</v>
      </c>
      <c r="D791" s="10" t="s">
        <v>23</v>
      </c>
      <c r="F791" s="948"/>
      <c r="G791" s="29" t="s">
        <v>120</v>
      </c>
      <c r="H791" s="29" t="s">
        <v>106</v>
      </c>
      <c r="I791" s="42">
        <v>12</v>
      </c>
      <c r="J791" s="42">
        <v>3</v>
      </c>
      <c r="K791" s="42">
        <v>0</v>
      </c>
      <c r="L791" s="66">
        <f t="shared" si="178"/>
        <v>15</v>
      </c>
      <c r="M791" s="31"/>
    </row>
    <row r="792" spans="2:13" ht="15.75" hidden="1" x14ac:dyDescent="0.25">
      <c r="B792" s="10">
        <v>46151</v>
      </c>
      <c r="C792" s="10" t="s">
        <v>22</v>
      </c>
      <c r="D792" s="10" t="s">
        <v>23</v>
      </c>
      <c r="F792" s="948"/>
      <c r="G792" s="29" t="s">
        <v>25</v>
      </c>
      <c r="H792" s="29" t="s">
        <v>105</v>
      </c>
      <c r="I792" s="42">
        <v>60</v>
      </c>
      <c r="J792" s="42">
        <v>19</v>
      </c>
      <c r="K792" s="42">
        <v>21</v>
      </c>
      <c r="L792" s="66">
        <f t="shared" si="178"/>
        <v>100</v>
      </c>
      <c r="M792" s="31"/>
    </row>
    <row r="793" spans="2:13" ht="15.75" hidden="1" x14ac:dyDescent="0.25">
      <c r="B793" s="10">
        <v>46151</v>
      </c>
      <c r="C793" s="10" t="s">
        <v>22</v>
      </c>
      <c r="D793" s="10" t="s">
        <v>23</v>
      </c>
      <c r="F793" s="937" t="s">
        <v>40</v>
      </c>
      <c r="G793" s="937"/>
      <c r="H793" s="937"/>
      <c r="I793" s="8">
        <f>SUM(I787:I792)</f>
        <v>168</v>
      </c>
      <c r="J793" s="8">
        <f>SUM(J787:J792)</f>
        <v>60</v>
      </c>
      <c r="K793" s="8">
        <f>SUM(K787:K792)</f>
        <v>28</v>
      </c>
      <c r="L793" s="8">
        <f>SUM(L787:L792)</f>
        <v>256</v>
      </c>
      <c r="M793" s="31"/>
    </row>
    <row r="794" spans="2:13" ht="15.75" hidden="1" x14ac:dyDescent="0.25">
      <c r="B794" s="10">
        <v>46151</v>
      </c>
      <c r="C794" s="10" t="s">
        <v>12</v>
      </c>
      <c r="D794" s="10" t="s">
        <v>13</v>
      </c>
      <c r="F794" s="939">
        <v>46151</v>
      </c>
      <c r="G794" s="42" t="s">
        <v>75</v>
      </c>
      <c r="H794" s="29" t="s">
        <v>112</v>
      </c>
      <c r="I794" s="42">
        <v>5</v>
      </c>
      <c r="J794" s="42">
        <v>2</v>
      </c>
      <c r="K794" s="42">
        <v>0</v>
      </c>
      <c r="L794" s="66">
        <f t="shared" ref="L794:L799" si="179">SUM(I794:K794)</f>
        <v>7</v>
      </c>
      <c r="M794" s="31"/>
    </row>
    <row r="795" spans="2:13" ht="15.75" hidden="1" x14ac:dyDescent="0.25">
      <c r="B795" s="10">
        <v>46151</v>
      </c>
      <c r="C795" s="10" t="s">
        <v>12</v>
      </c>
      <c r="D795" s="10" t="s">
        <v>13</v>
      </c>
      <c r="F795" s="940"/>
      <c r="G795" s="42" t="s">
        <v>26</v>
      </c>
      <c r="H795" s="29" t="s">
        <v>125</v>
      </c>
      <c r="I795" s="42">
        <v>1</v>
      </c>
      <c r="J795" s="42">
        <v>0</v>
      </c>
      <c r="K795" s="42">
        <v>0</v>
      </c>
      <c r="L795" s="66">
        <f t="shared" si="179"/>
        <v>1</v>
      </c>
      <c r="M795" s="31"/>
    </row>
    <row r="796" spans="2:13" ht="15.75" hidden="1" x14ac:dyDescent="0.25">
      <c r="B796" s="10">
        <v>46151</v>
      </c>
      <c r="C796" s="10" t="s">
        <v>12</v>
      </c>
      <c r="D796" s="10" t="s">
        <v>13</v>
      </c>
      <c r="F796" s="940"/>
      <c r="G796" s="42" t="s">
        <v>84</v>
      </c>
      <c r="H796" s="29" t="s">
        <v>43</v>
      </c>
      <c r="I796" s="42">
        <v>3</v>
      </c>
      <c r="J796" s="42">
        <v>5</v>
      </c>
      <c r="K796" s="42">
        <v>0</v>
      </c>
      <c r="L796" s="66">
        <f t="shared" si="179"/>
        <v>8</v>
      </c>
      <c r="M796" s="31"/>
    </row>
    <row r="797" spans="2:13" ht="15.75" hidden="1" x14ac:dyDescent="0.25">
      <c r="B797" s="10">
        <v>46151</v>
      </c>
      <c r="C797" s="10" t="s">
        <v>12</v>
      </c>
      <c r="D797" s="10" t="s">
        <v>13</v>
      </c>
      <c r="F797" s="940"/>
      <c r="G797" s="29" t="s">
        <v>25</v>
      </c>
      <c r="H797" s="29" t="s">
        <v>105</v>
      </c>
      <c r="I797" s="42">
        <v>74</v>
      </c>
      <c r="J797" s="42">
        <v>23</v>
      </c>
      <c r="K797" s="42">
        <v>0</v>
      </c>
      <c r="L797" s="66">
        <f t="shared" si="179"/>
        <v>97</v>
      </c>
      <c r="M797" s="31"/>
    </row>
    <row r="798" spans="2:13" ht="15.75" hidden="1" x14ac:dyDescent="0.25">
      <c r="B798" s="10">
        <v>46151</v>
      </c>
      <c r="C798" s="10" t="s">
        <v>12</v>
      </c>
      <c r="D798" s="10" t="s">
        <v>13</v>
      </c>
      <c r="F798" s="941"/>
      <c r="G798" s="42" t="s">
        <v>14</v>
      </c>
      <c r="H798" s="29" t="s">
        <v>106</v>
      </c>
      <c r="I798" s="42">
        <v>10</v>
      </c>
      <c r="J798" s="42">
        <v>1</v>
      </c>
      <c r="K798" s="42">
        <v>0</v>
      </c>
      <c r="L798" s="66">
        <f t="shared" si="179"/>
        <v>11</v>
      </c>
      <c r="M798" s="31"/>
    </row>
    <row r="799" spans="2:13" ht="15.75" hidden="1" x14ac:dyDescent="0.25">
      <c r="B799" s="10">
        <v>46151</v>
      </c>
      <c r="C799" s="10" t="s">
        <v>12</v>
      </c>
      <c r="D799" s="10" t="s">
        <v>13</v>
      </c>
      <c r="F799" s="72">
        <v>46152</v>
      </c>
      <c r="G799" s="42" t="s">
        <v>75</v>
      </c>
      <c r="H799" s="29" t="s">
        <v>112</v>
      </c>
      <c r="I799" s="42">
        <v>72</v>
      </c>
      <c r="J799" s="42">
        <v>30</v>
      </c>
      <c r="K799" s="42">
        <v>0</v>
      </c>
      <c r="L799" s="66">
        <f t="shared" si="179"/>
        <v>102</v>
      </c>
      <c r="M799" s="31"/>
    </row>
    <row r="800" spans="2:13" ht="15.75" hidden="1" x14ac:dyDescent="0.25">
      <c r="B800" s="10">
        <v>46151</v>
      </c>
      <c r="C800" s="10" t="s">
        <v>12</v>
      </c>
      <c r="D800" s="10" t="s">
        <v>13</v>
      </c>
      <c r="F800" s="937" t="s">
        <v>40</v>
      </c>
      <c r="G800" s="937"/>
      <c r="H800" s="937"/>
      <c r="I800" s="8">
        <f>SUM(I794:I799)</f>
        <v>165</v>
      </c>
      <c r="J800" s="8">
        <f>SUM(J794:J799)</f>
        <v>61</v>
      </c>
      <c r="K800" s="8">
        <f>SUM(K794:K799)</f>
        <v>0</v>
      </c>
      <c r="L800" s="8">
        <f>SUM(I800:K800)</f>
        <v>226</v>
      </c>
      <c r="M800" s="31"/>
    </row>
    <row r="801" spans="2:13" ht="15.75" hidden="1" x14ac:dyDescent="0.25">
      <c r="B801" s="10">
        <v>46151</v>
      </c>
      <c r="C801" s="10" t="s">
        <v>18</v>
      </c>
      <c r="D801" s="10" t="s">
        <v>20</v>
      </c>
      <c r="F801" s="942">
        <v>46151</v>
      </c>
      <c r="G801" s="29" t="s">
        <v>75</v>
      </c>
      <c r="H801" s="29" t="s">
        <v>112</v>
      </c>
      <c r="I801" s="42">
        <v>7</v>
      </c>
      <c r="J801" s="42">
        <v>13</v>
      </c>
      <c r="K801" s="42">
        <v>0</v>
      </c>
      <c r="L801" s="66">
        <f t="shared" ref="L801:L805" si="180">SUM(I801:K801)</f>
        <v>20</v>
      </c>
      <c r="M801" s="43"/>
    </row>
    <row r="802" spans="2:13" ht="15.75" hidden="1" x14ac:dyDescent="0.25">
      <c r="B802" s="10">
        <v>46151</v>
      </c>
      <c r="C802" s="10" t="s">
        <v>18</v>
      </c>
      <c r="D802" s="10" t="s">
        <v>20</v>
      </c>
      <c r="F802" s="942"/>
      <c r="G802" s="29" t="s">
        <v>17</v>
      </c>
      <c r="H802" s="29" t="s">
        <v>105</v>
      </c>
      <c r="I802" s="42">
        <v>22</v>
      </c>
      <c r="J802" s="42">
        <v>18</v>
      </c>
      <c r="K802" s="42">
        <v>0</v>
      </c>
      <c r="L802" s="66">
        <f t="shared" si="180"/>
        <v>40</v>
      </c>
      <c r="M802" s="43"/>
    </row>
    <row r="803" spans="2:13" ht="15.75" hidden="1" x14ac:dyDescent="0.25">
      <c r="B803" s="10">
        <v>46151</v>
      </c>
      <c r="C803" s="10" t="s">
        <v>18</v>
      </c>
      <c r="D803" s="10" t="s">
        <v>20</v>
      </c>
      <c r="F803" s="948">
        <v>46152</v>
      </c>
      <c r="G803" s="29" t="s">
        <v>75</v>
      </c>
      <c r="H803" s="29" t="s">
        <v>112</v>
      </c>
      <c r="I803" s="42">
        <v>72</v>
      </c>
      <c r="J803" s="42">
        <v>18</v>
      </c>
      <c r="K803" s="42">
        <v>0</v>
      </c>
      <c r="L803" s="66">
        <f t="shared" si="180"/>
        <v>90</v>
      </c>
      <c r="M803" s="43"/>
    </row>
    <row r="804" spans="2:13" ht="15.75" hidden="1" x14ac:dyDescent="0.25">
      <c r="B804" s="10">
        <v>46151</v>
      </c>
      <c r="C804" s="10" t="s">
        <v>18</v>
      </c>
      <c r="D804" s="10" t="s">
        <v>20</v>
      </c>
      <c r="F804" s="948"/>
      <c r="G804" s="29" t="s">
        <v>14</v>
      </c>
      <c r="H804" s="29" t="s">
        <v>106</v>
      </c>
      <c r="I804" s="42">
        <v>136</v>
      </c>
      <c r="J804" s="42">
        <v>37</v>
      </c>
      <c r="K804" s="42">
        <v>0</v>
      </c>
      <c r="L804" s="66">
        <f t="shared" si="180"/>
        <v>173</v>
      </c>
      <c r="M804" s="31"/>
    </row>
    <row r="805" spans="2:13" ht="15.75" hidden="1" x14ac:dyDescent="0.25">
      <c r="B805" s="10">
        <v>46151</v>
      </c>
      <c r="C805" s="10" t="s">
        <v>18</v>
      </c>
      <c r="D805" s="10" t="s">
        <v>20</v>
      </c>
      <c r="F805" s="948"/>
      <c r="G805" s="29" t="s">
        <v>120</v>
      </c>
      <c r="H805" s="29" t="s">
        <v>106</v>
      </c>
      <c r="I805" s="42">
        <v>0</v>
      </c>
      <c r="J805" s="42">
        <v>0</v>
      </c>
      <c r="K805" s="42">
        <v>14</v>
      </c>
      <c r="L805" s="66">
        <f t="shared" si="180"/>
        <v>14</v>
      </c>
      <c r="M805" s="31"/>
    </row>
    <row r="806" spans="2:13" ht="15.75" hidden="1" x14ac:dyDescent="0.25">
      <c r="B806" s="10">
        <v>46151</v>
      </c>
      <c r="C806" s="10" t="s">
        <v>18</v>
      </c>
      <c r="D806" s="10" t="s">
        <v>20</v>
      </c>
      <c r="F806" s="937" t="s">
        <v>40</v>
      </c>
      <c r="G806" s="937"/>
      <c r="H806" s="937"/>
      <c r="I806" s="8">
        <f>SUM(I801:I805)</f>
        <v>237</v>
      </c>
      <c r="J806" s="8">
        <f>SUM(J801:J805)</f>
        <v>86</v>
      </c>
      <c r="K806" s="8">
        <f>SUM(K801:K805)</f>
        <v>14</v>
      </c>
      <c r="L806" s="8">
        <f>SUM(L801:L805)</f>
        <v>337</v>
      </c>
      <c r="M806" s="31"/>
    </row>
    <row r="807" spans="2:13" ht="15.75" hidden="1" x14ac:dyDescent="0.25">
      <c r="B807" s="10">
        <v>46152</v>
      </c>
      <c r="C807" s="10" t="s">
        <v>106</v>
      </c>
      <c r="D807" s="10" t="s">
        <v>23</v>
      </c>
      <c r="F807" s="948">
        <v>46152</v>
      </c>
      <c r="G807" s="29" t="s">
        <v>75</v>
      </c>
      <c r="H807" s="29" t="s">
        <v>127</v>
      </c>
      <c r="I807" s="42">
        <v>22</v>
      </c>
      <c r="J807" s="42">
        <v>18</v>
      </c>
      <c r="K807" s="42">
        <v>9</v>
      </c>
      <c r="L807" s="66">
        <f t="shared" ref="L807:L811" si="181">SUM(I807:K807)</f>
        <v>49</v>
      </c>
      <c r="M807" s="43"/>
    </row>
    <row r="808" spans="2:13" ht="15.75" hidden="1" x14ac:dyDescent="0.25">
      <c r="B808" s="10">
        <v>46152</v>
      </c>
      <c r="C808" s="10" t="s">
        <v>106</v>
      </c>
      <c r="D808" s="10" t="s">
        <v>23</v>
      </c>
      <c r="F808" s="948"/>
      <c r="G808" s="29" t="s">
        <v>14</v>
      </c>
      <c r="H808" s="29" t="s">
        <v>106</v>
      </c>
      <c r="I808" s="42">
        <v>47</v>
      </c>
      <c r="J808" s="42">
        <v>17</v>
      </c>
      <c r="K808" s="42">
        <v>0</v>
      </c>
      <c r="L808" s="66">
        <f t="shared" si="181"/>
        <v>64</v>
      </c>
      <c r="M808" s="31"/>
    </row>
    <row r="809" spans="2:13" ht="15.75" hidden="1" x14ac:dyDescent="0.25">
      <c r="B809" s="10">
        <v>46152</v>
      </c>
      <c r="C809" s="10" t="s">
        <v>106</v>
      </c>
      <c r="D809" s="10" t="s">
        <v>23</v>
      </c>
      <c r="F809" s="948"/>
      <c r="G809" s="29" t="s">
        <v>84</v>
      </c>
      <c r="H809" s="29" t="s">
        <v>43</v>
      </c>
      <c r="I809" s="42">
        <v>0</v>
      </c>
      <c r="J809" s="42">
        <v>0</v>
      </c>
      <c r="K809" s="42">
        <v>33</v>
      </c>
      <c r="L809" s="66">
        <f t="shared" si="181"/>
        <v>33</v>
      </c>
      <c r="M809" s="31"/>
    </row>
    <row r="810" spans="2:13" ht="15.75" hidden="1" x14ac:dyDescent="0.25">
      <c r="B810" s="10">
        <v>46152</v>
      </c>
      <c r="C810" s="10" t="s">
        <v>106</v>
      </c>
      <c r="D810" s="10" t="s">
        <v>23</v>
      </c>
      <c r="F810" s="948"/>
      <c r="G810" s="29" t="s">
        <v>17</v>
      </c>
      <c r="H810" s="29" t="s">
        <v>105</v>
      </c>
      <c r="I810" s="42">
        <v>104</v>
      </c>
      <c r="J810" s="42">
        <v>40</v>
      </c>
      <c r="K810" s="42">
        <v>2</v>
      </c>
      <c r="L810" s="66">
        <f t="shared" si="181"/>
        <v>146</v>
      </c>
      <c r="M810" s="31"/>
    </row>
    <row r="811" spans="2:13" ht="15.75" hidden="1" x14ac:dyDescent="0.25">
      <c r="B811" s="10">
        <v>46152</v>
      </c>
      <c r="C811" s="10" t="s">
        <v>106</v>
      </c>
      <c r="D811" s="10" t="s">
        <v>23</v>
      </c>
      <c r="F811" s="948"/>
      <c r="G811" s="29" t="s">
        <v>120</v>
      </c>
      <c r="H811" s="29" t="s">
        <v>106</v>
      </c>
      <c r="I811" s="42">
        <v>24</v>
      </c>
      <c r="J811" s="42">
        <v>14</v>
      </c>
      <c r="K811" s="42">
        <v>0</v>
      </c>
      <c r="L811" s="66">
        <f t="shared" si="181"/>
        <v>38</v>
      </c>
      <c r="M811" s="31"/>
    </row>
    <row r="812" spans="2:13" ht="12" hidden="1" customHeight="1" x14ac:dyDescent="0.25">
      <c r="B812" s="10">
        <v>46152</v>
      </c>
      <c r="C812" s="10" t="s">
        <v>106</v>
      </c>
      <c r="D812" s="10" t="s">
        <v>23</v>
      </c>
      <c r="F812" s="937" t="s">
        <v>40</v>
      </c>
      <c r="G812" s="937"/>
      <c r="H812" s="937"/>
      <c r="I812" s="8">
        <f>SUM(I807:I811)</f>
        <v>197</v>
      </c>
      <c r="J812" s="8">
        <f>SUM(J807:J811)</f>
        <v>89</v>
      </c>
      <c r="K812" s="8">
        <f>SUM(K807:K811)</f>
        <v>44</v>
      </c>
      <c r="L812" s="8">
        <f>SUM(L807:L811)</f>
        <v>330</v>
      </c>
      <c r="M812" s="31"/>
    </row>
    <row r="813" spans="2:13" ht="15.75" hidden="1" x14ac:dyDescent="0.25">
      <c r="B813" s="10">
        <v>46152</v>
      </c>
      <c r="C813" s="10" t="s">
        <v>105</v>
      </c>
      <c r="D813" s="10" t="s">
        <v>20</v>
      </c>
      <c r="F813" s="942">
        <v>46152</v>
      </c>
      <c r="G813" s="29" t="s">
        <v>75</v>
      </c>
      <c r="H813" s="29" t="s">
        <v>112</v>
      </c>
      <c r="I813" s="42">
        <v>0</v>
      </c>
      <c r="J813" s="42">
        <v>19</v>
      </c>
      <c r="K813" s="42">
        <v>0</v>
      </c>
      <c r="L813" s="66">
        <f t="shared" ref="L813:L818" si="182">SUM(I813:K813)</f>
        <v>19</v>
      </c>
      <c r="M813" s="43"/>
    </row>
    <row r="814" spans="2:13" ht="15.75" hidden="1" x14ac:dyDescent="0.25">
      <c r="B814" s="10">
        <v>46152</v>
      </c>
      <c r="C814" s="10" t="s">
        <v>105</v>
      </c>
      <c r="D814" s="10" t="s">
        <v>20</v>
      </c>
      <c r="F814" s="942"/>
      <c r="G814" s="29" t="s">
        <v>17</v>
      </c>
      <c r="H814" s="29" t="s">
        <v>105</v>
      </c>
      <c r="I814" s="42">
        <v>24</v>
      </c>
      <c r="J814" s="42">
        <v>19</v>
      </c>
      <c r="K814" s="42">
        <v>0</v>
      </c>
      <c r="L814" s="66">
        <f t="shared" si="182"/>
        <v>43</v>
      </c>
      <c r="M814" s="43"/>
    </row>
    <row r="815" spans="2:13" ht="15.75" hidden="1" x14ac:dyDescent="0.25">
      <c r="B815" s="10">
        <v>46152</v>
      </c>
      <c r="C815" s="10" t="s">
        <v>105</v>
      </c>
      <c r="D815" s="10" t="s">
        <v>20</v>
      </c>
      <c r="F815" s="948">
        <v>46153</v>
      </c>
      <c r="G815" s="29" t="s">
        <v>75</v>
      </c>
      <c r="H815" s="29" t="s">
        <v>112</v>
      </c>
      <c r="I815" s="42">
        <v>142</v>
      </c>
      <c r="J815" s="42">
        <v>76</v>
      </c>
      <c r="K815" s="42">
        <v>0</v>
      </c>
      <c r="L815" s="66">
        <f t="shared" si="182"/>
        <v>218</v>
      </c>
      <c r="M815" s="43"/>
    </row>
    <row r="816" spans="2:13" ht="15.75" hidden="1" x14ac:dyDescent="0.25">
      <c r="B816" s="10">
        <v>46152</v>
      </c>
      <c r="C816" s="10" t="s">
        <v>105</v>
      </c>
      <c r="D816" s="10" t="s">
        <v>20</v>
      </c>
      <c r="F816" s="948"/>
      <c r="G816" s="29" t="s">
        <v>14</v>
      </c>
      <c r="H816" s="29" t="s">
        <v>106</v>
      </c>
      <c r="I816" s="42">
        <v>138</v>
      </c>
      <c r="J816" s="42">
        <v>38</v>
      </c>
      <c r="K816" s="42">
        <v>0</v>
      </c>
      <c r="L816" s="66">
        <f t="shared" si="182"/>
        <v>176</v>
      </c>
      <c r="M816" s="31"/>
    </row>
    <row r="817" spans="2:13" ht="15.75" hidden="1" x14ac:dyDescent="0.25">
      <c r="B817" s="10">
        <v>46152</v>
      </c>
      <c r="C817" s="10" t="s">
        <v>105</v>
      </c>
      <c r="D817" s="10" t="s">
        <v>20</v>
      </c>
      <c r="F817" s="948"/>
      <c r="G817" s="29" t="s">
        <v>84</v>
      </c>
      <c r="H817" s="29" t="s">
        <v>106</v>
      </c>
      <c r="I817" s="42">
        <v>0</v>
      </c>
      <c r="J817" s="42">
        <v>0</v>
      </c>
      <c r="K817" s="42">
        <v>48</v>
      </c>
      <c r="L817" s="66">
        <f t="shared" si="182"/>
        <v>48</v>
      </c>
      <c r="M817" s="31"/>
    </row>
    <row r="818" spans="2:13" ht="15.75" hidden="1" x14ac:dyDescent="0.25">
      <c r="B818" s="10">
        <v>46152</v>
      </c>
      <c r="C818" s="10" t="s">
        <v>105</v>
      </c>
      <c r="D818" s="10" t="s">
        <v>20</v>
      </c>
      <c r="F818" s="948"/>
      <c r="G818" s="29" t="s">
        <v>25</v>
      </c>
      <c r="H818" s="29" t="s">
        <v>105</v>
      </c>
      <c r="I818" s="42">
        <v>4</v>
      </c>
      <c r="J818" s="42">
        <v>5</v>
      </c>
      <c r="K818" s="42">
        <v>0</v>
      </c>
      <c r="L818" s="66">
        <f t="shared" si="182"/>
        <v>9</v>
      </c>
      <c r="M818" s="31"/>
    </row>
    <row r="819" spans="2:13" ht="15.75" hidden="1" x14ac:dyDescent="0.25">
      <c r="B819" s="10">
        <v>46152</v>
      </c>
      <c r="C819" s="10" t="s">
        <v>105</v>
      </c>
      <c r="D819" s="10" t="s">
        <v>20</v>
      </c>
      <c r="F819" s="937" t="s">
        <v>40</v>
      </c>
      <c r="G819" s="937"/>
      <c r="H819" s="937"/>
      <c r="I819" s="8">
        <f>SUM(I813:I818)</f>
        <v>308</v>
      </c>
      <c r="J819" s="8">
        <f>SUM(J813:J818)</f>
        <v>157</v>
      </c>
      <c r="K819" s="8">
        <f>SUM(K813:K818)</f>
        <v>48</v>
      </c>
      <c r="L819" s="8">
        <f>SUM(L813:L818)</f>
        <v>513</v>
      </c>
      <c r="M819" s="31"/>
    </row>
    <row r="820" spans="2:13" ht="15.75" hidden="1" x14ac:dyDescent="0.25">
      <c r="B820" s="10">
        <v>46153</v>
      </c>
      <c r="C820" s="10" t="s">
        <v>106</v>
      </c>
      <c r="D820" s="10" t="s">
        <v>13</v>
      </c>
      <c r="F820" s="942">
        <v>46153</v>
      </c>
      <c r="G820" s="29" t="s">
        <v>75</v>
      </c>
      <c r="H820" s="29" t="s">
        <v>112</v>
      </c>
      <c r="I820" s="42">
        <v>26</v>
      </c>
      <c r="J820" s="42">
        <v>19</v>
      </c>
      <c r="K820" s="42">
        <v>0</v>
      </c>
      <c r="L820" s="66">
        <f t="shared" ref="L820:L825" si="183">SUM(I820:K820)</f>
        <v>45</v>
      </c>
      <c r="M820" s="43"/>
    </row>
    <row r="821" spans="2:13" ht="15.75" hidden="1" x14ac:dyDescent="0.25">
      <c r="B821" s="10">
        <v>46153</v>
      </c>
      <c r="C821" s="10" t="s">
        <v>106</v>
      </c>
      <c r="D821" s="10" t="s">
        <v>13</v>
      </c>
      <c r="F821" s="942"/>
      <c r="G821" s="29" t="s">
        <v>14</v>
      </c>
      <c r="H821" s="29" t="s">
        <v>106</v>
      </c>
      <c r="I821" s="42">
        <v>22</v>
      </c>
      <c r="J821" s="42">
        <v>3</v>
      </c>
      <c r="K821" s="42">
        <v>0</v>
      </c>
      <c r="L821" s="66">
        <f t="shared" si="183"/>
        <v>25</v>
      </c>
      <c r="M821" s="31"/>
    </row>
    <row r="822" spans="2:13" ht="15.75" hidden="1" x14ac:dyDescent="0.25">
      <c r="B822" s="10">
        <v>46153</v>
      </c>
      <c r="C822" s="10" t="s">
        <v>106</v>
      </c>
      <c r="D822" s="10" t="s">
        <v>13</v>
      </c>
      <c r="F822" s="942"/>
      <c r="G822" s="29" t="s">
        <v>84</v>
      </c>
      <c r="H822" s="29" t="s">
        <v>106</v>
      </c>
      <c r="I822" s="42">
        <v>128</v>
      </c>
      <c r="J822" s="42">
        <v>45</v>
      </c>
      <c r="K822" s="42">
        <v>0</v>
      </c>
      <c r="L822" s="66">
        <f t="shared" si="183"/>
        <v>173</v>
      </c>
      <c r="M822" s="31"/>
    </row>
    <row r="823" spans="2:13" ht="15.75" hidden="1" x14ac:dyDescent="0.25">
      <c r="B823" s="10">
        <v>46153</v>
      </c>
      <c r="C823" s="10" t="s">
        <v>106</v>
      </c>
      <c r="D823" s="10" t="s">
        <v>13</v>
      </c>
      <c r="F823" s="942"/>
      <c r="G823" s="29" t="s">
        <v>17</v>
      </c>
      <c r="H823" s="29" t="s">
        <v>106</v>
      </c>
      <c r="I823" s="42">
        <v>16</v>
      </c>
      <c r="J823" s="42">
        <v>1</v>
      </c>
      <c r="K823" s="42">
        <v>0</v>
      </c>
      <c r="L823" s="66">
        <f t="shared" ref="L823:L824" si="184">SUM(I823:K823)</f>
        <v>17</v>
      </c>
      <c r="M823" s="31"/>
    </row>
    <row r="824" spans="2:13" ht="15.75" hidden="1" x14ac:dyDescent="0.25">
      <c r="B824" s="10">
        <v>46153</v>
      </c>
      <c r="C824" s="10" t="s">
        <v>106</v>
      </c>
      <c r="D824" s="10" t="s">
        <v>13</v>
      </c>
      <c r="F824" s="942"/>
      <c r="G824" s="29" t="s">
        <v>120</v>
      </c>
      <c r="H824" s="29" t="s">
        <v>43</v>
      </c>
      <c r="I824" s="42">
        <v>11</v>
      </c>
      <c r="J824" s="42"/>
      <c r="K824" s="42"/>
      <c r="L824" s="66">
        <f t="shared" si="184"/>
        <v>11</v>
      </c>
      <c r="M824" s="31"/>
    </row>
    <row r="825" spans="2:13" ht="15.75" hidden="1" x14ac:dyDescent="0.25">
      <c r="B825" s="10">
        <v>46153</v>
      </c>
      <c r="C825" s="10" t="s">
        <v>106</v>
      </c>
      <c r="D825" s="10" t="s">
        <v>13</v>
      </c>
      <c r="F825" s="942"/>
      <c r="G825" s="29" t="s">
        <v>25</v>
      </c>
      <c r="H825" s="29" t="s">
        <v>105</v>
      </c>
      <c r="I825" s="42">
        <v>85</v>
      </c>
      <c r="J825" s="42">
        <v>39</v>
      </c>
      <c r="K825" s="42">
        <v>0</v>
      </c>
      <c r="L825" s="66">
        <f t="shared" si="183"/>
        <v>124</v>
      </c>
      <c r="M825" s="31"/>
    </row>
    <row r="826" spans="2:13" ht="15.75" hidden="1" x14ac:dyDescent="0.25">
      <c r="B826" s="10">
        <v>46153</v>
      </c>
      <c r="C826" s="10" t="s">
        <v>106</v>
      </c>
      <c r="D826" s="10" t="s">
        <v>13</v>
      </c>
      <c r="F826" s="937" t="s">
        <v>40</v>
      </c>
      <c r="G826" s="937"/>
      <c r="H826" s="937"/>
      <c r="I826" s="8">
        <f>SUM(I820:I825)</f>
        <v>288</v>
      </c>
      <c r="J826" s="8">
        <f t="shared" ref="J826:K826" si="185">SUM(J820:J825)</f>
        <v>107</v>
      </c>
      <c r="K826" s="8">
        <f t="shared" si="185"/>
        <v>0</v>
      </c>
      <c r="L826" s="8">
        <f>SUM(L820:L825)</f>
        <v>395</v>
      </c>
      <c r="M826" s="31"/>
    </row>
    <row r="827" spans="2:13" ht="15.75" hidden="1" x14ac:dyDescent="0.25">
      <c r="B827" s="10">
        <v>46153</v>
      </c>
      <c r="C827" s="10" t="s">
        <v>105</v>
      </c>
      <c r="D827" s="10" t="s">
        <v>129</v>
      </c>
      <c r="F827" s="942">
        <v>46153</v>
      </c>
      <c r="G827" s="29" t="s">
        <v>75</v>
      </c>
      <c r="H827" s="29" t="s">
        <v>112</v>
      </c>
      <c r="I827" s="42">
        <v>15</v>
      </c>
      <c r="J827" s="42">
        <v>4</v>
      </c>
      <c r="K827" s="42">
        <v>0</v>
      </c>
      <c r="L827" s="66">
        <f t="shared" ref="L827:L834" si="186">SUM(I827:K827)</f>
        <v>19</v>
      </c>
      <c r="M827" s="43"/>
    </row>
    <row r="828" spans="2:13" ht="15.75" hidden="1" x14ac:dyDescent="0.25">
      <c r="B828" s="10">
        <v>46153</v>
      </c>
      <c r="C828" s="10" t="s">
        <v>105</v>
      </c>
      <c r="D828" s="10" t="s">
        <v>129</v>
      </c>
      <c r="F828" s="942"/>
      <c r="G828" s="29" t="s">
        <v>25</v>
      </c>
      <c r="H828" s="29" t="s">
        <v>105</v>
      </c>
      <c r="I828" s="42">
        <v>84</v>
      </c>
      <c r="J828" s="42">
        <v>20</v>
      </c>
      <c r="K828" s="42">
        <v>0</v>
      </c>
      <c r="L828" s="66">
        <f t="shared" si="186"/>
        <v>104</v>
      </c>
      <c r="M828" s="43"/>
    </row>
    <row r="829" spans="2:13" ht="15.75" hidden="1" x14ac:dyDescent="0.25">
      <c r="B829" s="10">
        <v>46153</v>
      </c>
      <c r="C829" s="10" t="s">
        <v>105</v>
      </c>
      <c r="D829" s="10" t="s">
        <v>129</v>
      </c>
      <c r="F829" s="948">
        <v>46154</v>
      </c>
      <c r="G829" s="29" t="s">
        <v>75</v>
      </c>
      <c r="H829" s="29" t="s">
        <v>112</v>
      </c>
      <c r="I829" s="42">
        <v>161</v>
      </c>
      <c r="J829" s="42">
        <v>50</v>
      </c>
      <c r="K829" s="42">
        <v>0</v>
      </c>
      <c r="L829" s="66">
        <f t="shared" si="186"/>
        <v>211</v>
      </c>
      <c r="M829" s="43"/>
    </row>
    <row r="830" spans="2:13" ht="15.75" hidden="1" x14ac:dyDescent="0.25">
      <c r="B830" s="10">
        <v>46153</v>
      </c>
      <c r="C830" s="10" t="s">
        <v>105</v>
      </c>
      <c r="D830" s="10" t="s">
        <v>129</v>
      </c>
      <c r="F830" s="948"/>
      <c r="G830" s="29" t="s">
        <v>14</v>
      </c>
      <c r="H830" s="29" t="s">
        <v>106</v>
      </c>
      <c r="I830" s="42">
        <v>130</v>
      </c>
      <c r="J830" s="42">
        <v>38</v>
      </c>
      <c r="K830" s="42">
        <v>0</v>
      </c>
      <c r="L830" s="66">
        <f t="shared" si="186"/>
        <v>168</v>
      </c>
      <c r="M830" s="31"/>
    </row>
    <row r="831" spans="2:13" ht="15.75" hidden="1" x14ac:dyDescent="0.25">
      <c r="B831" s="10">
        <v>46153</v>
      </c>
      <c r="C831" s="10" t="s">
        <v>105</v>
      </c>
      <c r="D831" s="10" t="s">
        <v>129</v>
      </c>
      <c r="F831" s="948"/>
      <c r="G831" s="29" t="s">
        <v>120</v>
      </c>
      <c r="H831" s="29" t="s">
        <v>106</v>
      </c>
      <c r="I831" s="42">
        <v>13</v>
      </c>
      <c r="J831" s="42">
        <v>2</v>
      </c>
      <c r="K831" s="42">
        <v>0</v>
      </c>
      <c r="L831" s="66">
        <f t="shared" si="186"/>
        <v>15</v>
      </c>
      <c r="M831" s="31"/>
    </row>
    <row r="832" spans="2:13" ht="15.75" hidden="1" x14ac:dyDescent="0.25">
      <c r="B832" s="10">
        <v>46153</v>
      </c>
      <c r="C832" s="10" t="s">
        <v>105</v>
      </c>
      <c r="D832" s="10" t="s">
        <v>129</v>
      </c>
      <c r="F832" s="948"/>
      <c r="G832" s="29" t="s">
        <v>118</v>
      </c>
      <c r="H832" s="29" t="s">
        <v>106</v>
      </c>
      <c r="I832" s="42">
        <v>40</v>
      </c>
      <c r="J832" s="42">
        <v>1</v>
      </c>
      <c r="K832" s="42">
        <v>0</v>
      </c>
      <c r="L832" s="66">
        <f t="shared" si="186"/>
        <v>41</v>
      </c>
      <c r="M832" s="31"/>
    </row>
    <row r="833" spans="2:13" ht="15.75" hidden="1" x14ac:dyDescent="0.25">
      <c r="B833" s="10">
        <v>46153</v>
      </c>
      <c r="C833" s="10" t="s">
        <v>105</v>
      </c>
      <c r="D833" s="10" t="s">
        <v>129</v>
      </c>
      <c r="F833" s="948"/>
      <c r="G833" s="29" t="s">
        <v>130</v>
      </c>
      <c r="H833" s="29" t="s">
        <v>106</v>
      </c>
      <c r="I833" s="42">
        <v>0</v>
      </c>
      <c r="J833" s="42">
        <v>0</v>
      </c>
      <c r="K833" s="42">
        <v>15</v>
      </c>
      <c r="L833" s="66">
        <f t="shared" si="186"/>
        <v>15</v>
      </c>
      <c r="M833" s="31"/>
    </row>
    <row r="834" spans="2:13" ht="15.75" hidden="1" x14ac:dyDescent="0.25">
      <c r="B834" s="10">
        <v>46153</v>
      </c>
      <c r="C834" s="10" t="s">
        <v>105</v>
      </c>
      <c r="D834" s="10" t="s">
        <v>129</v>
      </c>
      <c r="F834" s="948"/>
      <c r="G834" s="29" t="s">
        <v>17</v>
      </c>
      <c r="H834" s="29" t="s">
        <v>105</v>
      </c>
      <c r="I834" s="42">
        <v>1</v>
      </c>
      <c r="J834" s="42">
        <v>3</v>
      </c>
      <c r="K834" s="42">
        <v>3</v>
      </c>
      <c r="L834" s="66">
        <f t="shared" si="186"/>
        <v>7</v>
      </c>
      <c r="M834" s="31"/>
    </row>
    <row r="835" spans="2:13" ht="15.75" hidden="1" x14ac:dyDescent="0.25">
      <c r="B835" s="10">
        <v>46153</v>
      </c>
      <c r="C835" s="10" t="s">
        <v>105</v>
      </c>
      <c r="D835" s="10" t="s">
        <v>129</v>
      </c>
      <c r="F835" s="937" t="s">
        <v>40</v>
      </c>
      <c r="G835" s="937"/>
      <c r="H835" s="937"/>
      <c r="I835" s="8">
        <f>SUM(I827:I834)</f>
        <v>444</v>
      </c>
      <c r="J835" s="8">
        <f>SUM(J827:J834)</f>
        <v>118</v>
      </c>
      <c r="K835" s="8">
        <f>SUM(K827:K834)</f>
        <v>18</v>
      </c>
      <c r="L835" s="8">
        <f>SUM(L827:L834)</f>
        <v>580</v>
      </c>
      <c r="M835" s="31"/>
    </row>
    <row r="836" spans="2:13" ht="15.75" hidden="1" x14ac:dyDescent="0.25">
      <c r="B836" s="10">
        <v>46154</v>
      </c>
      <c r="C836" s="10" t="s">
        <v>106</v>
      </c>
      <c r="D836" s="10" t="s">
        <v>131</v>
      </c>
      <c r="F836" s="948">
        <v>46154</v>
      </c>
      <c r="G836" s="29" t="s">
        <v>75</v>
      </c>
      <c r="H836" s="29" t="s">
        <v>112</v>
      </c>
      <c r="I836" s="42">
        <v>19</v>
      </c>
      <c r="J836" s="42">
        <v>31</v>
      </c>
      <c r="K836" s="42">
        <v>0</v>
      </c>
      <c r="L836" s="66">
        <f t="shared" ref="L836:L842" si="187">SUM(I836:K836)</f>
        <v>50</v>
      </c>
      <c r="M836" s="43"/>
    </row>
    <row r="837" spans="2:13" ht="15.75" hidden="1" x14ac:dyDescent="0.25">
      <c r="B837" s="10">
        <v>46154</v>
      </c>
      <c r="C837" s="10" t="s">
        <v>106</v>
      </c>
      <c r="D837" s="10" t="s">
        <v>131</v>
      </c>
      <c r="F837" s="948"/>
      <c r="G837" s="29" t="s">
        <v>14</v>
      </c>
      <c r="H837" s="29" t="s">
        <v>106</v>
      </c>
      <c r="I837" s="42">
        <v>44</v>
      </c>
      <c r="J837" s="42">
        <v>7</v>
      </c>
      <c r="K837" s="42">
        <v>0</v>
      </c>
      <c r="L837" s="66">
        <f t="shared" si="187"/>
        <v>51</v>
      </c>
      <c r="M837" s="31"/>
    </row>
    <row r="838" spans="2:13" ht="15.75" hidden="1" x14ac:dyDescent="0.25">
      <c r="B838" s="10">
        <v>46154</v>
      </c>
      <c r="C838" s="10" t="s">
        <v>106</v>
      </c>
      <c r="D838" s="10" t="s">
        <v>131</v>
      </c>
      <c r="F838" s="948"/>
      <c r="G838" s="29" t="s">
        <v>120</v>
      </c>
      <c r="H838" s="29" t="s">
        <v>106</v>
      </c>
      <c r="I838" s="42">
        <v>14</v>
      </c>
      <c r="J838" s="42">
        <v>0</v>
      </c>
      <c r="K838" s="42">
        <v>0</v>
      </c>
      <c r="L838" s="66">
        <f t="shared" si="187"/>
        <v>14</v>
      </c>
      <c r="M838" s="31"/>
    </row>
    <row r="839" spans="2:13" ht="15.75" hidden="1" x14ac:dyDescent="0.25">
      <c r="B839" s="10">
        <v>46154</v>
      </c>
      <c r="C839" s="10" t="s">
        <v>106</v>
      </c>
      <c r="D839" s="10" t="s">
        <v>131</v>
      </c>
      <c r="F839" s="948"/>
      <c r="G839" s="29" t="s">
        <v>130</v>
      </c>
      <c r="H839" s="29" t="s">
        <v>106</v>
      </c>
      <c r="I839" s="42">
        <v>56</v>
      </c>
      <c r="J839" s="42">
        <v>0</v>
      </c>
      <c r="K839" s="42">
        <v>0</v>
      </c>
      <c r="L839" s="66">
        <f t="shared" si="187"/>
        <v>56</v>
      </c>
      <c r="M839" s="31"/>
    </row>
    <row r="840" spans="2:13" ht="15.75" hidden="1" x14ac:dyDescent="0.25">
      <c r="B840" s="10">
        <v>46154</v>
      </c>
      <c r="C840" s="10" t="s">
        <v>106</v>
      </c>
      <c r="D840" s="10" t="s">
        <v>131</v>
      </c>
      <c r="F840" s="948"/>
      <c r="G840" s="29" t="s">
        <v>84</v>
      </c>
      <c r="H840" s="29" t="s">
        <v>106</v>
      </c>
      <c r="I840" s="42">
        <v>69</v>
      </c>
      <c r="J840" s="42">
        <v>23</v>
      </c>
      <c r="K840" s="42">
        <v>0</v>
      </c>
      <c r="L840" s="66">
        <f t="shared" si="187"/>
        <v>92</v>
      </c>
      <c r="M840" s="31"/>
    </row>
    <row r="841" spans="2:13" ht="15.75" hidden="1" x14ac:dyDescent="0.25">
      <c r="B841" s="10">
        <v>46154</v>
      </c>
      <c r="C841" s="10" t="s">
        <v>106</v>
      </c>
      <c r="D841" s="10" t="s">
        <v>131</v>
      </c>
      <c r="F841" s="948"/>
      <c r="G841" s="29" t="s">
        <v>25</v>
      </c>
      <c r="H841" s="29" t="s">
        <v>106</v>
      </c>
      <c r="I841" s="42">
        <v>12</v>
      </c>
      <c r="J841" s="42">
        <v>0</v>
      </c>
      <c r="K841" s="42">
        <v>0</v>
      </c>
      <c r="L841" s="66">
        <f t="shared" si="187"/>
        <v>12</v>
      </c>
      <c r="M841" s="31"/>
    </row>
    <row r="842" spans="2:13" ht="15.75" hidden="1" x14ac:dyDescent="0.25">
      <c r="B842" s="10">
        <v>46154</v>
      </c>
      <c r="C842" s="10" t="s">
        <v>106</v>
      </c>
      <c r="D842" s="10" t="s">
        <v>131</v>
      </c>
      <c r="F842" s="948"/>
      <c r="G842" s="29" t="s">
        <v>17</v>
      </c>
      <c r="H842" s="29" t="s">
        <v>105</v>
      </c>
      <c r="I842" s="42">
        <v>87</v>
      </c>
      <c r="J842" s="42">
        <v>53</v>
      </c>
      <c r="K842" s="42">
        <v>0</v>
      </c>
      <c r="L842" s="66">
        <f t="shared" si="187"/>
        <v>140</v>
      </c>
      <c r="M842" s="31"/>
    </row>
    <row r="843" spans="2:13" ht="15.75" hidden="1" x14ac:dyDescent="0.25">
      <c r="B843" s="10">
        <v>46154</v>
      </c>
      <c r="C843" s="10" t="s">
        <v>106</v>
      </c>
      <c r="D843" s="10" t="s">
        <v>131</v>
      </c>
      <c r="F843" s="937" t="s">
        <v>40</v>
      </c>
      <c r="G843" s="937"/>
      <c r="H843" s="937"/>
      <c r="I843" s="8">
        <v>301</v>
      </c>
      <c r="J843" s="8">
        <v>114</v>
      </c>
      <c r="K843" s="8">
        <v>0</v>
      </c>
      <c r="L843" s="8">
        <v>415</v>
      </c>
      <c r="M843" s="31"/>
    </row>
    <row r="844" spans="2:13" ht="15.75" hidden="1" x14ac:dyDescent="0.25">
      <c r="B844" s="10">
        <v>46154</v>
      </c>
      <c r="C844" s="10" t="s">
        <v>105</v>
      </c>
      <c r="D844" s="10" t="s">
        <v>129</v>
      </c>
      <c r="F844" s="942">
        <v>46154</v>
      </c>
      <c r="G844" s="29" t="s">
        <v>75</v>
      </c>
      <c r="H844" s="29" t="s">
        <v>112</v>
      </c>
      <c r="I844" s="42">
        <v>25</v>
      </c>
      <c r="J844" s="42">
        <v>17</v>
      </c>
      <c r="K844" s="42">
        <v>0</v>
      </c>
      <c r="L844" s="66">
        <f>SUM(I844:K844)</f>
        <v>42</v>
      </c>
      <c r="M844" s="43"/>
    </row>
    <row r="845" spans="2:13" ht="15.75" hidden="1" x14ac:dyDescent="0.25">
      <c r="B845" s="10">
        <v>46154</v>
      </c>
      <c r="C845" s="10" t="s">
        <v>105</v>
      </c>
      <c r="D845" s="10" t="s">
        <v>129</v>
      </c>
      <c r="F845" s="942"/>
      <c r="G845" s="29" t="s">
        <v>17</v>
      </c>
      <c r="H845" s="29" t="s">
        <v>105</v>
      </c>
      <c r="I845" s="42">
        <v>40</v>
      </c>
      <c r="J845" s="42">
        <v>13</v>
      </c>
      <c r="K845" s="42">
        <v>0</v>
      </c>
      <c r="L845" s="66">
        <f>SUM(I845:K845)</f>
        <v>53</v>
      </c>
      <c r="M845" s="43"/>
    </row>
    <row r="846" spans="2:13" ht="15.75" hidden="1" x14ac:dyDescent="0.25">
      <c r="B846" s="10">
        <v>46154</v>
      </c>
      <c r="C846" s="10" t="s">
        <v>105</v>
      </c>
      <c r="D846" s="10" t="s">
        <v>129</v>
      </c>
      <c r="F846" s="948">
        <v>46155</v>
      </c>
      <c r="G846" s="29" t="s">
        <v>75</v>
      </c>
      <c r="H846" s="29" t="s">
        <v>112</v>
      </c>
      <c r="I846" s="42">
        <v>120</v>
      </c>
      <c r="J846" s="42">
        <v>64</v>
      </c>
      <c r="K846" s="42">
        <v>0</v>
      </c>
      <c r="L846" s="66">
        <f t="shared" ref="L846:L849" si="188">SUM(I846:K846)</f>
        <v>184</v>
      </c>
      <c r="M846" s="43"/>
    </row>
    <row r="847" spans="2:13" ht="15.75" hidden="1" x14ac:dyDescent="0.25">
      <c r="B847" s="10">
        <v>46154</v>
      </c>
      <c r="C847" s="10" t="s">
        <v>105</v>
      </c>
      <c r="D847" s="10" t="s">
        <v>129</v>
      </c>
      <c r="F847" s="948"/>
      <c r="G847" s="29" t="s">
        <v>14</v>
      </c>
      <c r="H847" s="29" t="s">
        <v>106</v>
      </c>
      <c r="I847" s="42">
        <v>149</v>
      </c>
      <c r="J847" s="42">
        <v>34</v>
      </c>
      <c r="K847" s="42">
        <v>9</v>
      </c>
      <c r="L847" s="66">
        <f t="shared" si="188"/>
        <v>192</v>
      </c>
      <c r="M847" s="31"/>
    </row>
    <row r="848" spans="2:13" ht="15.75" hidden="1" x14ac:dyDescent="0.25">
      <c r="B848" s="10">
        <v>46154</v>
      </c>
      <c r="C848" s="10" t="s">
        <v>105</v>
      </c>
      <c r="D848" s="10" t="s">
        <v>129</v>
      </c>
      <c r="F848" s="948"/>
      <c r="G848" s="29" t="s">
        <v>120</v>
      </c>
      <c r="H848" s="29" t="s">
        <v>106</v>
      </c>
      <c r="I848" s="42">
        <v>11</v>
      </c>
      <c r="J848" s="42">
        <v>1</v>
      </c>
      <c r="K848" s="42">
        <v>0</v>
      </c>
      <c r="L848" s="66">
        <f t="shared" si="188"/>
        <v>12</v>
      </c>
      <c r="M848" s="31"/>
    </row>
    <row r="849" spans="2:13" ht="15.75" hidden="1" x14ac:dyDescent="0.25">
      <c r="B849" s="10">
        <v>46154</v>
      </c>
      <c r="C849" s="10" t="s">
        <v>105</v>
      </c>
      <c r="D849" s="10" t="s">
        <v>129</v>
      </c>
      <c r="F849" s="948"/>
      <c r="G849" s="29" t="s">
        <v>17</v>
      </c>
      <c r="H849" s="29" t="s">
        <v>105</v>
      </c>
      <c r="I849" s="42">
        <v>0</v>
      </c>
      <c r="J849" s="42">
        <v>0</v>
      </c>
      <c r="K849" s="42">
        <v>35</v>
      </c>
      <c r="L849" s="66">
        <f t="shared" si="188"/>
        <v>35</v>
      </c>
      <c r="M849" s="31"/>
    </row>
    <row r="850" spans="2:13" ht="15.75" hidden="1" x14ac:dyDescent="0.25">
      <c r="B850" s="10">
        <v>46154</v>
      </c>
      <c r="C850" s="10" t="s">
        <v>105</v>
      </c>
      <c r="D850" s="10" t="s">
        <v>129</v>
      </c>
      <c r="F850" s="937" t="s">
        <v>40</v>
      </c>
      <c r="G850" s="937"/>
      <c r="H850" s="937"/>
      <c r="I850" s="8">
        <f>SUM(I844:I849)</f>
        <v>345</v>
      </c>
      <c r="J850" s="8">
        <f t="shared" ref="J850:L850" si="189">SUM(J844:J849)</f>
        <v>129</v>
      </c>
      <c r="K850" s="8">
        <f t="shared" si="189"/>
        <v>44</v>
      </c>
      <c r="L850" s="8">
        <f t="shared" si="189"/>
        <v>518</v>
      </c>
      <c r="M850" s="31"/>
    </row>
    <row r="851" spans="2:13" ht="15.75" hidden="1" x14ac:dyDescent="0.25">
      <c r="B851" s="10">
        <v>46155</v>
      </c>
      <c r="C851" s="10" t="s">
        <v>106</v>
      </c>
      <c r="D851" s="10" t="s">
        <v>131</v>
      </c>
      <c r="F851" s="939">
        <v>46155</v>
      </c>
      <c r="G851" s="29" t="s">
        <v>75</v>
      </c>
      <c r="H851" s="29" t="s">
        <v>112</v>
      </c>
      <c r="I851" s="42">
        <v>11</v>
      </c>
      <c r="J851" s="42">
        <v>21</v>
      </c>
      <c r="K851" s="42">
        <v>0</v>
      </c>
      <c r="L851" s="66">
        <f>SUM(I851:K851)</f>
        <v>32</v>
      </c>
      <c r="M851" s="43"/>
    </row>
    <row r="852" spans="2:13" ht="15.75" hidden="1" x14ac:dyDescent="0.25">
      <c r="B852" s="10">
        <v>46155</v>
      </c>
      <c r="C852" s="10" t="s">
        <v>106</v>
      </c>
      <c r="D852" s="10" t="s">
        <v>131</v>
      </c>
      <c r="F852" s="940"/>
      <c r="G852" s="29" t="s">
        <v>25</v>
      </c>
      <c r="H852" s="29" t="s">
        <v>106</v>
      </c>
      <c r="I852" s="42">
        <v>3</v>
      </c>
      <c r="J852" s="42">
        <v>0</v>
      </c>
      <c r="K852" s="42">
        <v>0</v>
      </c>
      <c r="L852" s="66">
        <f t="shared" ref="L852:L854" si="190">SUM(I852:K852)</f>
        <v>3</v>
      </c>
      <c r="M852" s="43"/>
    </row>
    <row r="853" spans="2:13" ht="15.75" hidden="1" x14ac:dyDescent="0.25">
      <c r="B853" s="10">
        <v>46155</v>
      </c>
      <c r="C853" s="10" t="s">
        <v>106</v>
      </c>
      <c r="D853" s="10" t="s">
        <v>131</v>
      </c>
      <c r="F853" s="940"/>
      <c r="G853" s="29" t="s">
        <v>14</v>
      </c>
      <c r="H853" s="29" t="s">
        <v>106</v>
      </c>
      <c r="I853" s="42">
        <v>26</v>
      </c>
      <c r="J853" s="42">
        <v>11</v>
      </c>
      <c r="K853" s="42">
        <v>0</v>
      </c>
      <c r="L853" s="66">
        <f t="shared" si="190"/>
        <v>37</v>
      </c>
      <c r="M853" s="43"/>
    </row>
    <row r="854" spans="2:13" ht="15.75" hidden="1" x14ac:dyDescent="0.25">
      <c r="B854" s="10">
        <v>46155</v>
      </c>
      <c r="C854" s="10" t="s">
        <v>106</v>
      </c>
      <c r="D854" s="10" t="s">
        <v>131</v>
      </c>
      <c r="F854" s="941"/>
      <c r="G854" s="29" t="s">
        <v>84</v>
      </c>
      <c r="H854" s="29" t="s">
        <v>106</v>
      </c>
      <c r="I854" s="42">
        <v>36</v>
      </c>
      <c r="J854" s="42">
        <v>11</v>
      </c>
      <c r="K854" s="42">
        <v>0</v>
      </c>
      <c r="L854" s="66">
        <f t="shared" si="190"/>
        <v>47</v>
      </c>
      <c r="M854" s="43"/>
    </row>
    <row r="855" spans="2:13" ht="15.75" hidden="1" x14ac:dyDescent="0.25">
      <c r="B855" s="10">
        <v>46155</v>
      </c>
      <c r="C855" s="10" t="s">
        <v>106</v>
      </c>
      <c r="D855" s="10" t="s">
        <v>131</v>
      </c>
      <c r="F855" s="948">
        <v>46156</v>
      </c>
      <c r="G855" s="29" t="s">
        <v>17</v>
      </c>
      <c r="H855" s="29" t="s">
        <v>106</v>
      </c>
      <c r="I855" s="42">
        <v>102</v>
      </c>
      <c r="J855" s="42">
        <v>31</v>
      </c>
      <c r="K855" s="42">
        <v>0</v>
      </c>
      <c r="L855" s="66">
        <f>SUM(I855:K855)</f>
        <v>133</v>
      </c>
      <c r="M855" s="43"/>
    </row>
    <row r="856" spans="2:13" ht="15.75" hidden="1" x14ac:dyDescent="0.25">
      <c r="B856" s="10">
        <v>46155</v>
      </c>
      <c r="C856" s="10" t="s">
        <v>106</v>
      </c>
      <c r="D856" s="10" t="s">
        <v>131</v>
      </c>
      <c r="F856" s="948"/>
      <c r="G856" s="29" t="s">
        <v>75</v>
      </c>
      <c r="H856" s="29" t="s">
        <v>112</v>
      </c>
      <c r="I856" s="42">
        <v>82</v>
      </c>
      <c r="J856" s="42">
        <v>46</v>
      </c>
      <c r="K856" s="42">
        <v>0</v>
      </c>
      <c r="L856" s="66">
        <f t="shared" ref="L856" si="191">SUM(I856:K856)</f>
        <v>128</v>
      </c>
      <c r="M856" s="43"/>
    </row>
    <row r="857" spans="2:13" ht="15.75" hidden="1" x14ac:dyDescent="0.25">
      <c r="B857" s="10">
        <v>46155</v>
      </c>
      <c r="C857" s="10" t="s">
        <v>106</v>
      </c>
      <c r="D857" s="10" t="s">
        <v>131</v>
      </c>
      <c r="F857" s="937" t="s">
        <v>40</v>
      </c>
      <c r="G857" s="937"/>
      <c r="H857" s="937"/>
      <c r="I857" s="8">
        <f>SUM(I851:I856)</f>
        <v>260</v>
      </c>
      <c r="J857" s="8">
        <f t="shared" ref="J857:L857" si="192">SUM(J851:J856)</f>
        <v>120</v>
      </c>
      <c r="K857" s="8">
        <f t="shared" si="192"/>
        <v>0</v>
      </c>
      <c r="L857" s="8">
        <f t="shared" si="192"/>
        <v>380</v>
      </c>
      <c r="M857" s="43"/>
    </row>
    <row r="858" spans="2:13" ht="15.75" hidden="1" x14ac:dyDescent="0.25">
      <c r="B858" s="10">
        <v>46156</v>
      </c>
      <c r="C858" s="10" t="s">
        <v>106</v>
      </c>
      <c r="D858" s="10" t="s">
        <v>129</v>
      </c>
      <c r="F858" s="939">
        <v>46156</v>
      </c>
      <c r="G858" s="29" t="s">
        <v>75</v>
      </c>
      <c r="H858" s="29" t="s">
        <v>112</v>
      </c>
      <c r="I858" s="42">
        <v>47</v>
      </c>
      <c r="J858" s="42">
        <v>36</v>
      </c>
      <c r="K858" s="42">
        <v>0</v>
      </c>
      <c r="L858" s="66">
        <f>SUM(I858:K858)</f>
        <v>83</v>
      </c>
      <c r="M858" s="43"/>
    </row>
    <row r="859" spans="2:13" ht="15.75" hidden="1" x14ac:dyDescent="0.25">
      <c r="B859" s="10">
        <v>46156</v>
      </c>
      <c r="C859" s="10" t="s">
        <v>106</v>
      </c>
      <c r="D859" s="10" t="s">
        <v>129</v>
      </c>
      <c r="F859" s="940"/>
      <c r="G859" s="29" t="s">
        <v>17</v>
      </c>
      <c r="H859" s="29" t="s">
        <v>106</v>
      </c>
      <c r="I859" s="42">
        <v>28</v>
      </c>
      <c r="J859" s="42">
        <v>20</v>
      </c>
      <c r="K859" s="42">
        <v>0</v>
      </c>
      <c r="L859" s="66">
        <f>SUM(I859:K859)</f>
        <v>48</v>
      </c>
      <c r="M859" s="43"/>
    </row>
    <row r="860" spans="2:13" ht="15.75" hidden="1" x14ac:dyDescent="0.25">
      <c r="B860" s="10">
        <v>46156</v>
      </c>
      <c r="C860" s="10" t="s">
        <v>106</v>
      </c>
      <c r="D860" s="10" t="s">
        <v>129</v>
      </c>
      <c r="F860" s="940"/>
      <c r="G860" s="29" t="s">
        <v>84</v>
      </c>
      <c r="H860" s="29" t="s">
        <v>106</v>
      </c>
      <c r="I860" s="42">
        <v>55</v>
      </c>
      <c r="J860" s="42">
        <v>10</v>
      </c>
      <c r="K860" s="42">
        <v>0</v>
      </c>
      <c r="L860" s="66">
        <f>SUM(I860:K860)</f>
        <v>65</v>
      </c>
      <c r="M860" s="43"/>
    </row>
    <row r="861" spans="2:13" ht="15.75" hidden="1" x14ac:dyDescent="0.25">
      <c r="B861" s="10">
        <v>46156</v>
      </c>
      <c r="C861" s="10" t="s">
        <v>106</v>
      </c>
      <c r="D861" s="10" t="s">
        <v>129</v>
      </c>
      <c r="F861" s="941"/>
      <c r="G861" s="29" t="s">
        <v>14</v>
      </c>
      <c r="H861" s="29" t="s">
        <v>105</v>
      </c>
      <c r="I861" s="42">
        <v>132</v>
      </c>
      <c r="J861" s="42">
        <v>35</v>
      </c>
      <c r="K861" s="42">
        <v>0</v>
      </c>
      <c r="L861" s="66">
        <f t="shared" ref="L861:L863" si="193">SUM(I861:K861)</f>
        <v>167</v>
      </c>
      <c r="M861" s="43"/>
    </row>
    <row r="862" spans="2:13" ht="15.75" hidden="1" x14ac:dyDescent="0.25">
      <c r="B862" s="10">
        <v>46156</v>
      </c>
      <c r="C862" s="10" t="s">
        <v>106</v>
      </c>
      <c r="D862" s="10" t="s">
        <v>129</v>
      </c>
      <c r="F862" s="943">
        <v>46157</v>
      </c>
      <c r="G862" s="29" t="s">
        <v>75</v>
      </c>
      <c r="H862" s="29" t="s">
        <v>112</v>
      </c>
      <c r="I862" s="42">
        <v>5</v>
      </c>
      <c r="J862" s="42">
        <v>1</v>
      </c>
      <c r="K862" s="42">
        <v>0</v>
      </c>
      <c r="L862" s="66">
        <f t="shared" si="193"/>
        <v>6</v>
      </c>
      <c r="M862" s="31"/>
    </row>
    <row r="863" spans="2:13" ht="15.75" hidden="1" x14ac:dyDescent="0.25">
      <c r="B863" s="10">
        <v>46156</v>
      </c>
      <c r="C863" s="10" t="s">
        <v>106</v>
      </c>
      <c r="D863" s="10" t="s">
        <v>129</v>
      </c>
      <c r="F863" s="944"/>
      <c r="G863" s="29" t="s">
        <v>17</v>
      </c>
      <c r="H863" s="29" t="s">
        <v>105</v>
      </c>
      <c r="I863" s="42">
        <v>1</v>
      </c>
      <c r="J863" s="42">
        <v>0</v>
      </c>
      <c r="K863" s="42">
        <v>87</v>
      </c>
      <c r="L863" s="66">
        <f t="shared" si="193"/>
        <v>88</v>
      </c>
      <c r="M863" s="31"/>
    </row>
    <row r="864" spans="2:13" ht="15.75" hidden="1" x14ac:dyDescent="0.25">
      <c r="B864" s="10">
        <v>46156</v>
      </c>
      <c r="C864" s="10" t="s">
        <v>106</v>
      </c>
      <c r="D864" s="10" t="s">
        <v>129</v>
      </c>
      <c r="F864" s="937" t="s">
        <v>40</v>
      </c>
      <c r="G864" s="937"/>
      <c r="H864" s="937"/>
      <c r="I864" s="8">
        <f>SUM(I858:I863)</f>
        <v>268</v>
      </c>
      <c r="J864" s="8">
        <f>SUM(J858:J863)</f>
        <v>102</v>
      </c>
      <c r="K864" s="8">
        <f>SUM(K858:K863)</f>
        <v>87</v>
      </c>
      <c r="L864" s="8">
        <f>SUM(L858:L863)</f>
        <v>457</v>
      </c>
      <c r="M864" s="31"/>
    </row>
    <row r="865" spans="2:13" ht="15.75" hidden="1" x14ac:dyDescent="0.25">
      <c r="B865" s="10">
        <v>46156</v>
      </c>
      <c r="C865" s="10" t="s">
        <v>105</v>
      </c>
      <c r="D865" s="10" t="s">
        <v>133</v>
      </c>
      <c r="F865" s="939">
        <v>46156</v>
      </c>
      <c r="G865" s="29" t="s">
        <v>75</v>
      </c>
      <c r="H865" s="29" t="s">
        <v>112</v>
      </c>
      <c r="I865" s="42">
        <v>140</v>
      </c>
      <c r="J865" s="42">
        <v>41</v>
      </c>
      <c r="K865" s="42">
        <v>0</v>
      </c>
      <c r="L865" s="66">
        <f>SUM(I865:K865)</f>
        <v>181</v>
      </c>
      <c r="M865" s="43"/>
    </row>
    <row r="866" spans="2:13" ht="15.75" hidden="1" x14ac:dyDescent="0.25">
      <c r="B866" s="10">
        <v>46156</v>
      </c>
      <c r="C866" s="10" t="s">
        <v>105</v>
      </c>
      <c r="D866" s="10" t="s">
        <v>133</v>
      </c>
      <c r="F866" s="940"/>
      <c r="G866" s="29" t="s">
        <v>14</v>
      </c>
      <c r="H866" s="29" t="s">
        <v>105</v>
      </c>
      <c r="I866" s="42">
        <v>46</v>
      </c>
      <c r="J866" s="42">
        <v>23</v>
      </c>
      <c r="K866" s="42">
        <v>0</v>
      </c>
      <c r="L866" s="66">
        <f>SUM(I866:K866)</f>
        <v>69</v>
      </c>
      <c r="M866" s="43"/>
    </row>
    <row r="867" spans="2:13" ht="15.75" hidden="1" x14ac:dyDescent="0.25">
      <c r="B867" s="10">
        <v>46156</v>
      </c>
      <c r="C867" s="10" t="s">
        <v>105</v>
      </c>
      <c r="D867" s="10" t="s">
        <v>133</v>
      </c>
      <c r="F867" s="940"/>
      <c r="G867" s="29" t="s">
        <v>84</v>
      </c>
      <c r="H867" s="29" t="s">
        <v>106</v>
      </c>
      <c r="I867" s="42">
        <v>12</v>
      </c>
      <c r="J867" s="42">
        <v>1</v>
      </c>
      <c r="K867" s="42">
        <v>0</v>
      </c>
      <c r="L867" s="66">
        <f>SUM(I867:K867)</f>
        <v>13</v>
      </c>
      <c r="M867" s="43"/>
    </row>
    <row r="868" spans="2:13" ht="15.75" hidden="1" x14ac:dyDescent="0.25">
      <c r="B868" s="10">
        <v>46156</v>
      </c>
      <c r="C868" s="10" t="s">
        <v>105</v>
      </c>
      <c r="D868" s="10" t="s">
        <v>133</v>
      </c>
      <c r="F868" s="940"/>
      <c r="G868" s="29" t="s">
        <v>17</v>
      </c>
      <c r="H868" s="29" t="s">
        <v>106</v>
      </c>
      <c r="I868" s="42">
        <v>169</v>
      </c>
      <c r="J868" s="42">
        <v>51</v>
      </c>
      <c r="K868" s="42">
        <v>0</v>
      </c>
      <c r="L868" s="66">
        <f t="shared" ref="L868:L869" si="194">SUM(I868:K868)</f>
        <v>220</v>
      </c>
      <c r="M868" s="43"/>
    </row>
    <row r="869" spans="2:13" ht="15.75" hidden="1" x14ac:dyDescent="0.25">
      <c r="B869" s="10">
        <v>46156</v>
      </c>
      <c r="C869" s="10" t="s">
        <v>105</v>
      </c>
      <c r="D869" s="10" t="s">
        <v>133</v>
      </c>
      <c r="F869" s="941"/>
      <c r="G869" s="29" t="s">
        <v>120</v>
      </c>
      <c r="H869" s="29" t="s">
        <v>105</v>
      </c>
      <c r="I869" s="42">
        <v>3</v>
      </c>
      <c r="J869" s="42">
        <v>1</v>
      </c>
      <c r="K869" s="42">
        <v>0</v>
      </c>
      <c r="L869" s="66">
        <f t="shared" si="194"/>
        <v>4</v>
      </c>
      <c r="M869" s="43"/>
    </row>
    <row r="870" spans="2:13" ht="15.75" hidden="1" x14ac:dyDescent="0.25">
      <c r="B870" s="10">
        <v>46156</v>
      </c>
      <c r="C870" s="10" t="s">
        <v>105</v>
      </c>
      <c r="D870" s="10" t="s">
        <v>133</v>
      </c>
      <c r="F870" s="937" t="s">
        <v>40</v>
      </c>
      <c r="G870" s="937"/>
      <c r="H870" s="937"/>
      <c r="I870" s="8">
        <f>SUM(I865:I869)</f>
        <v>370</v>
      </c>
      <c r="J870" s="8">
        <f>SUM(J865:J869)</f>
        <v>117</v>
      </c>
      <c r="K870" s="8">
        <f>SUM(K865:K869)</f>
        <v>0</v>
      </c>
      <c r="L870" s="8">
        <f>SUM(L865:L869)</f>
        <v>487</v>
      </c>
      <c r="M870" s="31"/>
    </row>
    <row r="871" spans="2:13" ht="15.75" hidden="1" x14ac:dyDescent="0.25">
      <c r="B871" s="10">
        <v>46157</v>
      </c>
      <c r="C871" s="10" t="s">
        <v>106</v>
      </c>
      <c r="D871" s="10" t="s">
        <v>129</v>
      </c>
      <c r="F871" s="939">
        <v>46157</v>
      </c>
      <c r="G871" s="29" t="s">
        <v>75</v>
      </c>
      <c r="H871" s="29" t="s">
        <v>112</v>
      </c>
      <c r="I871" s="42">
        <v>46</v>
      </c>
      <c r="J871" s="42">
        <v>40</v>
      </c>
      <c r="K871" s="42">
        <v>0</v>
      </c>
      <c r="L871" s="66">
        <f>SUM(I871:K871)</f>
        <v>86</v>
      </c>
      <c r="M871" s="43"/>
    </row>
    <row r="872" spans="2:13" ht="15.75" hidden="1" x14ac:dyDescent="0.25">
      <c r="B872" s="10">
        <v>46157</v>
      </c>
      <c r="C872" s="10" t="s">
        <v>106</v>
      </c>
      <c r="D872" s="10" t="s">
        <v>129</v>
      </c>
      <c r="F872" s="940"/>
      <c r="G872" s="29" t="s">
        <v>17</v>
      </c>
      <c r="H872" s="29" t="s">
        <v>106</v>
      </c>
      <c r="I872" s="42">
        <v>28</v>
      </c>
      <c r="J872" s="42">
        <v>14</v>
      </c>
      <c r="K872" s="42">
        <v>0</v>
      </c>
      <c r="L872" s="66">
        <f>SUM(I872:K872)</f>
        <v>42</v>
      </c>
      <c r="M872" s="43"/>
    </row>
    <row r="873" spans="2:13" ht="15.75" hidden="1" x14ac:dyDescent="0.25">
      <c r="B873" s="10">
        <v>46157</v>
      </c>
      <c r="C873" s="10" t="s">
        <v>106</v>
      </c>
      <c r="D873" s="10" t="s">
        <v>129</v>
      </c>
      <c r="F873" s="940"/>
      <c r="G873" s="29" t="s">
        <v>84</v>
      </c>
      <c r="H873" s="29" t="s">
        <v>106</v>
      </c>
      <c r="I873" s="42">
        <v>23</v>
      </c>
      <c r="J873" s="42">
        <v>16</v>
      </c>
      <c r="K873" s="42">
        <v>0</v>
      </c>
      <c r="L873" s="66">
        <f>SUM(I873:K873)</f>
        <v>39</v>
      </c>
      <c r="M873" s="43"/>
    </row>
    <row r="874" spans="2:13" ht="15.75" hidden="1" x14ac:dyDescent="0.25">
      <c r="B874" s="10">
        <v>46157</v>
      </c>
      <c r="C874" s="10" t="s">
        <v>106</v>
      </c>
      <c r="D874" s="10" t="s">
        <v>129</v>
      </c>
      <c r="F874" s="941"/>
      <c r="G874" s="29" t="s">
        <v>14</v>
      </c>
      <c r="H874" s="29" t="s">
        <v>105</v>
      </c>
      <c r="I874" s="42">
        <v>126</v>
      </c>
      <c r="J874" s="42">
        <v>20</v>
      </c>
      <c r="K874" s="42">
        <v>2</v>
      </c>
      <c r="L874" s="66">
        <f t="shared" ref="L874:L877" si="195">SUM(I874:K874)</f>
        <v>148</v>
      </c>
      <c r="M874" s="43"/>
    </row>
    <row r="875" spans="2:13" ht="15.75" hidden="1" x14ac:dyDescent="0.25">
      <c r="B875" s="10">
        <v>46157</v>
      </c>
      <c r="C875" s="10" t="s">
        <v>106</v>
      </c>
      <c r="D875" s="10" t="s">
        <v>129</v>
      </c>
      <c r="F875" s="944">
        <v>46158</v>
      </c>
      <c r="G875" s="29" t="s">
        <v>118</v>
      </c>
      <c r="H875" s="29" t="s">
        <v>106</v>
      </c>
      <c r="I875" s="42">
        <v>39</v>
      </c>
      <c r="J875" s="42">
        <v>0</v>
      </c>
      <c r="K875" s="42">
        <v>0</v>
      </c>
      <c r="L875" s="66">
        <f t="shared" si="195"/>
        <v>39</v>
      </c>
      <c r="M875" s="31"/>
    </row>
    <row r="876" spans="2:13" ht="15.75" hidden="1" x14ac:dyDescent="0.25">
      <c r="B876" s="10">
        <v>46157</v>
      </c>
      <c r="C876" s="10" t="s">
        <v>106</v>
      </c>
      <c r="D876" s="10" t="s">
        <v>129</v>
      </c>
      <c r="F876" s="944"/>
      <c r="G876" s="29" t="s">
        <v>32</v>
      </c>
      <c r="H876" s="29" t="s">
        <v>106</v>
      </c>
      <c r="I876" s="42">
        <v>21</v>
      </c>
      <c r="J876" s="42">
        <v>6</v>
      </c>
      <c r="K876" s="42">
        <v>35</v>
      </c>
      <c r="L876" s="66">
        <f t="shared" si="195"/>
        <v>62</v>
      </c>
      <c r="M876" s="31"/>
    </row>
    <row r="877" spans="2:13" ht="15.75" hidden="1" x14ac:dyDescent="0.25">
      <c r="B877" s="10">
        <v>46157</v>
      </c>
      <c r="C877" s="10" t="s">
        <v>106</v>
      </c>
      <c r="D877" s="10" t="s">
        <v>129</v>
      </c>
      <c r="F877" s="944"/>
      <c r="G877" s="29" t="s">
        <v>25</v>
      </c>
      <c r="H877" s="29" t="s">
        <v>106</v>
      </c>
      <c r="I877" s="42">
        <v>7</v>
      </c>
      <c r="J877" s="42">
        <v>1</v>
      </c>
      <c r="K877" s="42">
        <v>30</v>
      </c>
      <c r="L877" s="66">
        <f t="shared" si="195"/>
        <v>38</v>
      </c>
      <c r="M877" s="31"/>
    </row>
    <row r="878" spans="2:13" ht="15.75" hidden="1" x14ac:dyDescent="0.25">
      <c r="B878" s="10">
        <v>46157</v>
      </c>
      <c r="C878" s="10" t="s">
        <v>106</v>
      </c>
      <c r="D878" s="10" t="s">
        <v>129</v>
      </c>
      <c r="F878" s="937" t="s">
        <v>40</v>
      </c>
      <c r="G878" s="937"/>
      <c r="H878" s="937"/>
      <c r="I878" s="8">
        <f>SUM(I871:I877)</f>
        <v>290</v>
      </c>
      <c r="J878" s="8">
        <f>SUM(J871:J877)</f>
        <v>97</v>
      </c>
      <c r="K878" s="8">
        <f>SUM(K871:K877)</f>
        <v>67</v>
      </c>
      <c r="L878" s="8">
        <f>SUM(L871:L877)</f>
        <v>454</v>
      </c>
      <c r="M878" s="31"/>
    </row>
    <row r="879" spans="2:13" ht="15.75" hidden="1" x14ac:dyDescent="0.25">
      <c r="B879" s="10">
        <v>46157</v>
      </c>
      <c r="C879" s="10" t="s">
        <v>105</v>
      </c>
      <c r="D879" s="10" t="s">
        <v>133</v>
      </c>
      <c r="F879" s="943">
        <v>46157</v>
      </c>
      <c r="G879" s="29" t="s">
        <v>75</v>
      </c>
      <c r="H879" s="29" t="s">
        <v>112</v>
      </c>
      <c r="I879" s="42">
        <v>108</v>
      </c>
      <c r="J879" s="42">
        <v>46</v>
      </c>
      <c r="K879" s="42">
        <v>0</v>
      </c>
      <c r="L879" s="66">
        <f>SUM(I879:K879)</f>
        <v>154</v>
      </c>
      <c r="M879" s="43"/>
    </row>
    <row r="880" spans="2:13" ht="15.75" hidden="1" x14ac:dyDescent="0.25">
      <c r="B880" s="10">
        <v>46157</v>
      </c>
      <c r="C880" s="10" t="s">
        <v>105</v>
      </c>
      <c r="D880" s="10" t="s">
        <v>133</v>
      </c>
      <c r="F880" s="944"/>
      <c r="G880" s="29" t="s">
        <v>14</v>
      </c>
      <c r="H880" s="29" t="s">
        <v>105</v>
      </c>
      <c r="I880" s="42">
        <v>84</v>
      </c>
      <c r="J880" s="42">
        <v>14</v>
      </c>
      <c r="K880" s="42">
        <v>0</v>
      </c>
      <c r="L880" s="66">
        <f>SUM(I880:K880)</f>
        <v>98</v>
      </c>
      <c r="M880" s="43"/>
    </row>
    <row r="881" spans="2:13" ht="15.75" hidden="1" x14ac:dyDescent="0.25">
      <c r="B881" s="10">
        <v>46157</v>
      </c>
      <c r="C881" s="10" t="s">
        <v>105</v>
      </c>
      <c r="D881" s="10" t="s">
        <v>133</v>
      </c>
      <c r="F881" s="944"/>
      <c r="G881" s="29" t="s">
        <v>17</v>
      </c>
      <c r="H881" s="29" t="s">
        <v>106</v>
      </c>
      <c r="I881" s="42">
        <v>13</v>
      </c>
      <c r="J881" s="42">
        <v>2</v>
      </c>
      <c r="K881" s="42">
        <v>0</v>
      </c>
      <c r="L881" s="66">
        <f>SUM(I881:K881)</f>
        <v>15</v>
      </c>
      <c r="M881" s="43"/>
    </row>
    <row r="882" spans="2:13" ht="15.75" hidden="1" x14ac:dyDescent="0.25">
      <c r="B882" s="10">
        <v>46157</v>
      </c>
      <c r="C882" s="10" t="s">
        <v>105</v>
      </c>
      <c r="D882" s="10" t="s">
        <v>133</v>
      </c>
      <c r="F882" s="944"/>
      <c r="G882" s="29" t="s">
        <v>25</v>
      </c>
      <c r="H882" s="29" t="s">
        <v>106</v>
      </c>
      <c r="I882" s="42">
        <v>155</v>
      </c>
      <c r="J882" s="42">
        <v>41</v>
      </c>
      <c r="K882" s="42">
        <v>0</v>
      </c>
      <c r="L882" s="66">
        <f t="shared" ref="L882:L884" si="196">SUM(I882:K882)</f>
        <v>196</v>
      </c>
      <c r="M882" s="43"/>
    </row>
    <row r="883" spans="2:13" ht="15.75" hidden="1" x14ac:dyDescent="0.25">
      <c r="B883" s="10">
        <v>46157</v>
      </c>
      <c r="C883" s="10" t="s">
        <v>105</v>
      </c>
      <c r="D883" s="10" t="s">
        <v>133</v>
      </c>
      <c r="F883" s="944"/>
      <c r="G883" s="29" t="s">
        <v>120</v>
      </c>
      <c r="H883" s="29" t="s">
        <v>105</v>
      </c>
      <c r="I883" s="42">
        <v>12</v>
      </c>
      <c r="J883" s="42">
        <v>5</v>
      </c>
      <c r="K883" s="42">
        <v>0</v>
      </c>
      <c r="L883" s="66">
        <f t="shared" si="196"/>
        <v>17</v>
      </c>
      <c r="M883" s="31"/>
    </row>
    <row r="884" spans="2:13" ht="15.75" hidden="1" x14ac:dyDescent="0.25">
      <c r="B884" s="10">
        <v>46157</v>
      </c>
      <c r="C884" s="10" t="s">
        <v>105</v>
      </c>
      <c r="D884" s="10" t="s">
        <v>133</v>
      </c>
      <c r="F884" s="944"/>
      <c r="G884" s="29" t="s">
        <v>32</v>
      </c>
      <c r="H884" s="29" t="s">
        <v>105</v>
      </c>
      <c r="I884" s="42">
        <v>24</v>
      </c>
      <c r="J884" s="42">
        <v>9</v>
      </c>
      <c r="K884" s="42">
        <v>0</v>
      </c>
      <c r="L884" s="66">
        <f t="shared" si="196"/>
        <v>33</v>
      </c>
      <c r="M884" s="31"/>
    </row>
    <row r="885" spans="2:13" ht="15.75" hidden="1" x14ac:dyDescent="0.25">
      <c r="B885" s="10">
        <v>46157</v>
      </c>
      <c r="C885" s="10" t="s">
        <v>105</v>
      </c>
      <c r="D885" s="10" t="s">
        <v>133</v>
      </c>
      <c r="F885" s="937" t="s">
        <v>40</v>
      </c>
      <c r="G885" s="937"/>
      <c r="H885" s="937"/>
      <c r="I885" s="8">
        <f>SUM(I879:I884)</f>
        <v>396</v>
      </c>
      <c r="J885" s="8">
        <f>SUM(J879:J884)</f>
        <v>117</v>
      </c>
      <c r="K885" s="8">
        <f>SUM(K879:K884)</f>
        <v>0</v>
      </c>
      <c r="L885" s="8">
        <f>SUM(L879:L884)</f>
        <v>513</v>
      </c>
      <c r="M885" s="31"/>
    </row>
    <row r="886" spans="2:13" ht="15.75" hidden="1" x14ac:dyDescent="0.25">
      <c r="B886" s="10">
        <v>46158</v>
      </c>
      <c r="C886" s="10" t="s">
        <v>106</v>
      </c>
      <c r="D886" s="10" t="s">
        <v>129</v>
      </c>
      <c r="F886" s="942">
        <v>46158</v>
      </c>
      <c r="G886" s="29" t="s">
        <v>75</v>
      </c>
      <c r="H886" s="29" t="s">
        <v>112</v>
      </c>
      <c r="I886" s="42">
        <v>55</v>
      </c>
      <c r="J886" s="42">
        <v>50</v>
      </c>
      <c r="K886" s="42">
        <v>0</v>
      </c>
      <c r="L886" s="66">
        <f>SUM(I886:K886)</f>
        <v>105</v>
      </c>
      <c r="M886" s="43"/>
    </row>
    <row r="887" spans="2:13" ht="15.75" hidden="1" x14ac:dyDescent="0.25">
      <c r="B887" s="10">
        <v>46158</v>
      </c>
      <c r="C887" s="10" t="s">
        <v>106</v>
      </c>
      <c r="D887" s="10" t="s">
        <v>129</v>
      </c>
      <c r="F887" s="942"/>
      <c r="G887" s="29" t="s">
        <v>25</v>
      </c>
      <c r="H887" s="29" t="s">
        <v>106</v>
      </c>
      <c r="I887" s="42">
        <v>52</v>
      </c>
      <c r="J887" s="42">
        <v>17</v>
      </c>
      <c r="K887" s="42">
        <v>0</v>
      </c>
      <c r="L887" s="66">
        <f>SUM(I887:K887)</f>
        <v>69</v>
      </c>
      <c r="M887" s="43"/>
    </row>
    <row r="888" spans="2:13" ht="15.75" hidden="1" x14ac:dyDescent="0.25">
      <c r="B888" s="10">
        <v>46158</v>
      </c>
      <c r="C888" s="10" t="s">
        <v>106</v>
      </c>
      <c r="D888" s="10" t="s">
        <v>129</v>
      </c>
      <c r="F888" s="942"/>
      <c r="G888" s="29" t="s">
        <v>84</v>
      </c>
      <c r="H888" s="29" t="s">
        <v>106</v>
      </c>
      <c r="I888" s="42">
        <v>7</v>
      </c>
      <c r="J888" s="42">
        <v>1</v>
      </c>
      <c r="K888" s="42">
        <v>0</v>
      </c>
      <c r="L888" s="66">
        <f>SUM(I888:K888)</f>
        <v>8</v>
      </c>
      <c r="M888" s="43"/>
    </row>
    <row r="889" spans="2:13" ht="15.75" hidden="1" x14ac:dyDescent="0.25">
      <c r="B889" s="10">
        <v>46158</v>
      </c>
      <c r="C889" s="10" t="s">
        <v>106</v>
      </c>
      <c r="D889" s="10" t="s">
        <v>129</v>
      </c>
      <c r="F889" s="942"/>
      <c r="G889" s="29" t="s">
        <v>32</v>
      </c>
      <c r="H889" s="29" t="s">
        <v>106</v>
      </c>
      <c r="I889" s="42">
        <v>16</v>
      </c>
      <c r="J889" s="42">
        <v>7</v>
      </c>
      <c r="K889" s="42">
        <v>0</v>
      </c>
      <c r="L889" s="66">
        <f t="shared" ref="L889:L891" si="197">SUM(I889:K889)</f>
        <v>23</v>
      </c>
      <c r="M889" s="43"/>
    </row>
    <row r="890" spans="2:13" ht="15.75" hidden="1" x14ac:dyDescent="0.25">
      <c r="B890" s="10">
        <v>46158</v>
      </c>
      <c r="C890" s="10" t="s">
        <v>106</v>
      </c>
      <c r="D890" s="10" t="s">
        <v>129</v>
      </c>
      <c r="F890" s="942"/>
      <c r="G890" s="29" t="s">
        <v>14</v>
      </c>
      <c r="H890" s="29" t="s">
        <v>105</v>
      </c>
      <c r="I890" s="42">
        <v>97</v>
      </c>
      <c r="J890" s="42">
        <v>44</v>
      </c>
      <c r="K890" s="42">
        <v>22</v>
      </c>
      <c r="L890" s="66">
        <f t="shared" si="197"/>
        <v>163</v>
      </c>
      <c r="M890" s="31"/>
    </row>
    <row r="891" spans="2:13" ht="15.75" hidden="1" x14ac:dyDescent="0.25">
      <c r="B891" s="10">
        <v>46158</v>
      </c>
      <c r="C891" s="10" t="s">
        <v>106</v>
      </c>
      <c r="D891" s="10" t="s">
        <v>129</v>
      </c>
      <c r="F891" s="265">
        <v>46160</v>
      </c>
      <c r="G891" s="29" t="s">
        <v>32</v>
      </c>
      <c r="H891" s="29" t="s">
        <v>106</v>
      </c>
      <c r="I891" s="42">
        <v>25</v>
      </c>
      <c r="J891" s="42">
        <v>12</v>
      </c>
      <c r="K891" s="42">
        <v>0</v>
      </c>
      <c r="L891" s="66">
        <f t="shared" si="197"/>
        <v>37</v>
      </c>
      <c r="M891" s="31"/>
    </row>
    <row r="892" spans="2:13" ht="15.75" hidden="1" x14ac:dyDescent="0.25">
      <c r="B892" s="10">
        <v>46158</v>
      </c>
      <c r="C892" s="10" t="s">
        <v>106</v>
      </c>
      <c r="D892" s="10" t="s">
        <v>129</v>
      </c>
      <c r="F892" s="937" t="s">
        <v>40</v>
      </c>
      <c r="G892" s="937"/>
      <c r="H892" s="937"/>
      <c r="I892" s="8">
        <f>SUM(I886:I891)</f>
        <v>252</v>
      </c>
      <c r="J892" s="8">
        <f>SUM(J886:J891)</f>
        <v>131</v>
      </c>
      <c r="K892" s="8">
        <f>SUM(K886:K891)</f>
        <v>22</v>
      </c>
      <c r="L892" s="8">
        <f>SUM(L886:L891)</f>
        <v>405</v>
      </c>
      <c r="M892" s="31"/>
    </row>
    <row r="893" spans="2:13" ht="15.75" hidden="1" x14ac:dyDescent="0.25">
      <c r="B893" s="10">
        <v>46158</v>
      </c>
      <c r="C893" s="10" t="s">
        <v>105</v>
      </c>
      <c r="D893" s="10" t="s">
        <v>133</v>
      </c>
      <c r="F893" s="942">
        <v>46158</v>
      </c>
      <c r="G893" s="29" t="s">
        <v>75</v>
      </c>
      <c r="H893" s="29" t="s">
        <v>112</v>
      </c>
      <c r="I893" s="42">
        <v>124</v>
      </c>
      <c r="J893" s="42">
        <v>54</v>
      </c>
      <c r="K893" s="42">
        <v>0</v>
      </c>
      <c r="L893" s="66">
        <f>SUM(I893:K893)</f>
        <v>178</v>
      </c>
      <c r="M893" s="43"/>
    </row>
    <row r="894" spans="2:13" ht="15.75" hidden="1" x14ac:dyDescent="0.25">
      <c r="B894" s="10">
        <v>46158</v>
      </c>
      <c r="C894" s="10" t="s">
        <v>105</v>
      </c>
      <c r="D894" s="10" t="s">
        <v>133</v>
      </c>
      <c r="F894" s="942"/>
      <c r="G894" s="29" t="s">
        <v>14</v>
      </c>
      <c r="H894" s="29" t="s">
        <v>105</v>
      </c>
      <c r="I894" s="42">
        <v>37</v>
      </c>
      <c r="J894" s="42">
        <v>17</v>
      </c>
      <c r="K894" s="42">
        <v>0</v>
      </c>
      <c r="L894" s="66">
        <f>SUM(I894:K894)</f>
        <v>54</v>
      </c>
      <c r="M894" s="43"/>
    </row>
    <row r="895" spans="2:13" ht="15.75" hidden="1" x14ac:dyDescent="0.25">
      <c r="B895" s="10">
        <v>46158</v>
      </c>
      <c r="C895" s="10" t="s">
        <v>105</v>
      </c>
      <c r="D895" s="10" t="s">
        <v>133</v>
      </c>
      <c r="F895" s="942"/>
      <c r="G895" s="29" t="s">
        <v>17</v>
      </c>
      <c r="H895" s="29" t="s">
        <v>106</v>
      </c>
      <c r="I895" s="42">
        <v>142</v>
      </c>
      <c r="J895" s="42">
        <v>10</v>
      </c>
      <c r="K895" s="42">
        <v>0</v>
      </c>
      <c r="L895" s="66">
        <f>SUM(I895:K895)</f>
        <v>152</v>
      </c>
      <c r="M895" s="43"/>
    </row>
    <row r="896" spans="2:13" ht="15.75" hidden="1" x14ac:dyDescent="0.25">
      <c r="B896" s="10">
        <v>46158</v>
      </c>
      <c r="C896" s="10" t="s">
        <v>105</v>
      </c>
      <c r="D896" s="10" t="s">
        <v>133</v>
      </c>
      <c r="F896" s="937" t="s">
        <v>40</v>
      </c>
      <c r="G896" s="937"/>
      <c r="H896" s="937"/>
      <c r="I896" s="8">
        <f>SUM(I893:I895)</f>
        <v>303</v>
      </c>
      <c r="J896" s="8">
        <f>SUM(J893:J895)</f>
        <v>81</v>
      </c>
      <c r="K896" s="8">
        <f>SUM(K893:K895)</f>
        <v>0</v>
      </c>
      <c r="L896" s="8">
        <f>SUM(L893:L895)</f>
        <v>384</v>
      </c>
      <c r="M896" s="31"/>
    </row>
    <row r="897" spans="2:13" ht="15.75" hidden="1" x14ac:dyDescent="0.25">
      <c r="B897" s="10">
        <v>46159</v>
      </c>
      <c r="C897" s="10" t="s">
        <v>106</v>
      </c>
      <c r="D897" s="10" t="s">
        <v>129</v>
      </c>
      <c r="F897" s="942">
        <v>46160</v>
      </c>
      <c r="G897" s="29" t="s">
        <v>75</v>
      </c>
      <c r="H897" s="29" t="s">
        <v>112</v>
      </c>
      <c r="I897" s="42">
        <v>0</v>
      </c>
      <c r="J897" s="42">
        <v>0</v>
      </c>
      <c r="K897" s="42">
        <v>38</v>
      </c>
      <c r="L897" s="66">
        <f>SUM(I897:K897)</f>
        <v>38</v>
      </c>
      <c r="M897" s="43"/>
    </row>
    <row r="898" spans="2:13" ht="15.75" hidden="1" x14ac:dyDescent="0.25">
      <c r="B898" s="10">
        <v>46159</v>
      </c>
      <c r="C898" s="10" t="s">
        <v>106</v>
      </c>
      <c r="D898" s="10" t="s">
        <v>129</v>
      </c>
      <c r="F898" s="942"/>
      <c r="G898" s="29" t="s">
        <v>17</v>
      </c>
      <c r="H898" s="29" t="s">
        <v>106</v>
      </c>
      <c r="I898" s="42">
        <v>0</v>
      </c>
      <c r="J898" s="42">
        <v>0</v>
      </c>
      <c r="K898" s="42">
        <v>5</v>
      </c>
      <c r="L898" s="66">
        <f>SUM(I898:K898)</f>
        <v>5</v>
      </c>
      <c r="M898" s="43"/>
    </row>
    <row r="899" spans="2:13" ht="15.75" hidden="1" x14ac:dyDescent="0.25">
      <c r="B899" s="10">
        <v>46159</v>
      </c>
      <c r="C899" s="10" t="s">
        <v>106</v>
      </c>
      <c r="D899" s="10" t="s">
        <v>129</v>
      </c>
      <c r="F899" s="942"/>
      <c r="G899" s="29" t="s">
        <v>32</v>
      </c>
      <c r="H899" s="29" t="s">
        <v>106</v>
      </c>
      <c r="I899" s="42">
        <v>0</v>
      </c>
      <c r="J899" s="42">
        <v>0</v>
      </c>
      <c r="K899" s="42">
        <v>120</v>
      </c>
      <c r="L899" s="66">
        <f>SUM(I899:K899)</f>
        <v>120</v>
      </c>
      <c r="M899" s="43"/>
    </row>
    <row r="900" spans="2:13" ht="15.75" hidden="1" x14ac:dyDescent="0.25">
      <c r="B900" s="10">
        <v>46159</v>
      </c>
      <c r="C900" s="10" t="s">
        <v>106</v>
      </c>
      <c r="D900" s="10" t="s">
        <v>129</v>
      </c>
      <c r="F900" s="942"/>
      <c r="G900" s="29" t="s">
        <v>118</v>
      </c>
      <c r="H900" s="29" t="s">
        <v>105</v>
      </c>
      <c r="I900" s="42">
        <v>0</v>
      </c>
      <c r="J900" s="42">
        <v>0</v>
      </c>
      <c r="K900" s="42">
        <v>41</v>
      </c>
      <c r="L900" s="66">
        <f t="shared" ref="L900" si="198">SUM(I900:K900)</f>
        <v>41</v>
      </c>
      <c r="M900" s="43"/>
    </row>
    <row r="901" spans="2:13" ht="15.75" hidden="1" x14ac:dyDescent="0.25">
      <c r="B901" s="10">
        <v>46159</v>
      </c>
      <c r="C901" s="10" t="s">
        <v>106</v>
      </c>
      <c r="D901" s="10" t="s">
        <v>129</v>
      </c>
      <c r="F901" s="937" t="s">
        <v>40</v>
      </c>
      <c r="G901" s="937"/>
      <c r="H901" s="937"/>
      <c r="I901" s="8">
        <f>SUM(I897:I900)</f>
        <v>0</v>
      </c>
      <c r="J901" s="8">
        <f>SUM(J897:J900)</f>
        <v>0</v>
      </c>
      <c r="K901" s="8">
        <f>SUM(K897:K900)</f>
        <v>204</v>
      </c>
      <c r="L901" s="8">
        <f>SUM(L897:L900)</f>
        <v>204</v>
      </c>
      <c r="M901" s="31"/>
    </row>
    <row r="902" spans="2:13" ht="15.75" hidden="1" x14ac:dyDescent="0.25">
      <c r="B902" s="10">
        <v>46160</v>
      </c>
      <c r="C902" s="10" t="s">
        <v>106</v>
      </c>
      <c r="D902" s="10" t="s">
        <v>129</v>
      </c>
      <c r="F902" s="939">
        <v>46160</v>
      </c>
      <c r="G902" s="29" t="s">
        <v>75</v>
      </c>
      <c r="H902" s="29" t="s">
        <v>127</v>
      </c>
      <c r="I902" s="42">
        <v>33</v>
      </c>
      <c r="J902" s="42">
        <v>32</v>
      </c>
      <c r="K902" s="42">
        <v>0</v>
      </c>
      <c r="L902" s="66">
        <f>SUM(I902:K902)</f>
        <v>65</v>
      </c>
      <c r="M902" s="43"/>
    </row>
    <row r="903" spans="2:13" ht="15.75" hidden="1" x14ac:dyDescent="0.25">
      <c r="B903" s="10">
        <v>46160</v>
      </c>
      <c r="C903" s="10" t="s">
        <v>106</v>
      </c>
      <c r="D903" s="10" t="s">
        <v>129</v>
      </c>
      <c r="F903" s="940"/>
      <c r="G903" s="29" t="s">
        <v>17</v>
      </c>
      <c r="H903" s="29" t="s">
        <v>106</v>
      </c>
      <c r="I903" s="42">
        <v>40</v>
      </c>
      <c r="J903" s="42">
        <v>26</v>
      </c>
      <c r="K903" s="42">
        <v>0</v>
      </c>
      <c r="L903" s="66">
        <f>SUM(I903:K903)</f>
        <v>66</v>
      </c>
      <c r="M903" s="43"/>
    </row>
    <row r="904" spans="2:13" ht="15.75" hidden="1" x14ac:dyDescent="0.25">
      <c r="B904" s="10">
        <v>46160</v>
      </c>
      <c r="C904" s="10" t="s">
        <v>106</v>
      </c>
      <c r="D904" s="10" t="s">
        <v>129</v>
      </c>
      <c r="F904" s="940"/>
      <c r="G904" s="29" t="s">
        <v>32</v>
      </c>
      <c r="H904" s="29" t="s">
        <v>106</v>
      </c>
      <c r="I904" s="42">
        <v>132</v>
      </c>
      <c r="J904" s="42">
        <v>40</v>
      </c>
      <c r="K904" s="42">
        <v>8</v>
      </c>
      <c r="L904" s="66">
        <f>SUM(I904:K904)</f>
        <v>180</v>
      </c>
      <c r="M904" s="43"/>
    </row>
    <row r="905" spans="2:13" ht="15.75" hidden="1" x14ac:dyDescent="0.25">
      <c r="B905" s="10">
        <v>46160</v>
      </c>
      <c r="C905" s="10" t="s">
        <v>106</v>
      </c>
      <c r="D905" s="10" t="s">
        <v>129</v>
      </c>
      <c r="F905" s="940"/>
      <c r="G905" s="29" t="s">
        <v>118</v>
      </c>
      <c r="H905" s="29" t="s">
        <v>105</v>
      </c>
      <c r="I905" s="42">
        <v>40</v>
      </c>
      <c r="J905" s="42">
        <v>1</v>
      </c>
      <c r="K905" s="42">
        <v>0</v>
      </c>
      <c r="L905" s="66">
        <f t="shared" ref="L905:L906" si="199">SUM(I905:K905)</f>
        <v>41</v>
      </c>
      <c r="M905" s="43"/>
    </row>
    <row r="906" spans="2:13" ht="15.75" hidden="1" x14ac:dyDescent="0.25">
      <c r="B906" s="10">
        <v>46160</v>
      </c>
      <c r="C906" s="10" t="s">
        <v>106</v>
      </c>
      <c r="D906" s="10" t="s">
        <v>129</v>
      </c>
      <c r="F906" s="941"/>
      <c r="G906" s="29" t="s">
        <v>14</v>
      </c>
      <c r="H906" s="29" t="s">
        <v>105</v>
      </c>
      <c r="I906" s="42">
        <v>114</v>
      </c>
      <c r="J906" s="42">
        <v>42</v>
      </c>
      <c r="K906" s="42">
        <v>0</v>
      </c>
      <c r="L906" s="66">
        <f t="shared" si="199"/>
        <v>156</v>
      </c>
      <c r="M906" s="43"/>
    </row>
    <row r="907" spans="2:13" ht="15.75" hidden="1" x14ac:dyDescent="0.25">
      <c r="B907" s="10">
        <v>46160</v>
      </c>
      <c r="C907" s="10" t="s">
        <v>106</v>
      </c>
      <c r="D907" s="10" t="s">
        <v>129</v>
      </c>
      <c r="F907" s="266">
        <v>46161</v>
      </c>
      <c r="G907" s="29" t="s">
        <v>17</v>
      </c>
      <c r="H907" s="29" t="s">
        <v>106</v>
      </c>
      <c r="I907" s="42">
        <v>0</v>
      </c>
      <c r="J907" s="42">
        <v>0</v>
      </c>
      <c r="K907" s="42">
        <v>20</v>
      </c>
      <c r="L907" s="66">
        <f t="shared" ref="L907" si="200">SUM(I907:K907)</f>
        <v>20</v>
      </c>
      <c r="M907" s="43"/>
    </row>
    <row r="908" spans="2:13" ht="15.75" hidden="1" x14ac:dyDescent="0.25">
      <c r="B908" s="10">
        <v>46160</v>
      </c>
      <c r="C908" s="10" t="s">
        <v>106</v>
      </c>
      <c r="D908" s="10" t="s">
        <v>129</v>
      </c>
      <c r="F908" s="937" t="s">
        <v>40</v>
      </c>
      <c r="G908" s="937"/>
      <c r="H908" s="937"/>
      <c r="I908" s="8">
        <f>SUM(I902:I907)</f>
        <v>359</v>
      </c>
      <c r="J908" s="8">
        <f>SUM(J902:J907)</f>
        <v>141</v>
      </c>
      <c r="K908" s="8">
        <f>SUM(K902:K907)</f>
        <v>28</v>
      </c>
      <c r="L908" s="8">
        <f>SUM(L902:L907)</f>
        <v>528</v>
      </c>
      <c r="M908" s="31"/>
    </row>
    <row r="909" spans="2:13" ht="15.75" hidden="1" x14ac:dyDescent="0.25">
      <c r="B909" s="10">
        <v>46160</v>
      </c>
      <c r="C909" s="10" t="s">
        <v>105</v>
      </c>
      <c r="D909" s="10" t="s">
        <v>131</v>
      </c>
      <c r="F909" s="939">
        <v>46160</v>
      </c>
      <c r="G909" s="29" t="s">
        <v>75</v>
      </c>
      <c r="H909" s="29" t="s">
        <v>127</v>
      </c>
      <c r="I909" s="42">
        <v>27</v>
      </c>
      <c r="J909" s="42">
        <v>4</v>
      </c>
      <c r="K909" s="42">
        <v>0</v>
      </c>
      <c r="L909" s="66">
        <f>SUM(I909:K909)</f>
        <v>31</v>
      </c>
      <c r="M909" s="43"/>
    </row>
    <row r="910" spans="2:13" ht="15.75" hidden="1" x14ac:dyDescent="0.25">
      <c r="B910" s="10">
        <v>46160</v>
      </c>
      <c r="C910" s="10" t="s">
        <v>105</v>
      </c>
      <c r="D910" s="10" t="s">
        <v>131</v>
      </c>
      <c r="F910" s="940"/>
      <c r="G910" s="29" t="s">
        <v>120</v>
      </c>
      <c r="H910" s="29" t="s">
        <v>105</v>
      </c>
      <c r="I910" s="42">
        <v>2</v>
      </c>
      <c r="J910" s="42">
        <v>0</v>
      </c>
      <c r="K910" s="42">
        <v>0</v>
      </c>
      <c r="L910" s="66">
        <f>SUM(I910:K910)</f>
        <v>2</v>
      </c>
      <c r="M910" s="43"/>
    </row>
    <row r="911" spans="2:13" ht="15.75" hidden="1" x14ac:dyDescent="0.25">
      <c r="B911" s="10">
        <v>46160</v>
      </c>
      <c r="C911" s="10" t="s">
        <v>105</v>
      </c>
      <c r="D911" s="10" t="s">
        <v>131</v>
      </c>
      <c r="F911" s="940"/>
      <c r="G911" s="29" t="s">
        <v>118</v>
      </c>
      <c r="H911" s="29" t="s">
        <v>105</v>
      </c>
      <c r="I911" s="42">
        <v>1</v>
      </c>
      <c r="J911" s="42">
        <v>0</v>
      </c>
      <c r="K911" s="42">
        <v>0</v>
      </c>
      <c r="L911" s="66">
        <f t="shared" ref="L911:L913" si="201">SUM(I911:K911)</f>
        <v>1</v>
      </c>
      <c r="M911" s="43"/>
    </row>
    <row r="912" spans="2:13" ht="15.75" hidden="1" x14ac:dyDescent="0.25">
      <c r="B912" s="10">
        <v>46160</v>
      </c>
      <c r="C912" s="10" t="s">
        <v>105</v>
      </c>
      <c r="D912" s="10" t="s">
        <v>131</v>
      </c>
      <c r="F912" s="940"/>
      <c r="G912" s="29" t="s">
        <v>32</v>
      </c>
      <c r="H912" s="29" t="s">
        <v>106</v>
      </c>
      <c r="I912" s="42">
        <v>1</v>
      </c>
      <c r="J912" s="42">
        <v>1</v>
      </c>
      <c r="K912" s="42">
        <v>0</v>
      </c>
      <c r="L912" s="66">
        <f t="shared" si="201"/>
        <v>2</v>
      </c>
      <c r="M912" s="43"/>
    </row>
    <row r="913" spans="2:13" ht="15.75" hidden="1" x14ac:dyDescent="0.25">
      <c r="B913" s="10">
        <v>46160</v>
      </c>
      <c r="C913" s="10" t="s">
        <v>105</v>
      </c>
      <c r="D913" s="10" t="s">
        <v>131</v>
      </c>
      <c r="F913" s="940"/>
      <c r="G913" s="29" t="s">
        <v>25</v>
      </c>
      <c r="H913" s="29" t="s">
        <v>106</v>
      </c>
      <c r="I913" s="42">
        <v>0</v>
      </c>
      <c r="J913" s="42">
        <v>2</v>
      </c>
      <c r="K913" s="42">
        <v>0</v>
      </c>
      <c r="L913" s="66">
        <f t="shared" si="201"/>
        <v>2</v>
      </c>
      <c r="M913" s="43"/>
    </row>
    <row r="914" spans="2:13" ht="15.75" hidden="1" x14ac:dyDescent="0.25">
      <c r="B914" s="10">
        <v>46160</v>
      </c>
      <c r="C914" s="10" t="s">
        <v>105</v>
      </c>
      <c r="D914" s="10" t="s">
        <v>131</v>
      </c>
      <c r="F914" s="941"/>
      <c r="G914" s="29" t="s">
        <v>14</v>
      </c>
      <c r="H914" s="29" t="s">
        <v>105</v>
      </c>
      <c r="I914" s="42">
        <v>14</v>
      </c>
      <c r="J914" s="42">
        <v>25</v>
      </c>
      <c r="K914" s="42">
        <v>0</v>
      </c>
      <c r="L914" s="66">
        <f t="shared" ref="L914:L916" si="202">SUM(I914:K914)</f>
        <v>39</v>
      </c>
      <c r="M914" s="43"/>
    </row>
    <row r="915" spans="2:13" ht="15.75" hidden="1" x14ac:dyDescent="0.25">
      <c r="B915" s="10">
        <v>46160</v>
      </c>
      <c r="C915" s="10" t="s">
        <v>105</v>
      </c>
      <c r="D915" s="10" t="s">
        <v>131</v>
      </c>
      <c r="F915" s="939">
        <v>46161</v>
      </c>
      <c r="G915" s="29" t="s">
        <v>75</v>
      </c>
      <c r="H915" s="29" t="s">
        <v>106</v>
      </c>
      <c r="I915" s="42">
        <v>113</v>
      </c>
      <c r="J915" s="42">
        <v>51</v>
      </c>
      <c r="K915" s="42">
        <v>0</v>
      </c>
      <c r="L915" s="66">
        <f t="shared" ref="L915" si="203">SUM(I915:K915)</f>
        <v>164</v>
      </c>
      <c r="M915" s="43" t="s">
        <v>104</v>
      </c>
    </row>
    <row r="916" spans="2:13" ht="15.75" hidden="1" x14ac:dyDescent="0.25">
      <c r="B916" s="10">
        <v>46160</v>
      </c>
      <c r="C916" s="10" t="s">
        <v>105</v>
      </c>
      <c r="D916" s="10" t="s">
        <v>131</v>
      </c>
      <c r="F916" s="940">
        <v>46161</v>
      </c>
      <c r="G916" s="29" t="s">
        <v>17</v>
      </c>
      <c r="H916" s="29" t="s">
        <v>106</v>
      </c>
      <c r="I916" s="42">
        <v>136</v>
      </c>
      <c r="J916" s="42">
        <v>50</v>
      </c>
      <c r="K916" s="42">
        <v>0</v>
      </c>
      <c r="L916" s="66">
        <f t="shared" si="202"/>
        <v>186</v>
      </c>
      <c r="M916" s="43"/>
    </row>
    <row r="917" spans="2:13" ht="15.75" hidden="1" x14ac:dyDescent="0.25">
      <c r="B917" s="10">
        <v>46160</v>
      </c>
      <c r="C917" s="10" t="s">
        <v>105</v>
      </c>
      <c r="D917" s="10" t="s">
        <v>131</v>
      </c>
      <c r="F917" s="937" t="s">
        <v>40</v>
      </c>
      <c r="G917" s="937"/>
      <c r="H917" s="937"/>
      <c r="I917" s="8">
        <f>SUM(I909:I916)</f>
        <v>294</v>
      </c>
      <c r="J917" s="8">
        <f>SUM(J909:J916)</f>
        <v>133</v>
      </c>
      <c r="K917" s="8">
        <f>SUM(K909:K916)</f>
        <v>0</v>
      </c>
      <c r="L917" s="8">
        <f>SUM(L909:L916)</f>
        <v>427</v>
      </c>
      <c r="M917" s="31"/>
    </row>
    <row r="918" spans="2:13" ht="15.75" hidden="1" x14ac:dyDescent="0.25">
      <c r="B918" s="10">
        <v>46161</v>
      </c>
      <c r="C918" s="10" t="s">
        <v>106</v>
      </c>
      <c r="D918" s="10" t="s">
        <v>129</v>
      </c>
      <c r="F918" s="942">
        <v>46161</v>
      </c>
      <c r="G918" s="29" t="s">
        <v>75</v>
      </c>
      <c r="H918" s="29" t="s">
        <v>127</v>
      </c>
      <c r="I918" s="42">
        <v>37</v>
      </c>
      <c r="J918" s="42">
        <v>27</v>
      </c>
      <c r="K918" s="42">
        <v>0</v>
      </c>
      <c r="L918" s="66">
        <f>SUM(I918:K918)</f>
        <v>64</v>
      </c>
      <c r="M918" s="43"/>
    </row>
    <row r="919" spans="2:13" ht="15.75" hidden="1" x14ac:dyDescent="0.25">
      <c r="B919" s="10">
        <v>46161</v>
      </c>
      <c r="C919" s="10" t="s">
        <v>106</v>
      </c>
      <c r="D919" s="10" t="s">
        <v>129</v>
      </c>
      <c r="F919" s="942"/>
      <c r="G919" s="29" t="s">
        <v>17</v>
      </c>
      <c r="H919" s="29" t="s">
        <v>106</v>
      </c>
      <c r="I919" s="42">
        <v>23</v>
      </c>
      <c r="J919" s="42">
        <v>14</v>
      </c>
      <c r="K919" s="42">
        <v>0</v>
      </c>
      <c r="L919" s="66">
        <f>SUM(I919:K919)</f>
        <v>37</v>
      </c>
      <c r="M919" s="43"/>
    </row>
    <row r="920" spans="2:13" ht="15.75" hidden="1" x14ac:dyDescent="0.25">
      <c r="B920" s="10">
        <v>46161</v>
      </c>
      <c r="C920" s="10" t="s">
        <v>106</v>
      </c>
      <c r="D920" s="10" t="s">
        <v>129</v>
      </c>
      <c r="F920" s="942"/>
      <c r="G920" s="29" t="s">
        <v>32</v>
      </c>
      <c r="H920" s="29" t="s">
        <v>106</v>
      </c>
      <c r="I920" s="42">
        <v>64</v>
      </c>
      <c r="J920" s="42">
        <v>19</v>
      </c>
      <c r="K920" s="42">
        <v>0</v>
      </c>
      <c r="L920" s="66">
        <f>SUM(I920:K920)</f>
        <v>83</v>
      </c>
      <c r="M920" s="43"/>
    </row>
    <row r="921" spans="2:13" ht="15.75" hidden="1" x14ac:dyDescent="0.25">
      <c r="B921" s="10">
        <v>46161</v>
      </c>
      <c r="C921" s="10" t="s">
        <v>106</v>
      </c>
      <c r="D921" s="10" t="s">
        <v>129</v>
      </c>
      <c r="F921" s="942"/>
      <c r="G921" s="29" t="s">
        <v>25</v>
      </c>
      <c r="H921" s="29" t="s">
        <v>106</v>
      </c>
      <c r="I921" s="42">
        <v>2</v>
      </c>
      <c r="J921" s="42">
        <v>2</v>
      </c>
      <c r="K921" s="42">
        <v>0</v>
      </c>
      <c r="L921" s="66">
        <f>SUM(I921:K921)</f>
        <v>4</v>
      </c>
      <c r="M921" s="43"/>
    </row>
    <row r="922" spans="2:13" ht="15.75" hidden="1" x14ac:dyDescent="0.25">
      <c r="B922" s="10">
        <v>46161</v>
      </c>
      <c r="C922" s="10" t="s">
        <v>106</v>
      </c>
      <c r="D922" s="10" t="s">
        <v>129</v>
      </c>
      <c r="F922" s="942"/>
      <c r="G922" s="29" t="s">
        <v>14</v>
      </c>
      <c r="H922" s="29" t="s">
        <v>18</v>
      </c>
      <c r="I922" s="42">
        <v>101</v>
      </c>
      <c r="J922" s="42">
        <v>30</v>
      </c>
      <c r="K922" s="42">
        <v>11</v>
      </c>
      <c r="L922" s="66">
        <f>SUM(I922:K922)</f>
        <v>142</v>
      </c>
      <c r="M922" s="43"/>
    </row>
    <row r="923" spans="2:13" ht="15.75" hidden="1" x14ac:dyDescent="0.25">
      <c r="B923" s="10">
        <v>46161</v>
      </c>
      <c r="C923" s="10" t="s">
        <v>106</v>
      </c>
      <c r="D923" s="10" t="s">
        <v>129</v>
      </c>
      <c r="F923" s="268">
        <v>46162</v>
      </c>
      <c r="G923" s="29" t="s">
        <v>17</v>
      </c>
      <c r="H923" s="29" t="s">
        <v>106</v>
      </c>
      <c r="I923" s="42">
        <v>0</v>
      </c>
      <c r="J923" s="42">
        <v>0</v>
      </c>
      <c r="K923" s="42">
        <v>64</v>
      </c>
      <c r="L923" s="66">
        <f t="shared" ref="L923" si="204">SUM(I923:K923)</f>
        <v>64</v>
      </c>
      <c r="M923" s="43"/>
    </row>
    <row r="924" spans="2:13" ht="15.75" hidden="1" x14ac:dyDescent="0.25">
      <c r="B924" s="10">
        <v>46161</v>
      </c>
      <c r="C924" s="10" t="s">
        <v>106</v>
      </c>
      <c r="D924" s="10" t="s">
        <v>129</v>
      </c>
      <c r="F924" s="937" t="s">
        <v>40</v>
      </c>
      <c r="G924" s="937"/>
      <c r="H924" s="937"/>
      <c r="I924" s="8">
        <f>SUM(I918:I923)</f>
        <v>227</v>
      </c>
      <c r="J924" s="8">
        <f>SUM(J918:J923)</f>
        <v>92</v>
      </c>
      <c r="K924" s="8">
        <f>SUM(K918:K923)</f>
        <v>75</v>
      </c>
      <c r="L924" s="8">
        <f>SUM(L918:L923)</f>
        <v>394</v>
      </c>
      <c r="M924" s="31"/>
    </row>
    <row r="925" spans="2:13" ht="15.75" hidden="1" x14ac:dyDescent="0.25">
      <c r="B925" s="10">
        <v>46161</v>
      </c>
      <c r="C925" s="10" t="s">
        <v>105</v>
      </c>
      <c r="D925" s="10" t="s">
        <v>131</v>
      </c>
      <c r="F925" s="942">
        <v>46161</v>
      </c>
      <c r="G925" s="29" t="s">
        <v>75</v>
      </c>
      <c r="H925" s="29" t="s">
        <v>127</v>
      </c>
      <c r="I925" s="42">
        <v>21</v>
      </c>
      <c r="J925" s="42">
        <v>15</v>
      </c>
      <c r="K925" s="42">
        <v>0</v>
      </c>
      <c r="L925" s="66">
        <f>SUM(I925:K925)</f>
        <v>36</v>
      </c>
      <c r="M925" s="43"/>
    </row>
    <row r="926" spans="2:13" ht="15.75" hidden="1" x14ac:dyDescent="0.25">
      <c r="B926" s="10">
        <v>46161</v>
      </c>
      <c r="C926" s="10" t="s">
        <v>105</v>
      </c>
      <c r="D926" s="10" t="s">
        <v>131</v>
      </c>
      <c r="F926" s="942"/>
      <c r="G926" s="29" t="s">
        <v>25</v>
      </c>
      <c r="H926" s="29" t="s">
        <v>105</v>
      </c>
      <c r="I926" s="42">
        <v>2</v>
      </c>
      <c r="J926" s="42">
        <v>2</v>
      </c>
      <c r="K926" s="42">
        <v>0</v>
      </c>
      <c r="L926" s="66">
        <f>SUM(I926:K926)</f>
        <v>4</v>
      </c>
      <c r="M926" s="43"/>
    </row>
    <row r="927" spans="2:13" ht="15.75" hidden="1" x14ac:dyDescent="0.25">
      <c r="B927" s="10">
        <v>46161</v>
      </c>
      <c r="C927" s="10" t="s">
        <v>105</v>
      </c>
      <c r="D927" s="10" t="s">
        <v>131</v>
      </c>
      <c r="F927" s="942"/>
      <c r="G927" s="29" t="s">
        <v>120</v>
      </c>
      <c r="H927" s="29" t="s">
        <v>105</v>
      </c>
      <c r="I927" s="42">
        <v>3</v>
      </c>
      <c r="J927" s="42">
        <v>0</v>
      </c>
      <c r="K927" s="42">
        <v>0</v>
      </c>
      <c r="L927" s="66">
        <f>SUM(I927:K927)</f>
        <v>3</v>
      </c>
      <c r="M927" s="43"/>
    </row>
    <row r="928" spans="2:13" ht="15.75" hidden="1" x14ac:dyDescent="0.25">
      <c r="B928" s="10">
        <v>46161</v>
      </c>
      <c r="C928" s="10" t="s">
        <v>105</v>
      </c>
      <c r="D928" s="10" t="s">
        <v>131</v>
      </c>
      <c r="F928" s="942"/>
      <c r="G928" s="29" t="s">
        <v>14</v>
      </c>
      <c r="H928" s="29" t="s">
        <v>18</v>
      </c>
      <c r="I928" s="42">
        <v>30</v>
      </c>
      <c r="J928" s="42">
        <v>21</v>
      </c>
      <c r="K928" s="42">
        <v>0</v>
      </c>
      <c r="L928" s="66">
        <f>SUM(I928:K928)</f>
        <v>51</v>
      </c>
      <c r="M928" s="43"/>
    </row>
    <row r="929" spans="2:13" ht="15.75" hidden="1" x14ac:dyDescent="0.25">
      <c r="B929" s="10">
        <v>46161</v>
      </c>
      <c r="C929" s="10" t="s">
        <v>105</v>
      </c>
      <c r="D929" s="10" t="s">
        <v>131</v>
      </c>
      <c r="F929" s="939">
        <v>46162</v>
      </c>
      <c r="G929" s="29" t="s">
        <v>16</v>
      </c>
      <c r="H929" s="29" t="s">
        <v>127</v>
      </c>
      <c r="I929" s="42">
        <v>102</v>
      </c>
      <c r="J929" s="42">
        <v>45</v>
      </c>
      <c r="K929" s="42">
        <v>0</v>
      </c>
      <c r="L929" s="66">
        <f t="shared" ref="L929:L931" si="205">SUM(I929:K929)</f>
        <v>147</v>
      </c>
      <c r="M929" s="43"/>
    </row>
    <row r="930" spans="2:13" ht="15.75" hidden="1" x14ac:dyDescent="0.25">
      <c r="B930" s="10">
        <v>46161</v>
      </c>
      <c r="C930" s="10" t="s">
        <v>105</v>
      </c>
      <c r="D930" s="10" t="s">
        <v>131</v>
      </c>
      <c r="F930" s="940"/>
      <c r="G930" s="29" t="s">
        <v>32</v>
      </c>
      <c r="H930" s="29" t="s">
        <v>106</v>
      </c>
      <c r="I930" s="42">
        <v>6</v>
      </c>
      <c r="J930" s="42">
        <v>7</v>
      </c>
      <c r="K930" s="42">
        <v>0</v>
      </c>
      <c r="L930" s="66">
        <f t="shared" si="205"/>
        <v>13</v>
      </c>
      <c r="M930" s="43"/>
    </row>
    <row r="931" spans="2:13" ht="15.75" hidden="1" x14ac:dyDescent="0.25">
      <c r="B931" s="10">
        <v>46161</v>
      </c>
      <c r="C931" s="10" t="s">
        <v>105</v>
      </c>
      <c r="D931" s="10" t="s">
        <v>131</v>
      </c>
      <c r="F931" s="940"/>
      <c r="G931" s="29" t="s">
        <v>17</v>
      </c>
      <c r="H931" s="29" t="s">
        <v>106</v>
      </c>
      <c r="I931" s="42">
        <v>138</v>
      </c>
      <c r="J931" s="42">
        <v>48</v>
      </c>
      <c r="K931" s="42">
        <v>0</v>
      </c>
      <c r="L931" s="66">
        <f t="shared" si="205"/>
        <v>186</v>
      </c>
      <c r="M931" s="43"/>
    </row>
    <row r="932" spans="2:13" ht="15.75" hidden="1" x14ac:dyDescent="0.25">
      <c r="B932" s="10">
        <v>46161</v>
      </c>
      <c r="C932" s="10" t="s">
        <v>105</v>
      </c>
      <c r="D932" s="10" t="s">
        <v>131</v>
      </c>
      <c r="F932" s="937" t="s">
        <v>40</v>
      </c>
      <c r="G932" s="937"/>
      <c r="H932" s="937"/>
      <c r="I932" s="8">
        <f>SUM(I925:I931)</f>
        <v>302</v>
      </c>
      <c r="J932" s="8">
        <f>SUM(J925:J931)</f>
        <v>138</v>
      </c>
      <c r="K932" s="8">
        <f>SUM(K925:K931)</f>
        <v>0</v>
      </c>
      <c r="L932" s="8">
        <f>SUM(L925:L931)</f>
        <v>440</v>
      </c>
      <c r="M932" s="31"/>
    </row>
    <row r="933" spans="2:13" ht="15.75" hidden="1" x14ac:dyDescent="0.25">
      <c r="B933" s="10">
        <v>46162</v>
      </c>
      <c r="C933" s="10" t="s">
        <v>106</v>
      </c>
      <c r="D933" s="10" t="s">
        <v>129</v>
      </c>
      <c r="F933" s="942">
        <v>46162</v>
      </c>
      <c r="G933" s="29" t="s">
        <v>75</v>
      </c>
      <c r="H933" s="29" t="s">
        <v>127</v>
      </c>
      <c r="I933" s="42">
        <v>62</v>
      </c>
      <c r="J933" s="42">
        <v>33</v>
      </c>
      <c r="K933" s="42">
        <v>0</v>
      </c>
      <c r="L933" s="66">
        <f t="shared" ref="L933:L939" si="206">SUM(I933:K933)</f>
        <v>95</v>
      </c>
      <c r="M933" s="43"/>
    </row>
    <row r="934" spans="2:13" ht="15.75" hidden="1" x14ac:dyDescent="0.25">
      <c r="B934" s="10">
        <v>46162</v>
      </c>
      <c r="C934" s="10" t="s">
        <v>106</v>
      </c>
      <c r="D934" s="10" t="s">
        <v>129</v>
      </c>
      <c r="F934" s="942"/>
      <c r="G934" s="29" t="s">
        <v>17</v>
      </c>
      <c r="H934" s="29" t="s">
        <v>106</v>
      </c>
      <c r="I934" s="42">
        <v>16</v>
      </c>
      <c r="J934" s="42">
        <v>14</v>
      </c>
      <c r="K934" s="42">
        <v>0</v>
      </c>
      <c r="L934" s="66">
        <f t="shared" si="206"/>
        <v>30</v>
      </c>
      <c r="M934" s="43"/>
    </row>
    <row r="935" spans="2:13" ht="15.75" hidden="1" x14ac:dyDescent="0.25">
      <c r="B935" s="10">
        <v>46162</v>
      </c>
      <c r="C935" s="10" t="s">
        <v>106</v>
      </c>
      <c r="D935" s="10" t="s">
        <v>129</v>
      </c>
      <c r="F935" s="942"/>
      <c r="G935" s="29" t="s">
        <v>32</v>
      </c>
      <c r="H935" s="29" t="s">
        <v>106</v>
      </c>
      <c r="I935" s="42">
        <v>22</v>
      </c>
      <c r="J935" s="42">
        <v>10</v>
      </c>
      <c r="K935" s="42">
        <v>0</v>
      </c>
      <c r="L935" s="66">
        <f t="shared" si="206"/>
        <v>32</v>
      </c>
      <c r="M935" s="43"/>
    </row>
    <row r="936" spans="2:13" ht="15.75" hidden="1" x14ac:dyDescent="0.25">
      <c r="B936" s="10">
        <v>46162</v>
      </c>
      <c r="C936" s="10" t="s">
        <v>106</v>
      </c>
      <c r="D936" s="10" t="s">
        <v>129</v>
      </c>
      <c r="F936" s="942"/>
      <c r="G936" s="29" t="s">
        <v>25</v>
      </c>
      <c r="H936" s="29" t="s">
        <v>106</v>
      </c>
      <c r="I936" s="42">
        <v>4</v>
      </c>
      <c r="J936" s="42">
        <v>9</v>
      </c>
      <c r="K936" s="42">
        <v>0</v>
      </c>
      <c r="L936" s="66">
        <f t="shared" si="206"/>
        <v>13</v>
      </c>
      <c r="M936" s="43"/>
    </row>
    <row r="937" spans="2:13" ht="15.75" hidden="1" x14ac:dyDescent="0.25">
      <c r="B937" s="10">
        <v>46162</v>
      </c>
      <c r="C937" s="10" t="s">
        <v>106</v>
      </c>
      <c r="D937" s="10" t="s">
        <v>129</v>
      </c>
      <c r="F937" s="942"/>
      <c r="G937" s="29" t="s">
        <v>14</v>
      </c>
      <c r="H937" s="29" t="s">
        <v>18</v>
      </c>
      <c r="I937" s="42">
        <v>84</v>
      </c>
      <c r="J937" s="42">
        <v>15</v>
      </c>
      <c r="K937" s="42">
        <v>0</v>
      </c>
      <c r="L937" s="66">
        <f t="shared" si="206"/>
        <v>99</v>
      </c>
      <c r="M937" s="43"/>
    </row>
    <row r="938" spans="2:13" ht="15.75" hidden="1" x14ac:dyDescent="0.25">
      <c r="B938" s="10">
        <v>46162</v>
      </c>
      <c r="C938" s="10" t="s">
        <v>106</v>
      </c>
      <c r="D938" s="10" t="s">
        <v>129</v>
      </c>
      <c r="F938" s="943">
        <v>46163</v>
      </c>
      <c r="G938" s="29" t="s">
        <v>118</v>
      </c>
      <c r="H938" s="29" t="s">
        <v>18</v>
      </c>
      <c r="I938" s="42">
        <v>0</v>
      </c>
      <c r="J938" s="42">
        <v>0</v>
      </c>
      <c r="K938" s="42">
        <v>41</v>
      </c>
      <c r="L938" s="66">
        <f t="shared" si="206"/>
        <v>41</v>
      </c>
      <c r="M938" s="43"/>
    </row>
    <row r="939" spans="2:13" ht="15.75" hidden="1" x14ac:dyDescent="0.25">
      <c r="B939" s="10">
        <v>46162</v>
      </c>
      <c r="C939" s="10" t="s">
        <v>106</v>
      </c>
      <c r="D939" s="10" t="s">
        <v>129</v>
      </c>
      <c r="F939" s="944"/>
      <c r="G939" s="29" t="s">
        <v>32</v>
      </c>
      <c r="H939" s="29" t="s">
        <v>106</v>
      </c>
      <c r="I939" s="42">
        <v>14</v>
      </c>
      <c r="J939" s="42">
        <v>4</v>
      </c>
      <c r="K939" s="42">
        <v>5</v>
      </c>
      <c r="L939" s="66">
        <f t="shared" si="206"/>
        <v>23</v>
      </c>
      <c r="M939" s="43"/>
    </row>
    <row r="940" spans="2:13" ht="15.75" hidden="1" x14ac:dyDescent="0.25">
      <c r="B940" s="10">
        <v>46162</v>
      </c>
      <c r="C940" s="10" t="s">
        <v>106</v>
      </c>
      <c r="D940" s="10" t="s">
        <v>129</v>
      </c>
      <c r="F940" s="945"/>
      <c r="G940" s="29" t="s">
        <v>25</v>
      </c>
      <c r="H940" s="29" t="s">
        <v>18</v>
      </c>
      <c r="I940" s="42">
        <v>0</v>
      </c>
      <c r="J940" s="42">
        <v>0</v>
      </c>
      <c r="K940" s="42">
        <v>100</v>
      </c>
      <c r="L940" s="66">
        <f t="shared" ref="L940" si="207">SUM(I940:K940)</f>
        <v>100</v>
      </c>
      <c r="M940" s="43"/>
    </row>
    <row r="941" spans="2:13" ht="15.75" hidden="1" x14ac:dyDescent="0.25">
      <c r="B941" s="10">
        <v>46162</v>
      </c>
      <c r="C941" s="10" t="s">
        <v>106</v>
      </c>
      <c r="D941" s="10" t="s">
        <v>129</v>
      </c>
      <c r="F941" s="937" t="s">
        <v>40</v>
      </c>
      <c r="G941" s="937"/>
      <c r="H941" s="937"/>
      <c r="I941" s="8">
        <f>SUM(I933:I940)</f>
        <v>202</v>
      </c>
      <c r="J941" s="8">
        <f>SUM(J933:J940)</f>
        <v>85</v>
      </c>
      <c r="K941" s="8">
        <f>SUM(K933:K940)</f>
        <v>146</v>
      </c>
      <c r="L941" s="8">
        <f>SUM(L933:L940)</f>
        <v>433</v>
      </c>
      <c r="M941" s="43"/>
    </row>
    <row r="942" spans="2:13" ht="15.75" hidden="1" x14ac:dyDescent="0.25">
      <c r="B942" s="10">
        <v>46162</v>
      </c>
      <c r="C942" s="10" t="s">
        <v>105</v>
      </c>
      <c r="D942" s="10" t="s">
        <v>131</v>
      </c>
      <c r="F942" s="942">
        <v>46162</v>
      </c>
      <c r="G942" s="29" t="s">
        <v>75</v>
      </c>
      <c r="H942" s="29" t="s">
        <v>127</v>
      </c>
      <c r="I942" s="42">
        <v>14</v>
      </c>
      <c r="J942" s="42">
        <v>7</v>
      </c>
      <c r="K942" s="42">
        <v>0</v>
      </c>
      <c r="L942" s="66">
        <f t="shared" ref="L942:L949" si="208">SUM(I942:K942)</f>
        <v>21</v>
      </c>
      <c r="M942" s="43"/>
    </row>
    <row r="943" spans="2:13" ht="15.75" hidden="1" x14ac:dyDescent="0.25">
      <c r="B943" s="10">
        <v>46162</v>
      </c>
      <c r="C943" s="10" t="s">
        <v>105</v>
      </c>
      <c r="D943" s="10" t="s">
        <v>131</v>
      </c>
      <c r="F943" s="942"/>
      <c r="G943" s="29" t="s">
        <v>17</v>
      </c>
      <c r="H943" s="29" t="s">
        <v>106</v>
      </c>
      <c r="I943" s="42">
        <v>12</v>
      </c>
      <c r="J943" s="42">
        <v>10</v>
      </c>
      <c r="K943" s="42">
        <v>0</v>
      </c>
      <c r="L943" s="66">
        <f t="shared" si="208"/>
        <v>22</v>
      </c>
      <c r="M943" s="43"/>
    </row>
    <row r="944" spans="2:13" ht="15.75" hidden="1" x14ac:dyDescent="0.25">
      <c r="B944" s="10">
        <v>46162</v>
      </c>
      <c r="C944" s="10" t="s">
        <v>105</v>
      </c>
      <c r="D944" s="10" t="s">
        <v>131</v>
      </c>
      <c r="F944" s="942"/>
      <c r="G944" s="29" t="s">
        <v>14</v>
      </c>
      <c r="H944" s="29" t="s">
        <v>18</v>
      </c>
      <c r="I944" s="42">
        <v>17</v>
      </c>
      <c r="J944" s="42">
        <v>8</v>
      </c>
      <c r="K944" s="42">
        <v>0</v>
      </c>
      <c r="L944" s="66">
        <f t="shared" si="208"/>
        <v>25</v>
      </c>
      <c r="M944" s="43"/>
    </row>
    <row r="945" spans="2:13" ht="15.75" hidden="1" x14ac:dyDescent="0.25">
      <c r="B945" s="10">
        <v>46162</v>
      </c>
      <c r="C945" s="10" t="s">
        <v>105</v>
      </c>
      <c r="D945" s="10" t="s">
        <v>131</v>
      </c>
      <c r="F945" s="939">
        <v>46163</v>
      </c>
      <c r="G945" s="29" t="s">
        <v>75</v>
      </c>
      <c r="H945" s="29" t="s">
        <v>127</v>
      </c>
      <c r="I945" s="42">
        <v>143</v>
      </c>
      <c r="J945" s="42">
        <v>45</v>
      </c>
      <c r="K945" s="42">
        <v>0</v>
      </c>
      <c r="L945" s="66">
        <f t="shared" ref="L945" si="209">SUM(I945:K945)</f>
        <v>188</v>
      </c>
      <c r="M945" s="43"/>
    </row>
    <row r="946" spans="2:13" ht="15.75" hidden="1" x14ac:dyDescent="0.25">
      <c r="B946" s="10">
        <v>46162</v>
      </c>
      <c r="C946" s="10" t="s">
        <v>105</v>
      </c>
      <c r="D946" s="10" t="s">
        <v>131</v>
      </c>
      <c r="F946" s="940"/>
      <c r="G946" s="29" t="s">
        <v>118</v>
      </c>
      <c r="H946" s="29" t="s">
        <v>105</v>
      </c>
      <c r="I946" s="42">
        <v>27</v>
      </c>
      <c r="J946" s="42">
        <v>17</v>
      </c>
      <c r="K946" s="42">
        <v>0</v>
      </c>
      <c r="L946" s="66">
        <f t="shared" si="208"/>
        <v>44</v>
      </c>
      <c r="M946" s="43"/>
    </row>
    <row r="947" spans="2:13" ht="15.75" hidden="1" x14ac:dyDescent="0.25">
      <c r="B947" s="10">
        <v>46162</v>
      </c>
      <c r="C947" s="10" t="s">
        <v>105</v>
      </c>
      <c r="D947" s="10" t="s">
        <v>131</v>
      </c>
      <c r="F947" s="940"/>
      <c r="G947" s="29" t="s">
        <v>32</v>
      </c>
      <c r="H947" s="29" t="s">
        <v>106</v>
      </c>
      <c r="I947" s="42">
        <v>1</v>
      </c>
      <c r="J947" s="42">
        <v>1</v>
      </c>
      <c r="K947" s="42">
        <v>0</v>
      </c>
      <c r="L947" s="66">
        <f t="shared" si="208"/>
        <v>2</v>
      </c>
      <c r="M947" s="43"/>
    </row>
    <row r="948" spans="2:13" ht="15.75" hidden="1" x14ac:dyDescent="0.25">
      <c r="B948" s="10">
        <v>46162</v>
      </c>
      <c r="C948" s="10" t="s">
        <v>105</v>
      </c>
      <c r="D948" s="10" t="s">
        <v>131</v>
      </c>
      <c r="F948" s="941"/>
      <c r="G948" s="29" t="s">
        <v>25</v>
      </c>
      <c r="H948" s="29" t="s">
        <v>106</v>
      </c>
      <c r="I948" s="42">
        <v>129</v>
      </c>
      <c r="J948" s="42">
        <v>40</v>
      </c>
      <c r="K948" s="42">
        <v>0</v>
      </c>
      <c r="L948" s="66">
        <f t="shared" ref="L948" si="210">SUM(I948:K948)</f>
        <v>169</v>
      </c>
      <c r="M948" s="43"/>
    </row>
    <row r="949" spans="2:13" ht="15.75" hidden="1" x14ac:dyDescent="0.25">
      <c r="B949" s="10">
        <v>46162</v>
      </c>
      <c r="C949" s="10" t="s">
        <v>105</v>
      </c>
      <c r="D949" s="10" t="s">
        <v>131</v>
      </c>
      <c r="F949" s="269">
        <v>46164</v>
      </c>
      <c r="G949" s="29" t="s">
        <v>118</v>
      </c>
      <c r="H949" s="29" t="s">
        <v>18</v>
      </c>
      <c r="I949" s="42">
        <v>11</v>
      </c>
      <c r="J949" s="42">
        <v>23</v>
      </c>
      <c r="K949" s="42">
        <v>0</v>
      </c>
      <c r="L949" s="66">
        <f t="shared" si="208"/>
        <v>34</v>
      </c>
      <c r="M949" s="43"/>
    </row>
    <row r="950" spans="2:13" ht="15.75" hidden="1" x14ac:dyDescent="0.25">
      <c r="B950" s="10">
        <v>46162</v>
      </c>
      <c r="C950" s="10" t="s">
        <v>105</v>
      </c>
      <c r="D950" s="10" t="s">
        <v>131</v>
      </c>
      <c r="F950" s="937" t="s">
        <v>40</v>
      </c>
      <c r="G950" s="937"/>
      <c r="H950" s="937"/>
      <c r="I950" s="8">
        <f>SUM(I942:I949)</f>
        <v>354</v>
      </c>
      <c r="J950" s="8">
        <f>SUM(J942:J949)</f>
        <v>151</v>
      </c>
      <c r="K950" s="8">
        <f>SUM(K942:K949)</f>
        <v>0</v>
      </c>
      <c r="L950" s="8">
        <f>SUM(L942:L949)</f>
        <v>505</v>
      </c>
      <c r="M950" s="70"/>
    </row>
    <row r="951" spans="2:13" ht="15.75" hidden="1" x14ac:dyDescent="0.25">
      <c r="B951" s="10">
        <v>46163</v>
      </c>
      <c r="C951" s="10" t="s">
        <v>106</v>
      </c>
      <c r="D951" s="10" t="s">
        <v>129</v>
      </c>
      <c r="F951" s="942">
        <v>46163</v>
      </c>
      <c r="G951" s="29" t="s">
        <v>75</v>
      </c>
      <c r="H951" s="29" t="s">
        <v>127</v>
      </c>
      <c r="I951" s="42">
        <v>35</v>
      </c>
      <c r="J951" s="42">
        <v>19</v>
      </c>
      <c r="K951" s="42">
        <v>0</v>
      </c>
      <c r="L951" s="66">
        <f t="shared" ref="L951:L958" si="211">SUM(I951:K951)</f>
        <v>54</v>
      </c>
      <c r="M951" s="43"/>
    </row>
    <row r="952" spans="2:13" ht="15.75" hidden="1" x14ac:dyDescent="0.25">
      <c r="B952" s="10">
        <v>46163</v>
      </c>
      <c r="C952" s="10" t="s">
        <v>106</v>
      </c>
      <c r="D952" s="10" t="s">
        <v>129</v>
      </c>
      <c r="F952" s="942"/>
      <c r="G952" s="29" t="s">
        <v>17</v>
      </c>
      <c r="H952" s="29" t="s">
        <v>106</v>
      </c>
      <c r="I952" s="42">
        <v>39</v>
      </c>
      <c r="J952" s="42">
        <v>13</v>
      </c>
      <c r="K952" s="42">
        <v>0</v>
      </c>
      <c r="L952" s="66">
        <f t="shared" si="211"/>
        <v>52</v>
      </c>
      <c r="M952" s="43"/>
    </row>
    <row r="953" spans="2:13" ht="15.75" hidden="1" x14ac:dyDescent="0.25">
      <c r="B953" s="10">
        <v>46163</v>
      </c>
      <c r="C953" s="10" t="s">
        <v>106</v>
      </c>
      <c r="D953" s="10" t="s">
        <v>129</v>
      </c>
      <c r="F953" s="942"/>
      <c r="G953" s="29" t="s">
        <v>32</v>
      </c>
      <c r="H953" s="29" t="s">
        <v>106</v>
      </c>
      <c r="I953" s="42">
        <v>29</v>
      </c>
      <c r="J953" s="42">
        <v>12</v>
      </c>
      <c r="K953" s="42">
        <v>0</v>
      </c>
      <c r="L953" s="66">
        <f t="shared" si="211"/>
        <v>41</v>
      </c>
      <c r="M953" s="43"/>
    </row>
    <row r="954" spans="2:13" ht="15.75" hidden="1" x14ac:dyDescent="0.25">
      <c r="B954" s="10">
        <v>46163</v>
      </c>
      <c r="C954" s="10" t="s">
        <v>106</v>
      </c>
      <c r="D954" s="10" t="s">
        <v>129</v>
      </c>
      <c r="F954" s="942"/>
      <c r="G954" s="29" t="s">
        <v>25</v>
      </c>
      <c r="H954" s="29" t="s">
        <v>106</v>
      </c>
      <c r="I954" s="42">
        <v>27</v>
      </c>
      <c r="J954" s="42">
        <v>18</v>
      </c>
      <c r="K954" s="42">
        <v>0</v>
      </c>
      <c r="L954" s="66">
        <f t="shared" si="211"/>
        <v>45</v>
      </c>
      <c r="M954" s="43"/>
    </row>
    <row r="955" spans="2:13" ht="15.75" hidden="1" x14ac:dyDescent="0.25">
      <c r="B955" s="10">
        <v>46163</v>
      </c>
      <c r="C955" s="10" t="s">
        <v>106</v>
      </c>
      <c r="D955" s="10" t="s">
        <v>129</v>
      </c>
      <c r="F955" s="942"/>
      <c r="G955" s="29" t="s">
        <v>14</v>
      </c>
      <c r="H955" s="29" t="s">
        <v>18</v>
      </c>
      <c r="I955" s="42">
        <v>106</v>
      </c>
      <c r="J955" s="42">
        <v>9</v>
      </c>
      <c r="K955" s="42">
        <v>15</v>
      </c>
      <c r="L955" s="66">
        <f t="shared" si="211"/>
        <v>130</v>
      </c>
      <c r="M955" s="43"/>
    </row>
    <row r="956" spans="2:13" ht="15.75" hidden="1" x14ac:dyDescent="0.25">
      <c r="B956" s="10">
        <v>46163</v>
      </c>
      <c r="C956" s="10" t="s">
        <v>106</v>
      </c>
      <c r="D956" s="10" t="s">
        <v>129</v>
      </c>
      <c r="F956" s="943">
        <v>46164</v>
      </c>
      <c r="G956" s="29" t="s">
        <v>118</v>
      </c>
      <c r="H956" s="29" t="s">
        <v>18</v>
      </c>
      <c r="I956" s="42">
        <v>0</v>
      </c>
      <c r="J956" s="42">
        <v>0</v>
      </c>
      <c r="K956" s="42">
        <v>58</v>
      </c>
      <c r="L956" s="66">
        <f t="shared" si="211"/>
        <v>58</v>
      </c>
      <c r="M956" s="43"/>
    </row>
    <row r="957" spans="2:13" ht="15.75" hidden="1" x14ac:dyDescent="0.25">
      <c r="B957" s="10">
        <v>46163</v>
      </c>
      <c r="C957" s="10" t="s">
        <v>106</v>
      </c>
      <c r="D957" s="10" t="s">
        <v>129</v>
      </c>
      <c r="F957" s="944"/>
      <c r="G957" s="29" t="s">
        <v>32</v>
      </c>
      <c r="H957" s="29" t="s">
        <v>106</v>
      </c>
      <c r="I957" s="42">
        <v>6</v>
      </c>
      <c r="J957" s="42">
        <v>3</v>
      </c>
      <c r="K957" s="42">
        <v>0</v>
      </c>
      <c r="L957" s="66">
        <f t="shared" si="211"/>
        <v>9</v>
      </c>
      <c r="M957" s="43"/>
    </row>
    <row r="958" spans="2:13" ht="15.75" hidden="1" x14ac:dyDescent="0.25">
      <c r="B958" s="10">
        <v>46163</v>
      </c>
      <c r="C958" s="10" t="s">
        <v>106</v>
      </c>
      <c r="D958" s="10" t="s">
        <v>129</v>
      </c>
      <c r="F958" s="945"/>
      <c r="G958" s="29" t="s">
        <v>25</v>
      </c>
      <c r="H958" s="29" t="s">
        <v>18</v>
      </c>
      <c r="I958" s="42">
        <v>0</v>
      </c>
      <c r="J958" s="42">
        <v>0</v>
      </c>
      <c r="K958" s="42">
        <v>56</v>
      </c>
      <c r="L958" s="66">
        <f t="shared" si="211"/>
        <v>56</v>
      </c>
      <c r="M958" s="43"/>
    </row>
    <row r="959" spans="2:13" ht="15.75" hidden="1" x14ac:dyDescent="0.25">
      <c r="B959" s="10">
        <v>46163</v>
      </c>
      <c r="C959" s="10" t="s">
        <v>106</v>
      </c>
      <c r="D959" s="10" t="s">
        <v>129</v>
      </c>
      <c r="F959" s="937" t="s">
        <v>40</v>
      </c>
      <c r="G959" s="937"/>
      <c r="H959" s="937"/>
      <c r="I959" s="8">
        <f>SUM(I951:I958)</f>
        <v>242</v>
      </c>
      <c r="J959" s="8">
        <f>SUM(J951:J958)</f>
        <v>74</v>
      </c>
      <c r="K959" s="8">
        <f>SUM(K951:K958)</f>
        <v>129</v>
      </c>
      <c r="L959" s="8">
        <f>SUM(L951:L958)</f>
        <v>445</v>
      </c>
      <c r="M959" s="43"/>
    </row>
    <row r="960" spans="2:13" ht="15.75" hidden="1" x14ac:dyDescent="0.25">
      <c r="B960" s="10">
        <v>46163</v>
      </c>
      <c r="C960" s="10" t="s">
        <v>105</v>
      </c>
      <c r="D960" s="10" t="s">
        <v>131</v>
      </c>
      <c r="F960" s="942">
        <v>46163</v>
      </c>
      <c r="G960" s="29" t="s">
        <v>75</v>
      </c>
      <c r="H960" s="29" t="s">
        <v>127</v>
      </c>
      <c r="I960" s="42">
        <v>17</v>
      </c>
      <c r="J960" s="42">
        <v>7</v>
      </c>
      <c r="K960" s="42">
        <v>0</v>
      </c>
      <c r="L960" s="66">
        <f t="shared" ref="L960:L966" si="212">SUM(I960:K960)</f>
        <v>24</v>
      </c>
      <c r="M960" s="43"/>
    </row>
    <row r="961" spans="2:13" ht="15.75" hidden="1" x14ac:dyDescent="0.25">
      <c r="B961" s="10">
        <v>46163</v>
      </c>
      <c r="C961" s="10" t="s">
        <v>105</v>
      </c>
      <c r="D961" s="10" t="s">
        <v>131</v>
      </c>
      <c r="F961" s="942"/>
      <c r="G961" s="29" t="s">
        <v>25</v>
      </c>
      <c r="H961" s="29" t="s">
        <v>106</v>
      </c>
      <c r="I961" s="42">
        <v>2</v>
      </c>
      <c r="J961" s="42">
        <v>9</v>
      </c>
      <c r="K961" s="42">
        <v>0</v>
      </c>
      <c r="L961" s="66">
        <f t="shared" si="212"/>
        <v>11</v>
      </c>
      <c r="M961" s="43"/>
    </row>
    <row r="962" spans="2:13" ht="15.75" hidden="1" x14ac:dyDescent="0.25">
      <c r="B962" s="10">
        <v>46163</v>
      </c>
      <c r="C962" s="10" t="s">
        <v>105</v>
      </c>
      <c r="D962" s="10" t="s">
        <v>131</v>
      </c>
      <c r="F962" s="942"/>
      <c r="G962" s="29" t="s">
        <v>120</v>
      </c>
      <c r="H962" s="29" t="s">
        <v>105</v>
      </c>
      <c r="I962" s="42">
        <v>2</v>
      </c>
      <c r="J962" s="42">
        <v>0</v>
      </c>
      <c r="K962" s="42">
        <v>0</v>
      </c>
      <c r="L962" s="66">
        <f t="shared" si="212"/>
        <v>2</v>
      </c>
      <c r="M962" s="43"/>
    </row>
    <row r="963" spans="2:13" ht="15.75" hidden="1" x14ac:dyDescent="0.25">
      <c r="B963" s="10">
        <v>46163</v>
      </c>
      <c r="C963" s="10" t="s">
        <v>105</v>
      </c>
      <c r="D963" s="10" t="s">
        <v>131</v>
      </c>
      <c r="F963" s="942"/>
      <c r="G963" s="29" t="s">
        <v>14</v>
      </c>
      <c r="H963" s="29" t="s">
        <v>18</v>
      </c>
      <c r="I963" s="42">
        <v>27</v>
      </c>
      <c r="J963" s="42">
        <v>8</v>
      </c>
      <c r="K963" s="42">
        <v>0</v>
      </c>
      <c r="L963" s="66">
        <f t="shared" si="212"/>
        <v>35</v>
      </c>
      <c r="M963" s="43"/>
    </row>
    <row r="964" spans="2:13" ht="15.75" hidden="1" x14ac:dyDescent="0.25">
      <c r="B964" s="10">
        <v>46163</v>
      </c>
      <c r="C964" s="10" t="s">
        <v>105</v>
      </c>
      <c r="D964" s="10" t="s">
        <v>131</v>
      </c>
      <c r="F964" s="942">
        <v>46164</v>
      </c>
      <c r="G964" s="29" t="s">
        <v>118</v>
      </c>
      <c r="H964" s="29" t="s">
        <v>105</v>
      </c>
      <c r="I964" s="42">
        <v>33</v>
      </c>
      <c r="J964" s="42">
        <v>63</v>
      </c>
      <c r="K964" s="42">
        <v>0</v>
      </c>
      <c r="L964" s="66">
        <f t="shared" si="212"/>
        <v>96</v>
      </c>
      <c r="M964" s="43"/>
    </row>
    <row r="965" spans="2:13" ht="15.75" hidden="1" x14ac:dyDescent="0.25">
      <c r="B965" s="10">
        <v>46163</v>
      </c>
      <c r="C965" s="10" t="s">
        <v>105</v>
      </c>
      <c r="D965" s="10" t="s">
        <v>131</v>
      </c>
      <c r="F965" s="942"/>
      <c r="G965" s="29" t="s">
        <v>17</v>
      </c>
      <c r="H965" s="29" t="s">
        <v>106</v>
      </c>
      <c r="I965" s="42">
        <v>107</v>
      </c>
      <c r="J965" s="42">
        <v>39</v>
      </c>
      <c r="K965" s="42">
        <v>0</v>
      </c>
      <c r="L965" s="66">
        <f t="shared" si="212"/>
        <v>146</v>
      </c>
      <c r="M965" s="43"/>
    </row>
    <row r="966" spans="2:13" ht="15.75" hidden="1" x14ac:dyDescent="0.25">
      <c r="B966" s="10">
        <v>46163</v>
      </c>
      <c r="C966" s="10" t="s">
        <v>105</v>
      </c>
      <c r="D966" s="10" t="s">
        <v>131</v>
      </c>
      <c r="F966" s="942"/>
      <c r="G966" s="29" t="s">
        <v>136</v>
      </c>
      <c r="H966" s="29" t="s">
        <v>112</v>
      </c>
      <c r="I966" s="42">
        <v>90</v>
      </c>
      <c r="J966" s="42">
        <v>73</v>
      </c>
      <c r="K966" s="42">
        <v>0</v>
      </c>
      <c r="L966" s="66">
        <f t="shared" si="212"/>
        <v>163</v>
      </c>
      <c r="M966" s="43"/>
    </row>
    <row r="967" spans="2:13" ht="15.75" hidden="1" x14ac:dyDescent="0.2">
      <c r="B967" s="10">
        <v>46163</v>
      </c>
      <c r="C967" s="10" t="s">
        <v>105</v>
      </c>
      <c r="D967" s="10" t="s">
        <v>131</v>
      </c>
      <c r="F967" s="937" t="s">
        <v>40</v>
      </c>
      <c r="G967" s="937"/>
      <c r="H967" s="937"/>
      <c r="I967" s="8">
        <f>SUM(I960:I966)</f>
        <v>278</v>
      </c>
      <c r="J967" s="8">
        <f>SUM(J960:J966)</f>
        <v>199</v>
      </c>
      <c r="K967" s="8">
        <f>SUM(K960:K966)</f>
        <v>0</v>
      </c>
      <c r="L967" s="8">
        <f>SUM(L960:L966)</f>
        <v>477</v>
      </c>
      <c r="M967" s="8"/>
    </row>
    <row r="968" spans="2:13" ht="15.75" hidden="1" x14ac:dyDescent="0.25">
      <c r="B968" s="10">
        <v>46164</v>
      </c>
      <c r="C968" s="10" t="s">
        <v>106</v>
      </c>
      <c r="D968" s="10" t="s">
        <v>129</v>
      </c>
      <c r="F968" s="942">
        <v>46164</v>
      </c>
      <c r="G968" s="29" t="s">
        <v>75</v>
      </c>
      <c r="H968" s="29" t="s">
        <v>127</v>
      </c>
      <c r="I968" s="42">
        <v>7</v>
      </c>
      <c r="J968" s="42">
        <v>47</v>
      </c>
      <c r="K968" s="42">
        <v>0</v>
      </c>
      <c r="L968" s="66">
        <f t="shared" ref="L968:L976" si="213">SUM(I968:K968)</f>
        <v>54</v>
      </c>
      <c r="M968" s="43"/>
    </row>
    <row r="969" spans="2:13" ht="15.75" hidden="1" x14ac:dyDescent="0.25">
      <c r="B969" s="10">
        <v>46164</v>
      </c>
      <c r="C969" s="10" t="s">
        <v>106</v>
      </c>
      <c r="D969" s="10" t="s">
        <v>129</v>
      </c>
      <c r="F969" s="942"/>
      <c r="G969" s="29" t="s">
        <v>17</v>
      </c>
      <c r="H969" s="29" t="s">
        <v>106</v>
      </c>
      <c r="I969" s="42">
        <v>21</v>
      </c>
      <c r="J969" s="42">
        <v>16</v>
      </c>
      <c r="K969" s="42">
        <v>0</v>
      </c>
      <c r="L969" s="66">
        <f t="shared" si="213"/>
        <v>37</v>
      </c>
      <c r="M969" s="43"/>
    </row>
    <row r="970" spans="2:13" ht="15.75" hidden="1" x14ac:dyDescent="0.25">
      <c r="B970" s="10">
        <v>46164</v>
      </c>
      <c r="C970" s="10" t="s">
        <v>106</v>
      </c>
      <c r="D970" s="10" t="s">
        <v>129</v>
      </c>
      <c r="F970" s="942"/>
      <c r="G970" s="29" t="s">
        <v>32</v>
      </c>
      <c r="H970" s="29" t="s">
        <v>106</v>
      </c>
      <c r="I970" s="42">
        <v>15</v>
      </c>
      <c r="J970" s="42">
        <v>2</v>
      </c>
      <c r="K970" s="42">
        <v>0</v>
      </c>
      <c r="L970" s="66">
        <f t="shared" si="213"/>
        <v>17</v>
      </c>
      <c r="M970" s="43"/>
    </row>
    <row r="971" spans="2:13" ht="15.75" hidden="1" x14ac:dyDescent="0.25">
      <c r="B971" s="10">
        <v>46164</v>
      </c>
      <c r="C971" s="10" t="s">
        <v>106</v>
      </c>
      <c r="D971" s="10" t="s">
        <v>129</v>
      </c>
      <c r="F971" s="942"/>
      <c r="G971" s="29" t="s">
        <v>25</v>
      </c>
      <c r="H971" s="29" t="s">
        <v>106</v>
      </c>
      <c r="I971" s="42">
        <v>11</v>
      </c>
      <c r="J971" s="42">
        <v>0</v>
      </c>
      <c r="K971" s="42">
        <v>0</v>
      </c>
      <c r="L971" s="66">
        <f t="shared" si="213"/>
        <v>11</v>
      </c>
      <c r="M971" s="43"/>
    </row>
    <row r="972" spans="2:13" ht="15.75" hidden="1" x14ac:dyDescent="0.25">
      <c r="B972" s="10">
        <v>46164</v>
      </c>
      <c r="C972" s="10" t="s">
        <v>106</v>
      </c>
      <c r="D972" s="10" t="s">
        <v>129</v>
      </c>
      <c r="F972" s="942"/>
      <c r="G972" s="29" t="s">
        <v>120</v>
      </c>
      <c r="H972" s="29" t="s">
        <v>105</v>
      </c>
      <c r="I972" s="42">
        <v>9</v>
      </c>
      <c r="J972" s="42">
        <v>0</v>
      </c>
      <c r="K972" s="42">
        <v>0</v>
      </c>
      <c r="L972" s="66">
        <f t="shared" si="213"/>
        <v>9</v>
      </c>
      <c r="M972" s="43"/>
    </row>
    <row r="973" spans="2:13" ht="15.75" hidden="1" x14ac:dyDescent="0.25">
      <c r="B973" s="10">
        <v>46164</v>
      </c>
      <c r="C973" s="10" t="s">
        <v>106</v>
      </c>
      <c r="D973" s="10" t="s">
        <v>129</v>
      </c>
      <c r="F973" s="942"/>
      <c r="G973" s="29" t="s">
        <v>14</v>
      </c>
      <c r="H973" s="29" t="s">
        <v>18</v>
      </c>
      <c r="I973" s="42">
        <v>123</v>
      </c>
      <c r="J973" s="42">
        <v>29</v>
      </c>
      <c r="K973" s="42">
        <v>0</v>
      </c>
      <c r="L973" s="66">
        <f t="shared" si="213"/>
        <v>152</v>
      </c>
      <c r="M973" s="43"/>
    </row>
    <row r="974" spans="2:13" ht="15.75" hidden="1" x14ac:dyDescent="0.25">
      <c r="B974" s="10">
        <v>46164</v>
      </c>
      <c r="C974" s="10" t="s">
        <v>106</v>
      </c>
      <c r="D974" s="10" t="s">
        <v>129</v>
      </c>
      <c r="F974" s="943">
        <v>46165</v>
      </c>
      <c r="G974" s="29" t="s">
        <v>118</v>
      </c>
      <c r="H974" s="29" t="s">
        <v>105</v>
      </c>
      <c r="I974" s="42">
        <v>26</v>
      </c>
      <c r="J974" s="42">
        <v>15</v>
      </c>
      <c r="K974" s="42">
        <v>0</v>
      </c>
      <c r="L974" s="66">
        <f t="shared" si="213"/>
        <v>41</v>
      </c>
      <c r="M974" s="43"/>
    </row>
    <row r="975" spans="2:13" ht="15.75" hidden="1" x14ac:dyDescent="0.25">
      <c r="B975" s="10">
        <v>46164</v>
      </c>
      <c r="C975" s="10" t="s">
        <v>106</v>
      </c>
      <c r="D975" s="10" t="s">
        <v>129</v>
      </c>
      <c r="F975" s="944"/>
      <c r="G975" s="29" t="s">
        <v>17</v>
      </c>
      <c r="H975" s="29" t="s">
        <v>106</v>
      </c>
      <c r="I975" s="42">
        <v>0</v>
      </c>
      <c r="J975" s="42">
        <v>0</v>
      </c>
      <c r="K975" s="42">
        <v>110</v>
      </c>
      <c r="L975" s="66">
        <f t="shared" si="213"/>
        <v>110</v>
      </c>
      <c r="M975" s="43"/>
    </row>
    <row r="976" spans="2:13" ht="15.75" hidden="1" x14ac:dyDescent="0.25">
      <c r="B976" s="10">
        <v>46164</v>
      </c>
      <c r="C976" s="10" t="s">
        <v>106</v>
      </c>
      <c r="D976" s="10" t="s">
        <v>129</v>
      </c>
      <c r="F976" s="294"/>
      <c r="G976" s="29" t="s">
        <v>75</v>
      </c>
      <c r="H976" s="29" t="s">
        <v>106</v>
      </c>
      <c r="I976" s="42">
        <v>0</v>
      </c>
      <c r="J976" s="42">
        <v>0</v>
      </c>
      <c r="K976" s="42">
        <v>5</v>
      </c>
      <c r="L976" s="66">
        <f t="shared" si="213"/>
        <v>5</v>
      </c>
      <c r="M976" s="43"/>
    </row>
    <row r="977" spans="2:13" ht="15.75" hidden="1" x14ac:dyDescent="0.25">
      <c r="B977" s="10">
        <v>46164</v>
      </c>
      <c r="C977" s="10" t="s">
        <v>106</v>
      </c>
      <c r="D977" s="10" t="s">
        <v>129</v>
      </c>
      <c r="F977" s="937" t="s">
        <v>40</v>
      </c>
      <c r="G977" s="937"/>
      <c r="H977" s="937"/>
      <c r="I977" s="8">
        <f>SUM(I968:I976)</f>
        <v>212</v>
      </c>
      <c r="J977" s="8">
        <f>SUM(J968:J976)</f>
        <v>109</v>
      </c>
      <c r="K977" s="8">
        <f>SUM(K968:K976)</f>
        <v>115</v>
      </c>
      <c r="L977" s="8">
        <f>SUBTOTAL(9,I977:K977)</f>
        <v>0</v>
      </c>
      <c r="M977" s="31"/>
    </row>
    <row r="978" spans="2:13" ht="15.75" hidden="1" x14ac:dyDescent="0.25">
      <c r="B978" s="10">
        <v>46164</v>
      </c>
      <c r="C978" s="10" t="s">
        <v>105</v>
      </c>
      <c r="D978" s="10" t="s">
        <v>131</v>
      </c>
      <c r="F978" s="942">
        <v>46164</v>
      </c>
      <c r="G978" s="29" t="s">
        <v>75</v>
      </c>
      <c r="H978" s="29" t="s">
        <v>127</v>
      </c>
      <c r="I978" s="42">
        <v>21</v>
      </c>
      <c r="J978" s="42">
        <v>1</v>
      </c>
      <c r="K978" s="42">
        <v>0</v>
      </c>
      <c r="L978" s="66">
        <f t="shared" ref="L978:L991" si="214">SUM(I978:K978)</f>
        <v>22</v>
      </c>
      <c r="M978" s="43"/>
    </row>
    <row r="979" spans="2:13" ht="15.75" hidden="1" x14ac:dyDescent="0.25">
      <c r="B979" s="10">
        <v>46164</v>
      </c>
      <c r="C979" s="10" t="s">
        <v>105</v>
      </c>
      <c r="D979" s="10" t="s">
        <v>131</v>
      </c>
      <c r="F979" s="942"/>
      <c r="G979" s="29" t="s">
        <v>14</v>
      </c>
      <c r="H979" s="29" t="s">
        <v>18</v>
      </c>
      <c r="I979" s="42">
        <v>3</v>
      </c>
      <c r="J979" s="42">
        <v>10</v>
      </c>
      <c r="K979" s="42">
        <v>0</v>
      </c>
      <c r="L979" s="66">
        <f t="shared" si="214"/>
        <v>13</v>
      </c>
      <c r="M979" s="43"/>
    </row>
    <row r="980" spans="2:13" ht="15.75" hidden="1" x14ac:dyDescent="0.25">
      <c r="B980" s="10">
        <v>46164</v>
      </c>
      <c r="C980" s="10" t="s">
        <v>105</v>
      </c>
      <c r="D980" s="10" t="s">
        <v>131</v>
      </c>
      <c r="F980" s="295">
        <v>46167</v>
      </c>
      <c r="G980" s="29" t="s">
        <v>84</v>
      </c>
      <c r="H980" s="29" t="s">
        <v>105</v>
      </c>
      <c r="I980" s="42">
        <v>16</v>
      </c>
      <c r="J980" s="42">
        <v>7</v>
      </c>
      <c r="K980" s="42">
        <v>64</v>
      </c>
      <c r="L980" s="66">
        <f t="shared" si="214"/>
        <v>87</v>
      </c>
      <c r="M980" s="43"/>
    </row>
    <row r="981" spans="2:13" ht="15.75" hidden="1" x14ac:dyDescent="0.25">
      <c r="B981" s="10">
        <v>46164</v>
      </c>
      <c r="C981" s="10" t="s">
        <v>105</v>
      </c>
      <c r="D981" s="10" t="s">
        <v>131</v>
      </c>
      <c r="F981" s="942">
        <v>46165</v>
      </c>
      <c r="G981" s="29" t="s">
        <v>17</v>
      </c>
      <c r="H981" s="29" t="s">
        <v>106</v>
      </c>
      <c r="I981" s="42">
        <v>120</v>
      </c>
      <c r="J981" s="42">
        <v>23</v>
      </c>
      <c r="K981" s="42">
        <v>0</v>
      </c>
      <c r="L981" s="66">
        <f t="shared" si="214"/>
        <v>143</v>
      </c>
      <c r="M981" s="43"/>
    </row>
    <row r="982" spans="2:13" ht="15.75" hidden="1" x14ac:dyDescent="0.25">
      <c r="B982" s="10">
        <v>46164</v>
      </c>
      <c r="C982" s="10" t="s">
        <v>105</v>
      </c>
      <c r="D982" s="10" t="s">
        <v>131</v>
      </c>
      <c r="F982" s="942"/>
      <c r="G982" s="29" t="s">
        <v>75</v>
      </c>
      <c r="H982" s="29" t="s">
        <v>106</v>
      </c>
      <c r="I982" s="42">
        <v>125</v>
      </c>
      <c r="J982" s="42">
        <v>67</v>
      </c>
      <c r="K982" s="42">
        <v>0</v>
      </c>
      <c r="L982" s="66">
        <f t="shared" si="214"/>
        <v>192</v>
      </c>
      <c r="M982" s="43"/>
    </row>
    <row r="983" spans="2:13" ht="15.75" hidden="1" x14ac:dyDescent="0.25">
      <c r="B983" s="10">
        <v>46164</v>
      </c>
      <c r="C983" s="10" t="s">
        <v>105</v>
      </c>
      <c r="D983" s="10" t="s">
        <v>131</v>
      </c>
      <c r="F983" s="937" t="s">
        <v>40</v>
      </c>
      <c r="G983" s="937"/>
      <c r="H983" s="937"/>
      <c r="I983" s="8">
        <f>SUM(I978:I982)</f>
        <v>285</v>
      </c>
      <c r="J983" s="8">
        <f>SUM(J978:J982)</f>
        <v>108</v>
      </c>
      <c r="K983" s="8">
        <f>SUM(K978:K982)</f>
        <v>64</v>
      </c>
      <c r="L983" s="8">
        <f>SUBTOTAL(9,I983:K983)</f>
        <v>0</v>
      </c>
      <c r="M983" s="31"/>
    </row>
    <row r="984" spans="2:13" ht="15.75" hidden="1" x14ac:dyDescent="0.25">
      <c r="B984" s="10">
        <v>46165</v>
      </c>
      <c r="C984" s="10" t="s">
        <v>106</v>
      </c>
      <c r="D984" s="10" t="s">
        <v>129</v>
      </c>
      <c r="F984" s="951">
        <v>46164</v>
      </c>
      <c r="G984" s="29" t="s">
        <v>75</v>
      </c>
      <c r="H984" s="29" t="s">
        <v>112</v>
      </c>
      <c r="I984" s="29">
        <v>4</v>
      </c>
      <c r="J984" s="29">
        <v>21</v>
      </c>
      <c r="K984" s="29">
        <v>0</v>
      </c>
      <c r="L984" s="66">
        <f t="shared" si="214"/>
        <v>25</v>
      </c>
      <c r="M984" s="43"/>
    </row>
    <row r="985" spans="2:13" ht="15.75" hidden="1" x14ac:dyDescent="0.25">
      <c r="B985" s="10">
        <v>46165</v>
      </c>
      <c r="C985" s="10" t="s">
        <v>106</v>
      </c>
      <c r="D985" s="10" t="s">
        <v>129</v>
      </c>
      <c r="F985" s="980"/>
      <c r="G985" s="29" t="s">
        <v>17</v>
      </c>
      <c r="H985" s="29" t="s">
        <v>106</v>
      </c>
      <c r="I985" s="29">
        <v>30</v>
      </c>
      <c r="J985" s="29">
        <v>9</v>
      </c>
      <c r="K985" s="29">
        <v>0</v>
      </c>
      <c r="L985" s="66">
        <f t="shared" si="214"/>
        <v>39</v>
      </c>
      <c r="M985" s="43"/>
    </row>
    <row r="986" spans="2:13" ht="15.75" hidden="1" x14ac:dyDescent="0.25">
      <c r="B986" s="10">
        <v>46165</v>
      </c>
      <c r="C986" s="10" t="s">
        <v>106</v>
      </c>
      <c r="D986" s="10" t="s">
        <v>129</v>
      </c>
      <c r="F986" s="980"/>
      <c r="G986" s="29" t="s">
        <v>32</v>
      </c>
      <c r="H986" s="29" t="s">
        <v>106</v>
      </c>
      <c r="I986" s="29">
        <v>10</v>
      </c>
      <c r="J986" s="29">
        <v>1</v>
      </c>
      <c r="K986" s="29">
        <v>0</v>
      </c>
      <c r="L986" s="66">
        <f t="shared" si="214"/>
        <v>11</v>
      </c>
      <c r="M986" s="43"/>
    </row>
    <row r="987" spans="2:13" ht="15.75" hidden="1" x14ac:dyDescent="0.25">
      <c r="B987" s="10">
        <v>46165</v>
      </c>
      <c r="C987" s="10" t="s">
        <v>106</v>
      </c>
      <c r="D987" s="10" t="s">
        <v>129</v>
      </c>
      <c r="F987" s="980"/>
      <c r="G987" s="29" t="s">
        <v>25</v>
      </c>
      <c r="H987" s="29" t="s">
        <v>106</v>
      </c>
      <c r="I987" s="29">
        <v>4</v>
      </c>
      <c r="J987" s="29">
        <v>2</v>
      </c>
      <c r="K987" s="29">
        <v>0</v>
      </c>
      <c r="L987" s="66">
        <f t="shared" si="214"/>
        <v>6</v>
      </c>
      <c r="M987" s="43"/>
    </row>
    <row r="988" spans="2:13" ht="15.75" hidden="1" x14ac:dyDescent="0.25">
      <c r="B988" s="10">
        <v>46165</v>
      </c>
      <c r="C988" s="10" t="s">
        <v>106</v>
      </c>
      <c r="D988" s="10" t="s">
        <v>129</v>
      </c>
      <c r="F988" s="981"/>
      <c r="G988" s="29" t="s">
        <v>14</v>
      </c>
      <c r="H988" s="29" t="s">
        <v>18</v>
      </c>
      <c r="I988" s="29">
        <v>130</v>
      </c>
      <c r="J988" s="29">
        <v>30</v>
      </c>
      <c r="K988" s="29">
        <v>0</v>
      </c>
      <c r="L988" s="66">
        <f t="shared" si="214"/>
        <v>160</v>
      </c>
      <c r="M988" s="43"/>
    </row>
    <row r="989" spans="2:13" ht="15.75" hidden="1" x14ac:dyDescent="0.25">
      <c r="B989" s="10">
        <v>46165</v>
      </c>
      <c r="C989" s="10" t="s">
        <v>106</v>
      </c>
      <c r="D989" s="10" t="s">
        <v>129</v>
      </c>
      <c r="F989" s="298">
        <v>46166</v>
      </c>
      <c r="G989" s="29" t="s">
        <v>17</v>
      </c>
      <c r="H989" s="29" t="s">
        <v>105</v>
      </c>
      <c r="I989" s="29">
        <v>0</v>
      </c>
      <c r="J989" s="29">
        <v>0</v>
      </c>
      <c r="K989" s="29">
        <v>20</v>
      </c>
      <c r="L989" s="66">
        <f t="shared" si="214"/>
        <v>20</v>
      </c>
      <c r="M989" s="43"/>
    </row>
    <row r="990" spans="2:13" ht="15.75" hidden="1" x14ac:dyDescent="0.25">
      <c r="B990" s="10">
        <v>46165</v>
      </c>
      <c r="C990" s="10" t="s">
        <v>106</v>
      </c>
      <c r="D990" s="10" t="s">
        <v>129</v>
      </c>
      <c r="F990" s="982">
        <v>46167</v>
      </c>
      <c r="G990" s="29" t="s">
        <v>84</v>
      </c>
      <c r="H990" s="29" t="s">
        <v>106</v>
      </c>
      <c r="I990" s="29">
        <v>106</v>
      </c>
      <c r="J990" s="29">
        <v>18</v>
      </c>
      <c r="K990" s="29">
        <v>21</v>
      </c>
      <c r="L990" s="66">
        <f t="shared" si="214"/>
        <v>145</v>
      </c>
      <c r="M990" s="43"/>
    </row>
    <row r="991" spans="2:13" ht="15.75" hidden="1" x14ac:dyDescent="0.25">
      <c r="B991" s="10">
        <v>46165</v>
      </c>
      <c r="C991" s="10" t="s">
        <v>106</v>
      </c>
      <c r="D991" s="10" t="s">
        <v>129</v>
      </c>
      <c r="F991" s="983"/>
      <c r="G991" s="29" t="s">
        <v>118</v>
      </c>
      <c r="H991" s="29" t="s">
        <v>106</v>
      </c>
      <c r="I991" s="42">
        <v>9</v>
      </c>
      <c r="J991" s="42">
        <v>14</v>
      </c>
      <c r="K991" s="42">
        <v>0</v>
      </c>
      <c r="L991" s="66">
        <f t="shared" si="214"/>
        <v>23</v>
      </c>
      <c r="M991" s="43"/>
    </row>
    <row r="992" spans="2:13" ht="15.75" hidden="1" x14ac:dyDescent="0.25">
      <c r="B992" s="10">
        <v>46165</v>
      </c>
      <c r="C992" s="10" t="s">
        <v>106</v>
      </c>
      <c r="D992" s="10" t="s">
        <v>129</v>
      </c>
      <c r="F992" s="937" t="s">
        <v>40</v>
      </c>
      <c r="G992" s="937"/>
      <c r="H992" s="937"/>
      <c r="I992" s="8">
        <f>SUM(I987:I991)</f>
        <v>249</v>
      </c>
      <c r="J992" s="8">
        <f>SUM(J987:J991)</f>
        <v>64</v>
      </c>
      <c r="K992" s="8">
        <f>SUM(K987:K991)</f>
        <v>41</v>
      </c>
      <c r="L992" s="8">
        <f>SUBTOTAL(9,I992:K992)</f>
        <v>0</v>
      </c>
      <c r="M992" s="43"/>
    </row>
    <row r="993" spans="2:13" ht="15.75" hidden="1" x14ac:dyDescent="0.25">
      <c r="B993" s="10">
        <v>46165</v>
      </c>
      <c r="C993" s="10" t="s">
        <v>105</v>
      </c>
      <c r="D993" s="10" t="s">
        <v>131</v>
      </c>
      <c r="F993" s="942">
        <v>46165</v>
      </c>
      <c r="G993" s="29" t="s">
        <v>75</v>
      </c>
      <c r="H993" s="29" t="s">
        <v>127</v>
      </c>
      <c r="I993" s="42">
        <v>83</v>
      </c>
      <c r="J993" s="42">
        <v>59</v>
      </c>
      <c r="K993" s="42">
        <v>0</v>
      </c>
      <c r="L993" s="66">
        <f t="shared" ref="L993:L997" si="215">SUM(I993:K993)</f>
        <v>142</v>
      </c>
      <c r="M993" s="43"/>
    </row>
    <row r="994" spans="2:13" ht="15.75" hidden="1" x14ac:dyDescent="0.25">
      <c r="B994" s="10">
        <v>46165</v>
      </c>
      <c r="C994" s="10" t="s">
        <v>105</v>
      </c>
      <c r="D994" s="10" t="s">
        <v>131</v>
      </c>
      <c r="F994" s="942"/>
      <c r="G994" s="29" t="s">
        <v>17</v>
      </c>
      <c r="H994" s="29" t="s">
        <v>106</v>
      </c>
      <c r="I994" s="42">
        <v>109</v>
      </c>
      <c r="J994" s="42">
        <v>45</v>
      </c>
      <c r="K994" s="42">
        <v>0</v>
      </c>
      <c r="L994" s="66">
        <f t="shared" si="215"/>
        <v>154</v>
      </c>
      <c r="M994" s="43"/>
    </row>
    <row r="995" spans="2:13" ht="15.75" hidden="1" x14ac:dyDescent="0.25">
      <c r="B995" s="10">
        <v>46165</v>
      </c>
      <c r="C995" s="10" t="s">
        <v>105</v>
      </c>
      <c r="D995" s="10" t="s">
        <v>131</v>
      </c>
      <c r="F995" s="942"/>
      <c r="G995" s="29" t="s">
        <v>84</v>
      </c>
      <c r="H995" s="29" t="s">
        <v>106</v>
      </c>
      <c r="I995" s="42">
        <v>0</v>
      </c>
      <c r="J995" s="42">
        <v>0</v>
      </c>
      <c r="K995" s="42">
        <v>45</v>
      </c>
      <c r="L995" s="66">
        <f t="shared" si="215"/>
        <v>45</v>
      </c>
      <c r="M995" s="43"/>
    </row>
    <row r="996" spans="2:13" ht="15.75" hidden="1" x14ac:dyDescent="0.25">
      <c r="B996" s="10">
        <v>46165</v>
      </c>
      <c r="C996" s="10" t="s">
        <v>105</v>
      </c>
      <c r="D996" s="10" t="s">
        <v>131</v>
      </c>
      <c r="F996" s="942"/>
      <c r="G996" s="29" t="s">
        <v>118</v>
      </c>
      <c r="H996" s="29" t="s">
        <v>106</v>
      </c>
      <c r="I996" s="42">
        <v>9</v>
      </c>
      <c r="J996" s="42">
        <v>1</v>
      </c>
      <c r="K996" s="42">
        <v>0</v>
      </c>
      <c r="L996" s="66">
        <f t="shared" ref="L996" si="216">SUM(I996:K996)</f>
        <v>10</v>
      </c>
      <c r="M996" s="43"/>
    </row>
    <row r="997" spans="2:13" ht="15.75" hidden="1" x14ac:dyDescent="0.25">
      <c r="B997" s="10">
        <v>46165</v>
      </c>
      <c r="C997" s="10" t="s">
        <v>105</v>
      </c>
      <c r="D997" s="10" t="s">
        <v>131</v>
      </c>
      <c r="F997" s="942"/>
      <c r="G997" s="29" t="s">
        <v>14</v>
      </c>
      <c r="H997" s="29" t="s">
        <v>18</v>
      </c>
      <c r="I997" s="42">
        <v>14</v>
      </c>
      <c r="J997" s="42">
        <v>6</v>
      </c>
      <c r="K997" s="42">
        <v>0</v>
      </c>
      <c r="L997" s="66">
        <f t="shared" si="215"/>
        <v>20</v>
      </c>
      <c r="M997" s="43"/>
    </row>
    <row r="998" spans="2:13" ht="15.75" hidden="1" x14ac:dyDescent="0.25">
      <c r="B998" s="10">
        <v>46165</v>
      </c>
      <c r="C998" s="10" t="s">
        <v>105</v>
      </c>
      <c r="D998" s="10" t="s">
        <v>131</v>
      </c>
      <c r="F998" s="937" t="s">
        <v>40</v>
      </c>
      <c r="G998" s="937"/>
      <c r="H998" s="937"/>
      <c r="I998" s="8">
        <f>SUM(I993:I997)</f>
        <v>215</v>
      </c>
      <c r="J998" s="8">
        <f t="shared" ref="J998:K998" si="217">SUM(J993:J997)</f>
        <v>111</v>
      </c>
      <c r="K998" s="8">
        <f t="shared" si="217"/>
        <v>45</v>
      </c>
      <c r="L998" s="8">
        <f>SUBTOTAL(9,I998:K998)</f>
        <v>0</v>
      </c>
      <c r="M998" s="31"/>
    </row>
    <row r="999" spans="2:13" ht="15.75" hidden="1" x14ac:dyDescent="0.25">
      <c r="B999" s="10">
        <v>46166</v>
      </c>
      <c r="C999" s="10" t="s">
        <v>106</v>
      </c>
      <c r="D999" s="10" t="s">
        <v>129</v>
      </c>
      <c r="F999" s="939">
        <v>46166</v>
      </c>
      <c r="G999" s="29" t="s">
        <v>75</v>
      </c>
      <c r="H999" s="29" t="s">
        <v>43</v>
      </c>
      <c r="I999" s="29">
        <v>6</v>
      </c>
      <c r="J999" s="29">
        <v>17</v>
      </c>
      <c r="K999" s="60">
        <v>0</v>
      </c>
      <c r="L999" s="66">
        <f t="shared" ref="L999:L1002" si="218">SUM(I999:K999)</f>
        <v>23</v>
      </c>
      <c r="M999" s="43"/>
    </row>
    <row r="1000" spans="2:13" ht="15.75" hidden="1" x14ac:dyDescent="0.25">
      <c r="B1000" s="10">
        <v>46166</v>
      </c>
      <c r="C1000" s="10" t="s">
        <v>106</v>
      </c>
      <c r="D1000" s="10" t="s">
        <v>129</v>
      </c>
      <c r="F1000" s="941"/>
      <c r="G1000" s="29" t="s">
        <v>17</v>
      </c>
      <c r="H1000" s="29" t="s">
        <v>43</v>
      </c>
      <c r="I1000" s="29">
        <v>46</v>
      </c>
      <c r="J1000" s="29">
        <v>15</v>
      </c>
      <c r="K1000" s="60">
        <v>0</v>
      </c>
      <c r="L1000" s="66">
        <f t="shared" si="218"/>
        <v>61</v>
      </c>
      <c r="M1000" s="43"/>
    </row>
    <row r="1001" spans="2:13" ht="15.75" hidden="1" x14ac:dyDescent="0.25">
      <c r="B1001" s="10">
        <v>46166</v>
      </c>
      <c r="C1001" s="10" t="s">
        <v>106</v>
      </c>
      <c r="D1001" s="10" t="s">
        <v>129</v>
      </c>
      <c r="F1001" s="943">
        <v>46167</v>
      </c>
      <c r="G1001" s="29" t="s">
        <v>75</v>
      </c>
      <c r="H1001" s="29" t="s">
        <v>112</v>
      </c>
      <c r="I1001" s="29">
        <v>37</v>
      </c>
      <c r="J1001" s="29">
        <v>22</v>
      </c>
      <c r="K1001" s="60">
        <v>0</v>
      </c>
      <c r="L1001" s="66">
        <f t="shared" si="218"/>
        <v>59</v>
      </c>
      <c r="M1001" s="43"/>
    </row>
    <row r="1002" spans="2:13" ht="15.75" hidden="1" x14ac:dyDescent="0.25">
      <c r="B1002" s="10">
        <v>46166</v>
      </c>
      <c r="C1002" s="10" t="s">
        <v>106</v>
      </c>
      <c r="D1002" s="10" t="s">
        <v>129</v>
      </c>
      <c r="F1002" s="944"/>
      <c r="G1002" s="29" t="s">
        <v>14</v>
      </c>
      <c r="H1002" s="29" t="s">
        <v>106</v>
      </c>
      <c r="I1002" s="29">
        <v>104</v>
      </c>
      <c r="J1002" s="29">
        <v>29</v>
      </c>
      <c r="K1002" s="60">
        <v>21</v>
      </c>
      <c r="L1002" s="66">
        <f t="shared" si="218"/>
        <v>154</v>
      </c>
      <c r="M1002" s="43"/>
    </row>
    <row r="1003" spans="2:13" ht="15.75" hidden="1" x14ac:dyDescent="0.25">
      <c r="B1003" s="10">
        <v>46166</v>
      </c>
      <c r="C1003" s="10" t="s">
        <v>106</v>
      </c>
      <c r="D1003" s="10" t="s">
        <v>129</v>
      </c>
      <c r="F1003" s="937" t="s">
        <v>40</v>
      </c>
      <c r="G1003" s="937"/>
      <c r="H1003" s="937"/>
      <c r="I1003" s="8">
        <f>SUM(I999:I1002)</f>
        <v>193</v>
      </c>
      <c r="J1003" s="8">
        <f>SUM(J999:J1002)</f>
        <v>83</v>
      </c>
      <c r="K1003" s="8">
        <f>SUM(K999:K1002)</f>
        <v>21</v>
      </c>
      <c r="L1003" s="8">
        <f>SUBTOTAL(9,I1003:K1003)</f>
        <v>0</v>
      </c>
      <c r="M1003" s="31"/>
    </row>
    <row r="1004" spans="2:13" ht="15.75" hidden="1" x14ac:dyDescent="0.25">
      <c r="B1004" s="10">
        <v>46167</v>
      </c>
      <c r="C1004" s="10" t="s">
        <v>106</v>
      </c>
      <c r="D1004" s="10" t="s">
        <v>131</v>
      </c>
      <c r="F1004" s="942">
        <v>46167</v>
      </c>
      <c r="G1004" s="29" t="s">
        <v>75</v>
      </c>
      <c r="H1004" s="29" t="s">
        <v>112</v>
      </c>
      <c r="I1004" s="42">
        <v>39</v>
      </c>
      <c r="J1004" s="42">
        <v>40</v>
      </c>
      <c r="K1004" s="42">
        <v>0</v>
      </c>
      <c r="L1004" s="66">
        <f t="shared" ref="L1004:L1006" si="219">SUM(I1004:K1004)</f>
        <v>79</v>
      </c>
      <c r="M1004" s="43"/>
    </row>
    <row r="1005" spans="2:13" ht="15.75" hidden="1" x14ac:dyDescent="0.25">
      <c r="B1005" s="10">
        <v>46167</v>
      </c>
      <c r="C1005" s="10" t="s">
        <v>106</v>
      </c>
      <c r="D1005" s="10" t="s">
        <v>131</v>
      </c>
      <c r="F1005" s="942"/>
      <c r="G1005" s="29" t="s">
        <v>17</v>
      </c>
      <c r="H1005" s="29" t="s">
        <v>105</v>
      </c>
      <c r="I1005" s="42">
        <v>119</v>
      </c>
      <c r="J1005" s="42">
        <v>38</v>
      </c>
      <c r="K1005" s="42">
        <v>0</v>
      </c>
      <c r="L1005" s="66">
        <f t="shared" si="219"/>
        <v>157</v>
      </c>
      <c r="M1005" s="43"/>
    </row>
    <row r="1006" spans="2:13" ht="15.75" hidden="1" x14ac:dyDescent="0.25">
      <c r="B1006" s="10">
        <v>46167</v>
      </c>
      <c r="C1006" s="10" t="s">
        <v>106</v>
      </c>
      <c r="D1006" s="10" t="s">
        <v>131</v>
      </c>
      <c r="F1006" s="942"/>
      <c r="G1006" s="29" t="s">
        <v>84</v>
      </c>
      <c r="H1006" s="29" t="s">
        <v>106</v>
      </c>
      <c r="I1006" s="42">
        <v>90</v>
      </c>
      <c r="J1006" s="42">
        <v>32</v>
      </c>
      <c r="K1006" s="42">
        <v>0</v>
      </c>
      <c r="L1006" s="66">
        <f t="shared" si="219"/>
        <v>122</v>
      </c>
      <c r="M1006" s="43"/>
    </row>
    <row r="1007" spans="2:13" ht="15.75" hidden="1" x14ac:dyDescent="0.25">
      <c r="B1007" s="10">
        <v>46167</v>
      </c>
      <c r="C1007" s="10" t="s">
        <v>106</v>
      </c>
      <c r="D1007" s="10" t="s">
        <v>131</v>
      </c>
      <c r="F1007" s="942"/>
      <c r="G1007" s="29" t="s">
        <v>118</v>
      </c>
      <c r="H1007" s="29" t="s">
        <v>106</v>
      </c>
      <c r="I1007" s="42">
        <v>2</v>
      </c>
      <c r="J1007" s="42">
        <v>0</v>
      </c>
      <c r="K1007" s="42">
        <v>0</v>
      </c>
      <c r="L1007" s="66">
        <f t="shared" ref="L1007:L1008" si="220">SUM(I1007:K1007)</f>
        <v>2</v>
      </c>
      <c r="M1007" s="43"/>
    </row>
    <row r="1008" spans="2:13" ht="15.75" hidden="1" x14ac:dyDescent="0.25">
      <c r="B1008" s="10">
        <v>46167</v>
      </c>
      <c r="C1008" s="10" t="s">
        <v>106</v>
      </c>
      <c r="D1008" s="10" t="s">
        <v>131</v>
      </c>
      <c r="F1008" s="942"/>
      <c r="G1008" s="29" t="s">
        <v>120</v>
      </c>
      <c r="H1008" s="29" t="s">
        <v>106</v>
      </c>
      <c r="I1008" s="42">
        <v>16</v>
      </c>
      <c r="J1008" s="42">
        <v>2</v>
      </c>
      <c r="K1008" s="42">
        <v>0</v>
      </c>
      <c r="L1008" s="66">
        <f t="shared" si="220"/>
        <v>18</v>
      </c>
      <c r="M1008" s="43"/>
    </row>
    <row r="1009" spans="2:13" ht="15.75" hidden="1" x14ac:dyDescent="0.25">
      <c r="B1009" s="10">
        <v>46167</v>
      </c>
      <c r="C1009" s="10" t="s">
        <v>106</v>
      </c>
      <c r="D1009" s="10" t="s">
        <v>131</v>
      </c>
      <c r="F1009" s="942"/>
      <c r="G1009" s="29" t="s">
        <v>14</v>
      </c>
      <c r="H1009" s="29" t="s">
        <v>106</v>
      </c>
      <c r="I1009" s="42">
        <v>52</v>
      </c>
      <c r="J1009" s="42">
        <v>15</v>
      </c>
      <c r="K1009" s="42">
        <v>0</v>
      </c>
      <c r="L1009" s="66">
        <f t="shared" ref="L1009" si="221">SUM(I1009:K1009)</f>
        <v>67</v>
      </c>
      <c r="M1009" s="43"/>
    </row>
    <row r="1010" spans="2:13" ht="15.75" hidden="1" x14ac:dyDescent="0.25">
      <c r="B1010" s="10">
        <v>46167</v>
      </c>
      <c r="C1010" s="10" t="s">
        <v>106</v>
      </c>
      <c r="D1010" s="10" t="s">
        <v>131</v>
      </c>
      <c r="F1010" s="937" t="s">
        <v>40</v>
      </c>
      <c r="G1010" s="937"/>
      <c r="H1010" s="937"/>
      <c r="I1010" s="8">
        <f>SUM(I1004:I1009)</f>
        <v>318</v>
      </c>
      <c r="J1010" s="8">
        <f t="shared" ref="J1010:K1010" si="222">SUM(J1004:J1009)</f>
        <v>127</v>
      </c>
      <c r="K1010" s="8">
        <f t="shared" si="222"/>
        <v>0</v>
      </c>
      <c r="L1010" s="8">
        <f>SUBTOTAL(9,I1010:K1010)</f>
        <v>0</v>
      </c>
      <c r="M1010" s="31"/>
    </row>
    <row r="1011" spans="2:13" ht="15.75" hidden="1" x14ac:dyDescent="0.25">
      <c r="B1011" s="10">
        <v>46164</v>
      </c>
      <c r="C1011" s="10" t="s">
        <v>106</v>
      </c>
      <c r="D1011" s="10" t="s">
        <v>129</v>
      </c>
      <c r="F1011" s="939">
        <v>46165</v>
      </c>
      <c r="G1011" s="29" t="s">
        <v>75</v>
      </c>
      <c r="H1011" s="29" t="s">
        <v>112</v>
      </c>
      <c r="I1011" s="42">
        <v>4</v>
      </c>
      <c r="J1011" s="42">
        <v>21</v>
      </c>
      <c r="K1011" s="42">
        <v>0</v>
      </c>
      <c r="L1011" s="66">
        <f t="shared" ref="L1011:L1018" si="223">SUM(I1011:K1011)</f>
        <v>25</v>
      </c>
      <c r="M1011" s="43"/>
    </row>
    <row r="1012" spans="2:13" ht="15.75" hidden="1" x14ac:dyDescent="0.25">
      <c r="B1012" s="10">
        <v>46164</v>
      </c>
      <c r="C1012" s="10" t="s">
        <v>106</v>
      </c>
      <c r="D1012" s="10" t="s">
        <v>129</v>
      </c>
      <c r="F1012" s="940"/>
      <c r="G1012" s="29" t="s">
        <v>17</v>
      </c>
      <c r="H1012" s="29" t="s">
        <v>106</v>
      </c>
      <c r="I1012" s="42">
        <v>30</v>
      </c>
      <c r="J1012" s="42">
        <v>9</v>
      </c>
      <c r="K1012" s="42">
        <v>0</v>
      </c>
      <c r="L1012" s="66">
        <f t="shared" si="223"/>
        <v>39</v>
      </c>
      <c r="M1012" s="43"/>
    </row>
    <row r="1013" spans="2:13" ht="15.75" hidden="1" x14ac:dyDescent="0.25">
      <c r="B1013" s="10">
        <v>46164</v>
      </c>
      <c r="C1013" s="10" t="s">
        <v>106</v>
      </c>
      <c r="D1013" s="10" t="s">
        <v>129</v>
      </c>
      <c r="F1013" s="940"/>
      <c r="G1013" s="29" t="s">
        <v>32</v>
      </c>
      <c r="H1013" s="29" t="s">
        <v>106</v>
      </c>
      <c r="I1013" s="42">
        <v>10</v>
      </c>
      <c r="J1013" s="42">
        <v>1</v>
      </c>
      <c r="K1013" s="42">
        <v>0</v>
      </c>
      <c r="L1013" s="66">
        <f t="shared" si="223"/>
        <v>11</v>
      </c>
      <c r="M1013" s="43"/>
    </row>
    <row r="1014" spans="2:13" ht="15.75" hidden="1" x14ac:dyDescent="0.25">
      <c r="B1014" s="10">
        <v>46164</v>
      </c>
      <c r="C1014" s="10" t="s">
        <v>106</v>
      </c>
      <c r="D1014" s="10" t="s">
        <v>129</v>
      </c>
      <c r="F1014" s="940"/>
      <c r="G1014" s="29" t="s">
        <v>25</v>
      </c>
      <c r="H1014" s="29" t="s">
        <v>106</v>
      </c>
      <c r="I1014" s="42">
        <v>4</v>
      </c>
      <c r="J1014" s="42">
        <v>2</v>
      </c>
      <c r="K1014" s="42">
        <v>0</v>
      </c>
      <c r="L1014" s="66">
        <f t="shared" si="223"/>
        <v>6</v>
      </c>
      <c r="M1014" s="43"/>
    </row>
    <row r="1015" spans="2:13" ht="15.75" hidden="1" x14ac:dyDescent="0.25">
      <c r="B1015" s="10">
        <v>46164</v>
      </c>
      <c r="C1015" s="10" t="s">
        <v>106</v>
      </c>
      <c r="D1015" s="10" t="s">
        <v>129</v>
      </c>
      <c r="F1015" s="941"/>
      <c r="G1015" s="29" t="s">
        <v>14</v>
      </c>
      <c r="H1015" s="29" t="s">
        <v>18</v>
      </c>
      <c r="I1015" s="42">
        <v>130</v>
      </c>
      <c r="J1015" s="42">
        <v>30</v>
      </c>
      <c r="K1015" s="42">
        <v>0</v>
      </c>
      <c r="L1015" s="66">
        <f t="shared" si="223"/>
        <v>160</v>
      </c>
      <c r="M1015" s="43"/>
    </row>
    <row r="1016" spans="2:13" ht="15.75" hidden="1" x14ac:dyDescent="0.25">
      <c r="B1016" s="10">
        <v>46164</v>
      </c>
      <c r="C1016" s="10" t="s">
        <v>106</v>
      </c>
      <c r="D1016" s="10" t="s">
        <v>129</v>
      </c>
      <c r="F1016" s="297">
        <v>46166</v>
      </c>
      <c r="G1016" s="29" t="s">
        <v>17</v>
      </c>
      <c r="H1016" s="29" t="s">
        <v>105</v>
      </c>
      <c r="I1016" s="42">
        <v>0</v>
      </c>
      <c r="J1016" s="42">
        <v>0</v>
      </c>
      <c r="K1016" s="42">
        <v>20</v>
      </c>
      <c r="L1016" s="66">
        <f t="shared" si="223"/>
        <v>20</v>
      </c>
      <c r="M1016" s="43"/>
    </row>
    <row r="1017" spans="2:13" ht="15.75" hidden="1" x14ac:dyDescent="0.25">
      <c r="B1017" s="10">
        <v>46164</v>
      </c>
      <c r="C1017" s="10" t="s">
        <v>106</v>
      </c>
      <c r="D1017" s="10" t="s">
        <v>129</v>
      </c>
      <c r="F1017" s="943">
        <v>46167</v>
      </c>
      <c r="G1017" s="29" t="s">
        <v>84</v>
      </c>
      <c r="H1017" s="29" t="s">
        <v>106</v>
      </c>
      <c r="I1017" s="42">
        <v>106</v>
      </c>
      <c r="J1017" s="42">
        <v>18</v>
      </c>
      <c r="K1017" s="42">
        <v>21</v>
      </c>
      <c r="L1017" s="66">
        <f t="shared" si="223"/>
        <v>145</v>
      </c>
      <c r="M1017" s="43"/>
    </row>
    <row r="1018" spans="2:13" ht="15.75" hidden="1" x14ac:dyDescent="0.25">
      <c r="B1018" s="10">
        <v>46164</v>
      </c>
      <c r="C1018" s="10" t="s">
        <v>106</v>
      </c>
      <c r="D1018" s="10" t="s">
        <v>129</v>
      </c>
      <c r="F1018" s="944"/>
      <c r="G1018" s="29" t="s">
        <v>142</v>
      </c>
      <c r="H1018" s="29" t="s">
        <v>106</v>
      </c>
      <c r="I1018" s="42">
        <v>9</v>
      </c>
      <c r="J1018" s="42">
        <v>14</v>
      </c>
      <c r="K1018" s="42">
        <v>0</v>
      </c>
      <c r="L1018" s="66">
        <f t="shared" si="223"/>
        <v>23</v>
      </c>
      <c r="M1018" s="43"/>
    </row>
    <row r="1019" spans="2:13" ht="15.75" hidden="1" x14ac:dyDescent="0.25">
      <c r="B1019" s="10">
        <v>46164</v>
      </c>
      <c r="C1019" s="10" t="s">
        <v>106</v>
      </c>
      <c r="D1019" s="10" t="s">
        <v>129</v>
      </c>
      <c r="F1019" s="937" t="s">
        <v>40</v>
      </c>
      <c r="G1019" s="937"/>
      <c r="H1019" s="937"/>
      <c r="I1019" s="8">
        <f>SUM(I1011:I1018)</f>
        <v>293</v>
      </c>
      <c r="J1019" s="8">
        <f>SUM(J1011:J1018)</f>
        <v>95</v>
      </c>
      <c r="K1019" s="8">
        <f>SUM(K1011:K1018)</f>
        <v>41</v>
      </c>
      <c r="L1019" s="8">
        <f>SUBTOTAL(9,I1019:K1019)</f>
        <v>0</v>
      </c>
      <c r="M1019" s="31"/>
    </row>
    <row r="1020" spans="2:13" ht="15.75" hidden="1" x14ac:dyDescent="0.25">
      <c r="B1020" s="10">
        <v>46167</v>
      </c>
      <c r="C1020" s="10" t="s">
        <v>105</v>
      </c>
      <c r="D1020" s="10" t="s">
        <v>129</v>
      </c>
      <c r="F1020" s="942">
        <v>46167</v>
      </c>
      <c r="G1020" s="29" t="s">
        <v>75</v>
      </c>
      <c r="H1020" s="29" t="s">
        <v>112</v>
      </c>
      <c r="I1020" s="42">
        <v>27</v>
      </c>
      <c r="J1020" s="42">
        <v>19</v>
      </c>
      <c r="K1020" s="42">
        <v>0</v>
      </c>
      <c r="L1020" s="66">
        <f t="shared" ref="L1020:L1023" si="224">SUM(I1020:K1020)</f>
        <v>46</v>
      </c>
      <c r="M1020" s="43"/>
    </row>
    <row r="1021" spans="2:13" ht="15.75" hidden="1" x14ac:dyDescent="0.25">
      <c r="B1021" s="10">
        <v>46167</v>
      </c>
      <c r="C1021" s="10" t="s">
        <v>105</v>
      </c>
      <c r="D1021" s="10" t="s">
        <v>129</v>
      </c>
      <c r="F1021" s="942"/>
      <c r="G1021" s="29" t="s">
        <v>17</v>
      </c>
      <c r="H1021" s="29" t="s">
        <v>18</v>
      </c>
      <c r="I1021" s="42">
        <v>12</v>
      </c>
      <c r="J1021" s="42">
        <v>24</v>
      </c>
      <c r="K1021" s="42">
        <v>0</v>
      </c>
      <c r="L1021" s="66">
        <f t="shared" si="224"/>
        <v>36</v>
      </c>
      <c r="M1021" s="43"/>
    </row>
    <row r="1022" spans="2:13" ht="15.75" hidden="1" x14ac:dyDescent="0.25">
      <c r="B1022" s="10">
        <v>46167</v>
      </c>
      <c r="C1022" s="10" t="s">
        <v>105</v>
      </c>
      <c r="D1022" s="10" t="s">
        <v>129</v>
      </c>
      <c r="F1022" s="948">
        <v>46168</v>
      </c>
      <c r="G1022" s="29" t="s">
        <v>75</v>
      </c>
      <c r="H1022" s="29" t="s">
        <v>112</v>
      </c>
      <c r="I1022" s="42">
        <v>111</v>
      </c>
      <c r="J1022" s="42">
        <v>53</v>
      </c>
      <c r="K1022" s="42">
        <v>0</v>
      </c>
      <c r="L1022" s="66">
        <f t="shared" si="224"/>
        <v>164</v>
      </c>
      <c r="M1022" s="43"/>
    </row>
    <row r="1023" spans="2:13" ht="15.75" hidden="1" x14ac:dyDescent="0.25">
      <c r="B1023" s="10">
        <v>46167</v>
      </c>
      <c r="C1023" s="10" t="s">
        <v>105</v>
      </c>
      <c r="D1023" s="10" t="s">
        <v>129</v>
      </c>
      <c r="F1023" s="948"/>
      <c r="G1023" s="29" t="s">
        <v>14</v>
      </c>
      <c r="H1023" s="29" t="s">
        <v>106</v>
      </c>
      <c r="I1023" s="42">
        <v>109</v>
      </c>
      <c r="J1023" s="42">
        <v>32</v>
      </c>
      <c r="K1023" s="42">
        <v>8</v>
      </c>
      <c r="L1023" s="66">
        <f t="shared" si="224"/>
        <v>149</v>
      </c>
      <c r="M1023" s="43"/>
    </row>
    <row r="1024" spans="2:13" ht="15.75" hidden="1" x14ac:dyDescent="0.25">
      <c r="B1024" s="10">
        <v>46167</v>
      </c>
      <c r="C1024" s="10" t="s">
        <v>105</v>
      </c>
      <c r="D1024" s="10" t="s">
        <v>129</v>
      </c>
      <c r="F1024" s="937" t="s">
        <v>40</v>
      </c>
      <c r="G1024" s="937"/>
      <c r="H1024" s="937"/>
      <c r="I1024" s="8">
        <f>SUM(I1020:I1023)</f>
        <v>259</v>
      </c>
      <c r="J1024" s="8">
        <f>SUM(J1020:J1023)</f>
        <v>128</v>
      </c>
      <c r="K1024" s="8">
        <f>SUM(K1020:K1023)</f>
        <v>8</v>
      </c>
      <c r="L1024" s="8">
        <f>SUBTOTAL(9,I1024:K1024)</f>
        <v>0</v>
      </c>
      <c r="M1024" s="31"/>
    </row>
    <row r="1025" spans="2:13" ht="15.75" hidden="1" x14ac:dyDescent="0.25">
      <c r="B1025" s="10">
        <v>46168</v>
      </c>
      <c r="C1025" s="10" t="s">
        <v>106</v>
      </c>
      <c r="D1025" s="10" t="s">
        <v>133</v>
      </c>
      <c r="F1025" s="939">
        <v>46168</v>
      </c>
      <c r="G1025" s="29" t="s">
        <v>75</v>
      </c>
      <c r="H1025" s="29" t="s">
        <v>112</v>
      </c>
      <c r="I1025" s="42">
        <v>56</v>
      </c>
      <c r="J1025" s="42">
        <v>51</v>
      </c>
      <c r="K1025" s="42">
        <v>0</v>
      </c>
      <c r="L1025" s="66">
        <f t="shared" ref="L1025:L1029" si="225">SUM(I1025:K1025)</f>
        <v>107</v>
      </c>
      <c r="M1025" s="43"/>
    </row>
    <row r="1026" spans="2:13" ht="15.75" hidden="1" x14ac:dyDescent="0.25">
      <c r="B1026" s="10">
        <v>46168</v>
      </c>
      <c r="C1026" s="10" t="s">
        <v>106</v>
      </c>
      <c r="D1026" s="10" t="s">
        <v>133</v>
      </c>
      <c r="F1026" s="940"/>
      <c r="G1026" s="29" t="s">
        <v>14</v>
      </c>
      <c r="H1026" s="29" t="s">
        <v>106</v>
      </c>
      <c r="I1026" s="42">
        <v>56</v>
      </c>
      <c r="J1026" s="42">
        <v>12</v>
      </c>
      <c r="K1026" s="42">
        <v>0</v>
      </c>
      <c r="L1026" s="66">
        <f t="shared" ref="L1026:L1027" si="226">SUM(I1026:K1026)</f>
        <v>68</v>
      </c>
      <c r="M1026" s="43"/>
    </row>
    <row r="1027" spans="2:13" ht="15.75" hidden="1" x14ac:dyDescent="0.25">
      <c r="B1027" s="10">
        <v>46168</v>
      </c>
      <c r="C1027" s="10" t="s">
        <v>106</v>
      </c>
      <c r="D1027" s="10" t="s">
        <v>133</v>
      </c>
      <c r="F1027" s="940"/>
      <c r="G1027" s="29" t="s">
        <v>17</v>
      </c>
      <c r="H1027" s="29" t="s">
        <v>18</v>
      </c>
      <c r="I1027" s="42">
        <v>80</v>
      </c>
      <c r="J1027" s="42">
        <v>34</v>
      </c>
      <c r="K1027" s="42">
        <v>36</v>
      </c>
      <c r="L1027" s="66">
        <f t="shared" si="226"/>
        <v>150</v>
      </c>
      <c r="M1027" s="43"/>
    </row>
    <row r="1028" spans="2:13" ht="15.75" hidden="1" x14ac:dyDescent="0.25">
      <c r="B1028" s="10">
        <v>46168</v>
      </c>
      <c r="C1028" s="10" t="s">
        <v>106</v>
      </c>
      <c r="D1028" s="10" t="s">
        <v>133</v>
      </c>
      <c r="F1028" s="940"/>
      <c r="G1028" s="29" t="s">
        <v>84</v>
      </c>
      <c r="H1028" s="29" t="s">
        <v>43</v>
      </c>
      <c r="I1028" s="42">
        <v>45</v>
      </c>
      <c r="J1028" s="42">
        <v>11</v>
      </c>
      <c r="K1028" s="42">
        <v>0</v>
      </c>
      <c r="L1028" s="66">
        <f t="shared" si="225"/>
        <v>56</v>
      </c>
      <c r="M1028" s="43"/>
    </row>
    <row r="1029" spans="2:13" ht="15.75" hidden="1" x14ac:dyDescent="0.25">
      <c r="B1029" s="10">
        <v>46168</v>
      </c>
      <c r="C1029" s="10" t="s">
        <v>106</v>
      </c>
      <c r="D1029" s="10" t="s">
        <v>133</v>
      </c>
      <c r="F1029" s="940"/>
      <c r="G1029" s="29" t="s">
        <v>120</v>
      </c>
      <c r="H1029" s="29" t="s">
        <v>106</v>
      </c>
      <c r="I1029" s="42">
        <v>4</v>
      </c>
      <c r="J1029" s="42">
        <v>2</v>
      </c>
      <c r="K1029" s="42">
        <v>0</v>
      </c>
      <c r="L1029" s="66">
        <f t="shared" si="225"/>
        <v>6</v>
      </c>
      <c r="M1029" s="43"/>
    </row>
    <row r="1030" spans="2:13" ht="15.75" hidden="1" x14ac:dyDescent="0.25">
      <c r="B1030" s="10">
        <v>46168</v>
      </c>
      <c r="C1030" s="10" t="s">
        <v>106</v>
      </c>
      <c r="D1030" s="10" t="s">
        <v>133</v>
      </c>
      <c r="F1030" s="937" t="s">
        <v>40</v>
      </c>
      <c r="G1030" s="937"/>
      <c r="H1030" s="937"/>
      <c r="I1030" s="8">
        <f>SUM(I1025:I1029)</f>
        <v>241</v>
      </c>
      <c r="J1030" s="8">
        <f>SUM(J1025:J1029)</f>
        <v>110</v>
      </c>
      <c r="K1030" s="8">
        <f>SUM(K1025:K1029)</f>
        <v>36</v>
      </c>
      <c r="L1030" s="8">
        <f>SUBTOTAL(9,I1030:K1030)</f>
        <v>0</v>
      </c>
      <c r="M1030" s="31"/>
    </row>
    <row r="1031" spans="2:13" ht="15.75" hidden="1" x14ac:dyDescent="0.25">
      <c r="B1031" s="10">
        <v>46168</v>
      </c>
      <c r="C1031" s="10" t="s">
        <v>105</v>
      </c>
      <c r="D1031" s="10" t="s">
        <v>129</v>
      </c>
      <c r="F1031" s="942">
        <v>46168</v>
      </c>
      <c r="G1031" s="29" t="s">
        <v>75</v>
      </c>
      <c r="H1031" s="29" t="s">
        <v>112</v>
      </c>
      <c r="I1031" s="42">
        <v>25</v>
      </c>
      <c r="J1031" s="42">
        <v>23</v>
      </c>
      <c r="K1031" s="42">
        <v>0</v>
      </c>
      <c r="L1031" s="66">
        <f t="shared" ref="L1031:L1036" si="227">SUM(I1031:K1031)</f>
        <v>48</v>
      </c>
      <c r="M1031" s="43"/>
    </row>
    <row r="1032" spans="2:13" ht="15.75" hidden="1" x14ac:dyDescent="0.25">
      <c r="B1032" s="10">
        <v>46168</v>
      </c>
      <c r="C1032" s="10" t="s">
        <v>105</v>
      </c>
      <c r="D1032" s="10" t="s">
        <v>129</v>
      </c>
      <c r="F1032" s="942"/>
      <c r="G1032" s="29" t="s">
        <v>17</v>
      </c>
      <c r="H1032" s="29" t="s">
        <v>18</v>
      </c>
      <c r="I1032" s="42">
        <v>61</v>
      </c>
      <c r="J1032" s="42">
        <v>23</v>
      </c>
      <c r="K1032" s="42">
        <v>0</v>
      </c>
      <c r="L1032" s="66">
        <f t="shared" ref="L1032" si="228">SUM(I1032:K1032)</f>
        <v>84</v>
      </c>
      <c r="M1032" s="43"/>
    </row>
    <row r="1033" spans="2:13" ht="15.75" hidden="1" x14ac:dyDescent="0.25">
      <c r="B1033" s="10">
        <v>46168</v>
      </c>
      <c r="C1033" s="10" t="s">
        <v>105</v>
      </c>
      <c r="D1033" s="10" t="s">
        <v>129</v>
      </c>
      <c r="F1033" s="942"/>
      <c r="G1033" s="29" t="s">
        <v>25</v>
      </c>
      <c r="H1033" s="29" t="s">
        <v>18</v>
      </c>
      <c r="I1033" s="42">
        <v>1</v>
      </c>
      <c r="J1033" s="42">
        <v>3</v>
      </c>
      <c r="K1033" s="42">
        <v>0</v>
      </c>
      <c r="L1033" s="66">
        <f t="shared" si="227"/>
        <v>4</v>
      </c>
      <c r="M1033" s="43"/>
    </row>
    <row r="1034" spans="2:13" ht="15.75" hidden="1" x14ac:dyDescent="0.25">
      <c r="B1034" s="10">
        <v>46168</v>
      </c>
      <c r="C1034" s="10" t="s">
        <v>105</v>
      </c>
      <c r="D1034" s="10" t="s">
        <v>129</v>
      </c>
      <c r="F1034" s="948">
        <v>46169</v>
      </c>
      <c r="G1034" s="29" t="s">
        <v>75</v>
      </c>
      <c r="H1034" s="29" t="s">
        <v>112</v>
      </c>
      <c r="I1034" s="42">
        <v>68</v>
      </c>
      <c r="J1034" s="42">
        <v>29</v>
      </c>
      <c r="K1034" s="42">
        <v>0</v>
      </c>
      <c r="L1034" s="66">
        <f t="shared" si="227"/>
        <v>97</v>
      </c>
      <c r="M1034" s="43"/>
    </row>
    <row r="1035" spans="2:13" ht="15.75" hidden="1" x14ac:dyDescent="0.25">
      <c r="B1035" s="10">
        <v>46168</v>
      </c>
      <c r="C1035" s="10" t="s">
        <v>105</v>
      </c>
      <c r="D1035" s="10" t="s">
        <v>129</v>
      </c>
      <c r="F1035" s="948"/>
      <c r="G1035" s="29" t="s">
        <v>14</v>
      </c>
      <c r="H1035" s="29" t="s">
        <v>106</v>
      </c>
      <c r="I1035" s="42">
        <v>132</v>
      </c>
      <c r="J1035" s="42">
        <v>36</v>
      </c>
      <c r="K1035" s="42">
        <v>0</v>
      </c>
      <c r="L1035" s="66"/>
      <c r="M1035" s="43"/>
    </row>
    <row r="1036" spans="2:13" ht="15.75" hidden="1" x14ac:dyDescent="0.25">
      <c r="B1036" s="10">
        <v>46168</v>
      </c>
      <c r="C1036" s="10" t="s">
        <v>105</v>
      </c>
      <c r="D1036" s="10" t="s">
        <v>129</v>
      </c>
      <c r="F1036" s="948"/>
      <c r="G1036" s="29" t="s">
        <v>84</v>
      </c>
      <c r="H1036" s="29" t="s">
        <v>106</v>
      </c>
      <c r="I1036" s="42">
        <v>6</v>
      </c>
      <c r="J1036" s="42">
        <v>0</v>
      </c>
      <c r="K1036" s="42">
        <v>0</v>
      </c>
      <c r="L1036" s="66">
        <f t="shared" si="227"/>
        <v>6</v>
      </c>
      <c r="M1036" s="43"/>
    </row>
    <row r="1037" spans="2:13" ht="15.75" hidden="1" x14ac:dyDescent="0.25">
      <c r="B1037" s="10">
        <v>46168</v>
      </c>
      <c r="C1037" s="10" t="s">
        <v>105</v>
      </c>
      <c r="D1037" s="10" t="s">
        <v>129</v>
      </c>
      <c r="F1037" s="937" t="s">
        <v>40</v>
      </c>
      <c r="G1037" s="937"/>
      <c r="H1037" s="937"/>
      <c r="I1037" s="8">
        <f>SUM(I1031:I1036)</f>
        <v>293</v>
      </c>
      <c r="J1037" s="8">
        <f>SUM(J1031:J1036)</f>
        <v>114</v>
      </c>
      <c r="K1037" s="8">
        <f>SUM(K1031:K1036)</f>
        <v>0</v>
      </c>
      <c r="L1037" s="8">
        <f>SUBTOTAL(9,I1037:K1037)</f>
        <v>0</v>
      </c>
      <c r="M1037" s="31"/>
    </row>
    <row r="1038" spans="2:13" ht="15.75" hidden="1" x14ac:dyDescent="0.25">
      <c r="B1038" s="10">
        <v>46169</v>
      </c>
      <c r="C1038" s="10" t="s">
        <v>106</v>
      </c>
      <c r="D1038" s="10" t="s">
        <v>133</v>
      </c>
      <c r="F1038" s="939">
        <v>46169</v>
      </c>
      <c r="G1038" s="29" t="s">
        <v>75</v>
      </c>
      <c r="H1038" s="29" t="s">
        <v>112</v>
      </c>
      <c r="I1038" s="42">
        <v>22</v>
      </c>
      <c r="J1038" s="42">
        <v>25</v>
      </c>
      <c r="K1038" s="42">
        <v>0</v>
      </c>
      <c r="L1038" s="66">
        <f t="shared" ref="L1038" si="229">SUM(I1038:K1038)</f>
        <v>47</v>
      </c>
      <c r="M1038" s="43"/>
    </row>
    <row r="1039" spans="2:13" ht="15.75" hidden="1" x14ac:dyDescent="0.25">
      <c r="B1039" s="10">
        <v>46169</v>
      </c>
      <c r="C1039" s="10" t="s">
        <v>106</v>
      </c>
      <c r="D1039" s="10" t="s">
        <v>133</v>
      </c>
      <c r="F1039" s="940"/>
      <c r="G1039" s="29" t="s">
        <v>14</v>
      </c>
      <c r="H1039" s="29" t="s">
        <v>106</v>
      </c>
      <c r="I1039" s="42">
        <v>29</v>
      </c>
      <c r="J1039" s="42">
        <v>11</v>
      </c>
      <c r="K1039" s="42">
        <v>99</v>
      </c>
      <c r="L1039" s="66">
        <f t="shared" ref="L1039" si="230">SUM(I1039:K1039)</f>
        <v>139</v>
      </c>
      <c r="M1039" s="43"/>
    </row>
    <row r="1040" spans="2:13" ht="15.75" hidden="1" x14ac:dyDescent="0.25">
      <c r="B1040" s="10">
        <v>46169</v>
      </c>
      <c r="C1040" s="10" t="s">
        <v>106</v>
      </c>
      <c r="D1040" s="10" t="s">
        <v>133</v>
      </c>
      <c r="F1040" s="940"/>
      <c r="G1040" s="29" t="s">
        <v>17</v>
      </c>
      <c r="H1040" s="29" t="s">
        <v>18</v>
      </c>
      <c r="I1040" s="42">
        <v>113</v>
      </c>
      <c r="J1040" s="42">
        <v>53</v>
      </c>
      <c r="K1040" s="42">
        <v>0</v>
      </c>
      <c r="L1040" s="66">
        <f t="shared" ref="L1040:L1043" si="231">SUM(I1040:K1040)</f>
        <v>166</v>
      </c>
      <c r="M1040" s="43"/>
    </row>
    <row r="1041" spans="2:13" ht="15.75" hidden="1" x14ac:dyDescent="0.25">
      <c r="B1041" s="10">
        <v>46169</v>
      </c>
      <c r="C1041" s="10" t="s">
        <v>106</v>
      </c>
      <c r="D1041" s="10" t="s">
        <v>133</v>
      </c>
      <c r="F1041" s="940"/>
      <c r="G1041" s="29" t="s">
        <v>118</v>
      </c>
      <c r="H1041" s="29" t="s">
        <v>43</v>
      </c>
      <c r="I1041" s="42">
        <v>2</v>
      </c>
      <c r="J1041" s="42">
        <v>0</v>
      </c>
      <c r="K1041" s="42">
        <v>0</v>
      </c>
      <c r="L1041" s="66">
        <f t="shared" si="231"/>
        <v>2</v>
      </c>
      <c r="M1041" s="43"/>
    </row>
    <row r="1042" spans="2:13" ht="15.75" hidden="1" x14ac:dyDescent="0.25">
      <c r="B1042" s="10">
        <v>46169</v>
      </c>
      <c r="C1042" s="10" t="s">
        <v>106</v>
      </c>
      <c r="D1042" s="10" t="s">
        <v>133</v>
      </c>
      <c r="F1042" s="940"/>
      <c r="G1042" s="29" t="s">
        <v>120</v>
      </c>
      <c r="H1042" s="29" t="s">
        <v>106</v>
      </c>
      <c r="I1042" s="42">
        <v>3</v>
      </c>
      <c r="J1042" s="42">
        <v>7</v>
      </c>
      <c r="K1042" s="42">
        <v>0</v>
      </c>
      <c r="L1042" s="66">
        <f t="shared" si="231"/>
        <v>10</v>
      </c>
      <c r="M1042" s="43"/>
    </row>
    <row r="1043" spans="2:13" ht="15.75" hidden="1" x14ac:dyDescent="0.25">
      <c r="B1043" s="10">
        <v>46169</v>
      </c>
      <c r="C1043" s="10" t="s">
        <v>106</v>
      </c>
      <c r="D1043" s="10" t="s">
        <v>133</v>
      </c>
      <c r="F1043" s="941"/>
      <c r="G1043" s="29" t="s">
        <v>84</v>
      </c>
      <c r="H1043" s="29" t="s">
        <v>43</v>
      </c>
      <c r="I1043" s="42">
        <v>28</v>
      </c>
      <c r="J1043" s="42">
        <v>6</v>
      </c>
      <c r="K1043" s="42">
        <v>0</v>
      </c>
      <c r="L1043" s="66">
        <f t="shared" si="231"/>
        <v>34</v>
      </c>
      <c r="M1043" s="43"/>
    </row>
    <row r="1044" spans="2:13" ht="15.75" hidden="1" x14ac:dyDescent="0.25">
      <c r="B1044" s="10">
        <v>46169</v>
      </c>
      <c r="C1044" s="10" t="s">
        <v>106</v>
      </c>
      <c r="D1044" s="10" t="s">
        <v>133</v>
      </c>
      <c r="F1044" s="937" t="s">
        <v>40</v>
      </c>
      <c r="G1044" s="937"/>
      <c r="H1044" s="937"/>
      <c r="I1044" s="8">
        <f>SUM(I1038:I1043)</f>
        <v>197</v>
      </c>
      <c r="J1044" s="8">
        <f>SUM(J1038:J1043)</f>
        <v>102</v>
      </c>
      <c r="K1044" s="8">
        <f>SUM(K1038:K1043)</f>
        <v>99</v>
      </c>
      <c r="L1044" s="8">
        <f>SUBTOTAL(9,I1044:K1044)</f>
        <v>0</v>
      </c>
      <c r="M1044" s="31"/>
    </row>
    <row r="1045" spans="2:13" ht="15.75" hidden="1" x14ac:dyDescent="0.25">
      <c r="B1045" s="10">
        <v>46169</v>
      </c>
      <c r="C1045" s="10" t="s">
        <v>105</v>
      </c>
      <c r="D1045" s="10" t="s">
        <v>129</v>
      </c>
      <c r="F1045" s="939">
        <v>46169</v>
      </c>
      <c r="G1045" s="29" t="s">
        <v>75</v>
      </c>
      <c r="H1045" s="29" t="s">
        <v>112</v>
      </c>
      <c r="I1045" s="42">
        <v>30</v>
      </c>
      <c r="J1045" s="42">
        <v>17</v>
      </c>
      <c r="K1045" s="42">
        <v>0</v>
      </c>
      <c r="L1045" s="66">
        <f t="shared" ref="L1045" si="232">SUM(I1045:K1045)</f>
        <v>47</v>
      </c>
      <c r="M1045" s="43"/>
    </row>
    <row r="1046" spans="2:13" ht="15.75" hidden="1" x14ac:dyDescent="0.25">
      <c r="B1046" s="10">
        <v>46169</v>
      </c>
      <c r="C1046" s="10" t="s">
        <v>105</v>
      </c>
      <c r="D1046" s="10" t="s">
        <v>129</v>
      </c>
      <c r="F1046" s="941"/>
      <c r="G1046" s="29" t="s">
        <v>17</v>
      </c>
      <c r="H1046" s="29" t="s">
        <v>18</v>
      </c>
      <c r="I1046" s="42">
        <v>28</v>
      </c>
      <c r="J1046" s="42">
        <v>17</v>
      </c>
      <c r="K1046" s="42">
        <v>0</v>
      </c>
      <c r="L1046" s="66">
        <f t="shared" ref="L1046" si="233">SUM(I1046:K1046)</f>
        <v>45</v>
      </c>
      <c r="M1046" s="43"/>
    </row>
    <row r="1047" spans="2:13" ht="15.75" hidden="1" x14ac:dyDescent="0.25">
      <c r="B1047" s="10">
        <v>46169</v>
      </c>
      <c r="C1047" s="10" t="s">
        <v>105</v>
      </c>
      <c r="D1047" s="10" t="s">
        <v>129</v>
      </c>
      <c r="F1047" s="943">
        <v>46170</v>
      </c>
      <c r="G1047" s="29" t="s">
        <v>75</v>
      </c>
      <c r="H1047" s="29" t="s">
        <v>112</v>
      </c>
      <c r="I1047" s="42">
        <v>122</v>
      </c>
      <c r="J1047" s="42">
        <v>79</v>
      </c>
      <c r="K1047" s="42">
        <v>0</v>
      </c>
      <c r="L1047" s="66">
        <f t="shared" ref="L1047:L1050" si="234">SUM(I1047:K1047)</f>
        <v>201</v>
      </c>
      <c r="M1047" s="43"/>
    </row>
    <row r="1048" spans="2:13" ht="15.75" hidden="1" x14ac:dyDescent="0.25">
      <c r="B1048" s="10">
        <v>46169</v>
      </c>
      <c r="C1048" s="10" t="s">
        <v>105</v>
      </c>
      <c r="D1048" s="10" t="s">
        <v>129</v>
      </c>
      <c r="F1048" s="944"/>
      <c r="G1048" s="29" t="s">
        <v>14</v>
      </c>
      <c r="H1048" s="29" t="s">
        <v>22</v>
      </c>
      <c r="I1048" s="42">
        <v>97</v>
      </c>
      <c r="J1048" s="42">
        <v>30</v>
      </c>
      <c r="K1048" s="42">
        <v>0</v>
      </c>
      <c r="L1048" s="66">
        <f t="shared" si="234"/>
        <v>127</v>
      </c>
      <c r="M1048" s="43"/>
    </row>
    <row r="1049" spans="2:13" ht="15.75" hidden="1" x14ac:dyDescent="0.25">
      <c r="B1049" s="10">
        <v>46169</v>
      </c>
      <c r="C1049" s="10" t="s">
        <v>105</v>
      </c>
      <c r="D1049" s="10" t="s">
        <v>129</v>
      </c>
      <c r="F1049" s="944"/>
      <c r="G1049" s="29" t="s">
        <v>120</v>
      </c>
      <c r="H1049" s="29" t="s">
        <v>106</v>
      </c>
      <c r="I1049" s="42">
        <v>5</v>
      </c>
      <c r="J1049" s="42">
        <v>3</v>
      </c>
      <c r="K1049" s="42">
        <v>0</v>
      </c>
      <c r="L1049" s="66">
        <f t="shared" si="234"/>
        <v>8</v>
      </c>
      <c r="M1049" s="43"/>
    </row>
    <row r="1050" spans="2:13" ht="15.75" hidden="1" x14ac:dyDescent="0.25">
      <c r="B1050" s="10">
        <v>46169</v>
      </c>
      <c r="C1050" s="10" t="s">
        <v>105</v>
      </c>
      <c r="D1050" s="10" t="s">
        <v>129</v>
      </c>
      <c r="F1050" s="944"/>
      <c r="G1050" s="29" t="s">
        <v>84</v>
      </c>
      <c r="H1050" s="29" t="s">
        <v>106</v>
      </c>
      <c r="I1050" s="42">
        <v>0</v>
      </c>
      <c r="J1050" s="42">
        <v>0</v>
      </c>
      <c r="K1050" s="42">
        <v>4</v>
      </c>
      <c r="L1050" s="66">
        <f t="shared" si="234"/>
        <v>4</v>
      </c>
      <c r="M1050" s="43"/>
    </row>
    <row r="1051" spans="2:13" ht="15.75" hidden="1" x14ac:dyDescent="0.25">
      <c r="B1051" s="10">
        <v>46169</v>
      </c>
      <c r="C1051" s="10" t="s">
        <v>105</v>
      </c>
      <c r="D1051" s="10" t="s">
        <v>129</v>
      </c>
      <c r="F1051" s="945"/>
      <c r="G1051" s="29" t="s">
        <v>25</v>
      </c>
      <c r="H1051" s="29" t="s">
        <v>18</v>
      </c>
      <c r="I1051" s="42">
        <v>2</v>
      </c>
      <c r="J1051" s="42">
        <v>6</v>
      </c>
      <c r="K1051" s="42">
        <v>9</v>
      </c>
      <c r="L1051" s="66">
        <f t="shared" ref="L1051" si="235">SUM(I1051:K1051)</f>
        <v>17</v>
      </c>
      <c r="M1051" s="43"/>
    </row>
    <row r="1052" spans="2:13" ht="15.75" hidden="1" x14ac:dyDescent="0.25">
      <c r="B1052" s="10">
        <v>46169</v>
      </c>
      <c r="C1052" s="10" t="s">
        <v>105</v>
      </c>
      <c r="D1052" s="10" t="s">
        <v>129</v>
      </c>
      <c r="F1052" s="937" t="s">
        <v>40</v>
      </c>
      <c r="G1052" s="937"/>
      <c r="H1052" s="937"/>
      <c r="I1052" s="8">
        <f>SUM(I1045:I1051)</f>
        <v>284</v>
      </c>
      <c r="J1052" s="8">
        <f>SUM(J1045:J1051)</f>
        <v>152</v>
      </c>
      <c r="K1052" s="8">
        <f>SUM(K1045:K1051)</f>
        <v>13</v>
      </c>
      <c r="L1052" s="8">
        <f>SUBTOTAL(9,I1052:K1052)</f>
        <v>0</v>
      </c>
      <c r="M1052" s="31"/>
    </row>
    <row r="1053" spans="2:13" ht="15.75" hidden="1" x14ac:dyDescent="0.25">
      <c r="B1053" s="10">
        <v>46170</v>
      </c>
      <c r="C1053" s="10" t="s">
        <v>106</v>
      </c>
      <c r="D1053" s="10" t="s">
        <v>133</v>
      </c>
      <c r="F1053" s="943">
        <v>46170</v>
      </c>
      <c r="G1053" s="29" t="s">
        <v>75</v>
      </c>
      <c r="H1053" s="29" t="s">
        <v>112</v>
      </c>
      <c r="I1053" s="42">
        <v>10</v>
      </c>
      <c r="J1053" s="42">
        <v>16</v>
      </c>
      <c r="K1053" s="42">
        <v>0</v>
      </c>
      <c r="L1053" s="66">
        <f t="shared" ref="L1053:L1057" si="236">SUM(I1053:K1053)</f>
        <v>26</v>
      </c>
      <c r="M1053" s="43"/>
    </row>
    <row r="1054" spans="2:13" ht="15.75" hidden="1" x14ac:dyDescent="0.25">
      <c r="B1054" s="10">
        <v>46170</v>
      </c>
      <c r="C1054" s="10" t="s">
        <v>106</v>
      </c>
      <c r="D1054" s="10" t="s">
        <v>133</v>
      </c>
      <c r="F1054" s="944"/>
      <c r="G1054" s="29" t="s">
        <v>14</v>
      </c>
      <c r="H1054" s="29" t="s">
        <v>22</v>
      </c>
      <c r="I1054" s="42">
        <v>56</v>
      </c>
      <c r="J1054" s="42">
        <v>11</v>
      </c>
      <c r="K1054" s="42">
        <v>0</v>
      </c>
      <c r="L1054" s="66">
        <f t="shared" si="236"/>
        <v>67</v>
      </c>
      <c r="M1054" s="43"/>
    </row>
    <row r="1055" spans="2:13" ht="15.75" hidden="1" x14ac:dyDescent="0.25">
      <c r="B1055" s="10">
        <v>46170</v>
      </c>
      <c r="C1055" s="10" t="s">
        <v>106</v>
      </c>
      <c r="D1055" s="10" t="s">
        <v>133</v>
      </c>
      <c r="F1055" s="944"/>
      <c r="G1055" s="29" t="s">
        <v>120</v>
      </c>
      <c r="H1055" s="29" t="s">
        <v>106</v>
      </c>
      <c r="I1055" s="42">
        <v>21</v>
      </c>
      <c r="J1055" s="42">
        <v>1</v>
      </c>
      <c r="K1055" s="42">
        <v>0</v>
      </c>
      <c r="L1055" s="66">
        <f t="shared" si="236"/>
        <v>22</v>
      </c>
      <c r="M1055" s="43"/>
    </row>
    <row r="1056" spans="2:13" ht="15.75" hidden="1" x14ac:dyDescent="0.25">
      <c r="B1056" s="10">
        <v>46170</v>
      </c>
      <c r="C1056" s="10" t="s">
        <v>106</v>
      </c>
      <c r="D1056" s="10" t="s">
        <v>133</v>
      </c>
      <c r="F1056" s="944"/>
      <c r="G1056" s="29" t="s">
        <v>84</v>
      </c>
      <c r="H1056" s="29" t="s">
        <v>106</v>
      </c>
      <c r="I1056" s="42">
        <v>28</v>
      </c>
      <c r="J1056" s="42">
        <v>8</v>
      </c>
      <c r="K1056" s="42">
        <v>0</v>
      </c>
      <c r="L1056" s="66">
        <f t="shared" si="236"/>
        <v>36</v>
      </c>
      <c r="M1056" s="43"/>
    </row>
    <row r="1057" spans="2:13" ht="15.75" hidden="1" x14ac:dyDescent="0.25">
      <c r="B1057" s="10">
        <v>46170</v>
      </c>
      <c r="C1057" s="10" t="s">
        <v>106</v>
      </c>
      <c r="D1057" s="10" t="s">
        <v>133</v>
      </c>
      <c r="F1057" s="945"/>
      <c r="G1057" s="29" t="s">
        <v>25</v>
      </c>
      <c r="H1057" s="29" t="s">
        <v>18</v>
      </c>
      <c r="I1057" s="42">
        <v>2</v>
      </c>
      <c r="J1057" s="42">
        <v>0</v>
      </c>
      <c r="K1057" s="42">
        <v>163</v>
      </c>
      <c r="L1057" s="66">
        <f t="shared" si="236"/>
        <v>165</v>
      </c>
      <c r="M1057" s="43"/>
    </row>
    <row r="1058" spans="2:13" ht="15.75" hidden="1" x14ac:dyDescent="0.25">
      <c r="B1058" s="10">
        <v>46170</v>
      </c>
      <c r="C1058" s="10" t="s">
        <v>106</v>
      </c>
      <c r="D1058" s="10" t="s">
        <v>133</v>
      </c>
      <c r="F1058" s="937" t="s">
        <v>40</v>
      </c>
      <c r="G1058" s="937"/>
      <c r="H1058" s="937"/>
      <c r="I1058" s="8">
        <f>SUM(I1053:I1057)</f>
        <v>117</v>
      </c>
      <c r="J1058" s="8">
        <f>SUM(J1053:J1057)</f>
        <v>36</v>
      </c>
      <c r="K1058" s="8">
        <f>SUM(K1053:K1057)</f>
        <v>163</v>
      </c>
      <c r="L1058" s="8">
        <f>SUBTOTAL(9,I1058:K1058)</f>
        <v>0</v>
      </c>
      <c r="M1058" s="31"/>
    </row>
    <row r="1059" spans="2:13" ht="15.75" hidden="1" x14ac:dyDescent="0.25">
      <c r="B1059" s="10">
        <v>46170</v>
      </c>
      <c r="C1059" s="10" t="s">
        <v>105</v>
      </c>
      <c r="D1059" s="10" t="s">
        <v>129</v>
      </c>
      <c r="F1059" s="939">
        <v>46170</v>
      </c>
      <c r="G1059" s="29" t="s">
        <v>75</v>
      </c>
      <c r="H1059" s="29" t="s">
        <v>112</v>
      </c>
      <c r="I1059" s="42">
        <v>14</v>
      </c>
      <c r="J1059" s="42">
        <v>17</v>
      </c>
      <c r="K1059" s="42">
        <v>0</v>
      </c>
      <c r="L1059" s="66">
        <f t="shared" ref="L1059:L1060" si="237">SUM(I1059:K1059)</f>
        <v>31</v>
      </c>
      <c r="M1059" s="43"/>
    </row>
    <row r="1060" spans="2:13" ht="15.75" hidden="1" x14ac:dyDescent="0.25">
      <c r="B1060" s="10">
        <v>46170</v>
      </c>
      <c r="C1060" s="10" t="s">
        <v>105</v>
      </c>
      <c r="D1060" s="10" t="s">
        <v>129</v>
      </c>
      <c r="F1060" s="940"/>
      <c r="G1060" s="29" t="s">
        <v>17</v>
      </c>
      <c r="H1060" s="29" t="s">
        <v>18</v>
      </c>
      <c r="I1060" s="42">
        <v>4</v>
      </c>
      <c r="J1060" s="42">
        <v>2</v>
      </c>
      <c r="K1060" s="42">
        <v>0</v>
      </c>
      <c r="L1060" s="66">
        <f t="shared" si="237"/>
        <v>6</v>
      </c>
      <c r="M1060" s="43"/>
    </row>
    <row r="1061" spans="2:13" ht="15.75" hidden="1" x14ac:dyDescent="0.25">
      <c r="B1061" s="10">
        <v>46170</v>
      </c>
      <c r="C1061" s="10" t="s">
        <v>105</v>
      </c>
      <c r="D1061" s="10" t="s">
        <v>129</v>
      </c>
      <c r="F1061" s="941"/>
      <c r="G1061" s="29" t="s">
        <v>25</v>
      </c>
      <c r="H1061" s="29" t="s">
        <v>18</v>
      </c>
      <c r="I1061" s="42">
        <v>167</v>
      </c>
      <c r="J1061" s="42">
        <v>41</v>
      </c>
      <c r="K1061" s="42">
        <v>0</v>
      </c>
      <c r="L1061" s="66">
        <f t="shared" ref="L1061:L1063" si="238">SUM(I1061:K1061)</f>
        <v>208</v>
      </c>
      <c r="M1061" s="43"/>
    </row>
    <row r="1062" spans="2:13" ht="15.75" hidden="1" x14ac:dyDescent="0.25">
      <c r="B1062" s="10">
        <v>46170</v>
      </c>
      <c r="C1062" s="10" t="s">
        <v>105</v>
      </c>
      <c r="D1062" s="10" t="s">
        <v>129</v>
      </c>
      <c r="F1062" s="943">
        <v>46171</v>
      </c>
      <c r="G1062" s="29" t="s">
        <v>75</v>
      </c>
      <c r="H1062" s="29" t="s">
        <v>112</v>
      </c>
      <c r="I1062" s="42">
        <v>109</v>
      </c>
      <c r="J1062" s="42">
        <v>63</v>
      </c>
      <c r="K1062" s="42">
        <v>2</v>
      </c>
      <c r="L1062" s="66">
        <f t="shared" si="238"/>
        <v>174</v>
      </c>
      <c r="M1062" s="43"/>
    </row>
    <row r="1063" spans="2:13" ht="15.75" hidden="1" x14ac:dyDescent="0.25">
      <c r="B1063" s="10">
        <v>46170</v>
      </c>
      <c r="C1063" s="10" t="s">
        <v>105</v>
      </c>
      <c r="D1063" s="10" t="s">
        <v>129</v>
      </c>
      <c r="F1063" s="944"/>
      <c r="G1063" s="29" t="s">
        <v>14</v>
      </c>
      <c r="H1063" s="29" t="s">
        <v>22</v>
      </c>
      <c r="I1063" s="42">
        <v>18</v>
      </c>
      <c r="J1063" s="42">
        <v>2</v>
      </c>
      <c r="K1063" s="42">
        <v>12</v>
      </c>
      <c r="L1063" s="66">
        <f t="shared" si="238"/>
        <v>32</v>
      </c>
      <c r="M1063" s="43"/>
    </row>
    <row r="1064" spans="2:13" ht="15.75" hidden="1" x14ac:dyDescent="0.25">
      <c r="B1064" s="10">
        <v>46170</v>
      </c>
      <c r="C1064" s="10" t="s">
        <v>105</v>
      </c>
      <c r="D1064" s="10" t="s">
        <v>129</v>
      </c>
      <c r="F1064" s="937" t="s">
        <v>40</v>
      </c>
      <c r="G1064" s="937"/>
      <c r="H1064" s="937"/>
      <c r="I1064" s="8">
        <f>SUM(I1059:I1063)</f>
        <v>312</v>
      </c>
      <c r="J1064" s="8">
        <f>SUM(J1059:J1063)</f>
        <v>125</v>
      </c>
      <c r="K1064" s="8">
        <f>SUM(K1059:K1063)</f>
        <v>14</v>
      </c>
      <c r="L1064" s="8">
        <f>SUBTOTAL(9,I1064:K1064)</f>
        <v>0</v>
      </c>
      <c r="M1064" s="31"/>
    </row>
    <row r="1065" spans="2:13" ht="15.75" hidden="1" x14ac:dyDescent="0.25">
      <c r="B1065" s="10">
        <v>46171</v>
      </c>
      <c r="C1065" s="10" t="s">
        <v>106</v>
      </c>
      <c r="D1065" s="10" t="s">
        <v>23</v>
      </c>
      <c r="F1065" s="939">
        <v>46171</v>
      </c>
      <c r="G1065" s="29" t="s">
        <v>75</v>
      </c>
      <c r="H1065" s="29" t="s">
        <v>112</v>
      </c>
      <c r="I1065" s="42">
        <v>29</v>
      </c>
      <c r="J1065" s="42">
        <v>31</v>
      </c>
      <c r="K1065" s="42">
        <v>0</v>
      </c>
      <c r="L1065" s="66">
        <f t="shared" ref="L1065" si="239">SUM(I1065:K1065)</f>
        <v>60</v>
      </c>
      <c r="M1065" s="43"/>
    </row>
    <row r="1066" spans="2:13" ht="15.75" hidden="1" x14ac:dyDescent="0.25">
      <c r="B1066" s="10">
        <v>46171</v>
      </c>
      <c r="C1066" s="10" t="s">
        <v>106</v>
      </c>
      <c r="D1066" s="10" t="s">
        <v>23</v>
      </c>
      <c r="F1066" s="940"/>
      <c r="G1066" s="29" t="s">
        <v>17</v>
      </c>
      <c r="H1066" s="29" t="s">
        <v>18</v>
      </c>
      <c r="I1066" s="42">
        <v>37</v>
      </c>
      <c r="J1066" s="42">
        <v>23</v>
      </c>
      <c r="K1066" s="42">
        <v>39</v>
      </c>
      <c r="L1066" s="66">
        <f t="shared" ref="L1066:L1069" si="240">SUM(I1066:K1066)</f>
        <v>99</v>
      </c>
      <c r="M1066" s="43"/>
    </row>
    <row r="1067" spans="2:13" ht="15.75" hidden="1" x14ac:dyDescent="0.25">
      <c r="B1067" s="10">
        <v>46171</v>
      </c>
      <c r="C1067" s="10" t="s">
        <v>106</v>
      </c>
      <c r="D1067" s="10" t="s">
        <v>23</v>
      </c>
      <c r="F1067" s="940"/>
      <c r="G1067" s="29" t="s">
        <v>14</v>
      </c>
      <c r="H1067" s="29" t="s">
        <v>22</v>
      </c>
      <c r="I1067" s="42">
        <v>126</v>
      </c>
      <c r="J1067" s="42">
        <v>19</v>
      </c>
      <c r="K1067" s="42">
        <v>0</v>
      </c>
      <c r="L1067" s="66">
        <f t="shared" si="240"/>
        <v>145</v>
      </c>
      <c r="M1067" s="43"/>
    </row>
    <row r="1068" spans="2:13" ht="15.75" hidden="1" x14ac:dyDescent="0.25">
      <c r="B1068" s="10">
        <v>46171</v>
      </c>
      <c r="C1068" s="10" t="s">
        <v>106</v>
      </c>
      <c r="D1068" s="10" t="s">
        <v>23</v>
      </c>
      <c r="F1068" s="940"/>
      <c r="G1068" s="29" t="s">
        <v>84</v>
      </c>
      <c r="H1068" s="29" t="s">
        <v>22</v>
      </c>
      <c r="I1068" s="42">
        <v>14</v>
      </c>
      <c r="J1068" s="42">
        <v>5</v>
      </c>
      <c r="K1068" s="42">
        <v>0</v>
      </c>
      <c r="L1068" s="66">
        <f t="shared" ref="L1068" si="241">SUM(I1068:K1068)</f>
        <v>19</v>
      </c>
      <c r="M1068" s="43"/>
    </row>
    <row r="1069" spans="2:13" ht="15.75" hidden="1" x14ac:dyDescent="0.25">
      <c r="B1069" s="10">
        <v>46171</v>
      </c>
      <c r="C1069" s="10" t="s">
        <v>106</v>
      </c>
      <c r="D1069" s="10" t="s">
        <v>23</v>
      </c>
      <c r="F1069" s="941"/>
      <c r="G1069" s="29" t="s">
        <v>120</v>
      </c>
      <c r="H1069" s="29" t="s">
        <v>106</v>
      </c>
      <c r="I1069" s="42">
        <v>11</v>
      </c>
      <c r="J1069" s="42">
        <v>5</v>
      </c>
      <c r="K1069" s="42">
        <v>0</v>
      </c>
      <c r="L1069" s="66">
        <f t="shared" si="240"/>
        <v>16</v>
      </c>
      <c r="M1069" s="43"/>
    </row>
    <row r="1070" spans="2:13" ht="15.75" hidden="1" x14ac:dyDescent="0.25">
      <c r="B1070" s="10">
        <v>46171</v>
      </c>
      <c r="C1070" s="10" t="s">
        <v>106</v>
      </c>
      <c r="D1070" s="10" t="s">
        <v>23</v>
      </c>
      <c r="F1070" s="937" t="s">
        <v>40</v>
      </c>
      <c r="G1070" s="937"/>
      <c r="H1070" s="937"/>
      <c r="I1070" s="8">
        <f>SUM(I1065:I1069)</f>
        <v>217</v>
      </c>
      <c r="J1070" s="8">
        <f>SUM(J1065:J1069)</f>
        <v>83</v>
      </c>
      <c r="K1070" s="8">
        <f>SUM(K1065:K1069)</f>
        <v>39</v>
      </c>
      <c r="L1070" s="8">
        <f>SUBTOTAL(9,I1070:K1070)</f>
        <v>0</v>
      </c>
      <c r="M1070" s="31"/>
    </row>
    <row r="1071" spans="2:13" ht="15.75" hidden="1" x14ac:dyDescent="0.25">
      <c r="B1071" s="10">
        <v>46171</v>
      </c>
      <c r="C1071" s="10" t="s">
        <v>105</v>
      </c>
      <c r="D1071" s="10" t="s">
        <v>129</v>
      </c>
      <c r="F1071" s="939">
        <v>46171</v>
      </c>
      <c r="G1071" s="29" t="s">
        <v>75</v>
      </c>
      <c r="H1071" s="29" t="s">
        <v>112</v>
      </c>
      <c r="I1071" s="42">
        <v>10</v>
      </c>
      <c r="J1071" s="42">
        <v>13</v>
      </c>
      <c r="K1071" s="42">
        <v>2</v>
      </c>
      <c r="L1071" s="66">
        <f t="shared" ref="L1071:L1072" si="242">SUM(I1071:K1071)</f>
        <v>25</v>
      </c>
      <c r="M1071" s="43"/>
    </row>
    <row r="1072" spans="2:13" ht="15.75" hidden="1" x14ac:dyDescent="0.25">
      <c r="B1072" s="10">
        <v>46171</v>
      </c>
      <c r="C1072" s="10" t="s">
        <v>105</v>
      </c>
      <c r="D1072" s="10" t="s">
        <v>129</v>
      </c>
      <c r="F1072" s="940"/>
      <c r="G1072" s="29" t="s">
        <v>17</v>
      </c>
      <c r="H1072" s="29" t="s">
        <v>18</v>
      </c>
      <c r="I1072" s="42">
        <v>83</v>
      </c>
      <c r="J1072" s="42">
        <v>31</v>
      </c>
      <c r="K1072" s="42">
        <v>0</v>
      </c>
      <c r="L1072" s="66">
        <f t="shared" si="242"/>
        <v>114</v>
      </c>
      <c r="M1072" s="43"/>
    </row>
    <row r="1073" spans="2:13" ht="15.75" hidden="1" x14ac:dyDescent="0.25">
      <c r="B1073" s="10">
        <v>46171</v>
      </c>
      <c r="C1073" s="10" t="s">
        <v>105</v>
      </c>
      <c r="D1073" s="10" t="s">
        <v>129</v>
      </c>
      <c r="F1073" s="941"/>
      <c r="G1073" s="29" t="s">
        <v>25</v>
      </c>
      <c r="H1073" s="29" t="s">
        <v>18</v>
      </c>
      <c r="I1073" s="42">
        <v>7</v>
      </c>
      <c r="J1073" s="42">
        <v>3</v>
      </c>
      <c r="K1073" s="42">
        <v>0</v>
      </c>
      <c r="L1073" s="66">
        <f t="shared" ref="L1073:L1075" si="243">SUM(I1073:K1073)</f>
        <v>10</v>
      </c>
      <c r="M1073" s="43"/>
    </row>
    <row r="1074" spans="2:13" ht="15.75" hidden="1" x14ac:dyDescent="0.25">
      <c r="B1074" s="10">
        <v>46171</v>
      </c>
      <c r="C1074" s="10" t="s">
        <v>105</v>
      </c>
      <c r="D1074" s="10" t="s">
        <v>129</v>
      </c>
      <c r="F1074" s="943">
        <v>46172</v>
      </c>
      <c r="G1074" s="29" t="s">
        <v>75</v>
      </c>
      <c r="H1074" s="29" t="s">
        <v>112</v>
      </c>
      <c r="I1074" s="42">
        <v>113</v>
      </c>
      <c r="J1074" s="42">
        <v>41</v>
      </c>
      <c r="K1074" s="42">
        <v>1</v>
      </c>
      <c r="L1074" s="66">
        <f t="shared" si="243"/>
        <v>155</v>
      </c>
      <c r="M1074" s="43"/>
    </row>
    <row r="1075" spans="2:13" ht="15.75" hidden="1" x14ac:dyDescent="0.25">
      <c r="B1075" s="10">
        <v>46171</v>
      </c>
      <c r="C1075" s="10" t="s">
        <v>105</v>
      </c>
      <c r="D1075" s="10" t="s">
        <v>129</v>
      </c>
      <c r="F1075" s="944"/>
      <c r="G1075" s="29" t="s">
        <v>14</v>
      </c>
      <c r="H1075" s="29" t="s">
        <v>22</v>
      </c>
      <c r="I1075" s="42">
        <v>56</v>
      </c>
      <c r="J1075" s="42">
        <v>12</v>
      </c>
      <c r="K1075" s="42">
        <v>5</v>
      </c>
      <c r="L1075" s="66">
        <f t="shared" si="243"/>
        <v>73</v>
      </c>
      <c r="M1075" s="43"/>
    </row>
    <row r="1076" spans="2:13" ht="15.75" hidden="1" x14ac:dyDescent="0.25">
      <c r="B1076" s="10">
        <v>46171</v>
      </c>
      <c r="C1076" s="10" t="s">
        <v>105</v>
      </c>
      <c r="D1076" s="10" t="s">
        <v>129</v>
      </c>
      <c r="F1076" s="937" t="s">
        <v>40</v>
      </c>
      <c r="G1076" s="937"/>
      <c r="H1076" s="937"/>
      <c r="I1076" s="8">
        <f>SUM(I1071:I1075)</f>
        <v>269</v>
      </c>
      <c r="J1076" s="8">
        <f>SUM(J1071:J1075)</f>
        <v>100</v>
      </c>
      <c r="K1076" s="8">
        <f>SUM(K1071:K1075)</f>
        <v>8</v>
      </c>
      <c r="L1076" s="8">
        <f>SUBTOTAL(9,I1076:K1076)</f>
        <v>0</v>
      </c>
      <c r="M1076" s="31"/>
    </row>
    <row r="1077" spans="2:13" ht="15.75" hidden="1" x14ac:dyDescent="0.25">
      <c r="B1077" s="10">
        <v>46172</v>
      </c>
      <c r="C1077" s="10" t="s">
        <v>106</v>
      </c>
      <c r="D1077" s="10" t="s">
        <v>13</v>
      </c>
      <c r="F1077" s="939">
        <v>46172</v>
      </c>
      <c r="G1077" s="29" t="s">
        <v>75</v>
      </c>
      <c r="H1077" s="29" t="s">
        <v>112</v>
      </c>
      <c r="I1077" s="42">
        <v>19</v>
      </c>
      <c r="J1077" s="42">
        <v>22</v>
      </c>
      <c r="K1077" s="42">
        <v>64</v>
      </c>
      <c r="L1077" s="66">
        <f t="shared" ref="L1077" si="244">SUM(I1077:K1077)</f>
        <v>105</v>
      </c>
      <c r="M1077" s="43"/>
    </row>
    <row r="1078" spans="2:13" ht="15.75" hidden="1" x14ac:dyDescent="0.25">
      <c r="B1078" s="10">
        <v>46172</v>
      </c>
      <c r="C1078" s="10" t="s">
        <v>106</v>
      </c>
      <c r="D1078" s="10" t="s">
        <v>13</v>
      </c>
      <c r="F1078" s="940"/>
      <c r="G1078" s="29" t="s">
        <v>17</v>
      </c>
      <c r="H1078" s="29" t="s">
        <v>18</v>
      </c>
      <c r="I1078" s="42">
        <v>61</v>
      </c>
      <c r="J1078" s="42">
        <v>23</v>
      </c>
      <c r="K1078" s="42">
        <v>50</v>
      </c>
      <c r="L1078" s="66">
        <f t="shared" ref="L1078:L1081" si="245">SUM(I1078:K1078)</f>
        <v>134</v>
      </c>
      <c r="M1078" s="43"/>
    </row>
    <row r="1079" spans="2:13" ht="15.75" hidden="1" x14ac:dyDescent="0.25">
      <c r="B1079" s="10">
        <v>46172</v>
      </c>
      <c r="C1079" s="10" t="s">
        <v>106</v>
      </c>
      <c r="D1079" s="10" t="s">
        <v>13</v>
      </c>
      <c r="F1079" s="940"/>
      <c r="G1079" s="29" t="s">
        <v>14</v>
      </c>
      <c r="H1079" s="29" t="s">
        <v>22</v>
      </c>
      <c r="I1079" s="42">
        <v>54</v>
      </c>
      <c r="J1079" s="42">
        <v>24</v>
      </c>
      <c r="K1079" s="42">
        <v>0</v>
      </c>
      <c r="L1079" s="66">
        <f t="shared" si="245"/>
        <v>78</v>
      </c>
      <c r="M1079" s="43"/>
    </row>
    <row r="1080" spans="2:13" ht="15.75" hidden="1" x14ac:dyDescent="0.25">
      <c r="B1080" s="10">
        <v>46172</v>
      </c>
      <c r="C1080" s="10" t="s">
        <v>106</v>
      </c>
      <c r="D1080" s="10" t="s">
        <v>13</v>
      </c>
      <c r="F1080" s="940"/>
      <c r="G1080" s="29" t="s">
        <v>84</v>
      </c>
      <c r="H1080" s="29" t="s">
        <v>22</v>
      </c>
      <c r="I1080" s="42">
        <v>1</v>
      </c>
      <c r="J1080" s="42">
        <v>0</v>
      </c>
      <c r="K1080" s="42">
        <v>0</v>
      </c>
      <c r="L1080" s="66">
        <f t="shared" si="245"/>
        <v>1</v>
      </c>
      <c r="M1080" s="43"/>
    </row>
    <row r="1081" spans="2:13" ht="15.75" hidden="1" x14ac:dyDescent="0.25">
      <c r="B1081" s="10">
        <v>46172</v>
      </c>
      <c r="C1081" s="10" t="s">
        <v>106</v>
      </c>
      <c r="D1081" s="10" t="s">
        <v>13</v>
      </c>
      <c r="F1081" s="941"/>
      <c r="G1081" s="29" t="s">
        <v>120</v>
      </c>
      <c r="H1081" s="29" t="s">
        <v>106</v>
      </c>
      <c r="I1081" s="42">
        <v>1</v>
      </c>
      <c r="J1081" s="42">
        <v>0</v>
      </c>
      <c r="K1081" s="42">
        <v>0</v>
      </c>
      <c r="L1081" s="66">
        <f t="shared" si="245"/>
        <v>1</v>
      </c>
      <c r="M1081" s="43"/>
    </row>
    <row r="1082" spans="2:13" ht="15.75" hidden="1" x14ac:dyDescent="0.25">
      <c r="B1082" s="10">
        <v>46172</v>
      </c>
      <c r="C1082" s="10" t="s">
        <v>106</v>
      </c>
      <c r="D1082" s="10" t="s">
        <v>13</v>
      </c>
      <c r="F1082" s="937" t="s">
        <v>40</v>
      </c>
      <c r="G1082" s="937"/>
      <c r="H1082" s="937"/>
      <c r="I1082" s="8">
        <f>SUM(I1077:I1081)</f>
        <v>136</v>
      </c>
      <c r="J1082" s="8">
        <f>SUM(J1077:J1081)</f>
        <v>69</v>
      </c>
      <c r="K1082" s="8">
        <f>SUM(K1077:K1081)</f>
        <v>114</v>
      </c>
      <c r="L1082" s="8">
        <f>SUBTOTAL(9,I1082:K1082)</f>
        <v>0</v>
      </c>
      <c r="M1082" s="31"/>
    </row>
    <row r="1083" spans="2:13" ht="15.75" hidden="1" x14ac:dyDescent="0.25">
      <c r="B1083" s="10">
        <v>46172</v>
      </c>
      <c r="C1083" s="10" t="s">
        <v>105</v>
      </c>
      <c r="D1083" s="10" t="s">
        <v>129</v>
      </c>
      <c r="F1083" s="939">
        <v>46172</v>
      </c>
      <c r="G1083" s="29" t="s">
        <v>75</v>
      </c>
      <c r="H1083" s="29" t="s">
        <v>112</v>
      </c>
      <c r="I1083" s="42">
        <v>12</v>
      </c>
      <c r="J1083" s="42">
        <v>10</v>
      </c>
      <c r="K1083" s="42">
        <v>0</v>
      </c>
      <c r="L1083" s="66">
        <f t="shared" ref="L1083:L1085" si="246">SUM(I1083:K1083)</f>
        <v>22</v>
      </c>
      <c r="M1083" s="43"/>
    </row>
    <row r="1084" spans="2:13" ht="15.75" hidden="1" x14ac:dyDescent="0.25">
      <c r="B1084" s="10">
        <v>46172</v>
      </c>
      <c r="C1084" s="10" t="s">
        <v>105</v>
      </c>
      <c r="D1084" s="10" t="s">
        <v>129</v>
      </c>
      <c r="F1084" s="940"/>
      <c r="G1084" s="29" t="s">
        <v>17</v>
      </c>
      <c r="H1084" s="29" t="s">
        <v>18</v>
      </c>
      <c r="I1084" s="42">
        <v>50</v>
      </c>
      <c r="J1084" s="42">
        <v>27</v>
      </c>
      <c r="K1084" s="42">
        <v>0</v>
      </c>
      <c r="L1084" s="66">
        <f t="shared" si="246"/>
        <v>77</v>
      </c>
      <c r="M1084" s="43"/>
    </row>
    <row r="1085" spans="2:13" ht="15.75" hidden="1" x14ac:dyDescent="0.25">
      <c r="B1085" s="10">
        <v>46172</v>
      </c>
      <c r="C1085" s="10" t="s">
        <v>105</v>
      </c>
      <c r="D1085" s="10" t="s">
        <v>129</v>
      </c>
      <c r="F1085" s="940"/>
      <c r="G1085" s="29" t="s">
        <v>14</v>
      </c>
      <c r="H1085" s="29" t="s">
        <v>18</v>
      </c>
      <c r="I1085" s="42">
        <v>5</v>
      </c>
      <c r="J1085" s="42">
        <v>6</v>
      </c>
      <c r="K1085" s="42">
        <v>0</v>
      </c>
      <c r="L1085" s="66">
        <f t="shared" si="246"/>
        <v>11</v>
      </c>
      <c r="M1085" s="43"/>
    </row>
    <row r="1086" spans="2:13" ht="15.75" hidden="1" x14ac:dyDescent="0.25">
      <c r="B1086" s="10">
        <v>46172</v>
      </c>
      <c r="C1086" s="10" t="s">
        <v>105</v>
      </c>
      <c r="D1086" s="10" t="s">
        <v>129</v>
      </c>
      <c r="F1086" s="941"/>
      <c r="G1086" s="29" t="s">
        <v>25</v>
      </c>
      <c r="H1086" s="29" t="s">
        <v>18</v>
      </c>
      <c r="I1086" s="42">
        <v>10</v>
      </c>
      <c r="J1086" s="42">
        <v>0</v>
      </c>
      <c r="K1086" s="42">
        <v>0</v>
      </c>
      <c r="L1086" s="66">
        <f t="shared" ref="L1086:L1087" si="247">SUM(I1086:K1086)</f>
        <v>10</v>
      </c>
      <c r="M1086" s="43"/>
    </row>
    <row r="1087" spans="2:13" ht="15.75" hidden="1" x14ac:dyDescent="0.25">
      <c r="B1087" s="10">
        <v>46172</v>
      </c>
      <c r="C1087" s="10" t="s">
        <v>105</v>
      </c>
      <c r="D1087" s="10" t="s">
        <v>129</v>
      </c>
      <c r="F1087" s="299">
        <v>46175</v>
      </c>
      <c r="G1087" s="29" t="s">
        <v>75</v>
      </c>
      <c r="H1087" s="29" t="s">
        <v>112</v>
      </c>
      <c r="I1087" s="42">
        <v>17</v>
      </c>
      <c r="J1087" s="42">
        <v>17</v>
      </c>
      <c r="K1087" s="42">
        <v>0</v>
      </c>
      <c r="L1087" s="66">
        <f t="shared" si="247"/>
        <v>34</v>
      </c>
      <c r="M1087" s="43"/>
    </row>
    <row r="1088" spans="2:13" ht="15.75" hidden="1" x14ac:dyDescent="0.25">
      <c r="B1088" s="10">
        <v>46172</v>
      </c>
      <c r="C1088" s="10" t="s">
        <v>105</v>
      </c>
      <c r="D1088" s="10" t="s">
        <v>129</v>
      </c>
      <c r="F1088" s="937" t="s">
        <v>40</v>
      </c>
      <c r="G1088" s="937"/>
      <c r="H1088" s="937"/>
      <c r="I1088" s="8">
        <f>SUM(I1083:I1087)</f>
        <v>94</v>
      </c>
      <c r="J1088" s="8">
        <f>SUM(J1083:J1087)</f>
        <v>60</v>
      </c>
      <c r="K1088" s="8">
        <f>SUM(K1083:K1087)</f>
        <v>0</v>
      </c>
      <c r="L1088" s="8">
        <f>SUBTOTAL(9,I1088:K1088)</f>
        <v>0</v>
      </c>
      <c r="M1088" s="31"/>
    </row>
    <row r="1089" spans="2:13" ht="15.75" hidden="1" x14ac:dyDescent="0.25">
      <c r="B1089" s="10">
        <v>46174</v>
      </c>
      <c r="C1089" s="10" t="s">
        <v>105</v>
      </c>
      <c r="D1089" s="10" t="s">
        <v>129</v>
      </c>
      <c r="F1089" s="939">
        <v>46174</v>
      </c>
      <c r="G1089" s="29" t="s">
        <v>75</v>
      </c>
      <c r="H1089" s="29" t="s">
        <v>112</v>
      </c>
      <c r="I1089" s="42">
        <v>74</v>
      </c>
      <c r="J1089" s="42">
        <v>50</v>
      </c>
      <c r="K1089" s="42">
        <v>0</v>
      </c>
      <c r="L1089" s="66">
        <f t="shared" ref="L1089:L1091" si="248">SUM(I1089:K1089)</f>
        <v>124</v>
      </c>
      <c r="M1089" s="43"/>
    </row>
    <row r="1090" spans="2:13" ht="15.75" hidden="1" x14ac:dyDescent="0.25">
      <c r="B1090" s="10">
        <v>46174</v>
      </c>
      <c r="C1090" s="10" t="s">
        <v>105</v>
      </c>
      <c r="D1090" s="10" t="s">
        <v>129</v>
      </c>
      <c r="F1090" s="940"/>
      <c r="G1090" s="29" t="s">
        <v>14</v>
      </c>
      <c r="H1090" s="29" t="s">
        <v>106</v>
      </c>
      <c r="I1090" s="42">
        <v>148</v>
      </c>
      <c r="J1090" s="42">
        <v>47</v>
      </c>
      <c r="K1090" s="42">
        <v>0</v>
      </c>
      <c r="L1090" s="66">
        <f t="shared" si="248"/>
        <v>195</v>
      </c>
      <c r="M1090" s="43"/>
    </row>
    <row r="1091" spans="2:13" ht="15.75" hidden="1" x14ac:dyDescent="0.25">
      <c r="B1091" s="10">
        <v>46174</v>
      </c>
      <c r="C1091" s="10" t="s">
        <v>105</v>
      </c>
      <c r="D1091" s="10" t="s">
        <v>129</v>
      </c>
      <c r="F1091" s="940"/>
      <c r="G1091" s="29" t="s">
        <v>84</v>
      </c>
      <c r="H1091" s="29" t="s">
        <v>106</v>
      </c>
      <c r="I1091" s="42">
        <v>49</v>
      </c>
      <c r="J1091" s="42">
        <v>7</v>
      </c>
      <c r="K1091" s="42">
        <v>65</v>
      </c>
      <c r="L1091" s="66">
        <f t="shared" si="248"/>
        <v>121</v>
      </c>
      <c r="M1091" s="43"/>
    </row>
    <row r="1092" spans="2:13" ht="15.75" hidden="1" x14ac:dyDescent="0.25">
      <c r="B1092" s="10">
        <v>46174</v>
      </c>
      <c r="C1092" s="10" t="s">
        <v>105</v>
      </c>
      <c r="D1092" s="10" t="s">
        <v>129</v>
      </c>
      <c r="F1092" s="937" t="s">
        <v>40</v>
      </c>
      <c r="G1092" s="937"/>
      <c r="H1092" s="937"/>
      <c r="I1092" s="8">
        <f>SUM(I1089:I1091)</f>
        <v>271</v>
      </c>
      <c r="J1092" s="8">
        <f>SUM(J1089:J1091)</f>
        <v>104</v>
      </c>
      <c r="K1092" s="8">
        <f>SUM(K1089:K1091)</f>
        <v>65</v>
      </c>
      <c r="L1092" s="8">
        <f>SUBTOTAL(9,I1092:K1092)</f>
        <v>0</v>
      </c>
      <c r="M1092" s="31"/>
    </row>
    <row r="1093" spans="2:13" ht="15.75" hidden="1" x14ac:dyDescent="0.25">
      <c r="B1093" s="10">
        <v>46175</v>
      </c>
      <c r="C1093" s="10" t="s">
        <v>106</v>
      </c>
      <c r="D1093" s="10" t="s">
        <v>133</v>
      </c>
      <c r="F1093" s="939">
        <v>46175</v>
      </c>
      <c r="G1093" s="29" t="s">
        <v>75</v>
      </c>
      <c r="H1093" s="29" t="s">
        <v>22</v>
      </c>
      <c r="I1093" s="42">
        <v>31</v>
      </c>
      <c r="J1093" s="42">
        <v>35</v>
      </c>
      <c r="K1093" s="42">
        <v>0</v>
      </c>
      <c r="L1093" s="66">
        <f t="shared" ref="L1093:L1097" si="249">SUM(I1093:K1093)</f>
        <v>66</v>
      </c>
      <c r="M1093" s="43"/>
    </row>
    <row r="1094" spans="2:13" ht="15.75" hidden="1" x14ac:dyDescent="0.25">
      <c r="B1094" s="10">
        <v>46175</v>
      </c>
      <c r="C1094" s="10" t="s">
        <v>106</v>
      </c>
      <c r="D1094" s="10" t="s">
        <v>133</v>
      </c>
      <c r="F1094" s="940"/>
      <c r="G1094" s="29" t="s">
        <v>14</v>
      </c>
      <c r="H1094" s="29" t="s">
        <v>106</v>
      </c>
      <c r="I1094" s="42">
        <v>8</v>
      </c>
      <c r="J1094" s="42">
        <v>8</v>
      </c>
      <c r="K1094" s="42">
        <v>0</v>
      </c>
      <c r="L1094" s="66">
        <f t="shared" si="249"/>
        <v>16</v>
      </c>
      <c r="M1094" s="43"/>
    </row>
    <row r="1095" spans="2:13" ht="15.75" hidden="1" x14ac:dyDescent="0.25">
      <c r="B1095" s="10">
        <v>46175</v>
      </c>
      <c r="C1095" s="10" t="s">
        <v>106</v>
      </c>
      <c r="D1095" s="10" t="s">
        <v>133</v>
      </c>
      <c r="F1095" s="940"/>
      <c r="G1095" s="29" t="s">
        <v>25</v>
      </c>
      <c r="H1095" s="29" t="s">
        <v>18</v>
      </c>
      <c r="I1095" s="42">
        <v>51</v>
      </c>
      <c r="J1095" s="42">
        <v>41</v>
      </c>
      <c r="K1095" s="42">
        <v>64</v>
      </c>
      <c r="L1095" s="66">
        <f t="shared" si="249"/>
        <v>156</v>
      </c>
      <c r="M1095" s="43"/>
    </row>
    <row r="1096" spans="2:13" ht="15.75" hidden="1" x14ac:dyDescent="0.25">
      <c r="B1096" s="10">
        <v>46175</v>
      </c>
      <c r="C1096" s="10" t="s">
        <v>106</v>
      </c>
      <c r="D1096" s="10" t="s">
        <v>133</v>
      </c>
      <c r="F1096" s="940"/>
      <c r="G1096" s="29" t="s">
        <v>120</v>
      </c>
      <c r="H1096" s="29" t="s">
        <v>22</v>
      </c>
      <c r="I1096" s="42">
        <v>57</v>
      </c>
      <c r="J1096" s="42">
        <v>13</v>
      </c>
      <c r="K1096" s="42">
        <v>0</v>
      </c>
      <c r="L1096" s="66">
        <f t="shared" si="249"/>
        <v>70</v>
      </c>
      <c r="M1096" s="43"/>
    </row>
    <row r="1097" spans="2:13" ht="15.75" hidden="1" x14ac:dyDescent="0.25">
      <c r="B1097" s="10">
        <v>46175</v>
      </c>
      <c r="C1097" s="10" t="s">
        <v>106</v>
      </c>
      <c r="D1097" s="10" t="s">
        <v>133</v>
      </c>
      <c r="F1097" s="940"/>
      <c r="G1097" s="29" t="s">
        <v>84</v>
      </c>
      <c r="H1097" s="29" t="s">
        <v>22</v>
      </c>
      <c r="I1097" s="42">
        <v>112</v>
      </c>
      <c r="J1097" s="42">
        <v>32</v>
      </c>
      <c r="K1097" s="42">
        <v>0</v>
      </c>
      <c r="L1097" s="66">
        <f t="shared" si="249"/>
        <v>144</v>
      </c>
      <c r="M1097" s="43"/>
    </row>
    <row r="1098" spans="2:13" ht="15.75" hidden="1" x14ac:dyDescent="0.25">
      <c r="B1098" s="10">
        <v>46175</v>
      </c>
      <c r="C1098" s="10" t="s">
        <v>106</v>
      </c>
      <c r="D1098" s="10" t="s">
        <v>133</v>
      </c>
      <c r="F1098" s="937" t="s">
        <v>40</v>
      </c>
      <c r="G1098" s="937"/>
      <c r="H1098" s="937"/>
      <c r="I1098" s="8">
        <f>SUM(I1093:I1097)</f>
        <v>259</v>
      </c>
      <c r="J1098" s="8">
        <f>SUM(J1093:J1097)</f>
        <v>129</v>
      </c>
      <c r="K1098" s="8">
        <f>SUM(K1093:K1097)</f>
        <v>64</v>
      </c>
      <c r="L1098" s="8">
        <f>SUBTOTAL(9,I1098:K1098)</f>
        <v>0</v>
      </c>
      <c r="M1098" s="31"/>
    </row>
    <row r="1099" spans="2:13" ht="15.75" hidden="1" x14ac:dyDescent="0.25">
      <c r="B1099" s="10">
        <v>46175</v>
      </c>
      <c r="C1099" s="10" t="s">
        <v>105</v>
      </c>
      <c r="D1099" s="10" t="s">
        <v>129</v>
      </c>
      <c r="F1099" s="942">
        <v>46175</v>
      </c>
      <c r="G1099" s="29" t="s">
        <v>75</v>
      </c>
      <c r="H1099" s="29" t="s">
        <v>100</v>
      </c>
      <c r="I1099" s="42">
        <v>23</v>
      </c>
      <c r="J1099" s="42">
        <v>13</v>
      </c>
      <c r="K1099" s="42">
        <v>0</v>
      </c>
      <c r="L1099" s="66">
        <f t="shared" ref="L1099:L1101" si="250">SUM(I1099:K1099)</f>
        <v>36</v>
      </c>
      <c r="M1099" s="43"/>
    </row>
    <row r="1100" spans="2:13" ht="15.75" hidden="1" x14ac:dyDescent="0.25">
      <c r="B1100" s="10">
        <v>46175</v>
      </c>
      <c r="C1100" s="10" t="s">
        <v>105</v>
      </c>
      <c r="D1100" s="10" t="s">
        <v>129</v>
      </c>
      <c r="F1100" s="942"/>
      <c r="G1100" s="29" t="s">
        <v>17</v>
      </c>
      <c r="H1100" s="29" t="s">
        <v>18</v>
      </c>
      <c r="I1100" s="42">
        <v>5</v>
      </c>
      <c r="J1100" s="42">
        <v>3</v>
      </c>
      <c r="K1100" s="42">
        <v>0</v>
      </c>
      <c r="L1100" s="66">
        <f t="shared" si="250"/>
        <v>8</v>
      </c>
      <c r="M1100" s="43"/>
    </row>
    <row r="1101" spans="2:13" ht="15.75" hidden="1" x14ac:dyDescent="0.25">
      <c r="B1101" s="10">
        <v>46175</v>
      </c>
      <c r="C1101" s="10" t="s">
        <v>105</v>
      </c>
      <c r="D1101" s="10" t="s">
        <v>129</v>
      </c>
      <c r="F1101" s="942"/>
      <c r="G1101" s="29" t="s">
        <v>25</v>
      </c>
      <c r="H1101" s="29" t="s">
        <v>18</v>
      </c>
      <c r="I1101" s="42">
        <v>102</v>
      </c>
      <c r="J1101" s="42">
        <v>32</v>
      </c>
      <c r="K1101" s="42">
        <v>0</v>
      </c>
      <c r="L1101" s="66">
        <f t="shared" si="250"/>
        <v>134</v>
      </c>
      <c r="M1101" s="43"/>
    </row>
    <row r="1102" spans="2:13" ht="15.75" hidden="1" x14ac:dyDescent="0.25">
      <c r="B1102" s="10">
        <v>46175</v>
      </c>
      <c r="C1102" s="10" t="s">
        <v>105</v>
      </c>
      <c r="D1102" s="10" t="s">
        <v>129</v>
      </c>
      <c r="F1102" s="948">
        <v>46176</v>
      </c>
      <c r="G1102" s="29" t="s">
        <v>75</v>
      </c>
      <c r="H1102" s="29" t="s">
        <v>112</v>
      </c>
      <c r="I1102" s="42">
        <v>113</v>
      </c>
      <c r="J1102" s="42">
        <v>76</v>
      </c>
      <c r="K1102" s="42">
        <v>0</v>
      </c>
      <c r="L1102" s="66">
        <f t="shared" ref="L1102:L1103" si="251">SUM(I1102:K1102)</f>
        <v>189</v>
      </c>
      <c r="M1102" s="43"/>
    </row>
    <row r="1103" spans="2:13" ht="15.75" hidden="1" x14ac:dyDescent="0.25">
      <c r="B1103" s="10">
        <v>46175</v>
      </c>
      <c r="C1103" s="10" t="s">
        <v>105</v>
      </c>
      <c r="D1103" s="10" t="s">
        <v>129</v>
      </c>
      <c r="F1103" s="948"/>
      <c r="G1103" s="29" t="s">
        <v>14</v>
      </c>
      <c r="H1103" s="29" t="s">
        <v>106</v>
      </c>
      <c r="I1103" s="42">
        <v>27</v>
      </c>
      <c r="J1103" s="42">
        <v>20</v>
      </c>
      <c r="K1103" s="42">
        <v>29</v>
      </c>
      <c r="L1103" s="66">
        <f t="shared" si="251"/>
        <v>76</v>
      </c>
      <c r="M1103" s="43"/>
    </row>
    <row r="1104" spans="2:13" ht="15.75" hidden="1" x14ac:dyDescent="0.25">
      <c r="B1104" s="10">
        <v>46175</v>
      </c>
      <c r="C1104" s="10" t="s">
        <v>105</v>
      </c>
      <c r="D1104" s="10" t="s">
        <v>129</v>
      </c>
      <c r="F1104" s="937" t="s">
        <v>40</v>
      </c>
      <c r="G1104" s="937"/>
      <c r="H1104" s="937"/>
      <c r="I1104" s="8">
        <f>SUM(I1099:I1103)</f>
        <v>270</v>
      </c>
      <c r="J1104" s="8">
        <f>SUM(J1099:J1103)</f>
        <v>144</v>
      </c>
      <c r="K1104" s="8">
        <f>SUM(K1099:K1103)</f>
        <v>29</v>
      </c>
      <c r="L1104" s="8">
        <f>SUBTOTAL(9,I1104:K1104)</f>
        <v>0</v>
      </c>
      <c r="M1104" s="31"/>
    </row>
    <row r="1105" spans="2:13" ht="15.75" hidden="1" x14ac:dyDescent="0.25">
      <c r="B1105" s="10">
        <v>46176</v>
      </c>
      <c r="C1105" s="10" t="s">
        <v>106</v>
      </c>
      <c r="D1105" s="10" t="s">
        <v>133</v>
      </c>
      <c r="F1105" s="939">
        <v>46175</v>
      </c>
      <c r="G1105" s="29" t="s">
        <v>75</v>
      </c>
      <c r="H1105" s="29" t="s">
        <v>112</v>
      </c>
      <c r="I1105" s="42">
        <v>16</v>
      </c>
      <c r="J1105" s="42">
        <v>28</v>
      </c>
      <c r="K1105" s="42">
        <v>0</v>
      </c>
      <c r="L1105" s="66">
        <f t="shared" ref="L1105:L1109" si="252">SUM(I1105:K1105)</f>
        <v>44</v>
      </c>
      <c r="M1105" s="43"/>
    </row>
    <row r="1106" spans="2:13" ht="15.75" hidden="1" x14ac:dyDescent="0.25">
      <c r="B1106" s="10">
        <v>46176</v>
      </c>
      <c r="C1106" s="10" t="s">
        <v>106</v>
      </c>
      <c r="D1106" s="10" t="s">
        <v>133</v>
      </c>
      <c r="F1106" s="940"/>
      <c r="G1106" s="29" t="s">
        <v>14</v>
      </c>
      <c r="H1106" s="29" t="s">
        <v>106</v>
      </c>
      <c r="I1106" s="42">
        <v>100</v>
      </c>
      <c r="J1106" s="42">
        <v>43</v>
      </c>
      <c r="K1106" s="42">
        <v>0</v>
      </c>
      <c r="L1106" s="66">
        <f t="shared" si="252"/>
        <v>143</v>
      </c>
      <c r="M1106" s="43"/>
    </row>
    <row r="1107" spans="2:13" ht="15.75" hidden="1" x14ac:dyDescent="0.25">
      <c r="B1107" s="10">
        <v>46176</v>
      </c>
      <c r="C1107" s="10" t="s">
        <v>106</v>
      </c>
      <c r="D1107" s="10" t="s">
        <v>133</v>
      </c>
      <c r="F1107" s="940"/>
      <c r="G1107" s="29" t="s">
        <v>17</v>
      </c>
      <c r="H1107" s="29" t="s">
        <v>18</v>
      </c>
      <c r="I1107" s="42">
        <v>74</v>
      </c>
      <c r="J1107" s="42">
        <v>32</v>
      </c>
      <c r="K1107" s="42">
        <v>18</v>
      </c>
      <c r="L1107" s="66">
        <f t="shared" si="252"/>
        <v>124</v>
      </c>
      <c r="M1107" s="43"/>
    </row>
    <row r="1108" spans="2:13" ht="15.75" hidden="1" x14ac:dyDescent="0.25">
      <c r="B1108" s="10">
        <v>46176</v>
      </c>
      <c r="C1108" s="10" t="s">
        <v>106</v>
      </c>
      <c r="D1108" s="10" t="s">
        <v>133</v>
      </c>
      <c r="F1108" s="940"/>
      <c r="G1108" s="29" t="s">
        <v>120</v>
      </c>
      <c r="H1108" s="29" t="s">
        <v>22</v>
      </c>
      <c r="I1108" s="42">
        <v>9</v>
      </c>
      <c r="J1108" s="42">
        <v>2</v>
      </c>
      <c r="K1108" s="42">
        <v>59</v>
      </c>
      <c r="L1108" s="66">
        <f t="shared" si="252"/>
        <v>70</v>
      </c>
      <c r="M1108" s="43"/>
    </row>
    <row r="1109" spans="2:13" ht="15.75" hidden="1" x14ac:dyDescent="0.25">
      <c r="B1109" s="10">
        <v>46176</v>
      </c>
      <c r="C1109" s="10" t="s">
        <v>106</v>
      </c>
      <c r="D1109" s="10" t="s">
        <v>133</v>
      </c>
      <c r="F1109" s="940"/>
      <c r="G1109" s="29" t="s">
        <v>84</v>
      </c>
      <c r="H1109" s="29" t="s">
        <v>22</v>
      </c>
      <c r="I1109" s="42">
        <v>32</v>
      </c>
      <c r="J1109" s="42">
        <v>10</v>
      </c>
      <c r="K1109" s="42">
        <v>4</v>
      </c>
      <c r="L1109" s="66">
        <f t="shared" si="252"/>
        <v>46</v>
      </c>
      <c r="M1109" s="43"/>
    </row>
    <row r="1110" spans="2:13" ht="15.75" hidden="1" x14ac:dyDescent="0.25">
      <c r="B1110" s="10">
        <v>46176</v>
      </c>
      <c r="C1110" s="10" t="s">
        <v>106</v>
      </c>
      <c r="D1110" s="10" t="s">
        <v>133</v>
      </c>
      <c r="F1110" s="937" t="s">
        <v>40</v>
      </c>
      <c r="G1110" s="937"/>
      <c r="H1110" s="937"/>
      <c r="I1110" s="8">
        <f>SUM(I1105:I1109)</f>
        <v>231</v>
      </c>
      <c r="J1110" s="8">
        <f t="shared" ref="J1110:K1110" si="253">SUM(J1105:J1109)</f>
        <v>115</v>
      </c>
      <c r="K1110" s="8">
        <f t="shared" si="253"/>
        <v>81</v>
      </c>
      <c r="L1110" s="8">
        <f>SUBTOTAL(9,I1110:K1110)</f>
        <v>0</v>
      </c>
      <c r="M1110" s="31"/>
    </row>
    <row r="1111" spans="2:13" ht="15.75" hidden="1" x14ac:dyDescent="0.25">
      <c r="B1111" s="10">
        <v>46176</v>
      </c>
      <c r="C1111" s="10" t="s">
        <v>105</v>
      </c>
      <c r="D1111" s="10" t="s">
        <v>129</v>
      </c>
      <c r="F1111" s="942">
        <v>46176</v>
      </c>
      <c r="G1111" s="29" t="s">
        <v>75</v>
      </c>
      <c r="H1111" s="29" t="s">
        <v>100</v>
      </c>
      <c r="I1111" s="42">
        <v>12</v>
      </c>
      <c r="J1111" s="42">
        <v>14</v>
      </c>
      <c r="K1111" s="42">
        <v>0</v>
      </c>
      <c r="L1111" s="66">
        <f t="shared" ref="L1111:L1113" si="254">SUM(I1111:K1111)</f>
        <v>26</v>
      </c>
      <c r="M1111" s="43"/>
    </row>
    <row r="1112" spans="2:13" ht="15.75" hidden="1" x14ac:dyDescent="0.25">
      <c r="B1112" s="10">
        <v>46176</v>
      </c>
      <c r="C1112" s="10" t="s">
        <v>105</v>
      </c>
      <c r="D1112" s="10" t="s">
        <v>129</v>
      </c>
      <c r="F1112" s="942"/>
      <c r="G1112" s="29" t="s">
        <v>17</v>
      </c>
      <c r="H1112" s="29" t="s">
        <v>18</v>
      </c>
      <c r="I1112" s="42">
        <v>50</v>
      </c>
      <c r="J1112" s="42">
        <v>23</v>
      </c>
      <c r="K1112" s="42">
        <v>0</v>
      </c>
      <c r="L1112" s="66">
        <f t="shared" si="254"/>
        <v>73</v>
      </c>
      <c r="M1112" s="43"/>
    </row>
    <row r="1113" spans="2:13" ht="15.75" hidden="1" x14ac:dyDescent="0.25">
      <c r="B1113" s="10">
        <v>46176</v>
      </c>
      <c r="C1113" s="10" t="s">
        <v>105</v>
      </c>
      <c r="D1113" s="10" t="s">
        <v>129</v>
      </c>
      <c r="F1113" s="942"/>
      <c r="G1113" s="29" t="s">
        <v>25</v>
      </c>
      <c r="H1113" s="29" t="s">
        <v>18</v>
      </c>
      <c r="I1113" s="42">
        <v>7</v>
      </c>
      <c r="J1113" s="42">
        <v>0</v>
      </c>
      <c r="K1113" s="42">
        <v>0</v>
      </c>
      <c r="L1113" s="66">
        <f t="shared" si="254"/>
        <v>7</v>
      </c>
      <c r="M1113" s="43"/>
    </row>
    <row r="1114" spans="2:13" ht="15.75" hidden="1" x14ac:dyDescent="0.25">
      <c r="B1114" s="10">
        <v>46176</v>
      </c>
      <c r="C1114" s="10" t="s">
        <v>105</v>
      </c>
      <c r="D1114" s="10" t="s">
        <v>129</v>
      </c>
      <c r="F1114" s="948">
        <v>46177</v>
      </c>
      <c r="G1114" s="29" t="s">
        <v>75</v>
      </c>
      <c r="H1114" s="29" t="s">
        <v>112</v>
      </c>
      <c r="I1114" s="42">
        <v>103</v>
      </c>
      <c r="J1114" s="42">
        <v>39</v>
      </c>
      <c r="K1114" s="42">
        <v>31</v>
      </c>
      <c r="L1114" s="66">
        <f t="shared" ref="L1114:L1115" si="255">SUM(I1114:K1114)</f>
        <v>173</v>
      </c>
      <c r="M1114" s="43"/>
    </row>
    <row r="1115" spans="2:13" ht="15.75" hidden="1" x14ac:dyDescent="0.25">
      <c r="B1115" s="10">
        <v>46176</v>
      </c>
      <c r="C1115" s="10" t="s">
        <v>105</v>
      </c>
      <c r="D1115" s="10" t="s">
        <v>129</v>
      </c>
      <c r="F1115" s="948"/>
      <c r="G1115" s="29" t="s">
        <v>14</v>
      </c>
      <c r="H1115" s="29" t="s">
        <v>106</v>
      </c>
      <c r="I1115" s="42">
        <v>29</v>
      </c>
      <c r="J1115" s="42">
        <v>2</v>
      </c>
      <c r="K1115" s="42">
        <v>74</v>
      </c>
      <c r="L1115" s="66">
        <f t="shared" si="255"/>
        <v>105</v>
      </c>
      <c r="M1115" s="43"/>
    </row>
    <row r="1116" spans="2:13" ht="15.75" hidden="1" x14ac:dyDescent="0.25">
      <c r="B1116" s="10">
        <v>46176</v>
      </c>
      <c r="C1116" s="10" t="s">
        <v>105</v>
      </c>
      <c r="D1116" s="10" t="s">
        <v>129</v>
      </c>
      <c r="F1116" s="937" t="s">
        <v>40</v>
      </c>
      <c r="G1116" s="937"/>
      <c r="H1116" s="937"/>
      <c r="I1116" s="8">
        <f>SUM(I1111:I1115)</f>
        <v>201</v>
      </c>
      <c r="J1116" s="8">
        <f>SUM(J1111:J1115)</f>
        <v>78</v>
      </c>
      <c r="K1116" s="8">
        <f>SUM(K1111:K1115)</f>
        <v>105</v>
      </c>
      <c r="L1116" s="8">
        <f>SUBTOTAL(9,I1116:K1116)</f>
        <v>0</v>
      </c>
      <c r="M1116" s="31"/>
    </row>
    <row r="1117" spans="2:13" ht="15.75" hidden="1" x14ac:dyDescent="0.25">
      <c r="B1117" s="10">
        <v>46177</v>
      </c>
      <c r="C1117" s="10" t="s">
        <v>106</v>
      </c>
      <c r="D1117" s="10" t="s">
        <v>133</v>
      </c>
      <c r="F1117" s="939">
        <v>46175</v>
      </c>
      <c r="G1117" s="29" t="s">
        <v>75</v>
      </c>
      <c r="H1117" s="29" t="s">
        <v>100</v>
      </c>
      <c r="I1117" s="42">
        <v>43</v>
      </c>
      <c r="J1117" s="42">
        <v>35</v>
      </c>
      <c r="K1117" s="42">
        <v>0</v>
      </c>
      <c r="L1117" s="66">
        <f t="shared" ref="L1117:L1123" si="256">SUM(I1117:K1117)</f>
        <v>78</v>
      </c>
      <c r="M1117" s="43"/>
    </row>
    <row r="1118" spans="2:13" ht="15.75" hidden="1" x14ac:dyDescent="0.25">
      <c r="B1118" s="10">
        <v>46177</v>
      </c>
      <c r="C1118" s="10" t="s">
        <v>106</v>
      </c>
      <c r="D1118" s="10" t="s">
        <v>133</v>
      </c>
      <c r="F1118" s="940"/>
      <c r="G1118" s="29" t="s">
        <v>14</v>
      </c>
      <c r="H1118" s="29" t="s">
        <v>22</v>
      </c>
      <c r="I1118" s="42">
        <v>102</v>
      </c>
      <c r="J1118" s="42">
        <v>41</v>
      </c>
      <c r="K1118" s="42">
        <v>0</v>
      </c>
      <c r="L1118" s="66">
        <f t="shared" si="256"/>
        <v>143</v>
      </c>
      <c r="M1118" s="43"/>
    </row>
    <row r="1119" spans="2:13" ht="15.75" hidden="1" x14ac:dyDescent="0.25">
      <c r="B1119" s="10">
        <v>46177</v>
      </c>
      <c r="C1119" s="10" t="s">
        <v>106</v>
      </c>
      <c r="D1119" s="10" t="s">
        <v>133</v>
      </c>
      <c r="F1119" s="940"/>
      <c r="G1119" s="29" t="s">
        <v>17</v>
      </c>
      <c r="H1119" s="29" t="s">
        <v>105</v>
      </c>
      <c r="I1119" s="42">
        <v>51</v>
      </c>
      <c r="J1119" s="42">
        <v>10</v>
      </c>
      <c r="K1119" s="42">
        <v>86</v>
      </c>
      <c r="L1119" s="66">
        <f t="shared" si="256"/>
        <v>147</v>
      </c>
      <c r="M1119" s="43"/>
    </row>
    <row r="1120" spans="2:13" ht="15.75" hidden="1" x14ac:dyDescent="0.25">
      <c r="B1120" s="10">
        <v>46177</v>
      </c>
      <c r="C1120" s="10" t="s">
        <v>106</v>
      </c>
      <c r="D1120" s="10" t="s">
        <v>133</v>
      </c>
      <c r="F1120" s="940"/>
      <c r="G1120" s="29" t="s">
        <v>120</v>
      </c>
      <c r="H1120" s="29" t="s">
        <v>106</v>
      </c>
      <c r="I1120" s="42">
        <v>69</v>
      </c>
      <c r="J1120" s="42">
        <v>5</v>
      </c>
      <c r="K1120" s="42">
        <v>0</v>
      </c>
      <c r="L1120" s="66">
        <f t="shared" si="256"/>
        <v>74</v>
      </c>
      <c r="M1120" s="43"/>
    </row>
    <row r="1121" spans="2:13" ht="15.75" hidden="1" x14ac:dyDescent="0.25">
      <c r="B1121" s="10">
        <v>46177</v>
      </c>
      <c r="C1121" s="10" t="s">
        <v>106</v>
      </c>
      <c r="D1121" s="10" t="s">
        <v>133</v>
      </c>
      <c r="F1121" s="940"/>
      <c r="G1121" s="29" t="s">
        <v>25</v>
      </c>
      <c r="H1121" s="29" t="s">
        <v>105</v>
      </c>
      <c r="I1121" s="42">
        <v>13</v>
      </c>
      <c r="J1121" s="42">
        <v>0</v>
      </c>
      <c r="K1121" s="42">
        <v>7</v>
      </c>
      <c r="L1121" s="66">
        <f t="shared" si="256"/>
        <v>20</v>
      </c>
      <c r="M1121" s="43"/>
    </row>
    <row r="1122" spans="2:13" ht="15.75" hidden="1" x14ac:dyDescent="0.25">
      <c r="B1122" s="10">
        <v>46177</v>
      </c>
      <c r="C1122" s="10" t="s">
        <v>106</v>
      </c>
      <c r="D1122" s="10" t="s">
        <v>133</v>
      </c>
      <c r="F1122" s="940"/>
      <c r="G1122" s="29" t="s">
        <v>130</v>
      </c>
      <c r="H1122" s="29" t="s">
        <v>22</v>
      </c>
      <c r="I1122" s="42">
        <v>0</v>
      </c>
      <c r="J1122" s="42">
        <v>0</v>
      </c>
      <c r="K1122" s="42">
        <v>56</v>
      </c>
      <c r="L1122" s="66">
        <f t="shared" si="256"/>
        <v>56</v>
      </c>
      <c r="M1122" s="43"/>
    </row>
    <row r="1123" spans="2:13" ht="15.75" hidden="1" x14ac:dyDescent="0.25">
      <c r="B1123" s="10">
        <v>46177</v>
      </c>
      <c r="C1123" s="10" t="s">
        <v>106</v>
      </c>
      <c r="D1123" s="10" t="s">
        <v>133</v>
      </c>
      <c r="F1123" s="940"/>
      <c r="G1123" s="29" t="s">
        <v>84</v>
      </c>
      <c r="H1123" s="29" t="s">
        <v>22</v>
      </c>
      <c r="I1123" s="42">
        <v>39</v>
      </c>
      <c r="J1123" s="42">
        <v>12</v>
      </c>
      <c r="K1123" s="42">
        <v>0</v>
      </c>
      <c r="L1123" s="66">
        <f t="shared" si="256"/>
        <v>51</v>
      </c>
      <c r="M1123" s="43"/>
    </row>
    <row r="1124" spans="2:13" ht="15.75" hidden="1" x14ac:dyDescent="0.25">
      <c r="B1124" s="10">
        <v>46177</v>
      </c>
      <c r="C1124" s="10" t="s">
        <v>106</v>
      </c>
      <c r="D1124" s="10" t="s">
        <v>133</v>
      </c>
      <c r="F1124" s="937" t="s">
        <v>40</v>
      </c>
      <c r="G1124" s="937"/>
      <c r="H1124" s="937"/>
      <c r="I1124" s="8">
        <f>SUM(I1117:I1123)</f>
        <v>317</v>
      </c>
      <c r="J1124" s="8">
        <f t="shared" ref="J1124:K1124" si="257">SUM(J1117:J1123)</f>
        <v>103</v>
      </c>
      <c r="K1124" s="8">
        <f t="shared" si="257"/>
        <v>149</v>
      </c>
      <c r="L1124" s="8">
        <f>SUBTOTAL(9,I1124:K1124)</f>
        <v>0</v>
      </c>
      <c r="M1124" s="31"/>
    </row>
    <row r="1125" spans="2:13" ht="15.75" hidden="1" x14ac:dyDescent="0.25">
      <c r="B1125" s="10">
        <v>46177</v>
      </c>
      <c r="C1125" s="10" t="s">
        <v>105</v>
      </c>
      <c r="D1125" s="10" t="s">
        <v>129</v>
      </c>
      <c r="F1125" s="942">
        <v>46177</v>
      </c>
      <c r="G1125" s="29" t="s">
        <v>75</v>
      </c>
      <c r="H1125" s="29" t="s">
        <v>100</v>
      </c>
      <c r="I1125" s="42">
        <v>6</v>
      </c>
      <c r="J1125" s="42">
        <v>14</v>
      </c>
      <c r="K1125" s="42">
        <v>0</v>
      </c>
      <c r="L1125" s="66">
        <f t="shared" ref="L1125:L1128" si="258">SUM(I1125:K1125)</f>
        <v>20</v>
      </c>
      <c r="M1125" s="43"/>
    </row>
    <row r="1126" spans="2:13" ht="15.75" hidden="1" x14ac:dyDescent="0.25">
      <c r="B1126" s="10">
        <v>46177</v>
      </c>
      <c r="C1126" s="10" t="s">
        <v>105</v>
      </c>
      <c r="D1126" s="10" t="s">
        <v>129</v>
      </c>
      <c r="F1126" s="942"/>
      <c r="G1126" s="29" t="s">
        <v>17</v>
      </c>
      <c r="H1126" s="29" t="s">
        <v>18</v>
      </c>
      <c r="I1126" s="42">
        <v>96</v>
      </c>
      <c r="J1126" s="42">
        <v>52</v>
      </c>
      <c r="K1126" s="42">
        <v>0</v>
      </c>
      <c r="L1126" s="66">
        <f t="shared" si="258"/>
        <v>148</v>
      </c>
      <c r="M1126" s="43"/>
    </row>
    <row r="1127" spans="2:13" ht="15.75" hidden="1" x14ac:dyDescent="0.25">
      <c r="B1127" s="10">
        <v>46177</v>
      </c>
      <c r="C1127" s="10" t="s">
        <v>105</v>
      </c>
      <c r="D1127" s="10" t="s">
        <v>129</v>
      </c>
      <c r="F1127" s="942"/>
      <c r="G1127" s="29" t="s">
        <v>145</v>
      </c>
      <c r="H1127" s="29" t="s">
        <v>18</v>
      </c>
      <c r="I1127" s="42">
        <v>4</v>
      </c>
      <c r="J1127" s="42">
        <v>0</v>
      </c>
      <c r="K1127" s="42">
        <v>0</v>
      </c>
      <c r="L1127" s="66">
        <f t="shared" si="258"/>
        <v>4</v>
      </c>
      <c r="M1127" s="43"/>
    </row>
    <row r="1128" spans="2:13" ht="15.75" hidden="1" x14ac:dyDescent="0.25">
      <c r="B1128" s="10">
        <v>46177</v>
      </c>
      <c r="C1128" s="10" t="s">
        <v>105</v>
      </c>
      <c r="D1128" s="10" t="s">
        <v>129</v>
      </c>
      <c r="F1128" s="942"/>
      <c r="G1128" s="29" t="s">
        <v>25</v>
      </c>
      <c r="H1128" s="29" t="s">
        <v>18</v>
      </c>
      <c r="I1128" s="42">
        <v>8</v>
      </c>
      <c r="J1128" s="42">
        <v>0</v>
      </c>
      <c r="K1128" s="42">
        <v>0</v>
      </c>
      <c r="L1128" s="66">
        <f t="shared" si="258"/>
        <v>8</v>
      </c>
      <c r="M1128" s="43"/>
    </row>
    <row r="1129" spans="2:13" ht="15.75" hidden="1" x14ac:dyDescent="0.25">
      <c r="B1129" s="10">
        <v>46177</v>
      </c>
      <c r="C1129" s="10" t="s">
        <v>105</v>
      </c>
      <c r="D1129" s="10" t="s">
        <v>129</v>
      </c>
      <c r="F1129" s="948">
        <v>46178</v>
      </c>
      <c r="G1129" s="29" t="s">
        <v>75</v>
      </c>
      <c r="H1129" s="29" t="s">
        <v>100</v>
      </c>
      <c r="I1129" s="42">
        <v>121</v>
      </c>
      <c r="J1129" s="42">
        <v>57</v>
      </c>
      <c r="K1129" s="42">
        <v>6</v>
      </c>
      <c r="L1129" s="66">
        <f t="shared" ref="L1129:L1130" si="259">SUM(I1129:K1129)</f>
        <v>184</v>
      </c>
      <c r="M1129" s="43"/>
    </row>
    <row r="1130" spans="2:13" ht="15.75" hidden="1" x14ac:dyDescent="0.25">
      <c r="B1130" s="10">
        <v>46177</v>
      </c>
      <c r="C1130" s="10" t="s">
        <v>105</v>
      </c>
      <c r="D1130" s="10" t="s">
        <v>129</v>
      </c>
      <c r="F1130" s="948"/>
      <c r="G1130" s="29" t="s">
        <v>14</v>
      </c>
      <c r="H1130" s="29" t="s">
        <v>22</v>
      </c>
      <c r="I1130" s="42">
        <v>103</v>
      </c>
      <c r="J1130" s="42">
        <v>13</v>
      </c>
      <c r="K1130" s="42">
        <v>11</v>
      </c>
      <c r="L1130" s="66">
        <f t="shared" si="259"/>
        <v>127</v>
      </c>
      <c r="M1130" s="43"/>
    </row>
    <row r="1131" spans="2:13" ht="15.75" hidden="1" x14ac:dyDescent="0.25">
      <c r="B1131" s="10">
        <v>46177</v>
      </c>
      <c r="C1131" s="10" t="s">
        <v>105</v>
      </c>
      <c r="D1131" s="10" t="s">
        <v>129</v>
      </c>
      <c r="F1131" s="937" t="s">
        <v>40</v>
      </c>
      <c r="G1131" s="937"/>
      <c r="H1131" s="937"/>
      <c r="I1131" s="8">
        <f>SUM(I1125:I1130)</f>
        <v>338</v>
      </c>
      <c r="J1131" s="8">
        <f>SUM(J1125:J1130)</f>
        <v>136</v>
      </c>
      <c r="K1131" s="8">
        <f>SUM(K1125:K1130)</f>
        <v>17</v>
      </c>
      <c r="L1131" s="8">
        <f>SUBTOTAL(9,I1131:K1131)</f>
        <v>0</v>
      </c>
      <c r="M1131" s="31"/>
    </row>
    <row r="1132" spans="2:13" ht="15.75" hidden="1" x14ac:dyDescent="0.25">
      <c r="B1132" s="10">
        <v>46178</v>
      </c>
      <c r="C1132" s="10" t="s">
        <v>106</v>
      </c>
      <c r="D1132" s="10" t="s">
        <v>133</v>
      </c>
      <c r="F1132" s="939">
        <v>46175</v>
      </c>
      <c r="G1132" s="29" t="s">
        <v>75</v>
      </c>
      <c r="H1132" s="29" t="s">
        <v>100</v>
      </c>
      <c r="I1132" s="42">
        <v>18</v>
      </c>
      <c r="J1132" s="42">
        <v>18</v>
      </c>
      <c r="K1132" s="42">
        <v>41</v>
      </c>
      <c r="L1132" s="66">
        <f t="shared" ref="L1132:L1138" si="260">SUM(I1132:K1132)</f>
        <v>77</v>
      </c>
      <c r="M1132" s="43"/>
    </row>
    <row r="1133" spans="2:13" ht="15.75" hidden="1" x14ac:dyDescent="0.25">
      <c r="B1133" s="10">
        <v>46178</v>
      </c>
      <c r="C1133" s="10" t="s">
        <v>106</v>
      </c>
      <c r="D1133" s="10" t="s">
        <v>133</v>
      </c>
      <c r="F1133" s="940"/>
      <c r="G1133" s="29" t="s">
        <v>14</v>
      </c>
      <c r="H1133" s="29" t="s">
        <v>22</v>
      </c>
      <c r="I1133" s="42">
        <v>55</v>
      </c>
      <c r="J1133" s="42">
        <v>6</v>
      </c>
      <c r="K1133" s="42">
        <v>9</v>
      </c>
      <c r="L1133" s="66">
        <f t="shared" si="260"/>
        <v>70</v>
      </c>
      <c r="M1133" s="43"/>
    </row>
    <row r="1134" spans="2:13" ht="15.75" hidden="1" x14ac:dyDescent="0.25">
      <c r="B1134" s="10">
        <v>46178</v>
      </c>
      <c r="C1134" s="10" t="s">
        <v>106</v>
      </c>
      <c r="D1134" s="10" t="s">
        <v>133</v>
      </c>
      <c r="F1134" s="940"/>
      <c r="G1134" s="29" t="s">
        <v>17</v>
      </c>
      <c r="H1134" s="29" t="s">
        <v>105</v>
      </c>
      <c r="I1134" s="42">
        <v>51</v>
      </c>
      <c r="J1134" s="42">
        <v>37</v>
      </c>
      <c r="K1134" s="42">
        <v>60</v>
      </c>
      <c r="L1134" s="66">
        <f t="shared" si="260"/>
        <v>148</v>
      </c>
      <c r="M1134" s="43"/>
    </row>
    <row r="1135" spans="2:13" ht="15.75" hidden="1" x14ac:dyDescent="0.25">
      <c r="B1135" s="10">
        <v>46178</v>
      </c>
      <c r="C1135" s="10" t="s">
        <v>106</v>
      </c>
      <c r="D1135" s="10" t="s">
        <v>133</v>
      </c>
      <c r="F1135" s="940"/>
      <c r="G1135" s="29" t="s">
        <v>120</v>
      </c>
      <c r="H1135" s="29" t="s">
        <v>106</v>
      </c>
      <c r="I1135" s="42">
        <v>69</v>
      </c>
      <c r="J1135" s="42">
        <v>5</v>
      </c>
      <c r="K1135" s="42">
        <v>0</v>
      </c>
      <c r="L1135" s="66">
        <f t="shared" si="260"/>
        <v>74</v>
      </c>
      <c r="M1135" s="43"/>
    </row>
    <row r="1136" spans="2:13" ht="15.75" hidden="1" x14ac:dyDescent="0.25">
      <c r="B1136" s="10">
        <v>46178</v>
      </c>
      <c r="C1136" s="10" t="s">
        <v>106</v>
      </c>
      <c r="D1136" s="10" t="s">
        <v>133</v>
      </c>
      <c r="F1136" s="940"/>
      <c r="G1136" s="29" t="s">
        <v>25</v>
      </c>
      <c r="H1136" s="29" t="s">
        <v>105</v>
      </c>
      <c r="I1136" s="42">
        <v>1</v>
      </c>
      <c r="J1136" s="42">
        <v>0</v>
      </c>
      <c r="K1136" s="42">
        <v>0</v>
      </c>
      <c r="L1136" s="66">
        <f t="shared" si="260"/>
        <v>1</v>
      </c>
      <c r="M1136" s="43"/>
    </row>
    <row r="1137" spans="2:13" ht="15.75" hidden="1" x14ac:dyDescent="0.25">
      <c r="B1137" s="10">
        <v>46178</v>
      </c>
      <c r="C1137" s="10" t="s">
        <v>106</v>
      </c>
      <c r="D1137" s="10" t="s">
        <v>133</v>
      </c>
      <c r="F1137" s="940"/>
      <c r="G1137" s="29" t="s">
        <v>130</v>
      </c>
      <c r="H1137" s="29" t="s">
        <v>22</v>
      </c>
      <c r="I1137" s="42">
        <v>55</v>
      </c>
      <c r="J1137" s="42">
        <v>1</v>
      </c>
      <c r="K1137" s="42">
        <v>0</v>
      </c>
      <c r="L1137" s="66">
        <f t="shared" si="260"/>
        <v>56</v>
      </c>
      <c r="M1137" s="43"/>
    </row>
    <row r="1138" spans="2:13" ht="15.75" hidden="1" x14ac:dyDescent="0.25">
      <c r="B1138" s="10">
        <v>46178</v>
      </c>
      <c r="C1138" s="10" t="s">
        <v>106</v>
      </c>
      <c r="D1138" s="10" t="s">
        <v>133</v>
      </c>
      <c r="F1138" s="940"/>
      <c r="G1138" s="29" t="s">
        <v>84</v>
      </c>
      <c r="H1138" s="29" t="s">
        <v>22</v>
      </c>
      <c r="I1138" s="42">
        <v>7</v>
      </c>
      <c r="J1138" s="42">
        <v>6</v>
      </c>
      <c r="K1138" s="42">
        <v>0</v>
      </c>
      <c r="L1138" s="66">
        <f t="shared" si="260"/>
        <v>13</v>
      </c>
      <c r="M1138" s="43"/>
    </row>
    <row r="1139" spans="2:13" ht="15.75" hidden="1" x14ac:dyDescent="0.25">
      <c r="B1139" s="10">
        <v>46178</v>
      </c>
      <c r="C1139" s="10" t="s">
        <v>106</v>
      </c>
      <c r="D1139" s="10" t="s">
        <v>133</v>
      </c>
      <c r="F1139" s="937" t="s">
        <v>40</v>
      </c>
      <c r="G1139" s="937"/>
      <c r="H1139" s="937"/>
      <c r="I1139" s="8">
        <f>SUM(I1132:I1138)</f>
        <v>256</v>
      </c>
      <c r="J1139" s="8">
        <f>SUM(J1132:J1138)</f>
        <v>73</v>
      </c>
      <c r="K1139" s="8">
        <f>SUM(K1132:K1138)</f>
        <v>110</v>
      </c>
      <c r="L1139" s="8">
        <f>SUBTOTAL(9,I1139:K1139)</f>
        <v>0</v>
      </c>
      <c r="M1139" s="31"/>
    </row>
    <row r="1140" spans="2:13" ht="15.75" hidden="1" x14ac:dyDescent="0.25">
      <c r="B1140" s="10">
        <v>46178</v>
      </c>
      <c r="C1140" s="10" t="s">
        <v>105</v>
      </c>
      <c r="D1140" s="10" t="s">
        <v>129</v>
      </c>
      <c r="F1140" s="942">
        <v>46178</v>
      </c>
      <c r="G1140" s="29" t="s">
        <v>75</v>
      </c>
      <c r="H1140" s="29" t="s">
        <v>100</v>
      </c>
      <c r="I1140" s="42">
        <v>5</v>
      </c>
      <c r="J1140" s="42">
        <v>17</v>
      </c>
      <c r="K1140" s="42">
        <v>0</v>
      </c>
      <c r="L1140" s="66">
        <f t="shared" ref="L1140:L1142" si="261">SUM(I1140:K1140)</f>
        <v>22</v>
      </c>
      <c r="M1140" s="43"/>
    </row>
    <row r="1141" spans="2:13" ht="15.75" hidden="1" x14ac:dyDescent="0.25">
      <c r="B1141" s="10">
        <v>46178</v>
      </c>
      <c r="C1141" s="10" t="s">
        <v>105</v>
      </c>
      <c r="D1141" s="10" t="s">
        <v>129</v>
      </c>
      <c r="F1141" s="942"/>
      <c r="G1141" s="29" t="s">
        <v>17</v>
      </c>
      <c r="H1141" s="29" t="s">
        <v>18</v>
      </c>
      <c r="I1141" s="42">
        <v>63</v>
      </c>
      <c r="J1141" s="42">
        <v>36</v>
      </c>
      <c r="K1141" s="42">
        <v>0</v>
      </c>
      <c r="L1141" s="66">
        <f t="shared" si="261"/>
        <v>99</v>
      </c>
      <c r="M1141" s="43"/>
    </row>
    <row r="1142" spans="2:13" ht="15.75" hidden="1" x14ac:dyDescent="0.25">
      <c r="B1142" s="10">
        <v>46178</v>
      </c>
      <c r="C1142" s="10" t="s">
        <v>105</v>
      </c>
      <c r="D1142" s="10" t="s">
        <v>129</v>
      </c>
      <c r="F1142" s="942"/>
      <c r="G1142" s="29" t="s">
        <v>120</v>
      </c>
      <c r="H1142" s="29" t="s">
        <v>18</v>
      </c>
      <c r="I1142" s="42">
        <v>1</v>
      </c>
      <c r="J1142" s="42">
        <v>0</v>
      </c>
      <c r="K1142" s="42">
        <v>0</v>
      </c>
      <c r="L1142" s="66">
        <f t="shared" si="261"/>
        <v>1</v>
      </c>
      <c r="M1142" s="43"/>
    </row>
    <row r="1143" spans="2:13" ht="15.75" hidden="1" x14ac:dyDescent="0.25">
      <c r="B1143" s="10">
        <v>46178</v>
      </c>
      <c r="C1143" s="10" t="s">
        <v>105</v>
      </c>
      <c r="D1143" s="10" t="s">
        <v>129</v>
      </c>
      <c r="F1143" s="948">
        <v>46179</v>
      </c>
      <c r="G1143" s="29" t="s">
        <v>75</v>
      </c>
      <c r="H1143" s="29" t="s">
        <v>100</v>
      </c>
      <c r="I1143" s="42">
        <v>109</v>
      </c>
      <c r="J1143" s="42">
        <v>39</v>
      </c>
      <c r="K1143" s="42">
        <v>27</v>
      </c>
      <c r="L1143" s="66">
        <f t="shared" ref="L1143:L1145" si="262">SUM(I1143:K1143)</f>
        <v>175</v>
      </c>
      <c r="M1143" s="43"/>
    </row>
    <row r="1144" spans="2:13" ht="15.75" hidden="1" x14ac:dyDescent="0.25">
      <c r="B1144" s="10">
        <v>46178</v>
      </c>
      <c r="C1144" s="10" t="s">
        <v>105</v>
      </c>
      <c r="D1144" s="10" t="s">
        <v>129</v>
      </c>
      <c r="F1144" s="948"/>
      <c r="G1144" s="29" t="s">
        <v>14</v>
      </c>
      <c r="H1144" s="29" t="s">
        <v>22</v>
      </c>
      <c r="I1144" s="42">
        <v>99</v>
      </c>
      <c r="J1144" s="42">
        <v>15</v>
      </c>
      <c r="K1144" s="42">
        <v>32</v>
      </c>
      <c r="L1144" s="66">
        <f t="shared" si="262"/>
        <v>146</v>
      </c>
      <c r="M1144" s="43"/>
    </row>
    <row r="1145" spans="2:13" ht="15.75" hidden="1" x14ac:dyDescent="0.25">
      <c r="B1145" s="10">
        <v>46178</v>
      </c>
      <c r="C1145" s="10" t="s">
        <v>105</v>
      </c>
      <c r="D1145" s="10" t="s">
        <v>129</v>
      </c>
      <c r="F1145" s="948"/>
      <c r="G1145" s="29" t="s">
        <v>14</v>
      </c>
      <c r="H1145" s="29" t="s">
        <v>22</v>
      </c>
      <c r="I1145" s="42">
        <v>0</v>
      </c>
      <c r="J1145" s="42">
        <v>0</v>
      </c>
      <c r="K1145" s="42">
        <v>10</v>
      </c>
      <c r="L1145" s="66">
        <f t="shared" si="262"/>
        <v>10</v>
      </c>
      <c r="M1145" s="43"/>
    </row>
    <row r="1146" spans="2:13" ht="15.75" hidden="1" x14ac:dyDescent="0.25">
      <c r="B1146" s="10">
        <v>46178</v>
      </c>
      <c r="C1146" s="10" t="s">
        <v>105</v>
      </c>
      <c r="D1146" s="10" t="s">
        <v>129</v>
      </c>
      <c r="F1146" s="937" t="s">
        <v>40</v>
      </c>
      <c r="G1146" s="937"/>
      <c r="H1146" s="937"/>
      <c r="I1146" s="8">
        <f>SUM(I1140:I1145)</f>
        <v>277</v>
      </c>
      <c r="J1146" s="8">
        <f>SUM(J1140:J1145)</f>
        <v>107</v>
      </c>
      <c r="K1146" s="8">
        <f>SUM(K1140:K1145)</f>
        <v>69</v>
      </c>
      <c r="L1146" s="8">
        <f>SUBTOTAL(9,I1146:K1146)</f>
        <v>0</v>
      </c>
      <c r="M1146" s="31"/>
    </row>
    <row r="1147" spans="2:13" ht="15.75" hidden="1" x14ac:dyDescent="0.2">
      <c r="B1147" s="10">
        <v>46179</v>
      </c>
      <c r="C1147" s="10" t="s">
        <v>106</v>
      </c>
      <c r="D1147" s="10" t="s">
        <v>131</v>
      </c>
      <c r="F1147" s="948">
        <v>46179</v>
      </c>
      <c r="G1147" s="29" t="s">
        <v>75</v>
      </c>
      <c r="H1147" s="29" t="s">
        <v>100</v>
      </c>
      <c r="I1147" s="42">
        <v>35</v>
      </c>
      <c r="J1147" s="42">
        <v>19</v>
      </c>
      <c r="K1147" s="42">
        <v>0</v>
      </c>
      <c r="L1147" s="66">
        <f t="shared" ref="L1147:L1153" si="263">SUM(I1147:K1147)</f>
        <v>54</v>
      </c>
    </row>
    <row r="1148" spans="2:13" ht="15.75" hidden="1" x14ac:dyDescent="0.2">
      <c r="B1148" s="10">
        <v>46179</v>
      </c>
      <c r="C1148" s="10" t="s">
        <v>106</v>
      </c>
      <c r="D1148" s="10" t="s">
        <v>131</v>
      </c>
      <c r="F1148" s="948"/>
      <c r="G1148" s="29" t="s">
        <v>139</v>
      </c>
      <c r="H1148" s="29" t="s">
        <v>22</v>
      </c>
      <c r="I1148" s="42">
        <v>12</v>
      </c>
      <c r="J1148" s="42">
        <v>2</v>
      </c>
      <c r="K1148" s="42">
        <v>0</v>
      </c>
      <c r="L1148" s="66">
        <f t="shared" si="263"/>
        <v>14</v>
      </c>
    </row>
    <row r="1149" spans="2:13" ht="15.75" hidden="1" x14ac:dyDescent="0.2">
      <c r="B1149" s="10">
        <v>46179</v>
      </c>
      <c r="C1149" s="10" t="s">
        <v>106</v>
      </c>
      <c r="D1149" s="10" t="s">
        <v>131</v>
      </c>
      <c r="F1149" s="948"/>
      <c r="G1149" s="29" t="s">
        <v>14</v>
      </c>
      <c r="H1149" s="29" t="s">
        <v>22</v>
      </c>
      <c r="I1149" s="42">
        <v>70</v>
      </c>
      <c r="J1149" s="42">
        <v>6</v>
      </c>
      <c r="K1149" s="42">
        <v>0</v>
      </c>
      <c r="L1149" s="66">
        <f t="shared" si="263"/>
        <v>76</v>
      </c>
    </row>
    <row r="1150" spans="2:13" ht="15.75" hidden="1" x14ac:dyDescent="0.2">
      <c r="B1150" s="10">
        <v>46179</v>
      </c>
      <c r="C1150" s="10" t="s">
        <v>106</v>
      </c>
      <c r="D1150" s="10" t="s">
        <v>131</v>
      </c>
      <c r="F1150" s="948"/>
      <c r="G1150" s="29" t="s">
        <v>17</v>
      </c>
      <c r="H1150" s="29" t="s">
        <v>18</v>
      </c>
      <c r="I1150" s="42">
        <v>94</v>
      </c>
      <c r="J1150" s="42">
        <v>24</v>
      </c>
      <c r="K1150" s="42">
        <v>0</v>
      </c>
      <c r="L1150" s="66">
        <f t="shared" si="263"/>
        <v>118</v>
      </c>
    </row>
    <row r="1151" spans="2:13" ht="15.75" hidden="1" x14ac:dyDescent="0.2">
      <c r="B1151" s="10">
        <v>46179</v>
      </c>
      <c r="C1151" s="10" t="s">
        <v>106</v>
      </c>
      <c r="D1151" s="10" t="s">
        <v>131</v>
      </c>
      <c r="F1151" s="948">
        <v>46181</v>
      </c>
      <c r="G1151" s="29" t="s">
        <v>75</v>
      </c>
      <c r="H1151" s="29" t="s">
        <v>127</v>
      </c>
      <c r="I1151" s="42">
        <v>33</v>
      </c>
      <c r="J1151" s="42">
        <v>16</v>
      </c>
      <c r="K1151" s="42">
        <v>101</v>
      </c>
      <c r="L1151" s="66">
        <f t="shared" si="263"/>
        <v>150</v>
      </c>
    </row>
    <row r="1152" spans="2:13" ht="15.75" hidden="1" x14ac:dyDescent="0.2">
      <c r="B1152" s="10">
        <v>46179</v>
      </c>
      <c r="C1152" s="10" t="s">
        <v>106</v>
      </c>
      <c r="D1152" s="10" t="s">
        <v>131</v>
      </c>
      <c r="F1152" s="948"/>
      <c r="G1152" s="29" t="s">
        <v>25</v>
      </c>
      <c r="H1152" s="29" t="s">
        <v>106</v>
      </c>
      <c r="I1152" s="42">
        <v>1</v>
      </c>
      <c r="J1152" s="42">
        <v>0</v>
      </c>
      <c r="K1152" s="42">
        <v>0</v>
      </c>
      <c r="L1152" s="66">
        <f t="shared" si="263"/>
        <v>1</v>
      </c>
    </row>
    <row r="1153" spans="2:13" ht="15.75" hidden="1" x14ac:dyDescent="0.2">
      <c r="B1153" s="10">
        <v>46179</v>
      </c>
      <c r="C1153" s="10" t="s">
        <v>106</v>
      </c>
      <c r="D1153" s="10" t="s">
        <v>131</v>
      </c>
      <c r="F1153" s="948"/>
      <c r="G1153" s="29" t="s">
        <v>14</v>
      </c>
      <c r="H1153" s="29" t="s">
        <v>18</v>
      </c>
      <c r="I1153" s="42">
        <v>2</v>
      </c>
      <c r="J1153" s="42">
        <v>0</v>
      </c>
      <c r="K1153" s="42">
        <v>0</v>
      </c>
      <c r="L1153" s="66">
        <f t="shared" si="263"/>
        <v>2</v>
      </c>
    </row>
    <row r="1154" spans="2:13" ht="15.75" hidden="1" x14ac:dyDescent="0.2">
      <c r="B1154" s="10">
        <v>46179</v>
      </c>
      <c r="C1154" s="10" t="s">
        <v>106</v>
      </c>
      <c r="D1154" s="10" t="s">
        <v>131</v>
      </c>
      <c r="F1154" s="937" t="s">
        <v>40</v>
      </c>
      <c r="G1154" s="937"/>
      <c r="H1154" s="937"/>
      <c r="I1154" s="8">
        <f>SUM(I1147:I1153)</f>
        <v>247</v>
      </c>
      <c r="J1154" s="8">
        <f>SUM(J1147:J1153)</f>
        <v>67</v>
      </c>
      <c r="K1154" s="8">
        <f>SUM(K1147:K1153)</f>
        <v>101</v>
      </c>
      <c r="L1154" s="8">
        <f>SUBTOTAL(9,I1154:K1154)</f>
        <v>0</v>
      </c>
    </row>
    <row r="1155" spans="2:13" ht="15.75" hidden="1" x14ac:dyDescent="0.25">
      <c r="B1155" s="10">
        <v>46179</v>
      </c>
      <c r="C1155" s="10" t="s">
        <v>105</v>
      </c>
      <c r="D1155" s="10" t="s">
        <v>129</v>
      </c>
      <c r="F1155" s="942">
        <v>46179</v>
      </c>
      <c r="G1155" s="29" t="s">
        <v>75</v>
      </c>
      <c r="H1155" s="29" t="s">
        <v>100</v>
      </c>
      <c r="I1155" s="42">
        <v>11</v>
      </c>
      <c r="J1155" s="42">
        <v>20</v>
      </c>
      <c r="K1155" s="42">
        <v>0</v>
      </c>
      <c r="L1155" s="66">
        <f t="shared" ref="L1155:L1156" si="264">SUM(I1155:K1155)</f>
        <v>31</v>
      </c>
      <c r="M1155" s="43"/>
    </row>
    <row r="1156" spans="2:13" ht="15.75" hidden="1" x14ac:dyDescent="0.25">
      <c r="B1156" s="10">
        <v>46179</v>
      </c>
      <c r="C1156" s="10" t="s">
        <v>105</v>
      </c>
      <c r="D1156" s="10" t="s">
        <v>129</v>
      </c>
      <c r="F1156" s="942"/>
      <c r="G1156" s="29" t="s">
        <v>17</v>
      </c>
      <c r="H1156" s="29" t="s">
        <v>18</v>
      </c>
      <c r="I1156" s="42">
        <v>11</v>
      </c>
      <c r="J1156" s="42">
        <v>16</v>
      </c>
      <c r="K1156" s="42">
        <v>0</v>
      </c>
      <c r="L1156" s="66">
        <f t="shared" si="264"/>
        <v>27</v>
      </c>
      <c r="M1156" s="43"/>
    </row>
    <row r="1157" spans="2:13" ht="15.75" hidden="1" x14ac:dyDescent="0.25">
      <c r="B1157" s="10">
        <v>46179</v>
      </c>
      <c r="C1157" s="10" t="s">
        <v>105</v>
      </c>
      <c r="D1157" s="10" t="s">
        <v>129</v>
      </c>
      <c r="F1157" s="948">
        <v>46181</v>
      </c>
      <c r="G1157" s="29" t="s">
        <v>75</v>
      </c>
      <c r="H1157" s="29" t="s">
        <v>127</v>
      </c>
      <c r="I1157" s="42">
        <v>96</v>
      </c>
      <c r="J1157" s="42">
        <v>29</v>
      </c>
      <c r="K1157" s="42">
        <v>0</v>
      </c>
      <c r="L1157" s="66">
        <f t="shared" ref="L1157:L1159" si="265">SUM(I1157:K1157)</f>
        <v>125</v>
      </c>
      <c r="M1157" s="43"/>
    </row>
    <row r="1158" spans="2:13" ht="15.75" hidden="1" x14ac:dyDescent="0.25">
      <c r="B1158" s="10">
        <v>46179</v>
      </c>
      <c r="C1158" s="10" t="s">
        <v>105</v>
      </c>
      <c r="D1158" s="10" t="s">
        <v>129</v>
      </c>
      <c r="F1158" s="948"/>
      <c r="G1158" s="29" t="s">
        <v>25</v>
      </c>
      <c r="H1158" s="29" t="s">
        <v>106</v>
      </c>
      <c r="I1158" s="42">
        <v>175</v>
      </c>
      <c r="J1158" s="42">
        <v>61</v>
      </c>
      <c r="K1158" s="42">
        <v>2</v>
      </c>
      <c r="L1158" s="66">
        <f t="shared" si="265"/>
        <v>238</v>
      </c>
      <c r="M1158" s="43"/>
    </row>
    <row r="1159" spans="2:13" ht="15.75" hidden="1" x14ac:dyDescent="0.25">
      <c r="B1159" s="10">
        <v>46179</v>
      </c>
      <c r="C1159" s="10" t="s">
        <v>105</v>
      </c>
      <c r="D1159" s="10" t="s">
        <v>129</v>
      </c>
      <c r="F1159" s="948"/>
      <c r="G1159" s="29" t="s">
        <v>14</v>
      </c>
      <c r="H1159" s="29" t="s">
        <v>18</v>
      </c>
      <c r="I1159" s="42">
        <v>4</v>
      </c>
      <c r="J1159" s="42">
        <v>0</v>
      </c>
      <c r="K1159" s="42">
        <v>63</v>
      </c>
      <c r="L1159" s="66">
        <f t="shared" si="265"/>
        <v>67</v>
      </c>
      <c r="M1159" s="43"/>
    </row>
    <row r="1160" spans="2:13" ht="15.75" hidden="1" x14ac:dyDescent="0.25">
      <c r="B1160" s="10">
        <v>46179</v>
      </c>
      <c r="C1160" s="10" t="s">
        <v>105</v>
      </c>
      <c r="D1160" s="10" t="s">
        <v>129</v>
      </c>
      <c r="F1160" s="937" t="s">
        <v>40</v>
      </c>
      <c r="G1160" s="937"/>
      <c r="H1160" s="937"/>
      <c r="I1160" s="8">
        <f>SUM(I1155:I1159)</f>
        <v>297</v>
      </c>
      <c r="J1160" s="8">
        <f>SUM(J1155:J1159)</f>
        <v>126</v>
      </c>
      <c r="K1160" s="8">
        <f>SUM(K1155:K1159)</f>
        <v>65</v>
      </c>
      <c r="L1160" s="8">
        <f>SUBTOTAL(9,I1160:K1160)</f>
        <v>0</v>
      </c>
      <c r="M1160" s="31"/>
    </row>
    <row r="1161" spans="2:13" ht="15.75" hidden="1" x14ac:dyDescent="0.25">
      <c r="B1161" s="10">
        <v>46181</v>
      </c>
      <c r="C1161" s="10" t="s">
        <v>105</v>
      </c>
      <c r="D1161" s="10" t="s">
        <v>129</v>
      </c>
      <c r="F1161" s="939">
        <v>46181</v>
      </c>
      <c r="G1161" s="29" t="s">
        <v>75</v>
      </c>
      <c r="H1161" s="29" t="s">
        <v>127</v>
      </c>
      <c r="I1161" s="42">
        <v>13</v>
      </c>
      <c r="J1161" s="42">
        <v>19</v>
      </c>
      <c r="K1161" s="42">
        <v>0</v>
      </c>
      <c r="L1161" s="66">
        <f t="shared" ref="L1161:L1162" si="266">SUM(I1161:K1161)</f>
        <v>32</v>
      </c>
      <c r="M1161" s="43"/>
    </row>
    <row r="1162" spans="2:13" ht="15.75" hidden="1" x14ac:dyDescent="0.25">
      <c r="B1162" s="10">
        <v>46181</v>
      </c>
      <c r="C1162" s="10" t="s">
        <v>105</v>
      </c>
      <c r="D1162" s="10" t="s">
        <v>129</v>
      </c>
      <c r="F1162" s="940"/>
      <c r="G1162" s="29" t="s">
        <v>25</v>
      </c>
      <c r="H1162" s="29" t="s">
        <v>106</v>
      </c>
      <c r="I1162" s="42">
        <v>29</v>
      </c>
      <c r="J1162" s="42">
        <v>12</v>
      </c>
      <c r="K1162" s="42">
        <v>0</v>
      </c>
      <c r="L1162" s="66">
        <f t="shared" si="266"/>
        <v>41</v>
      </c>
      <c r="M1162" s="43"/>
    </row>
    <row r="1163" spans="2:13" ht="15.75" hidden="1" x14ac:dyDescent="0.25">
      <c r="B1163" s="10">
        <v>46181</v>
      </c>
      <c r="C1163" s="10" t="s">
        <v>105</v>
      </c>
      <c r="D1163" s="10" t="s">
        <v>129</v>
      </c>
      <c r="F1163" s="940"/>
      <c r="G1163" s="29" t="s">
        <v>84</v>
      </c>
      <c r="H1163" s="29" t="s">
        <v>22</v>
      </c>
      <c r="I1163" s="42">
        <v>7</v>
      </c>
      <c r="J1163" s="42">
        <v>1</v>
      </c>
      <c r="K1163" s="42">
        <v>0</v>
      </c>
      <c r="L1163" s="66">
        <f t="shared" ref="L1163:L1167" si="267">SUM(I1163:K1163)</f>
        <v>8</v>
      </c>
      <c r="M1163" s="43"/>
    </row>
    <row r="1164" spans="2:13" ht="15.75" hidden="1" x14ac:dyDescent="0.25">
      <c r="B1164" s="10">
        <v>46181</v>
      </c>
      <c r="C1164" s="10" t="s">
        <v>105</v>
      </c>
      <c r="D1164" s="10" t="s">
        <v>129</v>
      </c>
      <c r="F1164" s="941"/>
      <c r="G1164" s="29" t="s">
        <v>14</v>
      </c>
      <c r="H1164" s="29" t="s">
        <v>22</v>
      </c>
      <c r="I1164" s="42">
        <v>138</v>
      </c>
      <c r="J1164" s="42">
        <v>13</v>
      </c>
      <c r="K1164" s="42">
        <v>0</v>
      </c>
      <c r="L1164" s="66">
        <f t="shared" si="267"/>
        <v>151</v>
      </c>
      <c r="M1164" s="43"/>
    </row>
    <row r="1165" spans="2:13" ht="15.75" hidden="1" x14ac:dyDescent="0.25">
      <c r="B1165" s="10">
        <v>46181</v>
      </c>
      <c r="C1165" s="10" t="s">
        <v>105</v>
      </c>
      <c r="D1165" s="10" t="s">
        <v>129</v>
      </c>
      <c r="F1165" s="943">
        <v>46182</v>
      </c>
      <c r="G1165" s="29" t="s">
        <v>75</v>
      </c>
      <c r="H1165" s="29" t="s">
        <v>127</v>
      </c>
      <c r="I1165" s="42">
        <v>23</v>
      </c>
      <c r="J1165" s="42">
        <v>10</v>
      </c>
      <c r="K1165" s="42">
        <v>90</v>
      </c>
      <c r="L1165" s="66">
        <f t="shared" si="267"/>
        <v>123</v>
      </c>
      <c r="M1165" s="43"/>
    </row>
    <row r="1166" spans="2:13" ht="15.75" hidden="1" x14ac:dyDescent="0.25">
      <c r="B1166" s="10">
        <v>46181</v>
      </c>
      <c r="C1166" s="10" t="s">
        <v>105</v>
      </c>
      <c r="D1166" s="10" t="s">
        <v>129</v>
      </c>
      <c r="F1166" s="944"/>
      <c r="G1166" s="29" t="s">
        <v>17</v>
      </c>
      <c r="H1166" s="29" t="s">
        <v>106</v>
      </c>
      <c r="I1166" s="42">
        <v>6</v>
      </c>
      <c r="J1166" s="42">
        <v>5</v>
      </c>
      <c r="K1166" s="42">
        <v>0</v>
      </c>
      <c r="L1166" s="66">
        <f t="shared" si="267"/>
        <v>11</v>
      </c>
      <c r="M1166" s="43"/>
    </row>
    <row r="1167" spans="2:13" ht="15.75" hidden="1" x14ac:dyDescent="0.25">
      <c r="B1167" s="10">
        <v>46181</v>
      </c>
      <c r="C1167" s="10" t="s">
        <v>105</v>
      </c>
      <c r="D1167" s="10" t="s">
        <v>129</v>
      </c>
      <c r="F1167" s="944"/>
      <c r="G1167" s="29" t="s">
        <v>123</v>
      </c>
      <c r="H1167" s="29" t="s">
        <v>22</v>
      </c>
      <c r="I1167" s="42">
        <v>35</v>
      </c>
      <c r="J1167" s="42">
        <v>21</v>
      </c>
      <c r="K1167" s="42">
        <v>0</v>
      </c>
      <c r="L1167" s="66">
        <f t="shared" si="267"/>
        <v>56</v>
      </c>
      <c r="M1167" s="43"/>
    </row>
    <row r="1168" spans="2:13" ht="15.75" hidden="1" x14ac:dyDescent="0.25">
      <c r="B1168" s="10">
        <v>46181</v>
      </c>
      <c r="C1168" s="10" t="s">
        <v>105</v>
      </c>
      <c r="D1168" s="10" t="s">
        <v>129</v>
      </c>
      <c r="F1168" s="937" t="s">
        <v>40</v>
      </c>
      <c r="G1168" s="937"/>
      <c r="H1168" s="937"/>
      <c r="I1168" s="8">
        <f>SUM(I1161:I1167)</f>
        <v>251</v>
      </c>
      <c r="J1168" s="8">
        <f>SUM(J1161:J1167)</f>
        <v>81</v>
      </c>
      <c r="K1168" s="8">
        <f>SUM(K1161:K1167)</f>
        <v>90</v>
      </c>
      <c r="L1168" s="8">
        <f>SUBTOTAL(9,I1168:K1168)</f>
        <v>0</v>
      </c>
      <c r="M1168" s="31"/>
    </row>
    <row r="1169" spans="2:13" ht="15.75" hidden="1" x14ac:dyDescent="0.25">
      <c r="B1169" s="10">
        <v>46181</v>
      </c>
      <c r="C1169" s="10" t="s">
        <v>18</v>
      </c>
      <c r="D1169" s="10" t="s">
        <v>131</v>
      </c>
      <c r="F1169" s="943">
        <v>46182</v>
      </c>
      <c r="G1169" s="29" t="s">
        <v>75</v>
      </c>
      <c r="H1169" s="29" t="s">
        <v>127</v>
      </c>
      <c r="I1169" s="42">
        <v>104</v>
      </c>
      <c r="J1169" s="42">
        <v>63</v>
      </c>
      <c r="K1169" s="42">
        <v>0</v>
      </c>
      <c r="L1169" s="66">
        <f t="shared" ref="L1169:L1172" si="268">SUM(I1169:K1169)</f>
        <v>167</v>
      </c>
      <c r="M1169" s="43"/>
    </row>
    <row r="1170" spans="2:13" ht="15.75" hidden="1" x14ac:dyDescent="0.25">
      <c r="B1170" s="10">
        <v>46181</v>
      </c>
      <c r="C1170" s="10" t="s">
        <v>18</v>
      </c>
      <c r="D1170" s="10" t="s">
        <v>131</v>
      </c>
      <c r="F1170" s="944"/>
      <c r="G1170" s="29" t="s">
        <v>120</v>
      </c>
      <c r="H1170" s="29" t="s">
        <v>106</v>
      </c>
      <c r="I1170" s="42">
        <v>4</v>
      </c>
      <c r="J1170" s="42">
        <v>0</v>
      </c>
      <c r="K1170" s="42">
        <v>0</v>
      </c>
      <c r="L1170" s="66">
        <f t="shared" si="268"/>
        <v>4</v>
      </c>
      <c r="M1170" s="43"/>
    </row>
    <row r="1171" spans="2:13" ht="15.75" hidden="1" x14ac:dyDescent="0.25">
      <c r="B1171" s="10">
        <v>46181</v>
      </c>
      <c r="C1171" s="10" t="s">
        <v>18</v>
      </c>
      <c r="D1171" s="10" t="s">
        <v>131</v>
      </c>
      <c r="F1171" s="944"/>
      <c r="G1171" s="29" t="s">
        <v>14</v>
      </c>
      <c r="H1171" s="29" t="s">
        <v>105</v>
      </c>
      <c r="I1171" s="42">
        <v>8</v>
      </c>
      <c r="J1171" s="42">
        <v>3</v>
      </c>
      <c r="K1171" s="42">
        <v>0</v>
      </c>
      <c r="L1171" s="66">
        <f t="shared" ref="L1171" si="269">SUM(I1171:K1171)</f>
        <v>11</v>
      </c>
      <c r="M1171" s="43"/>
    </row>
    <row r="1172" spans="2:13" ht="15.75" hidden="1" x14ac:dyDescent="0.25">
      <c r="B1172" s="10">
        <v>46181</v>
      </c>
      <c r="C1172" s="10" t="s">
        <v>18</v>
      </c>
      <c r="D1172" s="10" t="s">
        <v>131</v>
      </c>
      <c r="F1172" s="944"/>
      <c r="G1172" s="29" t="s">
        <v>17</v>
      </c>
      <c r="H1172" s="29" t="s">
        <v>22</v>
      </c>
      <c r="I1172" s="42">
        <v>83</v>
      </c>
      <c r="J1172" s="42">
        <v>35</v>
      </c>
      <c r="K1172" s="42">
        <v>0</v>
      </c>
      <c r="L1172" s="66">
        <f t="shared" si="268"/>
        <v>118</v>
      </c>
      <c r="M1172" s="43"/>
    </row>
    <row r="1173" spans="2:13" ht="15.75" hidden="1" x14ac:dyDescent="0.25">
      <c r="B1173" s="10">
        <v>46181</v>
      </c>
      <c r="C1173" s="10" t="s">
        <v>18</v>
      </c>
      <c r="D1173" s="10" t="s">
        <v>131</v>
      </c>
      <c r="F1173" s="937" t="s">
        <v>40</v>
      </c>
      <c r="G1173" s="937"/>
      <c r="H1173" s="937"/>
      <c r="I1173" s="8">
        <f>SUM(I1169:I1172)</f>
        <v>199</v>
      </c>
      <c r="J1173" s="8">
        <f t="shared" ref="J1173:L1173" si="270">SUM(J1169:J1172)</f>
        <v>101</v>
      </c>
      <c r="K1173" s="8">
        <f t="shared" si="270"/>
        <v>0</v>
      </c>
      <c r="L1173" s="8">
        <f t="shared" si="270"/>
        <v>300</v>
      </c>
      <c r="M1173" s="31"/>
    </row>
    <row r="1174" spans="2:13" ht="15.75" hidden="1" x14ac:dyDescent="0.25">
      <c r="B1174" s="10">
        <v>46182</v>
      </c>
      <c r="C1174" s="10" t="s">
        <v>105</v>
      </c>
      <c r="D1174" s="10" t="s">
        <v>129</v>
      </c>
      <c r="F1174" s="939">
        <v>46182</v>
      </c>
      <c r="G1174" s="29" t="s">
        <v>75</v>
      </c>
      <c r="H1174" s="29" t="s">
        <v>127</v>
      </c>
      <c r="I1174" s="42">
        <v>21</v>
      </c>
      <c r="J1174" s="42">
        <v>22</v>
      </c>
      <c r="K1174" s="42">
        <v>0</v>
      </c>
      <c r="L1174" s="66">
        <f t="shared" ref="L1174:L1175" si="271">SUM(I1174:K1174)</f>
        <v>43</v>
      </c>
      <c r="M1174" s="43"/>
    </row>
    <row r="1175" spans="2:13" ht="15.75" hidden="1" x14ac:dyDescent="0.25">
      <c r="B1175" s="10">
        <v>46182</v>
      </c>
      <c r="C1175" s="10" t="s">
        <v>105</v>
      </c>
      <c r="D1175" s="10" t="s">
        <v>129</v>
      </c>
      <c r="F1175" s="940"/>
      <c r="G1175" s="29" t="s">
        <v>17</v>
      </c>
      <c r="H1175" s="29" t="s">
        <v>106</v>
      </c>
      <c r="I1175" s="42">
        <v>77</v>
      </c>
      <c r="J1175" s="42">
        <v>19</v>
      </c>
      <c r="K1175" s="42">
        <v>0</v>
      </c>
      <c r="L1175" s="66">
        <f t="shared" si="271"/>
        <v>96</v>
      </c>
      <c r="M1175" s="43"/>
    </row>
    <row r="1176" spans="2:13" ht="15.75" hidden="1" x14ac:dyDescent="0.25">
      <c r="B1176" s="10">
        <v>46182</v>
      </c>
      <c r="C1176" s="10" t="s">
        <v>105</v>
      </c>
      <c r="D1176" s="10" t="s">
        <v>129</v>
      </c>
      <c r="F1176" s="941"/>
      <c r="G1176" s="29" t="s">
        <v>14</v>
      </c>
      <c r="H1176" s="29" t="s">
        <v>105</v>
      </c>
      <c r="I1176" s="42">
        <v>134</v>
      </c>
      <c r="J1176" s="42">
        <v>35</v>
      </c>
      <c r="K1176" s="42">
        <v>0</v>
      </c>
      <c r="L1176" s="66">
        <f t="shared" ref="L1176:L1177" si="272">SUM(I1176:K1176)</f>
        <v>169</v>
      </c>
      <c r="M1176" s="43"/>
    </row>
    <row r="1177" spans="2:13" ht="15.75" hidden="1" x14ac:dyDescent="0.25">
      <c r="B1177" s="10">
        <v>46182</v>
      </c>
      <c r="C1177" s="10" t="s">
        <v>105</v>
      </c>
      <c r="D1177" s="10" t="s">
        <v>129</v>
      </c>
      <c r="F1177" s="300">
        <v>46183</v>
      </c>
      <c r="G1177" s="29" t="s">
        <v>75</v>
      </c>
      <c r="H1177" s="29" t="s">
        <v>127</v>
      </c>
      <c r="I1177" s="42">
        <v>0</v>
      </c>
      <c r="J1177" s="42">
        <v>0</v>
      </c>
      <c r="K1177" s="42">
        <v>13</v>
      </c>
      <c r="L1177" s="66">
        <f t="shared" si="272"/>
        <v>13</v>
      </c>
      <c r="M1177" s="43"/>
    </row>
    <row r="1178" spans="2:13" ht="15.75" hidden="1" x14ac:dyDescent="0.25">
      <c r="B1178" s="10">
        <v>46182</v>
      </c>
      <c r="C1178" s="10" t="s">
        <v>105</v>
      </c>
      <c r="D1178" s="10" t="s">
        <v>129</v>
      </c>
      <c r="F1178" s="937" t="s">
        <v>40</v>
      </c>
      <c r="G1178" s="937"/>
      <c r="H1178" s="937"/>
      <c r="I1178" s="8">
        <f>SUM(I1174:I1177)</f>
        <v>232</v>
      </c>
      <c r="J1178" s="8">
        <f>SUM(J1174:J1177)</f>
        <v>76</v>
      </c>
      <c r="K1178" s="8">
        <f>SUM(K1174:K1177)</f>
        <v>13</v>
      </c>
      <c r="L1178" s="8">
        <f>SUBTOTAL(9,I1178:K1178)</f>
        <v>0</v>
      </c>
      <c r="M1178" s="31"/>
    </row>
    <row r="1179" spans="2:13" ht="15.75" hidden="1" x14ac:dyDescent="0.25">
      <c r="B1179" s="10">
        <v>46182</v>
      </c>
      <c r="C1179" s="10" t="s">
        <v>12</v>
      </c>
      <c r="D1179" s="10" t="s">
        <v>133</v>
      </c>
      <c r="F1179" s="939">
        <v>46182</v>
      </c>
      <c r="G1179" s="29" t="s">
        <v>75</v>
      </c>
      <c r="H1179" s="29" t="s">
        <v>127</v>
      </c>
      <c r="I1179" s="42">
        <v>28</v>
      </c>
      <c r="J1179" s="42">
        <v>18</v>
      </c>
      <c r="K1179" s="42">
        <v>46</v>
      </c>
      <c r="L1179" s="66">
        <f t="shared" ref="L1179:L1182" si="273">SUM(I1179:K1179)</f>
        <v>92</v>
      </c>
      <c r="M1179" s="43"/>
    </row>
    <row r="1180" spans="2:13" ht="15.75" hidden="1" x14ac:dyDescent="0.25">
      <c r="B1180" s="10">
        <v>46182</v>
      </c>
      <c r="C1180" s="10" t="s">
        <v>12</v>
      </c>
      <c r="D1180" s="10" t="s">
        <v>133</v>
      </c>
      <c r="F1180" s="940"/>
      <c r="G1180" s="29" t="s">
        <v>17</v>
      </c>
      <c r="H1180" s="29" t="s">
        <v>106</v>
      </c>
      <c r="I1180" s="42">
        <v>76</v>
      </c>
      <c r="J1180" s="42">
        <v>14</v>
      </c>
      <c r="K1180" s="42">
        <v>0</v>
      </c>
      <c r="L1180" s="66">
        <f t="shared" si="273"/>
        <v>90</v>
      </c>
      <c r="M1180" s="43"/>
    </row>
    <row r="1181" spans="2:13" ht="15.75" hidden="1" x14ac:dyDescent="0.25">
      <c r="B1181" s="10">
        <v>46182</v>
      </c>
      <c r="C1181" s="10" t="s">
        <v>12</v>
      </c>
      <c r="D1181" s="10" t="s">
        <v>133</v>
      </c>
      <c r="F1181" s="940"/>
      <c r="G1181" s="29" t="s">
        <v>120</v>
      </c>
      <c r="H1181" s="29" t="s">
        <v>105</v>
      </c>
      <c r="I1181" s="42">
        <v>7</v>
      </c>
      <c r="J1181" s="42">
        <v>0</v>
      </c>
      <c r="K1181" s="42">
        <v>0</v>
      </c>
      <c r="L1181" s="66">
        <f t="shared" si="273"/>
        <v>7</v>
      </c>
      <c r="M1181" s="43"/>
    </row>
    <row r="1182" spans="2:13" ht="15.75" hidden="1" x14ac:dyDescent="0.25">
      <c r="B1182" s="10">
        <v>46182</v>
      </c>
      <c r="C1182" s="10" t="s">
        <v>12</v>
      </c>
      <c r="D1182" s="10" t="s">
        <v>133</v>
      </c>
      <c r="F1182" s="941"/>
      <c r="G1182" s="29" t="s">
        <v>14</v>
      </c>
      <c r="H1182" s="29" t="s">
        <v>105</v>
      </c>
      <c r="I1182" s="42">
        <v>157</v>
      </c>
      <c r="J1182" s="42">
        <v>35</v>
      </c>
      <c r="K1182" s="42">
        <v>0</v>
      </c>
      <c r="L1182" s="66">
        <f t="shared" si="273"/>
        <v>192</v>
      </c>
      <c r="M1182" s="43"/>
    </row>
    <row r="1183" spans="2:13" ht="15.75" hidden="1" x14ac:dyDescent="0.25">
      <c r="B1183" s="10">
        <v>46182</v>
      </c>
      <c r="C1183" s="10" t="s">
        <v>12</v>
      </c>
      <c r="D1183" s="10" t="s">
        <v>133</v>
      </c>
      <c r="F1183" s="937" t="s">
        <v>40</v>
      </c>
      <c r="G1183" s="937"/>
      <c r="H1183" s="937"/>
      <c r="I1183" s="8">
        <f>SUM(I1179:I1182)</f>
        <v>268</v>
      </c>
      <c r="J1183" s="8">
        <f>SUM(J1179:J1182)</f>
        <v>67</v>
      </c>
      <c r="K1183" s="8">
        <f>SUM(K1179:K1182)</f>
        <v>46</v>
      </c>
      <c r="L1183" s="8">
        <f>SUBTOTAL(9,I1183:K1183)</f>
        <v>0</v>
      </c>
      <c r="M1183" s="31"/>
    </row>
    <row r="1184" spans="2:13" ht="15.75" hidden="1" x14ac:dyDescent="0.25">
      <c r="B1184" s="10">
        <v>46182</v>
      </c>
      <c r="C1184" s="10" t="s">
        <v>18</v>
      </c>
      <c r="D1184" s="10" t="s">
        <v>133</v>
      </c>
      <c r="F1184" s="939">
        <v>46182</v>
      </c>
      <c r="G1184" s="29" t="s">
        <v>75</v>
      </c>
      <c r="H1184" s="29" t="s">
        <v>127</v>
      </c>
      <c r="I1184" s="42">
        <v>98</v>
      </c>
      <c r="J1184" s="42">
        <v>54</v>
      </c>
      <c r="K1184" s="42">
        <v>0</v>
      </c>
      <c r="L1184" s="66">
        <f t="shared" ref="L1184:L1187" si="274">SUM(I1184:K1184)</f>
        <v>152</v>
      </c>
      <c r="M1184" s="43"/>
    </row>
    <row r="1185" spans="2:13" ht="15.75" hidden="1" x14ac:dyDescent="0.25">
      <c r="B1185" s="10">
        <v>46182</v>
      </c>
      <c r="C1185" s="10" t="s">
        <v>18</v>
      </c>
      <c r="D1185" s="10" t="s">
        <v>133</v>
      </c>
      <c r="F1185" s="940"/>
      <c r="G1185" s="29" t="s">
        <v>17</v>
      </c>
      <c r="H1185" s="29" t="s">
        <v>106</v>
      </c>
      <c r="I1185" s="42">
        <v>80</v>
      </c>
      <c r="J1185" s="42">
        <v>23</v>
      </c>
      <c r="K1185" s="42">
        <v>0</v>
      </c>
      <c r="L1185" s="66">
        <f t="shared" si="274"/>
        <v>103</v>
      </c>
      <c r="M1185" s="43"/>
    </row>
    <row r="1186" spans="2:13" ht="15.75" hidden="1" x14ac:dyDescent="0.25">
      <c r="B1186" s="10">
        <v>46182</v>
      </c>
      <c r="C1186" s="10" t="s">
        <v>18</v>
      </c>
      <c r="D1186" s="10" t="s">
        <v>133</v>
      </c>
      <c r="F1186" s="940"/>
      <c r="G1186" s="29" t="s">
        <v>120</v>
      </c>
      <c r="H1186" s="29" t="s">
        <v>105</v>
      </c>
      <c r="I1186" s="42">
        <v>2</v>
      </c>
      <c r="J1186" s="42">
        <v>1</v>
      </c>
      <c r="K1186" s="42">
        <v>0</v>
      </c>
      <c r="L1186" s="66">
        <f t="shared" si="274"/>
        <v>3</v>
      </c>
      <c r="M1186" s="43"/>
    </row>
    <row r="1187" spans="2:13" ht="15.75" hidden="1" x14ac:dyDescent="0.25">
      <c r="B1187" s="10">
        <v>46182</v>
      </c>
      <c r="C1187" s="10" t="s">
        <v>18</v>
      </c>
      <c r="D1187" s="10" t="s">
        <v>133</v>
      </c>
      <c r="F1187" s="941"/>
      <c r="G1187" s="29" t="s">
        <v>14</v>
      </c>
      <c r="H1187" s="29" t="s">
        <v>105</v>
      </c>
      <c r="I1187" s="42">
        <v>5</v>
      </c>
      <c r="J1187" s="42">
        <v>7</v>
      </c>
      <c r="K1187" s="42">
        <v>0</v>
      </c>
      <c r="L1187" s="66">
        <f t="shared" si="274"/>
        <v>12</v>
      </c>
      <c r="M1187" s="43"/>
    </row>
    <row r="1188" spans="2:13" ht="15.75" hidden="1" x14ac:dyDescent="0.25">
      <c r="B1188" s="10">
        <v>46182</v>
      </c>
      <c r="C1188" s="10" t="s">
        <v>18</v>
      </c>
      <c r="D1188" s="10" t="s">
        <v>133</v>
      </c>
      <c r="F1188" s="937" t="s">
        <v>40</v>
      </c>
      <c r="G1188" s="937"/>
      <c r="H1188" s="937"/>
      <c r="I1188" s="8">
        <f>SUM(I1184:I1187)</f>
        <v>185</v>
      </c>
      <c r="J1188" s="8">
        <f>SUM(J1184:J1187)</f>
        <v>85</v>
      </c>
      <c r="K1188" s="8">
        <f>SUM(K1184:K1187)</f>
        <v>0</v>
      </c>
      <c r="L1188" s="8">
        <f>SUBTOTAL(9,I1188:K1188)</f>
        <v>0</v>
      </c>
      <c r="M1188" s="31"/>
    </row>
    <row r="1189" spans="2:13" ht="15.75" hidden="1" x14ac:dyDescent="0.25">
      <c r="B1189" s="10">
        <v>46183</v>
      </c>
      <c r="C1189" s="10" t="s">
        <v>22</v>
      </c>
      <c r="D1189" s="10" t="s">
        <v>129</v>
      </c>
      <c r="F1189" s="939">
        <v>46183</v>
      </c>
      <c r="G1189" s="29" t="s">
        <v>75</v>
      </c>
      <c r="H1189" s="29" t="s">
        <v>83</v>
      </c>
      <c r="I1189" s="42">
        <v>57</v>
      </c>
      <c r="J1189" s="42">
        <v>36</v>
      </c>
      <c r="K1189" s="42">
        <v>0</v>
      </c>
      <c r="L1189" s="66">
        <f t="shared" ref="L1189:L1191" si="275">SUM(I1189:K1189)</f>
        <v>93</v>
      </c>
      <c r="M1189" s="43"/>
    </row>
    <row r="1190" spans="2:13" ht="15.75" hidden="1" x14ac:dyDescent="0.25">
      <c r="B1190" s="10">
        <v>46183</v>
      </c>
      <c r="C1190" s="10" t="s">
        <v>22</v>
      </c>
      <c r="D1190" s="10" t="s">
        <v>129</v>
      </c>
      <c r="F1190" s="940"/>
      <c r="G1190" s="29" t="s">
        <v>17</v>
      </c>
      <c r="H1190" s="29" t="s">
        <v>106</v>
      </c>
      <c r="I1190" s="42">
        <v>39</v>
      </c>
      <c r="J1190" s="42">
        <v>25</v>
      </c>
      <c r="K1190" s="42">
        <v>0</v>
      </c>
      <c r="L1190" s="66">
        <f t="shared" si="275"/>
        <v>64</v>
      </c>
      <c r="M1190" s="43"/>
    </row>
    <row r="1191" spans="2:13" ht="15.75" hidden="1" x14ac:dyDescent="0.25">
      <c r="B1191" s="10">
        <v>46183</v>
      </c>
      <c r="C1191" s="10" t="s">
        <v>22</v>
      </c>
      <c r="D1191" s="10" t="s">
        <v>129</v>
      </c>
      <c r="F1191" s="940"/>
      <c r="G1191" s="29" t="s">
        <v>14</v>
      </c>
      <c r="H1191" s="29" t="s">
        <v>105</v>
      </c>
      <c r="I1191" s="42">
        <v>107</v>
      </c>
      <c r="J1191" s="42">
        <v>24</v>
      </c>
      <c r="K1191" s="42">
        <v>0</v>
      </c>
      <c r="L1191" s="66">
        <f t="shared" si="275"/>
        <v>131</v>
      </c>
      <c r="M1191" s="43"/>
    </row>
    <row r="1192" spans="2:13" ht="15.75" hidden="1" x14ac:dyDescent="0.25">
      <c r="B1192" s="10">
        <v>46183</v>
      </c>
      <c r="C1192" s="10" t="s">
        <v>22</v>
      </c>
      <c r="D1192" s="10" t="s">
        <v>129</v>
      </c>
      <c r="F1192" s="937" t="s">
        <v>40</v>
      </c>
      <c r="G1192" s="937"/>
      <c r="H1192" s="937"/>
      <c r="I1192" s="8">
        <f>SUM(I1189:I1191)</f>
        <v>203</v>
      </c>
      <c r="J1192" s="8">
        <f>SUM(J1189:J1191)</f>
        <v>85</v>
      </c>
      <c r="K1192" s="8">
        <f>SUM(K1189:K1191)</f>
        <v>0</v>
      </c>
      <c r="L1192" s="8">
        <f>SUBTOTAL(9,I1192:K1192)</f>
        <v>0</v>
      </c>
      <c r="M1192" s="31"/>
    </row>
    <row r="1193" spans="2:13" ht="15.75" hidden="1" x14ac:dyDescent="0.25">
      <c r="B1193" s="10">
        <v>46183</v>
      </c>
      <c r="C1193" s="10" t="s">
        <v>12</v>
      </c>
      <c r="D1193" s="10" t="s">
        <v>133</v>
      </c>
      <c r="F1193" s="939">
        <v>46183</v>
      </c>
      <c r="G1193" s="29" t="s">
        <v>75</v>
      </c>
      <c r="H1193" s="29" t="s">
        <v>83</v>
      </c>
      <c r="I1193" s="42">
        <v>35</v>
      </c>
      <c r="J1193" s="42">
        <v>9</v>
      </c>
      <c r="K1193" s="42">
        <v>0</v>
      </c>
      <c r="L1193" s="66">
        <f t="shared" ref="L1193:L1195" si="276">SUM(I1193:K1193)</f>
        <v>44</v>
      </c>
      <c r="M1193" s="43"/>
    </row>
    <row r="1194" spans="2:13" ht="15.75" hidden="1" x14ac:dyDescent="0.25">
      <c r="B1194" s="10">
        <v>46183</v>
      </c>
      <c r="C1194" s="10" t="s">
        <v>12</v>
      </c>
      <c r="D1194" s="10" t="s">
        <v>133</v>
      </c>
      <c r="F1194" s="940"/>
      <c r="G1194" s="29" t="s">
        <v>17</v>
      </c>
      <c r="H1194" s="29" t="s">
        <v>106</v>
      </c>
      <c r="I1194" s="42">
        <v>75</v>
      </c>
      <c r="J1194" s="42">
        <v>10</v>
      </c>
      <c r="K1194" s="42">
        <v>0</v>
      </c>
      <c r="L1194" s="66">
        <f t="shared" si="276"/>
        <v>85</v>
      </c>
      <c r="M1194" s="43"/>
    </row>
    <row r="1195" spans="2:13" ht="15.75" hidden="1" x14ac:dyDescent="0.25">
      <c r="B1195" s="10">
        <v>46183</v>
      </c>
      <c r="C1195" s="10" t="s">
        <v>12</v>
      </c>
      <c r="D1195" s="10" t="s">
        <v>133</v>
      </c>
      <c r="F1195" s="940"/>
      <c r="G1195" s="29" t="s">
        <v>14</v>
      </c>
      <c r="H1195" s="29" t="s">
        <v>105</v>
      </c>
      <c r="I1195" s="42">
        <v>32</v>
      </c>
      <c r="J1195" s="42">
        <v>4</v>
      </c>
      <c r="K1195" s="42">
        <v>0</v>
      </c>
      <c r="L1195" s="66">
        <f t="shared" si="276"/>
        <v>36</v>
      </c>
      <c r="M1195" s="43"/>
    </row>
    <row r="1196" spans="2:13" ht="15.75" hidden="1" x14ac:dyDescent="0.25">
      <c r="B1196" s="10">
        <v>46183</v>
      </c>
      <c r="C1196" s="10" t="s">
        <v>12</v>
      </c>
      <c r="D1196" s="10" t="s">
        <v>133</v>
      </c>
      <c r="F1196" s="937" t="s">
        <v>40</v>
      </c>
      <c r="G1196" s="937"/>
      <c r="H1196" s="937"/>
      <c r="I1196" s="8">
        <f>SUM(I1193:I1195)</f>
        <v>142</v>
      </c>
      <c r="J1196" s="8">
        <f>SUM(J1193:J1195)</f>
        <v>23</v>
      </c>
      <c r="K1196" s="8">
        <f>SUM(K1193:K1195)</f>
        <v>0</v>
      </c>
      <c r="L1196" s="8">
        <f>SUBTOTAL(9,I1196:K1196)</f>
        <v>0</v>
      </c>
      <c r="M1196" s="31"/>
    </row>
    <row r="1197" spans="2:13" ht="15.75" hidden="1" x14ac:dyDescent="0.25">
      <c r="B1197" s="10">
        <v>46183</v>
      </c>
      <c r="C1197" s="10" t="s">
        <v>18</v>
      </c>
      <c r="D1197" s="10" t="s">
        <v>133</v>
      </c>
      <c r="F1197" s="939">
        <v>46183</v>
      </c>
      <c r="G1197" s="29" t="s">
        <v>75</v>
      </c>
      <c r="H1197" s="29" t="s">
        <v>83</v>
      </c>
      <c r="I1197" s="42">
        <v>118</v>
      </c>
      <c r="J1197" s="42">
        <v>54</v>
      </c>
      <c r="K1197" s="42">
        <v>0</v>
      </c>
      <c r="L1197" s="66">
        <f t="shared" ref="L1197:L1199" si="277">SUM(I1197:K1197)</f>
        <v>172</v>
      </c>
      <c r="M1197" s="43"/>
    </row>
    <row r="1198" spans="2:13" ht="15.75" hidden="1" x14ac:dyDescent="0.25">
      <c r="B1198" s="10">
        <v>46183</v>
      </c>
      <c r="C1198" s="10" t="s">
        <v>18</v>
      </c>
      <c r="D1198" s="10" t="s">
        <v>133</v>
      </c>
      <c r="F1198" s="940"/>
      <c r="G1198" s="29" t="s">
        <v>17</v>
      </c>
      <c r="H1198" s="29" t="s">
        <v>106</v>
      </c>
      <c r="I1198" s="42">
        <v>70</v>
      </c>
      <c r="J1198" s="42">
        <v>36</v>
      </c>
      <c r="K1198" s="42">
        <v>0</v>
      </c>
      <c r="L1198" s="66">
        <f t="shared" si="277"/>
        <v>106</v>
      </c>
      <c r="M1198" s="43"/>
    </row>
    <row r="1199" spans="2:13" ht="15.75" hidden="1" x14ac:dyDescent="0.25">
      <c r="B1199" s="10">
        <v>46183</v>
      </c>
      <c r="C1199" s="10" t="s">
        <v>18</v>
      </c>
      <c r="D1199" s="10" t="s">
        <v>133</v>
      </c>
      <c r="F1199" s="940"/>
      <c r="G1199" s="29" t="s">
        <v>14</v>
      </c>
      <c r="H1199" s="29" t="s">
        <v>105</v>
      </c>
      <c r="I1199" s="42">
        <v>10</v>
      </c>
      <c r="J1199" s="42">
        <v>2</v>
      </c>
      <c r="K1199" s="42">
        <v>0</v>
      </c>
      <c r="L1199" s="66">
        <f t="shared" si="277"/>
        <v>12</v>
      </c>
      <c r="M1199" s="43"/>
    </row>
    <row r="1200" spans="2:13" ht="15.75" hidden="1" x14ac:dyDescent="0.25">
      <c r="B1200" s="10">
        <v>46183</v>
      </c>
      <c r="C1200" s="10" t="s">
        <v>18</v>
      </c>
      <c r="D1200" s="10" t="s">
        <v>133</v>
      </c>
      <c r="F1200" s="937" t="s">
        <v>40</v>
      </c>
      <c r="G1200" s="937"/>
      <c r="H1200" s="937"/>
      <c r="I1200" s="8">
        <f>SUM(I1197:I1199)</f>
        <v>198</v>
      </c>
      <c r="J1200" s="8">
        <f>SUM(J1197:J1199)</f>
        <v>92</v>
      </c>
      <c r="K1200" s="8">
        <f>SUM(K1197:K1199)</f>
        <v>0</v>
      </c>
      <c r="L1200" s="8">
        <f>SUBTOTAL(9,I1200:K1200)</f>
        <v>0</v>
      </c>
      <c r="M1200" s="31"/>
    </row>
    <row r="1201" spans="1:13" ht="15.75" hidden="1" x14ac:dyDescent="0.25">
      <c r="B1201" s="10">
        <v>46184</v>
      </c>
      <c r="C1201" s="10" t="s">
        <v>22</v>
      </c>
      <c r="D1201" s="10" t="s">
        <v>129</v>
      </c>
      <c r="F1201" s="942">
        <v>46184</v>
      </c>
      <c r="G1201" s="29" t="s">
        <v>75</v>
      </c>
      <c r="H1201" s="29" t="s">
        <v>83</v>
      </c>
      <c r="I1201" s="42">
        <v>35</v>
      </c>
      <c r="J1201" s="42">
        <v>34</v>
      </c>
      <c r="K1201" s="42">
        <v>0</v>
      </c>
      <c r="L1201" s="66">
        <f t="shared" ref="L1201:L1204" si="278">SUM(I1201:K1201)</f>
        <v>69</v>
      </c>
      <c r="M1201" s="43"/>
    </row>
    <row r="1202" spans="1:13" ht="15.75" hidden="1" x14ac:dyDescent="0.25">
      <c r="B1202" s="10">
        <v>46184</v>
      </c>
      <c r="C1202" s="10" t="s">
        <v>22</v>
      </c>
      <c r="D1202" s="10" t="s">
        <v>129</v>
      </c>
      <c r="F1202" s="942"/>
      <c r="G1202" s="29" t="s">
        <v>17</v>
      </c>
      <c r="H1202" s="29" t="s">
        <v>106</v>
      </c>
      <c r="I1202" s="42">
        <v>31</v>
      </c>
      <c r="J1202" s="42">
        <v>15</v>
      </c>
      <c r="K1202" s="42">
        <v>0</v>
      </c>
      <c r="L1202" s="66">
        <f t="shared" si="278"/>
        <v>46</v>
      </c>
      <c r="M1202" s="43"/>
    </row>
    <row r="1203" spans="1:13" ht="15.75" hidden="1" x14ac:dyDescent="0.25">
      <c r="B1203" s="10">
        <v>46184</v>
      </c>
      <c r="C1203" s="10" t="s">
        <v>22</v>
      </c>
      <c r="D1203" s="10" t="s">
        <v>129</v>
      </c>
      <c r="F1203" s="942"/>
      <c r="G1203" s="29" t="s">
        <v>14</v>
      </c>
      <c r="H1203" s="29" t="s">
        <v>105</v>
      </c>
      <c r="I1203" s="42">
        <v>87</v>
      </c>
      <c r="J1203" s="42">
        <v>33</v>
      </c>
      <c r="K1203" s="42">
        <v>27</v>
      </c>
      <c r="L1203" s="66">
        <f t="shared" si="278"/>
        <v>147</v>
      </c>
      <c r="M1203" s="43"/>
    </row>
    <row r="1204" spans="1:13" ht="15.75" hidden="1" x14ac:dyDescent="0.25">
      <c r="B1204" s="10">
        <v>46184</v>
      </c>
      <c r="C1204" s="10" t="s">
        <v>22</v>
      </c>
      <c r="D1204" s="10" t="s">
        <v>129</v>
      </c>
      <c r="F1204" s="301">
        <v>46185</v>
      </c>
      <c r="G1204" s="29" t="s">
        <v>25</v>
      </c>
      <c r="H1204" s="29" t="s">
        <v>106</v>
      </c>
      <c r="I1204" s="42">
        <v>3</v>
      </c>
      <c r="J1204" s="42">
        <v>2</v>
      </c>
      <c r="K1204" s="42">
        <v>14</v>
      </c>
      <c r="L1204" s="66">
        <f t="shared" si="278"/>
        <v>19</v>
      </c>
      <c r="M1204" s="43"/>
    </row>
    <row r="1205" spans="1:13" ht="15.75" hidden="1" x14ac:dyDescent="0.25">
      <c r="B1205" s="10">
        <v>46184</v>
      </c>
      <c r="C1205" s="10" t="s">
        <v>22</v>
      </c>
      <c r="D1205" s="10" t="s">
        <v>129</v>
      </c>
      <c r="F1205" s="937" t="s">
        <v>40</v>
      </c>
      <c r="G1205" s="937"/>
      <c r="H1205" s="937"/>
      <c r="I1205" s="8">
        <f>SUM(I1201:I1204)</f>
        <v>156</v>
      </c>
      <c r="J1205" s="8">
        <f>SUM(J1201:J1204)</f>
        <v>84</v>
      </c>
      <c r="K1205" s="8">
        <f>SUM(K1201:K1204)</f>
        <v>41</v>
      </c>
      <c r="L1205" s="8">
        <f>SUBTOTAL(9,I1205:K1205)</f>
        <v>0</v>
      </c>
      <c r="M1205" s="31"/>
    </row>
    <row r="1206" spans="1:13" ht="15.75" hidden="1" x14ac:dyDescent="0.25">
      <c r="B1206" s="10">
        <v>46184</v>
      </c>
      <c r="C1206" s="10" t="s">
        <v>12</v>
      </c>
      <c r="D1206" s="10" t="s">
        <v>133</v>
      </c>
      <c r="F1206" s="942">
        <v>46184</v>
      </c>
      <c r="G1206" s="29" t="s">
        <v>75</v>
      </c>
      <c r="H1206" s="29" t="s">
        <v>83</v>
      </c>
      <c r="I1206" s="42">
        <v>60</v>
      </c>
      <c r="J1206" s="42">
        <v>20</v>
      </c>
      <c r="K1206" s="42">
        <v>0</v>
      </c>
      <c r="L1206" s="66">
        <f t="shared" ref="L1206:L1209" si="279">SUM(I1206:K1206)</f>
        <v>80</v>
      </c>
      <c r="M1206" s="43"/>
    </row>
    <row r="1207" spans="1:13" ht="15.75" hidden="1" x14ac:dyDescent="0.25">
      <c r="B1207" s="10">
        <v>46184</v>
      </c>
      <c r="C1207" s="10" t="s">
        <v>12</v>
      </c>
      <c r="D1207" s="10" t="s">
        <v>133</v>
      </c>
      <c r="F1207" s="942"/>
      <c r="G1207" s="29" t="s">
        <v>17</v>
      </c>
      <c r="H1207" s="29" t="s">
        <v>106</v>
      </c>
      <c r="I1207" s="42">
        <v>17</v>
      </c>
      <c r="J1207" s="42">
        <v>15</v>
      </c>
      <c r="K1207" s="42">
        <v>0</v>
      </c>
      <c r="L1207" s="66">
        <f t="shared" si="279"/>
        <v>32</v>
      </c>
      <c r="M1207" s="43"/>
    </row>
    <row r="1208" spans="1:13" ht="15.75" hidden="1" x14ac:dyDescent="0.25">
      <c r="B1208" s="10">
        <v>46184</v>
      </c>
      <c r="C1208" s="10" t="s">
        <v>12</v>
      </c>
      <c r="D1208" s="10" t="s">
        <v>133</v>
      </c>
      <c r="F1208" s="942"/>
      <c r="G1208" s="29" t="s">
        <v>25</v>
      </c>
      <c r="H1208" s="29" t="s">
        <v>106</v>
      </c>
      <c r="I1208" s="42">
        <v>57</v>
      </c>
      <c r="J1208" s="42">
        <v>19</v>
      </c>
      <c r="K1208" s="42">
        <v>14</v>
      </c>
      <c r="L1208" s="66">
        <f t="shared" si="279"/>
        <v>90</v>
      </c>
      <c r="M1208" s="43"/>
    </row>
    <row r="1209" spans="1:13" ht="15.75" hidden="1" x14ac:dyDescent="0.25">
      <c r="B1209" s="10">
        <v>46184</v>
      </c>
      <c r="C1209" s="10" t="s">
        <v>12</v>
      </c>
      <c r="D1209" s="10" t="s">
        <v>133</v>
      </c>
      <c r="F1209" s="942"/>
      <c r="G1209" s="29" t="s">
        <v>14</v>
      </c>
      <c r="H1209" s="29" t="s">
        <v>105</v>
      </c>
      <c r="I1209" s="42">
        <v>23</v>
      </c>
      <c r="J1209" s="42">
        <v>13</v>
      </c>
      <c r="K1209" s="42">
        <v>0</v>
      </c>
      <c r="L1209" s="66">
        <f t="shared" si="279"/>
        <v>36</v>
      </c>
      <c r="M1209" s="43"/>
    </row>
    <row r="1210" spans="1:13" ht="15.75" hidden="1" x14ac:dyDescent="0.25">
      <c r="B1210" s="10">
        <v>46184</v>
      </c>
      <c r="C1210" s="10" t="s">
        <v>12</v>
      </c>
      <c r="D1210" s="10" t="s">
        <v>133</v>
      </c>
      <c r="F1210" s="937" t="s">
        <v>40</v>
      </c>
      <c r="G1210" s="937"/>
      <c r="H1210" s="937"/>
      <c r="I1210" s="8">
        <f>SUM(I1206:I1209)</f>
        <v>157</v>
      </c>
      <c r="J1210" s="8">
        <f>SUM(J1206:J1209)</f>
        <v>67</v>
      </c>
      <c r="K1210" s="8">
        <f>SUM(K1206:K1209)</f>
        <v>14</v>
      </c>
      <c r="L1210" s="8">
        <f>SUBTOTAL(9,I1210:K1210)</f>
        <v>0</v>
      </c>
      <c r="M1210" s="31"/>
    </row>
    <row r="1211" spans="1:13" ht="15.75" hidden="1" x14ac:dyDescent="0.25">
      <c r="B1211" s="10">
        <v>46184</v>
      </c>
      <c r="C1211" s="10" t="s">
        <v>18</v>
      </c>
      <c r="D1211" s="10" t="s">
        <v>13</v>
      </c>
      <c r="F1211" s="942">
        <v>46184</v>
      </c>
      <c r="G1211" s="29" t="s">
        <v>75</v>
      </c>
      <c r="H1211" s="29" t="s">
        <v>83</v>
      </c>
      <c r="I1211" s="42">
        <v>98</v>
      </c>
      <c r="J1211" s="42">
        <v>44</v>
      </c>
      <c r="K1211" s="42">
        <v>0</v>
      </c>
      <c r="L1211" s="66">
        <f t="shared" ref="L1211:L1214" si="280">SUM(I1211:K1211)</f>
        <v>142</v>
      </c>
      <c r="M1211" s="43"/>
    </row>
    <row r="1212" spans="1:13" ht="15.75" hidden="1" x14ac:dyDescent="0.25">
      <c r="A1212" s="1" t="s">
        <v>147</v>
      </c>
      <c r="B1212" s="10">
        <v>46184</v>
      </c>
      <c r="C1212" s="10" t="s">
        <v>18</v>
      </c>
      <c r="D1212" s="10" t="s">
        <v>13</v>
      </c>
      <c r="F1212" s="942"/>
      <c r="G1212" s="29" t="s">
        <v>148</v>
      </c>
      <c r="H1212" s="29" t="s">
        <v>106</v>
      </c>
      <c r="I1212" s="42">
        <v>2</v>
      </c>
      <c r="J1212" s="42">
        <v>0</v>
      </c>
      <c r="K1212" s="42">
        <v>0</v>
      </c>
      <c r="L1212" s="66">
        <f t="shared" si="280"/>
        <v>2</v>
      </c>
      <c r="M1212" s="43"/>
    </row>
    <row r="1213" spans="1:13" ht="15.75" hidden="1" x14ac:dyDescent="0.25">
      <c r="B1213" s="10">
        <v>46184</v>
      </c>
      <c r="C1213" s="10" t="s">
        <v>18</v>
      </c>
      <c r="D1213" s="10" t="s">
        <v>13</v>
      </c>
      <c r="F1213" s="942"/>
      <c r="G1213" s="29" t="s">
        <v>25</v>
      </c>
      <c r="H1213" s="29" t="s">
        <v>106</v>
      </c>
      <c r="I1213" s="42">
        <v>88</v>
      </c>
      <c r="J1213" s="42">
        <v>24</v>
      </c>
      <c r="K1213" s="42">
        <v>0</v>
      </c>
      <c r="L1213" s="66">
        <f t="shared" si="280"/>
        <v>112</v>
      </c>
      <c r="M1213" s="43"/>
    </row>
    <row r="1214" spans="1:13" ht="15.75" hidden="1" x14ac:dyDescent="0.25">
      <c r="B1214" s="10">
        <v>46184</v>
      </c>
      <c r="C1214" s="10" t="s">
        <v>18</v>
      </c>
      <c r="D1214" s="10" t="s">
        <v>13</v>
      </c>
      <c r="F1214" s="942"/>
      <c r="G1214" s="29" t="s">
        <v>14</v>
      </c>
      <c r="H1214" s="29" t="s">
        <v>105</v>
      </c>
      <c r="I1214" s="42">
        <v>6</v>
      </c>
      <c r="J1214" s="42">
        <v>10</v>
      </c>
      <c r="K1214" s="42">
        <v>0</v>
      </c>
      <c r="L1214" s="66">
        <f t="shared" si="280"/>
        <v>16</v>
      </c>
      <c r="M1214" s="43"/>
    </row>
    <row r="1215" spans="1:13" ht="15.75" hidden="1" x14ac:dyDescent="0.25">
      <c r="B1215" s="10">
        <v>46184</v>
      </c>
      <c r="C1215" s="10" t="s">
        <v>18</v>
      </c>
      <c r="D1215" s="10" t="s">
        <v>13</v>
      </c>
      <c r="F1215" s="937" t="s">
        <v>40</v>
      </c>
      <c r="G1215" s="937"/>
      <c r="H1215" s="937"/>
      <c r="I1215" s="8">
        <f>SUM(I1211:I1214)</f>
        <v>194</v>
      </c>
      <c r="J1215" s="8">
        <f>SUM(J1211:J1214)</f>
        <v>78</v>
      </c>
      <c r="K1215" s="8">
        <f>SUM(K1211:K1214)</f>
        <v>0</v>
      </c>
      <c r="L1215" s="8">
        <f>SUBTOTAL(9,I1215:K1215)</f>
        <v>0</v>
      </c>
      <c r="M1215" s="31"/>
    </row>
    <row r="1216" spans="1:13" ht="15.75" hidden="1" x14ac:dyDescent="0.25">
      <c r="B1216" s="10">
        <v>46185</v>
      </c>
      <c r="C1216" s="10" t="s">
        <v>22</v>
      </c>
      <c r="D1216" s="10" t="s">
        <v>129</v>
      </c>
      <c r="F1216" s="942">
        <v>46185</v>
      </c>
      <c r="G1216" s="29" t="s">
        <v>75</v>
      </c>
      <c r="H1216" s="29" t="s">
        <v>83</v>
      </c>
      <c r="I1216" s="42">
        <v>19</v>
      </c>
      <c r="J1216" s="42">
        <v>19</v>
      </c>
      <c r="K1216" s="42">
        <v>0</v>
      </c>
      <c r="L1216" s="66">
        <f t="shared" ref="L1216:L1218" si="281">SUM(I1216:K1216)</f>
        <v>38</v>
      </c>
      <c r="M1216" s="43"/>
    </row>
    <row r="1217" spans="2:13" ht="15.75" hidden="1" x14ac:dyDescent="0.25">
      <c r="B1217" s="10">
        <v>46185</v>
      </c>
      <c r="C1217" s="10" t="s">
        <v>22</v>
      </c>
      <c r="D1217" s="10" t="s">
        <v>129</v>
      </c>
      <c r="F1217" s="942"/>
      <c r="G1217" s="29" t="s">
        <v>25</v>
      </c>
      <c r="H1217" s="29" t="s">
        <v>106</v>
      </c>
      <c r="I1217" s="42">
        <v>31</v>
      </c>
      <c r="J1217" s="42">
        <v>19</v>
      </c>
      <c r="K1217" s="42">
        <v>0</v>
      </c>
      <c r="L1217" s="66">
        <f t="shared" si="281"/>
        <v>50</v>
      </c>
      <c r="M1217" s="43"/>
    </row>
    <row r="1218" spans="2:13" ht="15.75" hidden="1" x14ac:dyDescent="0.25">
      <c r="B1218" s="10">
        <v>46185</v>
      </c>
      <c r="C1218" s="10" t="s">
        <v>22</v>
      </c>
      <c r="D1218" s="10" t="s">
        <v>129</v>
      </c>
      <c r="F1218" s="942"/>
      <c r="G1218" s="29" t="s">
        <v>14</v>
      </c>
      <c r="H1218" s="29" t="s">
        <v>105</v>
      </c>
      <c r="I1218" s="42">
        <v>63</v>
      </c>
      <c r="J1218" s="42">
        <v>17</v>
      </c>
      <c r="K1218" s="42">
        <v>62</v>
      </c>
      <c r="L1218" s="66">
        <f t="shared" si="281"/>
        <v>142</v>
      </c>
      <c r="M1218" s="43"/>
    </row>
    <row r="1219" spans="2:13" ht="15.75" hidden="1" x14ac:dyDescent="0.25">
      <c r="B1219" s="10">
        <v>46185</v>
      </c>
      <c r="C1219" s="10" t="s">
        <v>22</v>
      </c>
      <c r="D1219" s="10" t="s">
        <v>129</v>
      </c>
      <c r="F1219" s="937" t="s">
        <v>40</v>
      </c>
      <c r="G1219" s="937"/>
      <c r="H1219" s="937"/>
      <c r="I1219" s="8">
        <f>SUM(I1216:I1218)</f>
        <v>113</v>
      </c>
      <c r="J1219" s="8">
        <f>SUM(J1216:J1218)</f>
        <v>55</v>
      </c>
      <c r="K1219" s="8">
        <f>SUM(K1216:K1218)</f>
        <v>62</v>
      </c>
      <c r="L1219" s="8">
        <f>SUBTOTAL(9,I1219:K1219)</f>
        <v>0</v>
      </c>
      <c r="M1219" s="31"/>
    </row>
    <row r="1220" spans="2:13" ht="15.75" hidden="1" x14ac:dyDescent="0.25">
      <c r="B1220" s="10">
        <v>46185</v>
      </c>
      <c r="C1220" s="10" t="s">
        <v>22</v>
      </c>
      <c r="D1220" s="10" t="s">
        <v>13</v>
      </c>
      <c r="F1220" s="942">
        <v>46185</v>
      </c>
      <c r="G1220" s="29" t="s">
        <v>75</v>
      </c>
      <c r="H1220" s="29" t="s">
        <v>83</v>
      </c>
      <c r="I1220" s="42">
        <v>30</v>
      </c>
      <c r="J1220" s="42">
        <v>20</v>
      </c>
      <c r="K1220" s="42">
        <v>0</v>
      </c>
      <c r="L1220" s="66">
        <f t="shared" ref="L1220:L1221" si="282">SUM(I1220:K1220)</f>
        <v>50</v>
      </c>
      <c r="M1220" s="43"/>
    </row>
    <row r="1221" spans="2:13" ht="15.75" hidden="1" x14ac:dyDescent="0.25">
      <c r="B1221" s="10">
        <v>46185</v>
      </c>
      <c r="C1221" s="10" t="s">
        <v>22</v>
      </c>
      <c r="D1221" s="10" t="s">
        <v>13</v>
      </c>
      <c r="F1221" s="942"/>
      <c r="G1221" s="29" t="s">
        <v>14</v>
      </c>
      <c r="H1221" s="29" t="s">
        <v>105</v>
      </c>
      <c r="I1221" s="42">
        <v>73</v>
      </c>
      <c r="J1221" s="42">
        <v>25</v>
      </c>
      <c r="K1221" s="42">
        <v>0</v>
      </c>
      <c r="L1221" s="66">
        <f t="shared" si="282"/>
        <v>98</v>
      </c>
      <c r="M1221" s="43"/>
    </row>
    <row r="1222" spans="2:13" ht="15.75" hidden="1" x14ac:dyDescent="0.25">
      <c r="B1222" s="10">
        <v>46185</v>
      </c>
      <c r="C1222" s="10" t="s">
        <v>22</v>
      </c>
      <c r="D1222" s="10" t="s">
        <v>13</v>
      </c>
      <c r="F1222" s="942"/>
      <c r="G1222" s="29" t="s">
        <v>17</v>
      </c>
      <c r="H1222" s="29" t="s">
        <v>106</v>
      </c>
      <c r="I1222" s="42">
        <v>62</v>
      </c>
      <c r="J1222" s="42">
        <v>12</v>
      </c>
      <c r="K1222" s="42">
        <v>0</v>
      </c>
      <c r="L1222" s="66">
        <f t="shared" ref="L1222:L1224" si="283">SUM(I1222:K1222)</f>
        <v>74</v>
      </c>
      <c r="M1222" s="43"/>
    </row>
    <row r="1223" spans="2:13" ht="15.75" hidden="1" x14ac:dyDescent="0.25">
      <c r="B1223" s="10">
        <v>46185</v>
      </c>
      <c r="C1223" s="10" t="s">
        <v>22</v>
      </c>
      <c r="D1223" s="10" t="s">
        <v>13</v>
      </c>
      <c r="F1223" s="942"/>
      <c r="G1223" s="29" t="s">
        <v>123</v>
      </c>
      <c r="H1223" s="29" t="s">
        <v>18</v>
      </c>
      <c r="I1223" s="42">
        <v>35</v>
      </c>
      <c r="J1223" s="42">
        <v>2</v>
      </c>
      <c r="K1223" s="42">
        <v>0</v>
      </c>
      <c r="L1223" s="66">
        <f t="shared" si="283"/>
        <v>37</v>
      </c>
      <c r="M1223" s="43"/>
    </row>
    <row r="1224" spans="2:13" ht="15.75" hidden="1" x14ac:dyDescent="0.25">
      <c r="B1224" s="10">
        <v>46185</v>
      </c>
      <c r="C1224" s="10" t="s">
        <v>22</v>
      </c>
      <c r="D1224" s="10" t="s">
        <v>13</v>
      </c>
      <c r="F1224" s="942"/>
      <c r="G1224" s="29" t="s">
        <v>25</v>
      </c>
      <c r="H1224" s="29" t="s">
        <v>106</v>
      </c>
      <c r="I1224" s="42">
        <v>22</v>
      </c>
      <c r="J1224" s="42">
        <v>0</v>
      </c>
      <c r="K1224" s="42">
        <v>0</v>
      </c>
      <c r="L1224" s="66">
        <f t="shared" si="283"/>
        <v>22</v>
      </c>
      <c r="M1224" s="43"/>
    </row>
    <row r="1225" spans="2:13" ht="15.75" hidden="1" x14ac:dyDescent="0.25">
      <c r="B1225" s="10">
        <v>46185</v>
      </c>
      <c r="C1225" s="10" t="s">
        <v>22</v>
      </c>
      <c r="D1225" s="10" t="s">
        <v>13</v>
      </c>
      <c r="F1225" s="937" t="s">
        <v>40</v>
      </c>
      <c r="G1225" s="937"/>
      <c r="H1225" s="937"/>
      <c r="I1225" s="8">
        <f>SUM(I1220:I1224)</f>
        <v>222</v>
      </c>
      <c r="J1225" s="8">
        <f>SUM(J1220:J1224)</f>
        <v>59</v>
      </c>
      <c r="K1225" s="8">
        <f>SUM(K1220:K1224)</f>
        <v>0</v>
      </c>
      <c r="L1225" s="8">
        <f>SUBTOTAL(9,I1225:K1225)</f>
        <v>0</v>
      </c>
      <c r="M1225" s="31"/>
    </row>
    <row r="1226" spans="2:13" ht="15.75" hidden="1" x14ac:dyDescent="0.25">
      <c r="B1226" s="10">
        <v>46185</v>
      </c>
      <c r="C1226" s="10" t="s">
        <v>18</v>
      </c>
      <c r="D1226" s="10" t="s">
        <v>13</v>
      </c>
      <c r="F1226" s="942">
        <v>46185</v>
      </c>
      <c r="G1226" s="29" t="s">
        <v>75</v>
      </c>
      <c r="H1226" s="29" t="s">
        <v>83</v>
      </c>
      <c r="I1226" s="42">
        <v>104</v>
      </c>
      <c r="J1226" s="42">
        <v>46</v>
      </c>
      <c r="K1226" s="42">
        <v>0</v>
      </c>
      <c r="L1226" s="66">
        <f t="shared" ref="L1226:L1227" si="284">SUM(I1226:K1226)</f>
        <v>150</v>
      </c>
      <c r="M1226" s="43"/>
    </row>
    <row r="1227" spans="2:13" ht="15.75" hidden="1" x14ac:dyDescent="0.25">
      <c r="B1227" s="10">
        <v>46185</v>
      </c>
      <c r="C1227" s="10" t="s">
        <v>18</v>
      </c>
      <c r="D1227" s="10" t="s">
        <v>13</v>
      </c>
      <c r="F1227" s="942"/>
      <c r="G1227" s="29" t="s">
        <v>14</v>
      </c>
      <c r="H1227" s="29" t="s">
        <v>105</v>
      </c>
      <c r="I1227" s="42">
        <v>8</v>
      </c>
      <c r="J1227" s="42">
        <v>5</v>
      </c>
      <c r="K1227" s="42">
        <v>0</v>
      </c>
      <c r="L1227" s="66">
        <f t="shared" si="284"/>
        <v>13</v>
      </c>
      <c r="M1227" s="43"/>
    </row>
    <row r="1228" spans="2:13" ht="15.75" hidden="1" x14ac:dyDescent="0.25">
      <c r="B1228" s="10">
        <v>46185</v>
      </c>
      <c r="C1228" s="10" t="s">
        <v>18</v>
      </c>
      <c r="D1228" s="10" t="s">
        <v>13</v>
      </c>
      <c r="F1228" s="942"/>
      <c r="G1228" s="29" t="s">
        <v>17</v>
      </c>
      <c r="H1228" s="29" t="s">
        <v>106</v>
      </c>
      <c r="I1228" s="42">
        <v>64</v>
      </c>
      <c r="J1228" s="42">
        <v>36</v>
      </c>
      <c r="K1228" s="42">
        <v>0</v>
      </c>
      <c r="L1228" s="66">
        <f t="shared" ref="L1228:L1230" si="285">SUM(I1228:K1228)</f>
        <v>100</v>
      </c>
      <c r="M1228" s="43"/>
    </row>
    <row r="1229" spans="2:13" ht="15.75" hidden="1" x14ac:dyDescent="0.25">
      <c r="B1229" s="10">
        <v>46185</v>
      </c>
      <c r="C1229" s="10" t="s">
        <v>18</v>
      </c>
      <c r="D1229" s="10" t="s">
        <v>13</v>
      </c>
      <c r="F1229" s="942"/>
      <c r="G1229" s="29" t="s">
        <v>118</v>
      </c>
      <c r="H1229" s="29" t="s">
        <v>18</v>
      </c>
      <c r="I1229" s="42">
        <v>3</v>
      </c>
      <c r="J1229" s="42">
        <v>1</v>
      </c>
      <c r="K1229" s="42">
        <v>0</v>
      </c>
      <c r="L1229" s="66">
        <f t="shared" ref="L1229" si="286">SUM(I1229:K1229)</f>
        <v>4</v>
      </c>
      <c r="M1229" s="43"/>
    </row>
    <row r="1230" spans="2:13" ht="15.75" hidden="1" x14ac:dyDescent="0.25">
      <c r="B1230" s="10">
        <v>46185</v>
      </c>
      <c r="C1230" s="10" t="s">
        <v>18</v>
      </c>
      <c r="D1230" s="10" t="s">
        <v>13</v>
      </c>
      <c r="F1230" s="942"/>
      <c r="G1230" s="29" t="s">
        <v>120</v>
      </c>
      <c r="H1230" s="29" t="s">
        <v>106</v>
      </c>
      <c r="I1230" s="42">
        <v>1</v>
      </c>
      <c r="J1230" s="42">
        <v>0</v>
      </c>
      <c r="K1230" s="42">
        <v>0</v>
      </c>
      <c r="L1230" s="66">
        <f t="shared" si="285"/>
        <v>1</v>
      </c>
      <c r="M1230" s="43"/>
    </row>
    <row r="1231" spans="2:13" ht="15.75" hidden="1" x14ac:dyDescent="0.25">
      <c r="B1231" s="10">
        <v>46185</v>
      </c>
      <c r="C1231" s="10" t="s">
        <v>18</v>
      </c>
      <c r="D1231" s="10" t="s">
        <v>13</v>
      </c>
      <c r="F1231" s="937" t="s">
        <v>40</v>
      </c>
      <c r="G1231" s="937"/>
      <c r="H1231" s="937"/>
      <c r="I1231" s="8">
        <f>SUM(I1226:I1230)</f>
        <v>180</v>
      </c>
      <c r="J1231" s="8">
        <f>SUM(J1226:J1230)</f>
        <v>88</v>
      </c>
      <c r="K1231" s="8">
        <f>SUM(K1226:K1230)</f>
        <v>0</v>
      </c>
      <c r="L1231" s="8">
        <f>SUBTOTAL(9,I1231:K1231)</f>
        <v>0</v>
      </c>
      <c r="M1231" s="31"/>
    </row>
    <row r="1232" spans="2:13" ht="15.75" hidden="1" x14ac:dyDescent="0.25">
      <c r="B1232" s="10">
        <v>46186</v>
      </c>
      <c r="C1232" s="10" t="s">
        <v>22</v>
      </c>
      <c r="D1232" s="10" t="s">
        <v>129</v>
      </c>
      <c r="F1232" s="939">
        <v>46186</v>
      </c>
      <c r="G1232" s="29" t="s">
        <v>75</v>
      </c>
      <c r="H1232" s="29" t="s">
        <v>83</v>
      </c>
      <c r="I1232" s="42">
        <v>33</v>
      </c>
      <c r="J1232" s="42">
        <v>24</v>
      </c>
      <c r="K1232" s="42">
        <v>0</v>
      </c>
      <c r="L1232" s="66">
        <f t="shared" ref="L1232:L1236" si="287">SUM(I1232:K1232)</f>
        <v>57</v>
      </c>
      <c r="M1232" s="43"/>
    </row>
    <row r="1233" spans="2:13" ht="15.75" hidden="1" x14ac:dyDescent="0.25">
      <c r="B1233" s="10">
        <v>46186</v>
      </c>
      <c r="C1233" s="10" t="s">
        <v>22</v>
      </c>
      <c r="D1233" s="10" t="s">
        <v>129</v>
      </c>
      <c r="F1233" s="940"/>
      <c r="G1233" s="29" t="s">
        <v>17</v>
      </c>
      <c r="H1233" s="29" t="s">
        <v>106</v>
      </c>
      <c r="I1233" s="42">
        <v>27</v>
      </c>
      <c r="J1233" s="42">
        <v>10</v>
      </c>
      <c r="K1233" s="42">
        <v>0</v>
      </c>
      <c r="L1233" s="66">
        <f t="shared" si="287"/>
        <v>37</v>
      </c>
      <c r="M1233" s="43"/>
    </row>
    <row r="1234" spans="2:13" ht="15.75" hidden="1" x14ac:dyDescent="0.25">
      <c r="B1234" s="10">
        <v>46186</v>
      </c>
      <c r="C1234" s="10" t="s">
        <v>22</v>
      </c>
      <c r="D1234" s="10" t="s">
        <v>129</v>
      </c>
      <c r="F1234" s="941"/>
      <c r="G1234" s="29" t="s">
        <v>14</v>
      </c>
      <c r="H1234" s="29" t="s">
        <v>105</v>
      </c>
      <c r="I1234" s="42">
        <v>48</v>
      </c>
      <c r="J1234" s="42">
        <v>22</v>
      </c>
      <c r="K1234" s="42">
        <v>44</v>
      </c>
      <c r="L1234" s="66">
        <f t="shared" si="287"/>
        <v>114</v>
      </c>
      <c r="M1234" s="43"/>
    </row>
    <row r="1235" spans="2:13" ht="15.75" hidden="1" x14ac:dyDescent="0.25">
      <c r="B1235" s="10">
        <v>46186</v>
      </c>
      <c r="C1235" s="10" t="s">
        <v>22</v>
      </c>
      <c r="D1235" s="10" t="s">
        <v>129</v>
      </c>
      <c r="F1235" s="302">
        <v>46187</v>
      </c>
      <c r="G1235" s="29" t="s">
        <v>17</v>
      </c>
      <c r="H1235" s="29" t="s">
        <v>106</v>
      </c>
      <c r="I1235" s="42">
        <v>0</v>
      </c>
      <c r="J1235" s="42">
        <v>0</v>
      </c>
      <c r="K1235" s="42">
        <v>15</v>
      </c>
      <c r="L1235" s="66">
        <f t="shared" ref="L1235" si="288">SUM(I1235:K1235)</f>
        <v>15</v>
      </c>
      <c r="M1235" s="43"/>
    </row>
    <row r="1236" spans="2:13" ht="15.75" hidden="1" x14ac:dyDescent="0.25">
      <c r="B1236" s="10">
        <v>46186</v>
      </c>
      <c r="C1236" s="10" t="s">
        <v>22</v>
      </c>
      <c r="D1236" s="10" t="s">
        <v>129</v>
      </c>
      <c r="F1236" s="302">
        <v>46188</v>
      </c>
      <c r="G1236" s="29" t="s">
        <v>118</v>
      </c>
      <c r="H1236" s="29" t="s">
        <v>22</v>
      </c>
      <c r="I1236" s="42">
        <v>28</v>
      </c>
      <c r="J1236" s="42">
        <v>1</v>
      </c>
      <c r="K1236" s="42">
        <v>0</v>
      </c>
      <c r="L1236" s="66">
        <f t="shared" si="287"/>
        <v>29</v>
      </c>
      <c r="M1236" s="43"/>
    </row>
    <row r="1237" spans="2:13" ht="15.75" hidden="1" x14ac:dyDescent="0.25">
      <c r="B1237" s="10">
        <v>46186</v>
      </c>
      <c r="C1237" s="10" t="s">
        <v>22</v>
      </c>
      <c r="D1237" s="10" t="s">
        <v>129</v>
      </c>
      <c r="F1237" s="937" t="s">
        <v>40</v>
      </c>
      <c r="G1237" s="937"/>
      <c r="H1237" s="937"/>
      <c r="I1237" s="8">
        <f>SUM(I1232:I1236)</f>
        <v>136</v>
      </c>
      <c r="J1237" s="8">
        <f>SUM(J1232:J1236)</f>
        <v>57</v>
      </c>
      <c r="K1237" s="8">
        <f>SUM(K1232:K1236)</f>
        <v>59</v>
      </c>
      <c r="L1237" s="8">
        <f>SUBTOTAL(9,I1237:K1237)</f>
        <v>0</v>
      </c>
      <c r="M1237" s="31"/>
    </row>
    <row r="1238" spans="2:13" ht="15.75" hidden="1" x14ac:dyDescent="0.25">
      <c r="B1238" s="10">
        <v>46186</v>
      </c>
      <c r="C1238" s="10" t="s">
        <v>12</v>
      </c>
      <c r="D1238" s="10" t="s">
        <v>133</v>
      </c>
      <c r="F1238" s="939">
        <v>46186</v>
      </c>
      <c r="G1238" s="29" t="s">
        <v>75</v>
      </c>
      <c r="H1238" s="29" t="s">
        <v>83</v>
      </c>
      <c r="I1238" s="42">
        <v>7</v>
      </c>
      <c r="J1238" s="42">
        <v>18</v>
      </c>
      <c r="K1238" s="42">
        <v>0</v>
      </c>
      <c r="L1238" s="66">
        <f t="shared" ref="L1238:L1240" si="289">SUM(I1238:K1238)</f>
        <v>25</v>
      </c>
      <c r="M1238" s="43"/>
    </row>
    <row r="1239" spans="2:13" ht="15.75" hidden="1" x14ac:dyDescent="0.25">
      <c r="B1239" s="10">
        <v>46186</v>
      </c>
      <c r="C1239" s="10" t="s">
        <v>12</v>
      </c>
      <c r="D1239" s="10" t="s">
        <v>133</v>
      </c>
      <c r="F1239" s="940"/>
      <c r="G1239" s="29" t="s">
        <v>17</v>
      </c>
      <c r="H1239" s="29" t="s">
        <v>106</v>
      </c>
      <c r="I1239" s="42">
        <v>12</v>
      </c>
      <c r="J1239" s="42">
        <v>0</v>
      </c>
      <c r="K1239" s="42">
        <v>0</v>
      </c>
      <c r="L1239" s="66">
        <f t="shared" si="289"/>
        <v>12</v>
      </c>
      <c r="M1239" s="43"/>
    </row>
    <row r="1240" spans="2:13" ht="15.75" hidden="1" x14ac:dyDescent="0.25">
      <c r="B1240" s="10">
        <v>46186</v>
      </c>
      <c r="C1240" s="10" t="s">
        <v>12</v>
      </c>
      <c r="D1240" s="10" t="s">
        <v>133</v>
      </c>
      <c r="F1240" s="941"/>
      <c r="G1240" s="29" t="s">
        <v>14</v>
      </c>
      <c r="H1240" s="29" t="s">
        <v>105</v>
      </c>
      <c r="I1240" s="42">
        <v>59</v>
      </c>
      <c r="J1240" s="42">
        <v>17</v>
      </c>
      <c r="K1240" s="42">
        <v>0</v>
      </c>
      <c r="L1240" s="66">
        <f t="shared" si="289"/>
        <v>76</v>
      </c>
      <c r="M1240" s="43"/>
    </row>
    <row r="1241" spans="2:13" ht="15.75" hidden="1" x14ac:dyDescent="0.25">
      <c r="B1241" s="10">
        <v>46186</v>
      </c>
      <c r="C1241" s="10" t="s">
        <v>12</v>
      </c>
      <c r="D1241" s="10" t="s">
        <v>133</v>
      </c>
      <c r="F1241" s="303">
        <v>46187</v>
      </c>
      <c r="G1241" s="29" t="s">
        <v>17</v>
      </c>
      <c r="H1241" s="29" t="s">
        <v>106</v>
      </c>
      <c r="I1241" s="42">
        <v>86</v>
      </c>
      <c r="J1241" s="42">
        <v>17</v>
      </c>
      <c r="K1241" s="42">
        <v>0</v>
      </c>
      <c r="L1241" s="66">
        <f t="shared" ref="L1241" si="290">SUM(I1241:K1241)</f>
        <v>103</v>
      </c>
      <c r="M1241" s="43"/>
    </row>
    <row r="1242" spans="2:13" ht="15.75" hidden="1" x14ac:dyDescent="0.25">
      <c r="B1242" s="10">
        <v>46186</v>
      </c>
      <c r="C1242" s="10" t="s">
        <v>12</v>
      </c>
      <c r="D1242" s="10" t="s">
        <v>133</v>
      </c>
      <c r="F1242" s="937" t="s">
        <v>40</v>
      </c>
      <c r="G1242" s="937"/>
      <c r="H1242" s="937"/>
      <c r="I1242" s="8">
        <f>SUM(I1238:I1241)</f>
        <v>164</v>
      </c>
      <c r="J1242" s="8">
        <f>SUM(J1238:J1241)</f>
        <v>52</v>
      </c>
      <c r="K1242" s="8">
        <f>SUM(K1238:K1241)</f>
        <v>0</v>
      </c>
      <c r="L1242" s="8">
        <f>SUBTOTAL(9,I1242:K1242)</f>
        <v>0</v>
      </c>
      <c r="M1242" s="31"/>
    </row>
    <row r="1243" spans="2:13" ht="15.75" hidden="1" x14ac:dyDescent="0.25">
      <c r="B1243" s="10">
        <v>46186</v>
      </c>
      <c r="C1243" s="10" t="s">
        <v>18</v>
      </c>
      <c r="D1243" s="10" t="s">
        <v>133</v>
      </c>
      <c r="F1243" s="939">
        <v>46187</v>
      </c>
      <c r="G1243" s="29" t="s">
        <v>75</v>
      </c>
      <c r="H1243" s="29" t="s">
        <v>83</v>
      </c>
      <c r="I1243" s="42">
        <v>144</v>
      </c>
      <c r="J1243" s="42">
        <v>21</v>
      </c>
      <c r="K1243" s="42">
        <v>0</v>
      </c>
      <c r="L1243" s="66">
        <f t="shared" ref="L1243:L1245" si="291">SUM(I1243:K1243)</f>
        <v>165</v>
      </c>
      <c r="M1243" s="43"/>
    </row>
    <row r="1244" spans="2:13" ht="15.75" hidden="1" x14ac:dyDescent="0.25">
      <c r="B1244" s="10">
        <v>46186</v>
      </c>
      <c r="C1244" s="10" t="s">
        <v>18</v>
      </c>
      <c r="D1244" s="10" t="s">
        <v>133</v>
      </c>
      <c r="F1244" s="940"/>
      <c r="G1244" s="29" t="s">
        <v>17</v>
      </c>
      <c r="H1244" s="29" t="s">
        <v>106</v>
      </c>
      <c r="I1244" s="42">
        <v>45</v>
      </c>
      <c r="J1244" s="42">
        <v>13</v>
      </c>
      <c r="K1244" s="42">
        <v>0</v>
      </c>
      <c r="L1244" s="66">
        <f t="shared" si="291"/>
        <v>58</v>
      </c>
      <c r="M1244" s="43"/>
    </row>
    <row r="1245" spans="2:13" ht="15.75" hidden="1" x14ac:dyDescent="0.25">
      <c r="B1245" s="10">
        <v>46186</v>
      </c>
      <c r="C1245" s="10" t="s">
        <v>18</v>
      </c>
      <c r="D1245" s="10" t="s">
        <v>133</v>
      </c>
      <c r="F1245" s="941"/>
      <c r="G1245" s="29" t="s">
        <v>14</v>
      </c>
      <c r="H1245" s="29" t="s">
        <v>105</v>
      </c>
      <c r="I1245" s="42">
        <v>14</v>
      </c>
      <c r="J1245" s="42">
        <v>2</v>
      </c>
      <c r="K1245" s="42">
        <v>0</v>
      </c>
      <c r="L1245" s="66">
        <f t="shared" si="291"/>
        <v>16</v>
      </c>
      <c r="M1245" s="43"/>
    </row>
    <row r="1246" spans="2:13" ht="15.75" hidden="1" x14ac:dyDescent="0.25">
      <c r="B1246" s="10">
        <v>46186</v>
      </c>
      <c r="C1246" s="10" t="s">
        <v>18</v>
      </c>
      <c r="D1246" s="10" t="s">
        <v>133</v>
      </c>
      <c r="F1246" s="937" t="s">
        <v>40</v>
      </c>
      <c r="G1246" s="937"/>
      <c r="H1246" s="937"/>
      <c r="I1246" s="8">
        <f>SUM(I1243:I1245)</f>
        <v>203</v>
      </c>
      <c r="J1246" s="8">
        <f>SUM(J1243:J1245)</f>
        <v>36</v>
      </c>
      <c r="K1246" s="8">
        <f>SUM(K1243:K1245)</f>
        <v>0</v>
      </c>
      <c r="L1246" s="8">
        <f>SUBTOTAL(9,I1246:K1246)</f>
        <v>0</v>
      </c>
      <c r="M1246" s="31"/>
    </row>
    <row r="1247" spans="2:13" ht="15.75" hidden="1" x14ac:dyDescent="0.25">
      <c r="B1247" s="10">
        <v>46187</v>
      </c>
      <c r="C1247" s="10" t="s">
        <v>22</v>
      </c>
      <c r="D1247" s="10" t="s">
        <v>129</v>
      </c>
      <c r="F1247" s="939">
        <v>46187</v>
      </c>
      <c r="G1247" s="29" t="s">
        <v>75</v>
      </c>
      <c r="H1247" s="29" t="s">
        <v>83</v>
      </c>
      <c r="I1247" s="42">
        <v>22</v>
      </c>
      <c r="J1247" s="42">
        <v>23</v>
      </c>
      <c r="K1247" s="42">
        <v>0</v>
      </c>
      <c r="L1247" s="66">
        <f t="shared" ref="L1247:L1250" si="292">SUM(I1247:K1247)</f>
        <v>45</v>
      </c>
      <c r="M1247" s="43"/>
    </row>
    <row r="1248" spans="2:13" ht="15.75" hidden="1" x14ac:dyDescent="0.25">
      <c r="B1248" s="10">
        <v>46187</v>
      </c>
      <c r="C1248" s="10" t="s">
        <v>22</v>
      </c>
      <c r="D1248" s="10" t="s">
        <v>129</v>
      </c>
      <c r="F1248" s="940"/>
      <c r="G1248" s="29" t="s">
        <v>17</v>
      </c>
      <c r="H1248" s="29" t="s">
        <v>22</v>
      </c>
      <c r="I1248" s="42">
        <v>18</v>
      </c>
      <c r="J1248" s="42">
        <v>19</v>
      </c>
      <c r="K1248" s="42">
        <v>0</v>
      </c>
      <c r="L1248" s="66">
        <f t="shared" si="292"/>
        <v>37</v>
      </c>
      <c r="M1248" s="43"/>
    </row>
    <row r="1249" spans="2:13" ht="15.75" hidden="1" x14ac:dyDescent="0.25">
      <c r="B1249" s="10">
        <v>46187</v>
      </c>
      <c r="C1249" s="10" t="s">
        <v>22</v>
      </c>
      <c r="D1249" s="10" t="s">
        <v>129</v>
      </c>
      <c r="F1249" s="941"/>
      <c r="G1249" s="29" t="s">
        <v>14</v>
      </c>
      <c r="H1249" s="29" t="s">
        <v>18</v>
      </c>
      <c r="I1249" s="42">
        <v>70</v>
      </c>
      <c r="J1249" s="42">
        <v>39</v>
      </c>
      <c r="K1249" s="42">
        <v>22</v>
      </c>
      <c r="L1249" s="66">
        <f t="shared" si="292"/>
        <v>131</v>
      </c>
      <c r="M1249" s="43"/>
    </row>
    <row r="1250" spans="2:13" ht="15.75" hidden="1" x14ac:dyDescent="0.25">
      <c r="B1250" s="10">
        <v>46187</v>
      </c>
      <c r="C1250" s="10" t="s">
        <v>22</v>
      </c>
      <c r="D1250" s="10" t="s">
        <v>129</v>
      </c>
      <c r="F1250" s="305">
        <v>46188</v>
      </c>
      <c r="G1250" s="29" t="s">
        <v>17</v>
      </c>
      <c r="H1250" s="29" t="s">
        <v>106</v>
      </c>
      <c r="I1250" s="42">
        <v>0</v>
      </c>
      <c r="J1250" s="42">
        <v>0</v>
      </c>
      <c r="K1250" s="42">
        <v>14</v>
      </c>
      <c r="L1250" s="66">
        <f t="shared" si="292"/>
        <v>14</v>
      </c>
      <c r="M1250" s="43"/>
    </row>
    <row r="1251" spans="2:13" ht="15.75" hidden="1" x14ac:dyDescent="0.25">
      <c r="B1251" s="10">
        <v>46187</v>
      </c>
      <c r="C1251" s="10" t="s">
        <v>22</v>
      </c>
      <c r="D1251" s="10" t="s">
        <v>129</v>
      </c>
      <c r="F1251" s="937" t="s">
        <v>40</v>
      </c>
      <c r="G1251" s="937"/>
      <c r="H1251" s="937"/>
      <c r="I1251" s="8">
        <f>SUM(I1247:I1250)</f>
        <v>110</v>
      </c>
      <c r="J1251" s="8">
        <f>SUM(J1247:J1250)</f>
        <v>81</v>
      </c>
      <c r="K1251" s="8">
        <f>SUM(K1247:K1250)</f>
        <v>36</v>
      </c>
      <c r="L1251" s="8">
        <f>SUBTOTAL(9,I1251:K1251)</f>
        <v>0</v>
      </c>
      <c r="M1251" s="31"/>
    </row>
    <row r="1252" spans="2:13" ht="15.75" hidden="1" x14ac:dyDescent="0.25">
      <c r="B1252" s="10">
        <v>46187</v>
      </c>
      <c r="C1252" s="10" t="s">
        <v>12</v>
      </c>
      <c r="D1252" s="10" t="s">
        <v>13</v>
      </c>
      <c r="F1252" s="939">
        <v>46187</v>
      </c>
      <c r="G1252" s="29" t="s">
        <v>75</v>
      </c>
      <c r="H1252" s="29" t="s">
        <v>83</v>
      </c>
      <c r="I1252" s="42">
        <v>53</v>
      </c>
      <c r="J1252" s="42">
        <v>19</v>
      </c>
      <c r="K1252" s="42">
        <v>0</v>
      </c>
      <c r="L1252" s="66">
        <f t="shared" ref="L1252:L1254" si="293">SUM(I1252:K1252)</f>
        <v>72</v>
      </c>
      <c r="M1252" s="43"/>
    </row>
    <row r="1253" spans="2:13" ht="15.75" hidden="1" x14ac:dyDescent="0.25">
      <c r="B1253" s="10">
        <v>46187</v>
      </c>
      <c r="C1253" s="10" t="s">
        <v>12</v>
      </c>
      <c r="D1253" s="10" t="s">
        <v>13</v>
      </c>
      <c r="F1253" s="940"/>
      <c r="G1253" s="29" t="s">
        <v>17</v>
      </c>
      <c r="H1253" s="29" t="s">
        <v>22</v>
      </c>
      <c r="I1253" s="42">
        <v>63</v>
      </c>
      <c r="J1253" s="42">
        <v>19</v>
      </c>
      <c r="K1253" s="42">
        <v>14</v>
      </c>
      <c r="L1253" s="66">
        <f t="shared" si="293"/>
        <v>96</v>
      </c>
      <c r="M1253" s="43"/>
    </row>
    <row r="1254" spans="2:13" ht="15.75" hidden="1" x14ac:dyDescent="0.25">
      <c r="B1254" s="10">
        <v>46187</v>
      </c>
      <c r="C1254" s="10" t="s">
        <v>12</v>
      </c>
      <c r="D1254" s="10" t="s">
        <v>13</v>
      </c>
      <c r="F1254" s="941"/>
      <c r="G1254" s="29" t="s">
        <v>14</v>
      </c>
      <c r="H1254" s="29" t="s">
        <v>105</v>
      </c>
      <c r="I1254" s="42">
        <v>78</v>
      </c>
      <c r="J1254" s="42">
        <v>6</v>
      </c>
      <c r="K1254" s="42">
        <v>0</v>
      </c>
      <c r="L1254" s="66">
        <f t="shared" si="293"/>
        <v>84</v>
      </c>
      <c r="M1254" s="43"/>
    </row>
    <row r="1255" spans="2:13" ht="15.75" hidden="1" x14ac:dyDescent="0.25">
      <c r="B1255" s="10">
        <v>46187</v>
      </c>
      <c r="C1255" s="10" t="s">
        <v>12</v>
      </c>
      <c r="D1255" s="10" t="s">
        <v>13</v>
      </c>
      <c r="F1255" s="937" t="s">
        <v>40</v>
      </c>
      <c r="G1255" s="937"/>
      <c r="H1255" s="937"/>
      <c r="I1255" s="8">
        <f>SUM(I1252:I1254)</f>
        <v>194</v>
      </c>
      <c r="J1255" s="8">
        <f>SUM(J1252:J1254)</f>
        <v>44</v>
      </c>
      <c r="K1255" s="8">
        <f>SUM(K1252:K1254)</f>
        <v>14</v>
      </c>
      <c r="L1255" s="8">
        <f>SUBTOTAL(9,I1255:K1255)</f>
        <v>0</v>
      </c>
      <c r="M1255" s="31"/>
    </row>
    <row r="1256" spans="2:13" ht="15.75" hidden="1" x14ac:dyDescent="0.25">
      <c r="B1256" s="10">
        <v>46187</v>
      </c>
      <c r="C1256" s="10" t="s">
        <v>18</v>
      </c>
      <c r="D1256" s="10" t="s">
        <v>13</v>
      </c>
      <c r="F1256" s="939">
        <v>46187</v>
      </c>
      <c r="G1256" s="29" t="s">
        <v>75</v>
      </c>
      <c r="H1256" s="29" t="s">
        <v>83</v>
      </c>
      <c r="I1256" s="42">
        <v>3</v>
      </c>
      <c r="J1256" s="42">
        <v>2</v>
      </c>
      <c r="K1256" s="42">
        <v>0</v>
      </c>
      <c r="L1256" s="66">
        <f t="shared" ref="L1256:L1257" si="294">SUM(I1256:K1256)</f>
        <v>5</v>
      </c>
      <c r="M1256" s="43"/>
    </row>
    <row r="1257" spans="2:13" ht="15.75" hidden="1" x14ac:dyDescent="0.25">
      <c r="B1257" s="10">
        <v>46187</v>
      </c>
      <c r="C1257" s="10" t="s">
        <v>18</v>
      </c>
      <c r="D1257" s="10" t="s">
        <v>13</v>
      </c>
      <c r="F1257" s="941"/>
      <c r="G1257" s="29" t="s">
        <v>14</v>
      </c>
      <c r="H1257" s="29" t="s">
        <v>105</v>
      </c>
      <c r="I1257" s="42">
        <v>3</v>
      </c>
      <c r="J1257" s="42">
        <v>0</v>
      </c>
      <c r="K1257" s="42">
        <v>0</v>
      </c>
      <c r="L1257" s="66">
        <f t="shared" si="294"/>
        <v>3</v>
      </c>
      <c r="M1257" s="43"/>
    </row>
    <row r="1258" spans="2:13" ht="15.75" hidden="1" x14ac:dyDescent="0.25">
      <c r="B1258" s="10">
        <v>46187</v>
      </c>
      <c r="C1258" s="10" t="s">
        <v>18</v>
      </c>
      <c r="D1258" s="10" t="s">
        <v>13</v>
      </c>
      <c r="F1258" s="943">
        <v>46188</v>
      </c>
      <c r="G1258" s="29" t="s">
        <v>75</v>
      </c>
      <c r="H1258" s="29" t="s">
        <v>83</v>
      </c>
      <c r="I1258" s="42">
        <v>80</v>
      </c>
      <c r="J1258" s="42">
        <v>46</v>
      </c>
      <c r="K1258" s="42">
        <v>0</v>
      </c>
      <c r="L1258" s="66">
        <f t="shared" ref="L1258:L1260" si="295">SUM(I1258:K1258)</f>
        <v>126</v>
      </c>
      <c r="M1258" s="43"/>
    </row>
    <row r="1259" spans="2:13" ht="15.75" hidden="1" x14ac:dyDescent="0.25">
      <c r="B1259" s="10">
        <v>46187</v>
      </c>
      <c r="C1259" s="10" t="s">
        <v>18</v>
      </c>
      <c r="D1259" s="10" t="s">
        <v>13</v>
      </c>
      <c r="F1259" s="944"/>
      <c r="G1259" s="29" t="s">
        <v>17</v>
      </c>
      <c r="H1259" s="29" t="s">
        <v>106</v>
      </c>
      <c r="I1259" s="42">
        <v>84</v>
      </c>
      <c r="J1259" s="42">
        <v>24</v>
      </c>
      <c r="K1259" s="42">
        <v>0</v>
      </c>
      <c r="L1259" s="66">
        <f t="shared" si="295"/>
        <v>108</v>
      </c>
      <c r="M1259" s="43"/>
    </row>
    <row r="1260" spans="2:13" ht="15.75" hidden="1" x14ac:dyDescent="0.25">
      <c r="B1260" s="10">
        <v>46187</v>
      </c>
      <c r="C1260" s="10" t="s">
        <v>18</v>
      </c>
      <c r="D1260" s="10" t="s">
        <v>13</v>
      </c>
      <c r="F1260" s="306">
        <v>46189</v>
      </c>
      <c r="G1260" s="29" t="s">
        <v>118</v>
      </c>
      <c r="H1260" s="29" t="s">
        <v>22</v>
      </c>
      <c r="I1260" s="42">
        <v>0</v>
      </c>
      <c r="J1260" s="42">
        <v>0</v>
      </c>
      <c r="K1260" s="42">
        <v>10</v>
      </c>
      <c r="L1260" s="66">
        <f t="shared" si="295"/>
        <v>10</v>
      </c>
      <c r="M1260" s="43"/>
    </row>
    <row r="1261" spans="2:13" ht="15.75" hidden="1" x14ac:dyDescent="0.25">
      <c r="B1261" s="10">
        <v>46187</v>
      </c>
      <c r="C1261" s="10" t="s">
        <v>18</v>
      </c>
      <c r="D1261" s="10" t="s">
        <v>13</v>
      </c>
      <c r="F1261" s="937" t="s">
        <v>40</v>
      </c>
      <c r="G1261" s="937"/>
      <c r="H1261" s="937"/>
      <c r="I1261" s="8">
        <f>SUM(I1256:I1260)</f>
        <v>170</v>
      </c>
      <c r="J1261" s="8">
        <f>SUM(J1256:J1260)</f>
        <v>72</v>
      </c>
      <c r="K1261" s="8">
        <f>SUM(K1256:K1260)</f>
        <v>10</v>
      </c>
      <c r="L1261" s="8">
        <f>SUBTOTAL(9,I1261:K1261)</f>
        <v>0</v>
      </c>
      <c r="M1261" s="31"/>
    </row>
    <row r="1262" spans="2:13" ht="15.75" hidden="1" x14ac:dyDescent="0.25">
      <c r="B1262" s="10">
        <v>46188</v>
      </c>
      <c r="C1262" s="10" t="s">
        <v>22</v>
      </c>
      <c r="D1262" s="10" t="s">
        <v>129</v>
      </c>
      <c r="F1262" s="939">
        <v>46188</v>
      </c>
      <c r="G1262" s="29" t="s">
        <v>75</v>
      </c>
      <c r="H1262" s="29" t="s">
        <v>83</v>
      </c>
      <c r="I1262" s="42">
        <v>13</v>
      </c>
      <c r="J1262" s="42">
        <v>20</v>
      </c>
      <c r="K1262" s="106">
        <v>0</v>
      </c>
      <c r="L1262" s="66">
        <f t="shared" ref="L1262:L1266" si="296">SUM(I1262:K1262)</f>
        <v>33</v>
      </c>
      <c r="M1262" s="43"/>
    </row>
    <row r="1263" spans="2:13" ht="15.75" hidden="1" x14ac:dyDescent="0.25">
      <c r="B1263" s="10">
        <v>46188</v>
      </c>
      <c r="C1263" s="10" t="s">
        <v>22</v>
      </c>
      <c r="D1263" s="10" t="s">
        <v>129</v>
      </c>
      <c r="F1263" s="940"/>
      <c r="G1263" s="29" t="s">
        <v>17</v>
      </c>
      <c r="H1263" s="29" t="s">
        <v>106</v>
      </c>
      <c r="I1263" s="42">
        <v>18</v>
      </c>
      <c r="J1263" s="42">
        <v>13</v>
      </c>
      <c r="K1263" s="106">
        <v>0</v>
      </c>
      <c r="L1263" s="66">
        <f t="shared" si="296"/>
        <v>31</v>
      </c>
      <c r="M1263" s="43"/>
    </row>
    <row r="1264" spans="2:13" ht="15.75" hidden="1" x14ac:dyDescent="0.25">
      <c r="B1264" s="10">
        <v>46188</v>
      </c>
      <c r="C1264" s="10" t="s">
        <v>22</v>
      </c>
      <c r="D1264" s="10" t="s">
        <v>129</v>
      </c>
      <c r="F1264" s="940"/>
      <c r="G1264" s="29" t="s">
        <v>118</v>
      </c>
      <c r="H1264" s="29" t="s">
        <v>22</v>
      </c>
      <c r="I1264" s="42">
        <v>55</v>
      </c>
      <c r="J1264" s="42">
        <v>2</v>
      </c>
      <c r="K1264" s="106">
        <v>0</v>
      </c>
      <c r="L1264" s="66">
        <f t="shared" si="296"/>
        <v>57</v>
      </c>
      <c r="M1264" s="43"/>
    </row>
    <row r="1265" spans="2:13" ht="15.75" hidden="1" x14ac:dyDescent="0.25">
      <c r="B1265" s="10">
        <v>46188</v>
      </c>
      <c r="C1265" s="10" t="s">
        <v>22</v>
      </c>
      <c r="D1265" s="10" t="s">
        <v>129</v>
      </c>
      <c r="F1265" s="941"/>
      <c r="G1265" s="29" t="s">
        <v>14</v>
      </c>
      <c r="H1265" s="29" t="s">
        <v>105</v>
      </c>
      <c r="I1265" s="42">
        <v>85</v>
      </c>
      <c r="J1265" s="42">
        <v>42</v>
      </c>
      <c r="K1265" s="106">
        <v>12</v>
      </c>
      <c r="L1265" s="66">
        <f t="shared" si="296"/>
        <v>139</v>
      </c>
      <c r="M1265" s="43"/>
    </row>
    <row r="1266" spans="2:13" ht="15.75" hidden="1" x14ac:dyDescent="0.25">
      <c r="B1266" s="10">
        <v>46188</v>
      </c>
      <c r="C1266" s="10" t="s">
        <v>22</v>
      </c>
      <c r="D1266" s="10" t="s">
        <v>129</v>
      </c>
      <c r="F1266" s="307">
        <v>46189</v>
      </c>
      <c r="G1266" s="29" t="s">
        <v>17</v>
      </c>
      <c r="H1266" s="29" t="s">
        <v>106</v>
      </c>
      <c r="I1266" s="42">
        <v>0</v>
      </c>
      <c r="J1266" s="42">
        <v>0</v>
      </c>
      <c r="K1266" s="106">
        <v>29</v>
      </c>
      <c r="L1266" s="66">
        <f t="shared" si="296"/>
        <v>29</v>
      </c>
      <c r="M1266" s="43"/>
    </row>
    <row r="1267" spans="2:13" ht="15.75" hidden="1" x14ac:dyDescent="0.25">
      <c r="B1267" s="10">
        <v>46188</v>
      </c>
      <c r="C1267" s="10" t="s">
        <v>22</v>
      </c>
      <c r="D1267" s="10" t="s">
        <v>129</v>
      </c>
      <c r="F1267" s="937" t="s">
        <v>40</v>
      </c>
      <c r="G1267" s="937"/>
      <c r="H1267" s="937"/>
      <c r="I1267" s="8">
        <f>SUM(I1262:I1266)</f>
        <v>171</v>
      </c>
      <c r="J1267" s="8">
        <f>SUM(J1262:J1266)</f>
        <v>77</v>
      </c>
      <c r="K1267" s="8">
        <f>SUM(K1262:K1266)</f>
        <v>41</v>
      </c>
      <c r="L1267" s="8">
        <f>SUBTOTAL(9,I1267:K1267)</f>
        <v>0</v>
      </c>
      <c r="M1267" s="31"/>
    </row>
    <row r="1268" spans="2:13" ht="15.75" hidden="1" x14ac:dyDescent="0.25">
      <c r="B1268" s="10">
        <v>46188</v>
      </c>
      <c r="C1268" s="10" t="s">
        <v>12</v>
      </c>
      <c r="D1268" s="10" t="s">
        <v>13</v>
      </c>
      <c r="F1268" s="939">
        <v>46188</v>
      </c>
      <c r="G1268" s="29" t="s">
        <v>75</v>
      </c>
      <c r="H1268" s="29" t="s">
        <v>83</v>
      </c>
      <c r="I1268" s="42">
        <v>35</v>
      </c>
      <c r="J1268" s="42">
        <v>20</v>
      </c>
      <c r="K1268" s="106">
        <v>0</v>
      </c>
      <c r="L1268" s="66">
        <f t="shared" ref="L1268:L1270" si="297">SUM(I1268:K1268)</f>
        <v>55</v>
      </c>
      <c r="M1268" s="43"/>
    </row>
    <row r="1269" spans="2:13" ht="15.75" hidden="1" x14ac:dyDescent="0.25">
      <c r="B1269" s="10">
        <v>46188</v>
      </c>
      <c r="C1269" s="10" t="s">
        <v>12</v>
      </c>
      <c r="D1269" s="10" t="s">
        <v>13</v>
      </c>
      <c r="F1269" s="940"/>
      <c r="G1269" s="29" t="s">
        <v>14</v>
      </c>
      <c r="H1269" s="29" t="s">
        <v>105</v>
      </c>
      <c r="I1269" s="42">
        <v>28</v>
      </c>
      <c r="J1269" s="42">
        <v>15</v>
      </c>
      <c r="K1269" s="106">
        <v>0</v>
      </c>
      <c r="L1269" s="66">
        <f t="shared" si="297"/>
        <v>43</v>
      </c>
      <c r="M1269" s="43"/>
    </row>
    <row r="1270" spans="2:13" ht="15.75" hidden="1" x14ac:dyDescent="0.25">
      <c r="B1270" s="10">
        <v>46188</v>
      </c>
      <c r="C1270" s="10" t="s">
        <v>12</v>
      </c>
      <c r="D1270" s="10" t="s">
        <v>13</v>
      </c>
      <c r="F1270" s="940"/>
      <c r="G1270" s="29" t="s">
        <v>17</v>
      </c>
      <c r="H1270" s="29" t="s">
        <v>106</v>
      </c>
      <c r="I1270" s="42">
        <v>66</v>
      </c>
      <c r="J1270" s="42">
        <v>7</v>
      </c>
      <c r="K1270" s="106">
        <f>106-29</f>
        <v>77</v>
      </c>
      <c r="L1270" s="66">
        <f t="shared" si="297"/>
        <v>150</v>
      </c>
      <c r="M1270" s="43"/>
    </row>
    <row r="1271" spans="2:13" ht="15.75" hidden="1" x14ac:dyDescent="0.25">
      <c r="B1271" s="10">
        <v>46188</v>
      </c>
      <c r="C1271" s="10" t="s">
        <v>12</v>
      </c>
      <c r="D1271" s="10" t="s">
        <v>13</v>
      </c>
      <c r="F1271" s="937" t="s">
        <v>40</v>
      </c>
      <c r="G1271" s="937"/>
      <c r="H1271" s="937"/>
      <c r="I1271" s="8">
        <f>SUM(I1268:I1270)</f>
        <v>129</v>
      </c>
      <c r="J1271" s="8">
        <f>SUM(J1268:J1270)</f>
        <v>42</v>
      </c>
      <c r="K1271" s="8">
        <f>SUM(K1268:K1270)</f>
        <v>77</v>
      </c>
      <c r="L1271" s="8">
        <f>SUBTOTAL(9,I1271:K1271)</f>
        <v>0</v>
      </c>
      <c r="M1271" s="31"/>
    </row>
    <row r="1272" spans="2:13" ht="15.75" hidden="1" x14ac:dyDescent="0.25">
      <c r="B1272" s="10">
        <v>46188</v>
      </c>
      <c r="C1272" s="10" t="s">
        <v>18</v>
      </c>
      <c r="D1272" s="10" t="s">
        <v>13</v>
      </c>
      <c r="F1272" s="939">
        <v>46188</v>
      </c>
      <c r="G1272" s="29" t="s">
        <v>75</v>
      </c>
      <c r="H1272" s="29" t="s">
        <v>83</v>
      </c>
      <c r="I1272" s="42">
        <v>122</v>
      </c>
      <c r="J1272" s="42">
        <v>50</v>
      </c>
      <c r="K1272" s="106">
        <v>0</v>
      </c>
      <c r="L1272" s="66">
        <f t="shared" ref="L1272:L1274" si="298">SUM(I1272:K1272)</f>
        <v>172</v>
      </c>
      <c r="M1272" s="43"/>
    </row>
    <row r="1273" spans="2:13" ht="15.75" hidden="1" x14ac:dyDescent="0.25">
      <c r="B1273" s="10">
        <v>46188</v>
      </c>
      <c r="C1273" s="10" t="s">
        <v>18</v>
      </c>
      <c r="D1273" s="10" t="s">
        <v>13</v>
      </c>
      <c r="F1273" s="940"/>
      <c r="G1273" s="29" t="s">
        <v>14</v>
      </c>
      <c r="H1273" s="29" t="s">
        <v>105</v>
      </c>
      <c r="I1273" s="42">
        <v>5</v>
      </c>
      <c r="J1273" s="42">
        <v>5</v>
      </c>
      <c r="K1273" s="106">
        <v>0</v>
      </c>
      <c r="L1273" s="66">
        <f t="shared" si="298"/>
        <v>10</v>
      </c>
      <c r="M1273" s="43"/>
    </row>
    <row r="1274" spans="2:13" ht="15.75" hidden="1" x14ac:dyDescent="0.25">
      <c r="B1274" s="10">
        <v>46188</v>
      </c>
      <c r="C1274" s="10" t="s">
        <v>18</v>
      </c>
      <c r="D1274" s="10" t="s">
        <v>13</v>
      </c>
      <c r="F1274" s="940"/>
      <c r="G1274" s="29" t="s">
        <v>17</v>
      </c>
      <c r="H1274" s="29" t="s">
        <v>106</v>
      </c>
      <c r="I1274" s="42">
        <v>91</v>
      </c>
      <c r="J1274" s="42">
        <v>41</v>
      </c>
      <c r="K1274" s="106">
        <v>0</v>
      </c>
      <c r="L1274" s="66">
        <f t="shared" si="298"/>
        <v>132</v>
      </c>
      <c r="M1274" s="43"/>
    </row>
    <row r="1275" spans="2:13" ht="15.75" hidden="1" x14ac:dyDescent="0.25">
      <c r="B1275" s="10">
        <v>46188</v>
      </c>
      <c r="C1275" s="10" t="s">
        <v>18</v>
      </c>
      <c r="D1275" s="10" t="s">
        <v>13</v>
      </c>
      <c r="F1275" s="937" t="s">
        <v>40</v>
      </c>
      <c r="G1275" s="937"/>
      <c r="H1275" s="937"/>
      <c r="I1275" s="8">
        <f>SUM(I1272:I1274)</f>
        <v>218</v>
      </c>
      <c r="J1275" s="8">
        <f>SUM(J1272:J1274)</f>
        <v>96</v>
      </c>
      <c r="K1275" s="8">
        <f>SUM(K1272:K1274)</f>
        <v>0</v>
      </c>
      <c r="L1275" s="8">
        <f>SUBTOTAL(9,I1275:K1275)</f>
        <v>0</v>
      </c>
      <c r="M1275" s="31"/>
    </row>
    <row r="1276" spans="2:13" ht="15.75" hidden="1" x14ac:dyDescent="0.25">
      <c r="B1276" s="10">
        <v>46189</v>
      </c>
      <c r="C1276" s="10" t="s">
        <v>22</v>
      </c>
      <c r="D1276" s="10" t="s">
        <v>129</v>
      </c>
      <c r="F1276" s="939">
        <v>46189</v>
      </c>
      <c r="G1276" s="29" t="s">
        <v>75</v>
      </c>
      <c r="H1276" s="29" t="s">
        <v>83</v>
      </c>
      <c r="I1276" s="42">
        <v>16</v>
      </c>
      <c r="J1276" s="42">
        <v>21</v>
      </c>
      <c r="K1276" s="60">
        <v>0</v>
      </c>
      <c r="L1276" s="66">
        <f t="shared" ref="L1276:L1281" si="299">SUM(I1276:K1276)</f>
        <v>37</v>
      </c>
      <c r="M1276" s="43"/>
    </row>
    <row r="1277" spans="2:13" ht="15.75" hidden="1" x14ac:dyDescent="0.25">
      <c r="B1277" s="10">
        <v>46189</v>
      </c>
      <c r="C1277" s="10" t="s">
        <v>22</v>
      </c>
      <c r="D1277" s="10" t="s">
        <v>129</v>
      </c>
      <c r="F1277" s="940"/>
      <c r="G1277" s="29" t="s">
        <v>17</v>
      </c>
      <c r="H1277" s="29" t="s">
        <v>106</v>
      </c>
      <c r="I1277" s="42">
        <v>19</v>
      </c>
      <c r="J1277" s="42">
        <v>17</v>
      </c>
      <c r="K1277" s="60">
        <v>0</v>
      </c>
      <c r="L1277" s="66">
        <f t="shared" si="299"/>
        <v>36</v>
      </c>
      <c r="M1277" s="43"/>
    </row>
    <row r="1278" spans="2:13" ht="15.75" hidden="1" x14ac:dyDescent="0.25">
      <c r="B1278" s="10">
        <v>46189</v>
      </c>
      <c r="C1278" s="10" t="s">
        <v>22</v>
      </c>
      <c r="D1278" s="10" t="s">
        <v>129</v>
      </c>
      <c r="F1278" s="940"/>
      <c r="G1278" s="29" t="s">
        <v>14</v>
      </c>
      <c r="H1278" s="29" t="s">
        <v>105</v>
      </c>
      <c r="I1278" s="42">
        <v>48</v>
      </c>
      <c r="J1278" s="42">
        <v>19</v>
      </c>
      <c r="K1278" s="60">
        <v>70</v>
      </c>
      <c r="L1278" s="66">
        <f t="shared" si="299"/>
        <v>137</v>
      </c>
      <c r="M1278" s="43"/>
    </row>
    <row r="1279" spans="2:13" ht="15.75" hidden="1" x14ac:dyDescent="0.25">
      <c r="B1279" s="10">
        <v>46189</v>
      </c>
      <c r="C1279" s="10" t="s">
        <v>22</v>
      </c>
      <c r="D1279" s="10" t="s">
        <v>129</v>
      </c>
      <c r="F1279" s="941"/>
      <c r="G1279" s="29" t="s">
        <v>75</v>
      </c>
      <c r="H1279" s="29" t="s">
        <v>83</v>
      </c>
      <c r="I1279" s="42">
        <v>0</v>
      </c>
      <c r="J1279" s="42">
        <v>0</v>
      </c>
      <c r="K1279" s="60">
        <v>13</v>
      </c>
      <c r="L1279" s="66">
        <f t="shared" si="299"/>
        <v>13</v>
      </c>
      <c r="M1279" s="43"/>
    </row>
    <row r="1280" spans="2:13" ht="15.75" hidden="1" x14ac:dyDescent="0.25">
      <c r="B1280" s="10">
        <v>46189</v>
      </c>
      <c r="C1280" s="10" t="s">
        <v>22</v>
      </c>
      <c r="D1280" s="10" t="s">
        <v>129</v>
      </c>
      <c r="F1280" s="943">
        <v>46190</v>
      </c>
      <c r="G1280" s="29" t="s">
        <v>118</v>
      </c>
      <c r="H1280" s="29" t="s">
        <v>106</v>
      </c>
      <c r="I1280" s="42">
        <v>8</v>
      </c>
      <c r="J1280" s="42">
        <v>0</v>
      </c>
      <c r="K1280" s="60">
        <v>0</v>
      </c>
      <c r="L1280" s="66">
        <f t="shared" si="299"/>
        <v>8</v>
      </c>
      <c r="M1280" s="43"/>
    </row>
    <row r="1281" spans="2:13" ht="15.75" hidden="1" x14ac:dyDescent="0.25">
      <c r="B1281" s="10">
        <v>46189</v>
      </c>
      <c r="C1281" s="10" t="s">
        <v>22</v>
      </c>
      <c r="D1281" s="10" t="s">
        <v>129</v>
      </c>
      <c r="F1281" s="944"/>
      <c r="G1281" s="29" t="s">
        <v>25</v>
      </c>
      <c r="H1281" s="29" t="s">
        <v>106</v>
      </c>
      <c r="I1281" s="42">
        <v>3</v>
      </c>
      <c r="J1281" s="42">
        <v>1</v>
      </c>
      <c r="K1281" s="60">
        <v>0</v>
      </c>
      <c r="L1281" s="66">
        <f t="shared" si="299"/>
        <v>4</v>
      </c>
      <c r="M1281" s="43"/>
    </row>
    <row r="1282" spans="2:13" ht="15.75" hidden="1" x14ac:dyDescent="0.25">
      <c r="B1282" s="10">
        <v>46189</v>
      </c>
      <c r="C1282" s="10" t="s">
        <v>22</v>
      </c>
      <c r="D1282" s="10" t="s">
        <v>129</v>
      </c>
      <c r="F1282" s="937" t="s">
        <v>40</v>
      </c>
      <c r="G1282" s="937"/>
      <c r="H1282" s="937"/>
      <c r="I1282" s="8">
        <f>SUM(I1276:I1281)</f>
        <v>94</v>
      </c>
      <c r="J1282" s="8">
        <f>SUM(J1276:J1281)</f>
        <v>58</v>
      </c>
      <c r="K1282" s="8">
        <f>SUM(K1276:K1281)</f>
        <v>83</v>
      </c>
      <c r="L1282" s="8">
        <f>SUBTOTAL(9,I1282:K1282)</f>
        <v>0</v>
      </c>
      <c r="M1282" s="31"/>
    </row>
    <row r="1283" spans="2:13" ht="15.75" hidden="1" x14ac:dyDescent="0.25">
      <c r="B1283" s="10">
        <v>46189</v>
      </c>
      <c r="C1283" s="10" t="s">
        <v>12</v>
      </c>
      <c r="D1283" s="10" t="s">
        <v>13</v>
      </c>
      <c r="F1283" s="939">
        <v>46189</v>
      </c>
      <c r="G1283" s="29" t="s">
        <v>75</v>
      </c>
      <c r="H1283" s="29" t="s">
        <v>83</v>
      </c>
      <c r="I1283" s="42">
        <v>39</v>
      </c>
      <c r="J1283" s="42">
        <v>0</v>
      </c>
      <c r="K1283" s="60">
        <v>25</v>
      </c>
      <c r="L1283" s="66">
        <f t="shared" ref="L1283:L1286" si="300">SUM(I1283:K1283)</f>
        <v>64</v>
      </c>
      <c r="M1283" s="43"/>
    </row>
    <row r="1284" spans="2:13" ht="15.75" hidden="1" x14ac:dyDescent="0.25">
      <c r="B1284" s="10">
        <v>46189</v>
      </c>
      <c r="C1284" s="10" t="s">
        <v>12</v>
      </c>
      <c r="D1284" s="10" t="s">
        <v>13</v>
      </c>
      <c r="F1284" s="940"/>
      <c r="G1284" s="29" t="s">
        <v>14</v>
      </c>
      <c r="H1284" s="29" t="s">
        <v>18</v>
      </c>
      <c r="I1284" s="42">
        <v>62</v>
      </c>
      <c r="J1284" s="42">
        <v>21</v>
      </c>
      <c r="K1284" s="60">
        <v>0</v>
      </c>
      <c r="L1284" s="66">
        <f t="shared" si="300"/>
        <v>83</v>
      </c>
      <c r="M1284" s="43"/>
    </row>
    <row r="1285" spans="2:13" ht="15.75" hidden="1" x14ac:dyDescent="0.25">
      <c r="B1285" s="10">
        <v>46189</v>
      </c>
      <c r="C1285" s="10" t="s">
        <v>12</v>
      </c>
      <c r="D1285" s="10" t="s">
        <v>13</v>
      </c>
      <c r="F1285" s="940"/>
      <c r="G1285" s="29" t="s">
        <v>17</v>
      </c>
      <c r="H1285" s="29" t="s">
        <v>106</v>
      </c>
      <c r="I1285" s="42">
        <v>33</v>
      </c>
      <c r="J1285" s="42">
        <v>10</v>
      </c>
      <c r="K1285" s="60">
        <v>33</v>
      </c>
      <c r="L1285" s="66">
        <f t="shared" si="300"/>
        <v>76</v>
      </c>
      <c r="M1285" s="43"/>
    </row>
    <row r="1286" spans="2:13" ht="15.75" hidden="1" x14ac:dyDescent="0.25">
      <c r="B1286" s="10">
        <v>46189</v>
      </c>
      <c r="C1286" s="10" t="s">
        <v>12</v>
      </c>
      <c r="D1286" s="10" t="s">
        <v>13</v>
      </c>
      <c r="F1286" s="941"/>
      <c r="G1286" s="29" t="s">
        <v>118</v>
      </c>
      <c r="H1286" s="29" t="s">
        <v>22</v>
      </c>
      <c r="I1286" s="42">
        <v>18</v>
      </c>
      <c r="J1286" s="42">
        <v>2</v>
      </c>
      <c r="K1286" s="60">
        <v>16</v>
      </c>
      <c r="L1286" s="66">
        <f t="shared" si="300"/>
        <v>36</v>
      </c>
      <c r="M1286" s="43"/>
    </row>
    <row r="1287" spans="2:13" ht="15.75" hidden="1" x14ac:dyDescent="0.25">
      <c r="B1287" s="10">
        <v>46189</v>
      </c>
      <c r="C1287" s="10" t="s">
        <v>12</v>
      </c>
      <c r="D1287" s="10" t="s">
        <v>13</v>
      </c>
      <c r="F1287" s="937" t="s">
        <v>40</v>
      </c>
      <c r="G1287" s="937"/>
      <c r="H1287" s="937"/>
      <c r="I1287" s="8">
        <f>SUM(I1283:I1286)</f>
        <v>152</v>
      </c>
      <c r="J1287" s="8">
        <f>SUM(J1283:J1286)</f>
        <v>33</v>
      </c>
      <c r="K1287" s="8">
        <f>SUM(K1283:K1286)</f>
        <v>74</v>
      </c>
      <c r="L1287" s="8">
        <f>SUBTOTAL(9,I1287:K1287)</f>
        <v>0</v>
      </c>
      <c r="M1287" s="31"/>
    </row>
    <row r="1288" spans="2:13" ht="15.75" hidden="1" x14ac:dyDescent="0.25">
      <c r="B1288" s="10">
        <v>46189</v>
      </c>
      <c r="C1288" s="10" t="s">
        <v>18</v>
      </c>
      <c r="D1288" s="10" t="s">
        <v>13</v>
      </c>
      <c r="F1288" s="939">
        <v>46189</v>
      </c>
      <c r="G1288" s="29" t="s">
        <v>75</v>
      </c>
      <c r="H1288" s="29" t="s">
        <v>83</v>
      </c>
      <c r="I1288" s="42">
        <v>0</v>
      </c>
      <c r="J1288" s="42">
        <v>0</v>
      </c>
      <c r="K1288" s="60">
        <v>93</v>
      </c>
      <c r="L1288" s="66">
        <f t="shared" ref="L1288:L1292" si="301">SUM(I1288:K1288)</f>
        <v>93</v>
      </c>
      <c r="M1288" s="43"/>
    </row>
    <row r="1289" spans="2:13" ht="15.75" hidden="1" x14ac:dyDescent="0.25">
      <c r="B1289" s="10">
        <v>46189</v>
      </c>
      <c r="C1289" s="10" t="s">
        <v>18</v>
      </c>
      <c r="D1289" s="10" t="s">
        <v>13</v>
      </c>
      <c r="F1289" s="940"/>
      <c r="G1289" s="29" t="s">
        <v>25</v>
      </c>
      <c r="H1289" s="29" t="s">
        <v>18</v>
      </c>
      <c r="I1289" s="42">
        <v>9</v>
      </c>
      <c r="J1289" s="42">
        <v>1</v>
      </c>
      <c r="K1289" s="60">
        <v>0</v>
      </c>
      <c r="L1289" s="66">
        <f t="shared" si="301"/>
        <v>10</v>
      </c>
      <c r="M1289" s="43"/>
    </row>
    <row r="1290" spans="2:13" ht="15.75" hidden="1" x14ac:dyDescent="0.25">
      <c r="B1290" s="10">
        <v>46189</v>
      </c>
      <c r="C1290" s="10" t="s">
        <v>18</v>
      </c>
      <c r="D1290" s="10" t="s">
        <v>13</v>
      </c>
      <c r="F1290" s="940"/>
      <c r="G1290" s="29" t="s">
        <v>14</v>
      </c>
      <c r="H1290" s="29" t="s">
        <v>18</v>
      </c>
      <c r="I1290" s="42">
        <v>2</v>
      </c>
      <c r="J1290" s="42">
        <v>11</v>
      </c>
      <c r="K1290" s="60">
        <v>0</v>
      </c>
      <c r="L1290" s="66">
        <f t="shared" ref="L1290" si="302">SUM(I1290:K1290)</f>
        <v>13</v>
      </c>
      <c r="M1290" s="43"/>
    </row>
    <row r="1291" spans="2:13" ht="15.75" hidden="1" x14ac:dyDescent="0.25">
      <c r="B1291" s="10">
        <v>46189</v>
      </c>
      <c r="C1291" s="10" t="s">
        <v>18</v>
      </c>
      <c r="D1291" s="10" t="s">
        <v>13</v>
      </c>
      <c r="F1291" s="940"/>
      <c r="G1291" s="29" t="s">
        <v>17</v>
      </c>
      <c r="H1291" s="29" t="s">
        <v>106</v>
      </c>
      <c r="I1291" s="42">
        <v>110</v>
      </c>
      <c r="J1291" s="42">
        <v>32</v>
      </c>
      <c r="K1291" s="60">
        <v>0</v>
      </c>
      <c r="L1291" s="66">
        <f t="shared" si="301"/>
        <v>142</v>
      </c>
      <c r="M1291" s="43"/>
    </row>
    <row r="1292" spans="2:13" ht="15.75" hidden="1" x14ac:dyDescent="0.25">
      <c r="B1292" s="10">
        <v>46189</v>
      </c>
      <c r="C1292" s="10" t="s">
        <v>18</v>
      </c>
      <c r="D1292" s="10" t="s">
        <v>13</v>
      </c>
      <c r="F1292" s="941"/>
      <c r="G1292" s="29" t="s">
        <v>118</v>
      </c>
      <c r="H1292" s="29" t="s">
        <v>22</v>
      </c>
      <c r="I1292" s="42">
        <v>0</v>
      </c>
      <c r="J1292" s="42">
        <v>0</v>
      </c>
      <c r="K1292" s="60">
        <v>16</v>
      </c>
      <c r="L1292" s="66">
        <f t="shared" si="301"/>
        <v>16</v>
      </c>
      <c r="M1292" s="43"/>
    </row>
    <row r="1293" spans="2:13" ht="15.75" hidden="1" x14ac:dyDescent="0.25">
      <c r="B1293" s="10">
        <v>46189</v>
      </c>
      <c r="C1293" s="10" t="s">
        <v>18</v>
      </c>
      <c r="D1293" s="10" t="s">
        <v>13</v>
      </c>
      <c r="F1293" s="937" t="s">
        <v>40</v>
      </c>
      <c r="G1293" s="937"/>
      <c r="H1293" s="937"/>
      <c r="I1293" s="8">
        <f>SUM(I1288:I1292)</f>
        <v>121</v>
      </c>
      <c r="J1293" s="8">
        <f>SUM(J1288:J1292)</f>
        <v>44</v>
      </c>
      <c r="K1293" s="8">
        <f>SUM(K1288:K1292)</f>
        <v>109</v>
      </c>
      <c r="L1293" s="8">
        <f>SUBTOTAL(9,I1293:K1293)</f>
        <v>0</v>
      </c>
      <c r="M1293" s="31"/>
    </row>
    <row r="1294" spans="2:13" ht="15.75" hidden="1" x14ac:dyDescent="0.25">
      <c r="B1294" s="10">
        <v>46190</v>
      </c>
      <c r="C1294" s="10" t="s">
        <v>22</v>
      </c>
      <c r="D1294" s="10" t="s">
        <v>129</v>
      </c>
      <c r="F1294" s="942">
        <v>46190</v>
      </c>
      <c r="G1294" s="29" t="s">
        <v>75</v>
      </c>
      <c r="H1294" s="29" t="s">
        <v>83</v>
      </c>
      <c r="I1294" s="42">
        <v>112</v>
      </c>
      <c r="J1294" s="42">
        <v>69</v>
      </c>
      <c r="K1294" s="60">
        <v>0</v>
      </c>
      <c r="L1294" s="66">
        <f t="shared" ref="L1294:L1297" si="303">SUM(I1294:K1294)</f>
        <v>181</v>
      </c>
      <c r="M1294" s="43"/>
    </row>
    <row r="1295" spans="2:13" ht="15.75" hidden="1" x14ac:dyDescent="0.25">
      <c r="B1295" s="10">
        <v>46190</v>
      </c>
      <c r="C1295" s="10" t="s">
        <v>22</v>
      </c>
      <c r="D1295" s="10" t="s">
        <v>129</v>
      </c>
      <c r="F1295" s="942"/>
      <c r="G1295" s="29" t="s">
        <v>17</v>
      </c>
      <c r="H1295" s="29" t="s">
        <v>106</v>
      </c>
      <c r="I1295" s="42">
        <v>18</v>
      </c>
      <c r="J1295" s="42">
        <v>22</v>
      </c>
      <c r="K1295" s="60">
        <v>0</v>
      </c>
      <c r="L1295" s="66">
        <f t="shared" si="303"/>
        <v>40</v>
      </c>
      <c r="M1295" s="43"/>
    </row>
    <row r="1296" spans="2:13" ht="15.75" hidden="1" x14ac:dyDescent="0.25">
      <c r="B1296" s="10">
        <v>46190</v>
      </c>
      <c r="C1296" s="10" t="s">
        <v>22</v>
      </c>
      <c r="D1296" s="10" t="s">
        <v>129</v>
      </c>
      <c r="F1296" s="942"/>
      <c r="G1296" s="29" t="s">
        <v>14</v>
      </c>
      <c r="H1296" s="29" t="s">
        <v>18</v>
      </c>
      <c r="I1296" s="42">
        <v>1</v>
      </c>
      <c r="J1296" s="42">
        <v>3</v>
      </c>
      <c r="K1296" s="60">
        <v>0</v>
      </c>
      <c r="L1296" s="66">
        <f t="shared" si="303"/>
        <v>4</v>
      </c>
      <c r="M1296" s="43"/>
    </row>
    <row r="1297" spans="2:13" ht="15.75" hidden="1" x14ac:dyDescent="0.25">
      <c r="B1297" s="10">
        <v>46190</v>
      </c>
      <c r="C1297" s="10" t="s">
        <v>22</v>
      </c>
      <c r="D1297" s="10" t="s">
        <v>129</v>
      </c>
      <c r="F1297" s="308">
        <v>46191</v>
      </c>
      <c r="G1297" s="29" t="s">
        <v>25</v>
      </c>
      <c r="H1297" s="29" t="s">
        <v>106</v>
      </c>
      <c r="I1297" s="42">
        <v>9</v>
      </c>
      <c r="J1297" s="42">
        <v>5</v>
      </c>
      <c r="K1297" s="60">
        <v>92</v>
      </c>
      <c r="L1297" s="66">
        <f t="shared" si="303"/>
        <v>106</v>
      </c>
      <c r="M1297" s="43"/>
    </row>
    <row r="1298" spans="2:13" ht="15.75" hidden="1" x14ac:dyDescent="0.25">
      <c r="B1298" s="10">
        <v>46190</v>
      </c>
      <c r="C1298" s="10" t="s">
        <v>22</v>
      </c>
      <c r="D1298" s="10" t="s">
        <v>129</v>
      </c>
      <c r="F1298" s="937" t="s">
        <v>40</v>
      </c>
      <c r="G1298" s="937"/>
      <c r="H1298" s="937"/>
      <c r="I1298" s="8">
        <f>SUM(I1294:I1297)</f>
        <v>140</v>
      </c>
      <c r="J1298" s="8">
        <f>SUM(J1294:J1297)</f>
        <v>99</v>
      </c>
      <c r="K1298" s="8">
        <f>SUM(K1294:K1297)</f>
        <v>92</v>
      </c>
      <c r="L1298" s="8">
        <f>SUBTOTAL(9,I1298:K1298)</f>
        <v>0</v>
      </c>
      <c r="M1298" s="31"/>
    </row>
    <row r="1299" spans="2:13" ht="15.75" hidden="1" x14ac:dyDescent="0.25">
      <c r="B1299" s="10">
        <v>46190</v>
      </c>
      <c r="C1299" s="10" t="s">
        <v>106</v>
      </c>
      <c r="D1299" s="10" t="s">
        <v>20</v>
      </c>
      <c r="F1299" s="942">
        <v>46190</v>
      </c>
      <c r="G1299" s="29" t="s">
        <v>75</v>
      </c>
      <c r="H1299" s="29" t="s">
        <v>83</v>
      </c>
      <c r="I1299" s="42">
        <f>112+39</f>
        <v>151</v>
      </c>
      <c r="J1299" s="42">
        <f>69+12</f>
        <v>81</v>
      </c>
      <c r="K1299" s="60">
        <v>0</v>
      </c>
      <c r="L1299" s="66">
        <f t="shared" ref="L1299:L1303" si="304">SUM(I1299:K1299)</f>
        <v>232</v>
      </c>
      <c r="M1299" s="43"/>
    </row>
    <row r="1300" spans="2:13" ht="15.75" hidden="1" x14ac:dyDescent="0.25">
      <c r="B1300" s="10">
        <v>46190</v>
      </c>
      <c r="C1300" s="10" t="s">
        <v>106</v>
      </c>
      <c r="D1300" s="10" t="s">
        <v>20</v>
      </c>
      <c r="F1300" s="942"/>
      <c r="G1300" s="29" t="s">
        <v>17</v>
      </c>
      <c r="H1300" s="29" t="s">
        <v>22</v>
      </c>
      <c r="I1300" s="42">
        <v>19</v>
      </c>
      <c r="J1300" s="42">
        <v>22</v>
      </c>
      <c r="K1300" s="60">
        <v>0</v>
      </c>
      <c r="L1300" s="66">
        <f t="shared" si="304"/>
        <v>41</v>
      </c>
      <c r="M1300" s="43"/>
    </row>
    <row r="1301" spans="2:13" ht="15.75" hidden="1" x14ac:dyDescent="0.25">
      <c r="B1301" s="10">
        <v>46190</v>
      </c>
      <c r="C1301" s="10" t="s">
        <v>106</v>
      </c>
      <c r="D1301" s="10" t="s">
        <v>20</v>
      </c>
      <c r="F1301" s="942"/>
      <c r="G1301" s="29" t="s">
        <v>118</v>
      </c>
      <c r="H1301" s="29" t="s">
        <v>22</v>
      </c>
      <c r="I1301" s="42">
        <v>16</v>
      </c>
      <c r="J1301" s="42">
        <v>0</v>
      </c>
      <c r="K1301" s="60">
        <v>9</v>
      </c>
      <c r="L1301" s="66">
        <f t="shared" si="304"/>
        <v>25</v>
      </c>
      <c r="M1301" s="43"/>
    </row>
    <row r="1302" spans="2:13" ht="15.75" hidden="1" x14ac:dyDescent="0.25">
      <c r="B1302" s="10">
        <v>46190</v>
      </c>
      <c r="C1302" s="10" t="s">
        <v>106</v>
      </c>
      <c r="D1302" s="10" t="s">
        <v>20</v>
      </c>
      <c r="F1302" s="942"/>
      <c r="G1302" s="29" t="s">
        <v>25</v>
      </c>
      <c r="H1302" s="29" t="s">
        <v>106</v>
      </c>
      <c r="I1302" s="42">
        <v>0</v>
      </c>
      <c r="J1302" s="42">
        <v>0</v>
      </c>
      <c r="K1302" s="60">
        <v>102</v>
      </c>
      <c r="L1302" s="66">
        <f t="shared" si="304"/>
        <v>102</v>
      </c>
      <c r="M1302" s="43"/>
    </row>
    <row r="1303" spans="2:13" ht="15.75" hidden="1" x14ac:dyDescent="0.25">
      <c r="B1303" s="10">
        <v>46190</v>
      </c>
      <c r="C1303" s="10" t="s">
        <v>106</v>
      </c>
      <c r="D1303" s="10" t="s">
        <v>20</v>
      </c>
      <c r="F1303" s="942"/>
      <c r="G1303" s="29" t="s">
        <v>14</v>
      </c>
      <c r="H1303" s="29" t="s">
        <v>18</v>
      </c>
      <c r="I1303" s="42">
        <v>14</v>
      </c>
      <c r="J1303" s="42">
        <v>5</v>
      </c>
      <c r="K1303" s="60">
        <v>0</v>
      </c>
      <c r="L1303" s="66">
        <f t="shared" si="304"/>
        <v>19</v>
      </c>
      <c r="M1303" s="43"/>
    </row>
    <row r="1304" spans="2:13" ht="15.75" hidden="1" x14ac:dyDescent="0.25">
      <c r="B1304" s="10">
        <v>46190</v>
      </c>
      <c r="C1304" s="10" t="s">
        <v>106</v>
      </c>
      <c r="D1304" s="10" t="s">
        <v>20</v>
      </c>
      <c r="F1304" s="937" t="s">
        <v>40</v>
      </c>
      <c r="G1304" s="937"/>
      <c r="H1304" s="937"/>
      <c r="I1304" s="8">
        <f>SUM(I1299:I1303)</f>
        <v>200</v>
      </c>
      <c r="J1304" s="8">
        <f>SUM(J1299:J1303)</f>
        <v>108</v>
      </c>
      <c r="K1304" s="8">
        <f>SUM(K1299:K1303)</f>
        <v>111</v>
      </c>
      <c r="L1304" s="8">
        <f>SUBTOTAL(9,I1304:K1304)</f>
        <v>0</v>
      </c>
      <c r="M1304" s="31"/>
    </row>
    <row r="1305" spans="2:13" ht="15.75" hidden="1" x14ac:dyDescent="0.25">
      <c r="B1305" s="10">
        <v>46190</v>
      </c>
      <c r="C1305" s="10" t="s">
        <v>18</v>
      </c>
      <c r="D1305" s="10" t="s">
        <v>13</v>
      </c>
      <c r="F1305" s="942">
        <v>46191</v>
      </c>
      <c r="G1305" s="29" t="s">
        <v>75</v>
      </c>
      <c r="H1305" s="29" t="s">
        <v>83</v>
      </c>
      <c r="I1305" s="42">
        <v>87</v>
      </c>
      <c r="J1305" s="42">
        <v>51</v>
      </c>
      <c r="K1305" s="60">
        <v>0</v>
      </c>
      <c r="L1305" s="66">
        <f t="shared" ref="L1305:L1307" si="305">SUM(I1305:K1305)</f>
        <v>138</v>
      </c>
      <c r="M1305" s="31"/>
    </row>
    <row r="1306" spans="2:13" ht="15.75" hidden="1" x14ac:dyDescent="0.25">
      <c r="B1306" s="10">
        <v>46190</v>
      </c>
      <c r="C1306" s="10" t="s">
        <v>18</v>
      </c>
      <c r="D1306" s="10" t="s">
        <v>13</v>
      </c>
      <c r="F1306" s="942"/>
      <c r="G1306" s="29" t="s">
        <v>25</v>
      </c>
      <c r="H1306" s="29" t="s">
        <v>106</v>
      </c>
      <c r="I1306" s="42">
        <v>140</v>
      </c>
      <c r="J1306" s="42">
        <v>43</v>
      </c>
      <c r="K1306" s="60">
        <v>0</v>
      </c>
      <c r="L1306" s="66">
        <f t="shared" si="305"/>
        <v>183</v>
      </c>
      <c r="M1306" s="31"/>
    </row>
    <row r="1307" spans="2:13" ht="15.75" hidden="1" x14ac:dyDescent="0.25">
      <c r="B1307" s="10">
        <v>46190</v>
      </c>
      <c r="C1307" s="10" t="s">
        <v>18</v>
      </c>
      <c r="D1307" s="10" t="s">
        <v>13</v>
      </c>
      <c r="F1307" s="942"/>
      <c r="G1307" s="29" t="s">
        <v>14</v>
      </c>
      <c r="H1307" s="29" t="s">
        <v>18</v>
      </c>
      <c r="I1307" s="42">
        <v>29</v>
      </c>
      <c r="J1307" s="42">
        <v>16</v>
      </c>
      <c r="K1307" s="60">
        <v>0</v>
      </c>
      <c r="L1307" s="66">
        <f t="shared" si="305"/>
        <v>45</v>
      </c>
      <c r="M1307" s="31"/>
    </row>
    <row r="1308" spans="2:13" ht="15.75" hidden="1" x14ac:dyDescent="0.25">
      <c r="B1308" s="10">
        <v>46190</v>
      </c>
      <c r="C1308" s="10" t="s">
        <v>18</v>
      </c>
      <c r="D1308" s="10" t="s">
        <v>13</v>
      </c>
      <c r="F1308" s="937" t="s">
        <v>40</v>
      </c>
      <c r="G1308" s="937"/>
      <c r="H1308" s="937"/>
      <c r="I1308" s="8">
        <f>SUM(I1305:I1307)</f>
        <v>256</v>
      </c>
      <c r="J1308" s="8">
        <f>SUM(J1305:J1307)</f>
        <v>110</v>
      </c>
      <c r="K1308" s="8">
        <f>SUM(K1305:K1307)</f>
        <v>0</v>
      </c>
      <c r="L1308" s="8">
        <f>SUBTOTAL(9,I1308:K1308)</f>
        <v>0</v>
      </c>
      <c r="M1308" s="31"/>
    </row>
    <row r="1309" spans="2:13" ht="15.75" hidden="1" x14ac:dyDescent="0.25">
      <c r="B1309" s="10">
        <v>46191</v>
      </c>
      <c r="C1309" s="10" t="s">
        <v>22</v>
      </c>
      <c r="D1309" s="10" t="s">
        <v>129</v>
      </c>
      <c r="F1309" s="942">
        <v>46191</v>
      </c>
      <c r="G1309" s="29" t="s">
        <v>75</v>
      </c>
      <c r="H1309" s="29" t="s">
        <v>83</v>
      </c>
      <c r="I1309" s="42">
        <v>58</v>
      </c>
      <c r="J1309" s="42">
        <v>31</v>
      </c>
      <c r="K1309" s="60">
        <v>0</v>
      </c>
      <c r="L1309" s="66">
        <f t="shared" ref="L1309:L1312" si="306">SUM(I1309:K1309)</f>
        <v>89</v>
      </c>
      <c r="M1309" s="43"/>
    </row>
    <row r="1310" spans="2:13" ht="15.75" hidden="1" x14ac:dyDescent="0.25">
      <c r="B1310" s="10">
        <v>46191</v>
      </c>
      <c r="C1310" s="10" t="s">
        <v>22</v>
      </c>
      <c r="D1310" s="10" t="s">
        <v>129</v>
      </c>
      <c r="F1310" s="942"/>
      <c r="G1310" s="29" t="s">
        <v>25</v>
      </c>
      <c r="H1310" s="29" t="s">
        <v>106</v>
      </c>
      <c r="I1310" s="42">
        <v>20</v>
      </c>
      <c r="J1310" s="42">
        <v>9</v>
      </c>
      <c r="K1310" s="60">
        <v>0</v>
      </c>
      <c r="L1310" s="66">
        <f t="shared" si="306"/>
        <v>29</v>
      </c>
      <c r="M1310" s="43"/>
    </row>
    <row r="1311" spans="2:13" ht="15.75" hidden="1" x14ac:dyDescent="0.25">
      <c r="B1311" s="10">
        <v>46191</v>
      </c>
      <c r="C1311" s="10" t="s">
        <v>22</v>
      </c>
      <c r="D1311" s="10" t="s">
        <v>129</v>
      </c>
      <c r="F1311" s="942"/>
      <c r="G1311" s="29" t="s">
        <v>14</v>
      </c>
      <c r="H1311" s="29" t="s">
        <v>105</v>
      </c>
      <c r="I1311" s="42">
        <v>13</v>
      </c>
      <c r="J1311" s="42">
        <v>5</v>
      </c>
      <c r="K1311" s="60">
        <v>83</v>
      </c>
      <c r="L1311" s="66"/>
      <c r="M1311" s="43"/>
    </row>
    <row r="1312" spans="2:13" ht="15.75" hidden="1" x14ac:dyDescent="0.25">
      <c r="B1312" s="10">
        <v>46191</v>
      </c>
      <c r="C1312" s="10" t="s">
        <v>22</v>
      </c>
      <c r="D1312" s="10" t="s">
        <v>129</v>
      </c>
      <c r="F1312" s="942"/>
      <c r="G1312" s="29" t="s">
        <v>118</v>
      </c>
      <c r="H1312" s="29" t="s">
        <v>22</v>
      </c>
      <c r="I1312" s="42">
        <v>3</v>
      </c>
      <c r="J1312" s="42">
        <v>4</v>
      </c>
      <c r="K1312" s="60">
        <v>51</v>
      </c>
      <c r="L1312" s="66">
        <f t="shared" si="306"/>
        <v>58</v>
      </c>
      <c r="M1312" s="43"/>
    </row>
    <row r="1313" spans="2:13" ht="15.75" hidden="1" x14ac:dyDescent="0.25">
      <c r="B1313" s="10">
        <v>46191</v>
      </c>
      <c r="C1313" s="10" t="s">
        <v>22</v>
      </c>
      <c r="D1313" s="10" t="s">
        <v>129</v>
      </c>
      <c r="F1313" s="937" t="s">
        <v>40</v>
      </c>
      <c r="G1313" s="937"/>
      <c r="H1313" s="937"/>
      <c r="I1313" s="8">
        <f>SUM(I1309:I1312)</f>
        <v>94</v>
      </c>
      <c r="J1313" s="8">
        <f>SUM(J1309:J1312)</f>
        <v>49</v>
      </c>
      <c r="K1313" s="8">
        <f>SUM(K1309:K1312)</f>
        <v>134</v>
      </c>
      <c r="L1313" s="8">
        <f>SUBTOTAL(9,I1313:K1313)</f>
        <v>0</v>
      </c>
      <c r="M1313" s="31"/>
    </row>
    <row r="1314" spans="2:13" ht="15.75" hidden="1" x14ac:dyDescent="0.25">
      <c r="B1314" s="10">
        <v>46191</v>
      </c>
      <c r="C1314" s="10" t="s">
        <v>106</v>
      </c>
      <c r="D1314" s="10" t="s">
        <v>129</v>
      </c>
      <c r="F1314" s="942">
        <v>46191</v>
      </c>
      <c r="G1314" s="29" t="s">
        <v>75</v>
      </c>
      <c r="H1314" s="29" t="s">
        <v>83</v>
      </c>
      <c r="I1314" s="42">
        <f>58+31</f>
        <v>89</v>
      </c>
      <c r="J1314" s="42">
        <v>33</v>
      </c>
      <c r="K1314" s="60">
        <v>0</v>
      </c>
      <c r="L1314" s="66">
        <f t="shared" ref="L1314:L1317" si="307">SUM(I1314:K1314)</f>
        <v>122</v>
      </c>
      <c r="M1314" s="43"/>
    </row>
    <row r="1315" spans="2:13" ht="15.75" hidden="1" x14ac:dyDescent="0.25">
      <c r="B1315" s="10">
        <v>46191</v>
      </c>
      <c r="C1315" s="10" t="s">
        <v>106</v>
      </c>
      <c r="D1315" s="10" t="s">
        <v>129</v>
      </c>
      <c r="F1315" s="942"/>
      <c r="G1315" s="29" t="s">
        <v>14</v>
      </c>
      <c r="H1315" s="29" t="s">
        <v>105</v>
      </c>
      <c r="I1315" s="42">
        <f>13+81</f>
        <v>94</v>
      </c>
      <c r="J1315" s="42">
        <v>19</v>
      </c>
      <c r="K1315" s="60">
        <v>0</v>
      </c>
      <c r="L1315" s="66">
        <f t="shared" si="307"/>
        <v>113</v>
      </c>
      <c r="M1315" s="43"/>
    </row>
    <row r="1316" spans="2:13" ht="15.75" hidden="1" x14ac:dyDescent="0.25">
      <c r="B1316" s="10">
        <v>46191</v>
      </c>
      <c r="C1316" s="10" t="s">
        <v>106</v>
      </c>
      <c r="D1316" s="10" t="s">
        <v>129</v>
      </c>
      <c r="F1316" s="942"/>
      <c r="G1316" s="29" t="s">
        <v>17</v>
      </c>
      <c r="H1316" s="29" t="s">
        <v>106</v>
      </c>
      <c r="I1316" s="42">
        <v>29</v>
      </c>
      <c r="J1316" s="42">
        <v>3</v>
      </c>
      <c r="K1316" s="60">
        <v>23</v>
      </c>
      <c r="L1316" s="66">
        <f t="shared" si="307"/>
        <v>55</v>
      </c>
      <c r="M1316" s="43"/>
    </row>
    <row r="1317" spans="2:13" ht="15.75" hidden="1" x14ac:dyDescent="0.25">
      <c r="B1317" s="10">
        <v>46191</v>
      </c>
      <c r="C1317" s="10" t="s">
        <v>106</v>
      </c>
      <c r="D1317" s="10" t="s">
        <v>129</v>
      </c>
      <c r="F1317" s="942"/>
      <c r="G1317" s="29" t="s">
        <v>25</v>
      </c>
      <c r="H1317" s="29" t="s">
        <v>106</v>
      </c>
      <c r="I1317" s="42">
        <v>38</v>
      </c>
      <c r="J1317" s="42">
        <v>10</v>
      </c>
      <c r="K1317" s="60">
        <v>0</v>
      </c>
      <c r="L1317" s="66">
        <f t="shared" si="307"/>
        <v>48</v>
      </c>
      <c r="M1317" s="43"/>
    </row>
    <row r="1318" spans="2:13" ht="15.75" hidden="1" x14ac:dyDescent="0.25">
      <c r="B1318" s="10">
        <v>46191</v>
      </c>
      <c r="C1318" s="10" t="s">
        <v>106</v>
      </c>
      <c r="D1318" s="10" t="s">
        <v>129</v>
      </c>
      <c r="F1318" s="937" t="s">
        <v>40</v>
      </c>
      <c r="G1318" s="937"/>
      <c r="H1318" s="937"/>
      <c r="I1318" s="8">
        <f>SUM(I1314:I1317)</f>
        <v>250</v>
      </c>
      <c r="J1318" s="8">
        <f>SUM(J1314:J1317)</f>
        <v>65</v>
      </c>
      <c r="K1318" s="8">
        <f>SUM(K1314:K1317)</f>
        <v>23</v>
      </c>
      <c r="L1318" s="8">
        <f>SUBTOTAL(9,I1318:K1318)</f>
        <v>0</v>
      </c>
      <c r="M1318" s="31"/>
    </row>
    <row r="1319" spans="2:13" ht="15.75" hidden="1" x14ac:dyDescent="0.25">
      <c r="B1319" s="10">
        <v>46191</v>
      </c>
      <c r="C1319" s="10" t="s">
        <v>18</v>
      </c>
      <c r="D1319" s="10" t="s">
        <v>13</v>
      </c>
      <c r="F1319" s="942">
        <v>46191</v>
      </c>
      <c r="G1319" s="29" t="s">
        <v>75</v>
      </c>
      <c r="H1319" s="29" t="s">
        <v>83</v>
      </c>
      <c r="I1319" s="42">
        <v>133</v>
      </c>
      <c r="J1319" s="42">
        <v>70</v>
      </c>
      <c r="K1319" s="60">
        <v>0</v>
      </c>
      <c r="L1319" s="66">
        <f t="shared" ref="L1319:L1321" si="308">SUM(I1319:K1319)</f>
        <v>203</v>
      </c>
      <c r="M1319" s="43"/>
    </row>
    <row r="1320" spans="2:13" ht="15.75" hidden="1" x14ac:dyDescent="0.25">
      <c r="B1320" s="10">
        <v>46191</v>
      </c>
      <c r="C1320" s="10" t="s">
        <v>18</v>
      </c>
      <c r="D1320" s="10" t="s">
        <v>13</v>
      </c>
      <c r="F1320" s="942"/>
      <c r="G1320" s="29" t="s">
        <v>14</v>
      </c>
      <c r="H1320" s="29" t="s">
        <v>105</v>
      </c>
      <c r="I1320" s="42">
        <v>7</v>
      </c>
      <c r="J1320" s="42">
        <v>5</v>
      </c>
      <c r="K1320" s="60">
        <v>0</v>
      </c>
      <c r="L1320" s="66">
        <f t="shared" si="308"/>
        <v>12</v>
      </c>
      <c r="M1320" s="43"/>
    </row>
    <row r="1321" spans="2:13" ht="15.75" hidden="1" x14ac:dyDescent="0.25">
      <c r="B1321" s="10">
        <v>46191</v>
      </c>
      <c r="C1321" s="10" t="s">
        <v>18</v>
      </c>
      <c r="D1321" s="10" t="s">
        <v>13</v>
      </c>
      <c r="F1321" s="942"/>
      <c r="G1321" s="29" t="s">
        <v>17</v>
      </c>
      <c r="H1321" s="29" t="s">
        <v>106</v>
      </c>
      <c r="I1321" s="42">
        <v>36</v>
      </c>
      <c r="J1321" s="42">
        <v>11</v>
      </c>
      <c r="K1321" s="60">
        <v>0</v>
      </c>
      <c r="L1321" s="66">
        <f t="shared" si="308"/>
        <v>47</v>
      </c>
      <c r="M1321" s="43"/>
    </row>
    <row r="1322" spans="2:13" ht="15.75" hidden="1" x14ac:dyDescent="0.25">
      <c r="B1322" s="10">
        <v>46191</v>
      </c>
      <c r="C1322" s="10" t="s">
        <v>18</v>
      </c>
      <c r="D1322" s="10" t="s">
        <v>13</v>
      </c>
      <c r="F1322" s="969" t="s">
        <v>40</v>
      </c>
      <c r="G1322" s="970"/>
      <c r="H1322" s="971"/>
      <c r="I1322" s="8">
        <f>SUM(I1319:I1321)</f>
        <v>176</v>
      </c>
      <c r="J1322" s="8">
        <f t="shared" ref="J1322:L1322" si="309">SUM(J1319:J1321)</f>
        <v>86</v>
      </c>
      <c r="K1322" s="8">
        <f t="shared" si="309"/>
        <v>0</v>
      </c>
      <c r="L1322" s="8">
        <f t="shared" si="309"/>
        <v>262</v>
      </c>
      <c r="M1322" s="31"/>
    </row>
    <row r="1323" spans="2:13" ht="15.75" hidden="1" x14ac:dyDescent="0.25">
      <c r="B1323" s="10">
        <v>46192</v>
      </c>
      <c r="C1323" s="10" t="s">
        <v>22</v>
      </c>
      <c r="D1323" s="10" t="s">
        <v>129</v>
      </c>
      <c r="F1323" s="939">
        <v>46192</v>
      </c>
      <c r="G1323" s="29" t="s">
        <v>75</v>
      </c>
      <c r="H1323" s="29" t="s">
        <v>83</v>
      </c>
      <c r="I1323" s="42">
        <v>23</v>
      </c>
      <c r="J1323" s="42">
        <v>20</v>
      </c>
      <c r="K1323" s="60">
        <v>0</v>
      </c>
      <c r="L1323" s="66">
        <f t="shared" ref="L1323:L1326" si="310">SUM(I1323:K1323)</f>
        <v>43</v>
      </c>
      <c r="M1323" s="43"/>
    </row>
    <row r="1324" spans="2:13" ht="15.75" hidden="1" x14ac:dyDescent="0.25">
      <c r="B1324" s="10">
        <v>46192</v>
      </c>
      <c r="C1324" s="10" t="s">
        <v>22</v>
      </c>
      <c r="D1324" s="10" t="s">
        <v>129</v>
      </c>
      <c r="F1324" s="940"/>
      <c r="G1324" s="29" t="s">
        <v>17</v>
      </c>
      <c r="H1324" s="29" t="s">
        <v>106</v>
      </c>
      <c r="I1324" s="42">
        <v>15</v>
      </c>
      <c r="J1324" s="42">
        <v>19</v>
      </c>
      <c r="K1324" s="60">
        <v>0</v>
      </c>
      <c r="L1324" s="66">
        <f t="shared" si="310"/>
        <v>34</v>
      </c>
      <c r="M1324" s="43"/>
    </row>
    <row r="1325" spans="2:13" ht="15.75" hidden="1" x14ac:dyDescent="0.25">
      <c r="B1325" s="10">
        <v>46192</v>
      </c>
      <c r="C1325" s="10" t="s">
        <v>22</v>
      </c>
      <c r="D1325" s="10" t="s">
        <v>129</v>
      </c>
      <c r="F1325" s="940"/>
      <c r="G1325" s="29" t="s">
        <v>14</v>
      </c>
      <c r="H1325" s="29" t="s">
        <v>105</v>
      </c>
      <c r="I1325" s="42">
        <v>83</v>
      </c>
      <c r="J1325" s="42">
        <v>32</v>
      </c>
      <c r="K1325" s="60">
        <v>0</v>
      </c>
      <c r="L1325" s="66">
        <f t="shared" si="310"/>
        <v>115</v>
      </c>
      <c r="M1325" s="43"/>
    </row>
    <row r="1326" spans="2:13" ht="15.75" hidden="1" x14ac:dyDescent="0.25">
      <c r="B1326" s="10">
        <v>46192</v>
      </c>
      <c r="C1326" s="10" t="s">
        <v>22</v>
      </c>
      <c r="D1326" s="10" t="s">
        <v>129</v>
      </c>
      <c r="F1326" s="941"/>
      <c r="G1326" s="29" t="s">
        <v>118</v>
      </c>
      <c r="H1326" s="29" t="s">
        <v>22</v>
      </c>
      <c r="I1326" s="42">
        <v>51</v>
      </c>
      <c r="J1326" s="42">
        <v>6</v>
      </c>
      <c r="K1326" s="60">
        <v>0</v>
      </c>
      <c r="L1326" s="66">
        <f t="shared" si="310"/>
        <v>57</v>
      </c>
      <c r="M1326" s="43"/>
    </row>
    <row r="1327" spans="2:13" ht="15.75" hidden="1" x14ac:dyDescent="0.25">
      <c r="B1327" s="10">
        <v>46192</v>
      </c>
      <c r="C1327" s="10" t="s">
        <v>22</v>
      </c>
      <c r="D1327" s="10" t="s">
        <v>129</v>
      </c>
      <c r="F1327" s="309">
        <v>46193</v>
      </c>
      <c r="G1327" s="29" t="s">
        <v>25</v>
      </c>
      <c r="H1327" s="29" t="s">
        <v>105</v>
      </c>
      <c r="I1327" s="42">
        <v>10</v>
      </c>
      <c r="J1327" s="42">
        <v>3</v>
      </c>
      <c r="K1327" s="60">
        <v>0</v>
      </c>
      <c r="L1327" s="66">
        <f t="shared" ref="L1327" si="311">SUM(I1327:K1327)</f>
        <v>13</v>
      </c>
      <c r="M1327" s="43"/>
    </row>
    <row r="1328" spans="2:13" ht="15.75" hidden="1" x14ac:dyDescent="0.25">
      <c r="B1328" s="10">
        <v>46192</v>
      </c>
      <c r="C1328" s="10" t="s">
        <v>22</v>
      </c>
      <c r="D1328" s="10" t="s">
        <v>129</v>
      </c>
      <c r="F1328" s="937" t="s">
        <v>40</v>
      </c>
      <c r="G1328" s="937"/>
      <c r="H1328" s="937"/>
      <c r="I1328" s="8">
        <f>SUM(I1323:I1327)</f>
        <v>182</v>
      </c>
      <c r="J1328" s="8">
        <f>SUM(J1323:J1327)</f>
        <v>80</v>
      </c>
      <c r="K1328" s="8">
        <f>SUM(K1323:K1327)</f>
        <v>0</v>
      </c>
      <c r="L1328" s="8">
        <f>SUBTOTAL(9,I1328:K1328)</f>
        <v>0</v>
      </c>
      <c r="M1328" s="31"/>
    </row>
    <row r="1329" spans="2:13" ht="15.75" hidden="1" x14ac:dyDescent="0.25">
      <c r="B1329" s="10">
        <v>46192</v>
      </c>
      <c r="C1329" s="10" t="s">
        <v>106</v>
      </c>
      <c r="D1329" s="10" t="s">
        <v>129</v>
      </c>
      <c r="F1329" s="939">
        <v>46192</v>
      </c>
      <c r="G1329" s="29" t="s">
        <v>75</v>
      </c>
      <c r="H1329" s="29" t="s">
        <v>83</v>
      </c>
      <c r="I1329" s="42">
        <f>24+16</f>
        <v>40</v>
      </c>
      <c r="J1329" s="42">
        <f>7+20</f>
        <v>27</v>
      </c>
      <c r="K1329" s="60">
        <v>0</v>
      </c>
      <c r="L1329" s="66">
        <f t="shared" ref="L1329:L1333" si="312">SUM(I1329:K1329)</f>
        <v>67</v>
      </c>
      <c r="M1329" s="43"/>
    </row>
    <row r="1330" spans="2:13" ht="15.75" hidden="1" x14ac:dyDescent="0.25">
      <c r="B1330" s="10">
        <v>46192</v>
      </c>
      <c r="C1330" s="10" t="s">
        <v>106</v>
      </c>
      <c r="D1330" s="10" t="s">
        <v>129</v>
      </c>
      <c r="F1330" s="940"/>
      <c r="G1330" s="29" t="s">
        <v>14</v>
      </c>
      <c r="H1330" s="29" t="s">
        <v>105</v>
      </c>
      <c r="I1330" s="42">
        <f>21+83</f>
        <v>104</v>
      </c>
      <c r="J1330" s="42">
        <f>32+6</f>
        <v>38</v>
      </c>
      <c r="K1330" s="60">
        <v>25</v>
      </c>
      <c r="L1330" s="66">
        <f t="shared" si="312"/>
        <v>167</v>
      </c>
      <c r="M1330" s="43"/>
    </row>
    <row r="1331" spans="2:13" ht="15.75" hidden="1" x14ac:dyDescent="0.25">
      <c r="B1331" s="10">
        <v>46192</v>
      </c>
      <c r="C1331" s="10" t="s">
        <v>106</v>
      </c>
      <c r="D1331" s="10" t="s">
        <v>129</v>
      </c>
      <c r="F1331" s="940"/>
      <c r="G1331" s="29" t="s">
        <v>17</v>
      </c>
      <c r="H1331" s="29" t="s">
        <v>22</v>
      </c>
      <c r="I1331" s="42">
        <f>17+21</f>
        <v>38</v>
      </c>
      <c r="J1331" s="42">
        <v>20</v>
      </c>
      <c r="K1331" s="60">
        <v>5</v>
      </c>
      <c r="L1331" s="66">
        <f t="shared" si="312"/>
        <v>63</v>
      </c>
      <c r="M1331" s="43"/>
    </row>
    <row r="1332" spans="2:13" ht="15.75" hidden="1" x14ac:dyDescent="0.25">
      <c r="B1332" s="10">
        <v>46192</v>
      </c>
      <c r="C1332" s="10" t="s">
        <v>106</v>
      </c>
      <c r="D1332" s="10" t="s">
        <v>129</v>
      </c>
      <c r="F1332" s="940"/>
      <c r="G1332" s="29" t="s">
        <v>25</v>
      </c>
      <c r="H1332" s="29" t="s">
        <v>22</v>
      </c>
      <c r="I1332" s="42">
        <v>11</v>
      </c>
      <c r="J1332" s="42">
        <v>5</v>
      </c>
      <c r="K1332" s="60">
        <v>79</v>
      </c>
      <c r="L1332" s="66">
        <f t="shared" si="312"/>
        <v>95</v>
      </c>
      <c r="M1332" s="43"/>
    </row>
    <row r="1333" spans="2:13" ht="15.75" hidden="1" x14ac:dyDescent="0.25">
      <c r="B1333" s="10">
        <v>46192</v>
      </c>
      <c r="C1333" s="10" t="s">
        <v>106</v>
      </c>
      <c r="D1333" s="10" t="s">
        <v>129</v>
      </c>
      <c r="F1333" s="941"/>
      <c r="G1333" s="29" t="s">
        <v>118</v>
      </c>
      <c r="H1333" s="29" t="s">
        <v>22</v>
      </c>
      <c r="I1333" s="42">
        <v>51</v>
      </c>
      <c r="J1333" s="42">
        <v>6</v>
      </c>
      <c r="K1333" s="60">
        <v>11</v>
      </c>
      <c r="L1333" s="66">
        <f t="shared" si="312"/>
        <v>68</v>
      </c>
      <c r="M1333" s="43"/>
    </row>
    <row r="1334" spans="2:13" ht="15.75" hidden="1" x14ac:dyDescent="0.25">
      <c r="B1334" s="10">
        <v>46192</v>
      </c>
      <c r="C1334" s="10" t="s">
        <v>106</v>
      </c>
      <c r="D1334" s="10" t="s">
        <v>129</v>
      </c>
      <c r="F1334" s="937" t="s">
        <v>40</v>
      </c>
      <c r="G1334" s="937"/>
      <c r="H1334" s="937"/>
      <c r="I1334" s="8">
        <f>SUM(I1329:I1333)</f>
        <v>244</v>
      </c>
      <c r="J1334" s="8">
        <f>SUM(J1329:J1333)</f>
        <v>96</v>
      </c>
      <c r="K1334" s="8">
        <f>SUM(K1329:K1333)</f>
        <v>120</v>
      </c>
      <c r="L1334" s="8">
        <f>SUBTOTAL(9,I1334:K1334)</f>
        <v>0</v>
      </c>
      <c r="M1334" s="31"/>
    </row>
    <row r="1335" spans="2:13" ht="15.75" hidden="1" x14ac:dyDescent="0.25">
      <c r="B1335" s="10">
        <v>46192</v>
      </c>
      <c r="C1335" s="10" t="s">
        <v>18</v>
      </c>
      <c r="D1335" s="10" t="s">
        <v>13</v>
      </c>
      <c r="F1335" s="939">
        <v>46192</v>
      </c>
      <c r="G1335" s="29" t="s">
        <v>75</v>
      </c>
      <c r="H1335" s="29" t="s">
        <v>83</v>
      </c>
      <c r="I1335" s="42">
        <v>67</v>
      </c>
      <c r="J1335" s="42">
        <v>73</v>
      </c>
      <c r="K1335" s="60">
        <v>0</v>
      </c>
      <c r="L1335" s="66">
        <f t="shared" ref="L1335:L1339" si="313">SUM(I1335:K1335)</f>
        <v>140</v>
      </c>
      <c r="M1335" s="43"/>
    </row>
    <row r="1336" spans="2:13" ht="15.75" hidden="1" x14ac:dyDescent="0.25">
      <c r="B1336" s="10">
        <v>46192</v>
      </c>
      <c r="C1336" s="10" t="s">
        <v>18</v>
      </c>
      <c r="D1336" s="10" t="s">
        <v>13</v>
      </c>
      <c r="F1336" s="940"/>
      <c r="G1336" s="29" t="s">
        <v>14</v>
      </c>
      <c r="H1336" s="29" t="s">
        <v>105</v>
      </c>
      <c r="I1336" s="42">
        <v>4</v>
      </c>
      <c r="J1336" s="42">
        <v>1</v>
      </c>
      <c r="K1336" s="60">
        <v>0</v>
      </c>
      <c r="L1336" s="66">
        <f t="shared" si="313"/>
        <v>5</v>
      </c>
      <c r="M1336" s="43"/>
    </row>
    <row r="1337" spans="2:13" ht="15.75" hidden="1" x14ac:dyDescent="0.25">
      <c r="B1337" s="10">
        <v>46192</v>
      </c>
      <c r="C1337" s="10" t="s">
        <v>18</v>
      </c>
      <c r="D1337" s="10" t="s">
        <v>13</v>
      </c>
      <c r="F1337" s="940"/>
      <c r="G1337" s="29" t="s">
        <v>17</v>
      </c>
      <c r="H1337" s="29" t="s">
        <v>22</v>
      </c>
      <c r="I1337" s="42">
        <v>4</v>
      </c>
      <c r="J1337" s="42">
        <v>1</v>
      </c>
      <c r="K1337" s="60">
        <v>0</v>
      </c>
      <c r="L1337" s="66">
        <f t="shared" si="313"/>
        <v>5</v>
      </c>
      <c r="M1337" s="43"/>
    </row>
    <row r="1338" spans="2:13" ht="15.75" hidden="1" x14ac:dyDescent="0.25">
      <c r="B1338" s="10">
        <v>46192</v>
      </c>
      <c r="C1338" s="10" t="s">
        <v>18</v>
      </c>
      <c r="D1338" s="10" t="s">
        <v>13</v>
      </c>
      <c r="F1338" s="940"/>
      <c r="G1338" s="29" t="s">
        <v>25</v>
      </c>
      <c r="H1338" s="29" t="s">
        <v>22</v>
      </c>
      <c r="I1338" s="42">
        <v>56</v>
      </c>
      <c r="J1338" s="42">
        <v>22</v>
      </c>
      <c r="K1338" s="60">
        <v>0</v>
      </c>
      <c r="L1338" s="66">
        <f t="shared" si="313"/>
        <v>78</v>
      </c>
      <c r="M1338" s="43"/>
    </row>
    <row r="1339" spans="2:13" ht="15.75" hidden="1" x14ac:dyDescent="0.25">
      <c r="B1339" s="10">
        <v>46192</v>
      </c>
      <c r="C1339" s="10" t="s">
        <v>18</v>
      </c>
      <c r="D1339" s="10" t="s">
        <v>13</v>
      </c>
      <c r="F1339" s="941"/>
      <c r="G1339" s="29" t="s">
        <v>118</v>
      </c>
      <c r="H1339" s="29" t="s">
        <v>22</v>
      </c>
      <c r="I1339" s="42">
        <v>0</v>
      </c>
      <c r="J1339" s="42">
        <v>0</v>
      </c>
      <c r="K1339" s="60">
        <v>49</v>
      </c>
      <c r="L1339" s="66">
        <f t="shared" si="313"/>
        <v>49</v>
      </c>
      <c r="M1339" s="43"/>
    </row>
    <row r="1340" spans="2:13" ht="15.75" hidden="1" x14ac:dyDescent="0.25">
      <c r="B1340" s="10">
        <v>46192</v>
      </c>
      <c r="C1340" s="10" t="s">
        <v>18</v>
      </c>
      <c r="D1340" s="10" t="s">
        <v>13</v>
      </c>
      <c r="F1340" s="937" t="s">
        <v>40</v>
      </c>
      <c r="G1340" s="937"/>
      <c r="H1340" s="937"/>
      <c r="I1340" s="8">
        <f>SUM(I1335:I1339)</f>
        <v>131</v>
      </c>
      <c r="J1340" s="8">
        <f>SUM(J1335:J1339)</f>
        <v>97</v>
      </c>
      <c r="K1340" s="8">
        <f>SUM(K1335:K1339)</f>
        <v>49</v>
      </c>
      <c r="L1340" s="8">
        <f>SUBTOTAL(9,I1340:K1340)</f>
        <v>0</v>
      </c>
      <c r="M1340" s="31"/>
    </row>
    <row r="1341" spans="2:13" ht="15.75" hidden="1" x14ac:dyDescent="0.25">
      <c r="B1341" s="10">
        <v>46193</v>
      </c>
      <c r="C1341" s="10" t="s">
        <v>22</v>
      </c>
      <c r="D1341" s="10" t="s">
        <v>129</v>
      </c>
      <c r="F1341" s="939">
        <v>46192</v>
      </c>
      <c r="G1341" s="29" t="s">
        <v>75</v>
      </c>
      <c r="H1341" s="29" t="s">
        <v>83</v>
      </c>
      <c r="I1341" s="42"/>
      <c r="J1341" s="42"/>
      <c r="K1341" s="60"/>
      <c r="L1341" s="66">
        <f t="shared" ref="L1341:L1344" si="314">SUM(I1341:K1341)</f>
        <v>0</v>
      </c>
      <c r="M1341" s="43"/>
    </row>
    <row r="1342" spans="2:13" ht="15.75" hidden="1" x14ac:dyDescent="0.25">
      <c r="B1342" s="10">
        <v>46193</v>
      </c>
      <c r="C1342" s="10" t="s">
        <v>22</v>
      </c>
      <c r="D1342" s="10" t="s">
        <v>129</v>
      </c>
      <c r="F1342" s="940"/>
      <c r="G1342" s="29" t="s">
        <v>25</v>
      </c>
      <c r="H1342" s="29" t="s">
        <v>22</v>
      </c>
      <c r="I1342" s="42"/>
      <c r="J1342" s="42"/>
      <c r="K1342" s="60"/>
      <c r="L1342" s="66">
        <f t="shared" si="314"/>
        <v>0</v>
      </c>
      <c r="M1342" s="43"/>
    </row>
    <row r="1343" spans="2:13" ht="15.75" hidden="1" x14ac:dyDescent="0.25">
      <c r="B1343" s="10">
        <v>46193</v>
      </c>
      <c r="C1343" s="10" t="s">
        <v>22</v>
      </c>
      <c r="D1343" s="10" t="s">
        <v>129</v>
      </c>
      <c r="F1343" s="940"/>
      <c r="G1343" s="29" t="s">
        <v>118</v>
      </c>
      <c r="H1343" s="29" t="s">
        <v>22</v>
      </c>
      <c r="I1343" s="42"/>
      <c r="J1343" s="42"/>
      <c r="K1343" s="60"/>
      <c r="L1343" s="66">
        <f t="shared" si="314"/>
        <v>0</v>
      </c>
      <c r="M1343" s="43"/>
    </row>
    <row r="1344" spans="2:13" ht="15.75" hidden="1" x14ac:dyDescent="0.25">
      <c r="B1344" s="10">
        <v>46193</v>
      </c>
      <c r="C1344" s="10" t="s">
        <v>22</v>
      </c>
      <c r="D1344" s="10" t="s">
        <v>129</v>
      </c>
      <c r="F1344" s="941"/>
      <c r="G1344" s="29" t="s">
        <v>14</v>
      </c>
      <c r="H1344" s="29" t="s">
        <v>105</v>
      </c>
      <c r="I1344" s="42"/>
      <c r="J1344" s="42"/>
      <c r="K1344" s="60"/>
      <c r="L1344" s="66">
        <f t="shared" si="314"/>
        <v>0</v>
      </c>
      <c r="M1344" s="43"/>
    </row>
    <row r="1345" spans="2:13" ht="15.75" hidden="1" x14ac:dyDescent="0.25">
      <c r="B1345" s="10">
        <v>46193</v>
      </c>
      <c r="C1345" s="10" t="s">
        <v>22</v>
      </c>
      <c r="D1345" s="10" t="s">
        <v>129</v>
      </c>
      <c r="F1345" s="937" t="s">
        <v>40</v>
      </c>
      <c r="G1345" s="937"/>
      <c r="H1345" s="937"/>
      <c r="I1345" s="8">
        <f>SUM(I1341:I1344)</f>
        <v>0</v>
      </c>
      <c r="J1345" s="8">
        <f>SUM(J1341:J1344)</f>
        <v>0</v>
      </c>
      <c r="K1345" s="8">
        <f>SUM(K1341:K1344)</f>
        <v>0</v>
      </c>
      <c r="L1345" s="8">
        <f>SUBTOTAL(9,I1345:K1345)</f>
        <v>0</v>
      </c>
      <c r="M1345" s="31"/>
    </row>
    <row r="1346" spans="2:13" ht="15.75" hidden="1" x14ac:dyDescent="0.25">
      <c r="B1346" s="10">
        <v>46193</v>
      </c>
      <c r="C1346" s="10" t="s">
        <v>106</v>
      </c>
      <c r="D1346" s="10" t="s">
        <v>129</v>
      </c>
      <c r="F1346" s="939">
        <v>46193</v>
      </c>
      <c r="G1346" s="29" t="s">
        <v>75</v>
      </c>
      <c r="H1346" s="29" t="s">
        <v>83</v>
      </c>
      <c r="I1346" s="42">
        <f>62+15</f>
        <v>77</v>
      </c>
      <c r="J1346" s="42">
        <f>46+1</f>
        <v>47</v>
      </c>
      <c r="K1346" s="60">
        <v>0</v>
      </c>
      <c r="L1346" s="66">
        <f t="shared" ref="L1346:L1350" si="315">SUM(I1346:K1346)</f>
        <v>124</v>
      </c>
      <c r="M1346" s="43"/>
    </row>
    <row r="1347" spans="2:13" ht="15.75" hidden="1" x14ac:dyDescent="0.25">
      <c r="B1347" s="10">
        <v>46193</v>
      </c>
      <c r="C1347" s="10" t="s">
        <v>106</v>
      </c>
      <c r="D1347" s="10" t="s">
        <v>129</v>
      </c>
      <c r="F1347" s="940"/>
      <c r="G1347" s="29" t="s">
        <v>14</v>
      </c>
      <c r="H1347" s="29" t="s">
        <v>105</v>
      </c>
      <c r="I1347" s="42">
        <f>54+53</f>
        <v>107</v>
      </c>
      <c r="J1347" s="42">
        <v>21</v>
      </c>
      <c r="K1347" s="60">
        <v>34</v>
      </c>
      <c r="L1347" s="66">
        <f t="shared" si="315"/>
        <v>162</v>
      </c>
      <c r="M1347" s="43"/>
    </row>
    <row r="1348" spans="2:13" ht="15.75" hidden="1" x14ac:dyDescent="0.25">
      <c r="B1348" s="10">
        <v>46193</v>
      </c>
      <c r="C1348" s="10" t="s">
        <v>106</v>
      </c>
      <c r="D1348" s="10" t="s">
        <v>129</v>
      </c>
      <c r="F1348" s="940"/>
      <c r="G1348" s="29" t="s">
        <v>17</v>
      </c>
      <c r="H1348" s="29" t="s">
        <v>22</v>
      </c>
      <c r="I1348" s="42">
        <v>14</v>
      </c>
      <c r="J1348" s="42">
        <v>12</v>
      </c>
      <c r="K1348" s="60">
        <v>20</v>
      </c>
      <c r="L1348" s="66">
        <f t="shared" si="315"/>
        <v>46</v>
      </c>
      <c r="M1348" s="43"/>
    </row>
    <row r="1349" spans="2:13" ht="15.75" hidden="1" x14ac:dyDescent="0.25">
      <c r="B1349" s="10">
        <v>46193</v>
      </c>
      <c r="C1349" s="10" t="s">
        <v>106</v>
      </c>
      <c r="D1349" s="10" t="s">
        <v>129</v>
      </c>
      <c r="F1349" s="940"/>
      <c r="G1349" s="29" t="s">
        <v>25</v>
      </c>
      <c r="H1349" s="29" t="s">
        <v>22</v>
      </c>
      <c r="I1349" s="42">
        <f>19+22</f>
        <v>41</v>
      </c>
      <c r="J1349" s="42">
        <v>9</v>
      </c>
      <c r="K1349" s="60">
        <v>0</v>
      </c>
      <c r="L1349" s="66">
        <f t="shared" si="315"/>
        <v>50</v>
      </c>
      <c r="M1349" s="43"/>
    </row>
    <row r="1350" spans="2:13" ht="15.75" hidden="1" x14ac:dyDescent="0.25">
      <c r="B1350" s="10">
        <v>46193</v>
      </c>
      <c r="C1350" s="10" t="s">
        <v>106</v>
      </c>
      <c r="D1350" s="10" t="s">
        <v>129</v>
      </c>
      <c r="F1350" s="941"/>
      <c r="G1350" s="29" t="s">
        <v>118</v>
      </c>
      <c r="H1350" s="29" t="s">
        <v>22</v>
      </c>
      <c r="I1350" s="42">
        <f>46+1</f>
        <v>47</v>
      </c>
      <c r="J1350" s="42">
        <v>4</v>
      </c>
      <c r="K1350" s="60">
        <v>0</v>
      </c>
      <c r="L1350" s="66">
        <f t="shared" si="315"/>
        <v>51</v>
      </c>
      <c r="M1350" s="43"/>
    </row>
    <row r="1351" spans="2:13" ht="15.75" hidden="1" x14ac:dyDescent="0.25">
      <c r="B1351" s="10">
        <v>46193</v>
      </c>
      <c r="C1351" s="10" t="s">
        <v>106</v>
      </c>
      <c r="D1351" s="10" t="s">
        <v>129</v>
      </c>
      <c r="F1351" s="937" t="s">
        <v>40</v>
      </c>
      <c r="G1351" s="937"/>
      <c r="H1351" s="937"/>
      <c r="I1351" s="8">
        <f>SUM(I1346:I1349)</f>
        <v>239</v>
      </c>
      <c r="J1351" s="8">
        <f>SUM(J1346:J1350)</f>
        <v>93</v>
      </c>
      <c r="K1351" s="8">
        <f>SUM(K1346:K1350)</f>
        <v>54</v>
      </c>
      <c r="L1351" s="8">
        <f>SUBTOTAL(9,I1351:K1351)</f>
        <v>0</v>
      </c>
      <c r="M1351" s="31"/>
    </row>
    <row r="1352" spans="2:13" ht="15.75" hidden="1" x14ac:dyDescent="0.25">
      <c r="B1352" s="10">
        <v>46193</v>
      </c>
      <c r="C1352" s="10" t="s">
        <v>18</v>
      </c>
      <c r="D1352" s="10" t="s">
        <v>13</v>
      </c>
      <c r="F1352" s="939">
        <v>46193</v>
      </c>
      <c r="G1352" s="29" t="s">
        <v>75</v>
      </c>
      <c r="H1352" s="29" t="s">
        <v>83</v>
      </c>
      <c r="I1352" s="42">
        <v>70</v>
      </c>
      <c r="J1352" s="42">
        <v>27</v>
      </c>
      <c r="K1352" s="60">
        <v>0</v>
      </c>
      <c r="L1352" s="66">
        <f t="shared" ref="L1352:L1354" si="316">SUM(I1352:K1352)</f>
        <v>97</v>
      </c>
      <c r="M1352" s="43"/>
    </row>
    <row r="1353" spans="2:13" ht="15.75" hidden="1" x14ac:dyDescent="0.25">
      <c r="B1353" s="10">
        <v>46193</v>
      </c>
      <c r="C1353" s="10" t="s">
        <v>18</v>
      </c>
      <c r="D1353" s="10" t="s">
        <v>13</v>
      </c>
      <c r="F1353" s="940"/>
      <c r="G1353" s="29" t="s">
        <v>14</v>
      </c>
      <c r="H1353" s="29" t="s">
        <v>105</v>
      </c>
      <c r="I1353" s="42">
        <v>106</v>
      </c>
      <c r="J1353" s="42">
        <v>41</v>
      </c>
      <c r="K1353" s="60">
        <v>0</v>
      </c>
      <c r="L1353" s="66">
        <f t="shared" si="316"/>
        <v>147</v>
      </c>
      <c r="M1353" s="43"/>
    </row>
    <row r="1354" spans="2:13" ht="15.75" hidden="1" x14ac:dyDescent="0.25">
      <c r="B1354" s="10">
        <v>46193</v>
      </c>
      <c r="C1354" s="10" t="s">
        <v>18</v>
      </c>
      <c r="D1354" s="10" t="s">
        <v>13</v>
      </c>
      <c r="F1354" s="940"/>
      <c r="G1354" s="29" t="s">
        <v>17</v>
      </c>
      <c r="H1354" s="29" t="s">
        <v>22</v>
      </c>
      <c r="I1354" s="42">
        <v>7</v>
      </c>
      <c r="J1354" s="42">
        <v>13</v>
      </c>
      <c r="K1354" s="60">
        <v>70</v>
      </c>
      <c r="L1354" s="66">
        <f t="shared" si="316"/>
        <v>90</v>
      </c>
      <c r="M1354" s="43"/>
    </row>
    <row r="1355" spans="2:13" ht="15.75" hidden="1" x14ac:dyDescent="0.25">
      <c r="B1355" s="10">
        <v>46193</v>
      </c>
      <c r="C1355" s="10" t="s">
        <v>18</v>
      </c>
      <c r="D1355" s="10" t="s">
        <v>13</v>
      </c>
      <c r="F1355" s="937" t="s">
        <v>40</v>
      </c>
      <c r="G1355" s="937"/>
      <c r="H1355" s="937"/>
      <c r="I1355" s="8">
        <f>SUM(I1352:I1354)</f>
        <v>183</v>
      </c>
      <c r="J1355" s="8">
        <f>SUM(J1352:J1354)</f>
        <v>81</v>
      </c>
      <c r="K1355" s="8">
        <f>SUM(K1352:K1354)</f>
        <v>70</v>
      </c>
      <c r="L1355" s="8">
        <f>SUBTOTAL(9,I1355:K1355)</f>
        <v>0</v>
      </c>
      <c r="M1355" s="31"/>
    </row>
    <row r="1356" spans="2:13" ht="15.75" hidden="1" x14ac:dyDescent="0.25">
      <c r="B1356" s="10">
        <v>46195</v>
      </c>
      <c r="C1356" s="10" t="s">
        <v>22</v>
      </c>
      <c r="D1356" s="10" t="s">
        <v>150</v>
      </c>
      <c r="F1356" s="942">
        <v>46195</v>
      </c>
      <c r="G1356" s="29" t="s">
        <v>75</v>
      </c>
      <c r="H1356" s="29" t="s">
        <v>83</v>
      </c>
      <c r="I1356" s="42">
        <v>86</v>
      </c>
      <c r="J1356" s="42">
        <v>31</v>
      </c>
      <c r="K1356" s="60">
        <v>0</v>
      </c>
      <c r="L1356" s="66">
        <f t="shared" ref="L1356:L1359" si="317">SUM(I1356:K1356)</f>
        <v>117</v>
      </c>
      <c r="M1356" s="43"/>
    </row>
    <row r="1357" spans="2:13" ht="15.75" hidden="1" x14ac:dyDescent="0.25">
      <c r="B1357" s="10">
        <v>46195</v>
      </c>
      <c r="C1357" s="10" t="s">
        <v>22</v>
      </c>
      <c r="D1357" s="10" t="s">
        <v>150</v>
      </c>
      <c r="F1357" s="942"/>
      <c r="G1357" s="29" t="s">
        <v>14</v>
      </c>
      <c r="H1357" s="29" t="s">
        <v>105</v>
      </c>
      <c r="I1357" s="42">
        <v>52</v>
      </c>
      <c r="J1357" s="42">
        <v>10</v>
      </c>
      <c r="K1357" s="60">
        <v>0</v>
      </c>
      <c r="L1357" s="66">
        <f t="shared" si="317"/>
        <v>62</v>
      </c>
      <c r="M1357" s="43"/>
    </row>
    <row r="1358" spans="2:13" ht="15.75" hidden="1" x14ac:dyDescent="0.25">
      <c r="B1358" s="10">
        <v>46195</v>
      </c>
      <c r="C1358" s="10" t="s">
        <v>22</v>
      </c>
      <c r="D1358" s="10" t="s">
        <v>150</v>
      </c>
      <c r="F1358" s="942"/>
      <c r="G1358" s="29" t="s">
        <v>17</v>
      </c>
      <c r="H1358" s="29" t="s">
        <v>22</v>
      </c>
      <c r="I1358" s="42">
        <v>0</v>
      </c>
      <c r="J1358" s="42">
        <v>2</v>
      </c>
      <c r="K1358" s="312">
        <v>70</v>
      </c>
      <c r="L1358" s="66">
        <f>SUM(I1358:K1358)</f>
        <v>72</v>
      </c>
      <c r="M1358" s="43"/>
    </row>
    <row r="1359" spans="2:13" ht="15.75" hidden="1" x14ac:dyDescent="0.25">
      <c r="B1359" s="10">
        <v>46195</v>
      </c>
      <c r="C1359" s="10" t="s">
        <v>22</v>
      </c>
      <c r="D1359" s="10" t="s">
        <v>150</v>
      </c>
      <c r="F1359" s="310">
        <v>46196</v>
      </c>
      <c r="G1359" s="29" t="s">
        <v>14</v>
      </c>
      <c r="H1359" s="29" t="s">
        <v>106</v>
      </c>
      <c r="I1359" s="42">
        <v>0</v>
      </c>
      <c r="J1359" s="42">
        <v>0</v>
      </c>
      <c r="K1359" s="60">
        <v>0</v>
      </c>
      <c r="L1359" s="66">
        <f t="shared" si="317"/>
        <v>0</v>
      </c>
      <c r="M1359" s="43"/>
    </row>
    <row r="1360" spans="2:13" ht="15.75" hidden="1" x14ac:dyDescent="0.25">
      <c r="B1360" s="10">
        <v>46195</v>
      </c>
      <c r="C1360" s="10" t="s">
        <v>22</v>
      </c>
      <c r="D1360" s="10" t="s">
        <v>150</v>
      </c>
      <c r="F1360" s="937" t="s">
        <v>40</v>
      </c>
      <c r="G1360" s="937"/>
      <c r="H1360" s="937"/>
      <c r="I1360" s="8">
        <f>SUM(I1356:I1359)</f>
        <v>138</v>
      </c>
      <c r="J1360" s="8">
        <f>SUM(J1356:J1359)</f>
        <v>43</v>
      </c>
      <c r="K1360" s="8">
        <f>SUM(K1356:K1359)</f>
        <v>70</v>
      </c>
      <c r="L1360" s="8">
        <f>SUBTOTAL(9,I1360:K1360)</f>
        <v>0</v>
      </c>
      <c r="M1360" s="31"/>
    </row>
    <row r="1361" spans="2:13" ht="15.75" hidden="1" x14ac:dyDescent="0.25">
      <c r="B1361" s="10">
        <v>46195</v>
      </c>
      <c r="C1361" s="10" t="s">
        <v>12</v>
      </c>
      <c r="D1361" s="10"/>
      <c r="F1361" s="942">
        <v>46195</v>
      </c>
      <c r="G1361" s="29" t="s">
        <v>75</v>
      </c>
      <c r="H1361" s="29" t="s">
        <v>83</v>
      </c>
      <c r="I1361" s="42">
        <v>20</v>
      </c>
      <c r="J1361" s="42">
        <v>13</v>
      </c>
      <c r="K1361" s="60">
        <v>0</v>
      </c>
      <c r="L1361" s="66">
        <f t="shared" ref="L1361:L1362" si="318">SUM(I1361:K1361)</f>
        <v>33</v>
      </c>
      <c r="M1361" s="43"/>
    </row>
    <row r="1362" spans="2:13" ht="15.75" hidden="1" x14ac:dyDescent="0.25">
      <c r="B1362" s="10">
        <v>46195</v>
      </c>
      <c r="C1362" s="10" t="s">
        <v>12</v>
      </c>
      <c r="D1362" s="10"/>
      <c r="F1362" s="942"/>
      <c r="G1362" s="29" t="s">
        <v>14</v>
      </c>
      <c r="H1362" s="29" t="s">
        <v>105</v>
      </c>
      <c r="I1362" s="42">
        <v>15</v>
      </c>
      <c r="J1362" s="42">
        <v>4</v>
      </c>
      <c r="K1362" s="60">
        <v>0</v>
      </c>
      <c r="L1362" s="66">
        <f t="shared" si="318"/>
        <v>19</v>
      </c>
      <c r="M1362" s="43"/>
    </row>
    <row r="1363" spans="2:13" ht="15.75" hidden="1" x14ac:dyDescent="0.25">
      <c r="B1363" s="10">
        <v>46195</v>
      </c>
      <c r="C1363" s="10" t="s">
        <v>12</v>
      </c>
      <c r="D1363" s="10"/>
      <c r="F1363" s="942"/>
      <c r="G1363" s="29" t="s">
        <v>17</v>
      </c>
      <c r="H1363" s="29" t="s">
        <v>22</v>
      </c>
      <c r="I1363" s="42">
        <v>102</v>
      </c>
      <c r="J1363" s="42">
        <v>17</v>
      </c>
      <c r="K1363" s="60">
        <v>0</v>
      </c>
      <c r="L1363" s="66">
        <f>SUM(I1363:K1363)</f>
        <v>119</v>
      </c>
      <c r="M1363" s="43"/>
    </row>
    <row r="1364" spans="2:13" ht="15.75" hidden="1" x14ac:dyDescent="0.25">
      <c r="B1364" s="10">
        <v>46195</v>
      </c>
      <c r="C1364" s="10" t="s">
        <v>12</v>
      </c>
      <c r="D1364" s="10"/>
      <c r="F1364" s="311">
        <v>46196</v>
      </c>
      <c r="G1364" s="29" t="s">
        <v>14</v>
      </c>
      <c r="H1364" s="29" t="s">
        <v>106</v>
      </c>
      <c r="I1364" s="42">
        <v>0</v>
      </c>
      <c r="J1364" s="42">
        <v>0</v>
      </c>
      <c r="K1364" s="60">
        <v>133</v>
      </c>
      <c r="L1364" s="66">
        <f t="shared" ref="L1364" si="319">SUM(I1364:K1364)</f>
        <v>133</v>
      </c>
      <c r="M1364" s="43"/>
    </row>
    <row r="1365" spans="2:13" ht="15.75" hidden="1" x14ac:dyDescent="0.25">
      <c r="B1365" s="10">
        <v>46195</v>
      </c>
      <c r="C1365" s="10" t="s">
        <v>12</v>
      </c>
      <c r="D1365" s="10"/>
      <c r="F1365" s="937" t="s">
        <v>40</v>
      </c>
      <c r="G1365" s="937"/>
      <c r="H1365" s="937"/>
      <c r="I1365" s="8">
        <f>SUM(I1361:I1364)</f>
        <v>137</v>
      </c>
      <c r="J1365" s="8">
        <f>SUM(J1361:J1364)</f>
        <v>34</v>
      </c>
      <c r="K1365" s="8">
        <f>SUM(K1361:K1364)</f>
        <v>133</v>
      </c>
      <c r="L1365" s="8">
        <f>SUBTOTAL(9,I1365:K1365)</f>
        <v>0</v>
      </c>
      <c r="M1365" s="31"/>
    </row>
    <row r="1366" spans="2:13" ht="15.75" hidden="1" x14ac:dyDescent="0.25">
      <c r="B1366" s="10">
        <v>46195</v>
      </c>
      <c r="C1366" s="10" t="s">
        <v>18</v>
      </c>
      <c r="D1366" s="10" t="s">
        <v>129</v>
      </c>
      <c r="F1366" s="313">
        <v>46195</v>
      </c>
      <c r="G1366" s="29" t="s">
        <v>17</v>
      </c>
      <c r="H1366" s="29" t="s">
        <v>18</v>
      </c>
      <c r="I1366" s="42">
        <v>15</v>
      </c>
      <c r="J1366" s="42">
        <v>17</v>
      </c>
      <c r="K1366" s="60">
        <v>0</v>
      </c>
      <c r="L1366" s="66">
        <f t="shared" ref="L1366:L1370" si="320">SUM(I1366:K1366)</f>
        <v>32</v>
      </c>
      <c r="M1366" s="43"/>
    </row>
    <row r="1367" spans="2:13" ht="15.75" hidden="1" x14ac:dyDescent="0.25">
      <c r="B1367" s="10">
        <v>46195</v>
      </c>
      <c r="C1367" s="10" t="s">
        <v>18</v>
      </c>
      <c r="D1367" s="10" t="s">
        <v>129</v>
      </c>
      <c r="F1367" s="948">
        <v>46196</v>
      </c>
      <c r="G1367" s="29" t="s">
        <v>16</v>
      </c>
      <c r="H1367" s="29" t="s">
        <v>151</v>
      </c>
      <c r="I1367" s="42">
        <v>45</v>
      </c>
      <c r="J1367" s="42">
        <v>35</v>
      </c>
      <c r="K1367" s="60">
        <v>0</v>
      </c>
      <c r="L1367" s="66">
        <f t="shared" si="320"/>
        <v>80</v>
      </c>
      <c r="M1367" s="43"/>
    </row>
    <row r="1368" spans="2:13" ht="15.75" hidden="1" x14ac:dyDescent="0.25">
      <c r="B1368" s="10">
        <v>46195</v>
      </c>
      <c r="C1368" s="10" t="s">
        <v>18</v>
      </c>
      <c r="D1368" s="10" t="s">
        <v>129</v>
      </c>
      <c r="F1368" s="948"/>
      <c r="G1368" s="29" t="s">
        <v>14</v>
      </c>
      <c r="H1368" s="29" t="s">
        <v>106</v>
      </c>
      <c r="I1368" s="42">
        <v>130</v>
      </c>
      <c r="J1368" s="42">
        <v>34</v>
      </c>
      <c r="K1368" s="60">
        <v>0</v>
      </c>
      <c r="L1368" s="66">
        <f t="shared" si="320"/>
        <v>164</v>
      </c>
      <c r="M1368" s="43"/>
    </row>
    <row r="1369" spans="2:13" ht="15.75" hidden="1" x14ac:dyDescent="0.25">
      <c r="B1369" s="10">
        <v>46195</v>
      </c>
      <c r="C1369" s="10" t="s">
        <v>18</v>
      </c>
      <c r="D1369" s="10" t="s">
        <v>129</v>
      </c>
      <c r="F1369" s="948"/>
      <c r="G1369" s="29" t="s">
        <v>118</v>
      </c>
      <c r="H1369" s="29" t="s">
        <v>43</v>
      </c>
      <c r="I1369" s="42">
        <v>35</v>
      </c>
      <c r="J1369" s="42">
        <v>0</v>
      </c>
      <c r="K1369" s="60">
        <v>24</v>
      </c>
      <c r="L1369" s="66">
        <f t="shared" si="320"/>
        <v>59</v>
      </c>
      <c r="M1369" s="43"/>
    </row>
    <row r="1370" spans="2:13" ht="15.75" hidden="1" x14ac:dyDescent="0.25">
      <c r="B1370" s="10">
        <v>46195</v>
      </c>
      <c r="C1370" s="10" t="s">
        <v>18</v>
      </c>
      <c r="D1370" s="10" t="s">
        <v>129</v>
      </c>
      <c r="F1370" s="948"/>
      <c r="G1370" s="29" t="s">
        <v>25</v>
      </c>
      <c r="H1370" s="29" t="s">
        <v>105</v>
      </c>
      <c r="I1370" s="42">
        <v>9</v>
      </c>
      <c r="J1370" s="42">
        <v>12</v>
      </c>
      <c r="K1370" s="60">
        <v>0</v>
      </c>
      <c r="L1370" s="66">
        <f t="shared" si="320"/>
        <v>21</v>
      </c>
      <c r="M1370" s="43"/>
    </row>
    <row r="1371" spans="2:13" ht="15.75" hidden="1" x14ac:dyDescent="0.25">
      <c r="B1371" s="10">
        <v>46195</v>
      </c>
      <c r="C1371" s="10" t="s">
        <v>18</v>
      </c>
      <c r="D1371" s="10" t="s">
        <v>129</v>
      </c>
      <c r="F1371" s="937" t="s">
        <v>40</v>
      </c>
      <c r="G1371" s="937"/>
      <c r="H1371" s="937"/>
      <c r="I1371" s="8">
        <f>SUM(I1366:I1369)</f>
        <v>225</v>
      </c>
      <c r="J1371" s="8">
        <f>SUM(J1366:J1370)</f>
        <v>98</v>
      </c>
      <c r="K1371" s="8">
        <f>SUM(K1366:K1370)</f>
        <v>24</v>
      </c>
      <c r="L1371" s="8">
        <f>SUBTOTAL(9,I1371:K1371)</f>
        <v>0</v>
      </c>
      <c r="M1371" s="31"/>
    </row>
    <row r="1372" spans="2:13" ht="15.75" hidden="1" x14ac:dyDescent="0.25">
      <c r="B1372" s="10">
        <v>46196</v>
      </c>
      <c r="C1372" s="10" t="s">
        <v>12</v>
      </c>
      <c r="D1372" s="10" t="s">
        <v>23</v>
      </c>
      <c r="F1372" s="943">
        <v>46196</v>
      </c>
      <c r="G1372" s="29" t="s">
        <v>16</v>
      </c>
      <c r="H1372" s="29" t="s">
        <v>151</v>
      </c>
      <c r="I1372" s="42">
        <v>34</v>
      </c>
      <c r="J1372" s="42">
        <v>18</v>
      </c>
      <c r="K1372" s="60">
        <v>0</v>
      </c>
      <c r="L1372" s="66">
        <f t="shared" ref="L1372:L1373" si="321">SUM(I1372:K1372)</f>
        <v>52</v>
      </c>
      <c r="M1372" s="43"/>
    </row>
    <row r="1373" spans="2:13" ht="15.75" hidden="1" x14ac:dyDescent="0.25">
      <c r="B1373" s="10">
        <v>46196</v>
      </c>
      <c r="C1373" s="10" t="s">
        <v>12</v>
      </c>
      <c r="D1373" s="10" t="s">
        <v>23</v>
      </c>
      <c r="F1373" s="944"/>
      <c r="G1373" s="29" t="s">
        <v>14</v>
      </c>
      <c r="H1373" s="29" t="s">
        <v>106</v>
      </c>
      <c r="I1373" s="42">
        <v>30</v>
      </c>
      <c r="J1373" s="42">
        <v>8</v>
      </c>
      <c r="K1373" s="60">
        <v>0</v>
      </c>
      <c r="L1373" s="66">
        <f t="shared" si="321"/>
        <v>38</v>
      </c>
      <c r="M1373" s="43"/>
    </row>
    <row r="1374" spans="2:13" ht="15.75" hidden="1" x14ac:dyDescent="0.25">
      <c r="B1374" s="10">
        <v>46196</v>
      </c>
      <c r="C1374" s="10" t="s">
        <v>12</v>
      </c>
      <c r="D1374" s="10" t="s">
        <v>23</v>
      </c>
      <c r="F1374" s="945"/>
      <c r="G1374" s="29" t="s">
        <v>25</v>
      </c>
      <c r="H1374" s="29" t="s">
        <v>105</v>
      </c>
      <c r="I1374" s="42">
        <v>79</v>
      </c>
      <c r="J1374" s="42">
        <v>31</v>
      </c>
      <c r="K1374" s="60">
        <v>25</v>
      </c>
      <c r="L1374" s="66">
        <f t="shared" ref="L1374" si="322">SUM(I1374:K1374)</f>
        <v>135</v>
      </c>
      <c r="M1374" s="43"/>
    </row>
    <row r="1375" spans="2:13" ht="15.75" hidden="1" x14ac:dyDescent="0.25">
      <c r="B1375" s="10">
        <v>46196</v>
      </c>
      <c r="C1375" s="10" t="s">
        <v>12</v>
      </c>
      <c r="D1375" s="10" t="s">
        <v>23</v>
      </c>
      <c r="F1375" s="937" t="s">
        <v>40</v>
      </c>
      <c r="G1375" s="937"/>
      <c r="H1375" s="937"/>
      <c r="I1375" s="8">
        <f>SUM(I1372:I1374)</f>
        <v>143</v>
      </c>
      <c r="J1375" s="8">
        <f>SUM(J1372:J1374)</f>
        <v>57</v>
      </c>
      <c r="K1375" s="8">
        <f>SUM(K1372:K1374)</f>
        <v>25</v>
      </c>
      <c r="L1375" s="8">
        <f>SUBTOTAL(9,I1375:K1375)</f>
        <v>0</v>
      </c>
      <c r="M1375" s="31"/>
    </row>
    <row r="1376" spans="2:13" ht="15.75" hidden="1" x14ac:dyDescent="0.25">
      <c r="B1376" s="10">
        <v>46196</v>
      </c>
      <c r="C1376" s="10" t="s">
        <v>18</v>
      </c>
      <c r="D1376" s="10" t="s">
        <v>129</v>
      </c>
      <c r="F1376" s="314">
        <v>46196</v>
      </c>
      <c r="G1376" s="29" t="s">
        <v>25</v>
      </c>
      <c r="H1376" s="29" t="s">
        <v>105</v>
      </c>
      <c r="I1376" s="42">
        <v>21</v>
      </c>
      <c r="J1376" s="42">
        <v>10</v>
      </c>
      <c r="K1376" s="60">
        <v>0</v>
      </c>
      <c r="L1376" s="66">
        <f t="shared" ref="L1376:L1380" si="323">SUM(I1376:K1376)</f>
        <v>31</v>
      </c>
      <c r="M1376" s="43"/>
    </row>
    <row r="1377" spans="2:14" ht="15.75" hidden="1" x14ac:dyDescent="0.25">
      <c r="B1377" s="10">
        <v>46196</v>
      </c>
      <c r="C1377" s="10" t="s">
        <v>18</v>
      </c>
      <c r="D1377" s="10" t="s">
        <v>129</v>
      </c>
      <c r="F1377" s="948">
        <v>46197</v>
      </c>
      <c r="G1377" s="29" t="s">
        <v>16</v>
      </c>
      <c r="H1377" s="29" t="s">
        <v>151</v>
      </c>
      <c r="I1377" s="42">
        <v>56</v>
      </c>
      <c r="J1377" s="42">
        <v>24</v>
      </c>
      <c r="K1377" s="60">
        <v>18</v>
      </c>
      <c r="L1377" s="66">
        <f t="shared" si="323"/>
        <v>98</v>
      </c>
      <c r="M1377" s="43"/>
    </row>
    <row r="1378" spans="2:14" ht="15.75" hidden="1" x14ac:dyDescent="0.25">
      <c r="B1378" s="10">
        <v>46196</v>
      </c>
      <c r="C1378" s="10" t="s">
        <v>18</v>
      </c>
      <c r="D1378" s="10" t="s">
        <v>129</v>
      </c>
      <c r="F1378" s="948"/>
      <c r="G1378" s="29" t="s">
        <v>14</v>
      </c>
      <c r="H1378" s="29" t="s">
        <v>106</v>
      </c>
      <c r="I1378" s="42">
        <v>112</v>
      </c>
      <c r="J1378" s="42">
        <v>15</v>
      </c>
      <c r="K1378" s="60">
        <v>0</v>
      </c>
      <c r="L1378" s="66">
        <f t="shared" si="323"/>
        <v>127</v>
      </c>
      <c r="M1378" s="43"/>
    </row>
    <row r="1379" spans="2:14" ht="15.75" hidden="1" x14ac:dyDescent="0.25">
      <c r="B1379" s="10">
        <v>46196</v>
      </c>
      <c r="C1379" s="10" t="s">
        <v>18</v>
      </c>
      <c r="D1379" s="10" t="s">
        <v>129</v>
      </c>
      <c r="F1379" s="948"/>
      <c r="G1379" s="29" t="s">
        <v>118</v>
      </c>
      <c r="H1379" s="29" t="s">
        <v>43</v>
      </c>
      <c r="I1379" s="42">
        <v>36</v>
      </c>
      <c r="J1379" s="42">
        <v>1</v>
      </c>
      <c r="K1379" s="60">
        <v>0</v>
      </c>
      <c r="L1379" s="66">
        <f t="shared" si="323"/>
        <v>37</v>
      </c>
      <c r="M1379" s="43"/>
    </row>
    <row r="1380" spans="2:14" ht="15.75" hidden="1" x14ac:dyDescent="0.25">
      <c r="B1380" s="10">
        <v>46196</v>
      </c>
      <c r="C1380" s="10" t="s">
        <v>18</v>
      </c>
      <c r="D1380" s="10" t="s">
        <v>129</v>
      </c>
      <c r="F1380" s="948"/>
      <c r="G1380" s="29" t="s">
        <v>17</v>
      </c>
      <c r="H1380" s="29" t="s">
        <v>105</v>
      </c>
      <c r="I1380" s="42">
        <v>7</v>
      </c>
      <c r="J1380" s="42">
        <v>11</v>
      </c>
      <c r="K1380" s="60">
        <v>13</v>
      </c>
      <c r="L1380" s="66">
        <f t="shared" si="323"/>
        <v>31</v>
      </c>
      <c r="M1380" s="43"/>
    </row>
    <row r="1381" spans="2:14" ht="15.75" hidden="1" x14ac:dyDescent="0.25">
      <c r="B1381" s="10">
        <v>46196</v>
      </c>
      <c r="C1381" s="10" t="s">
        <v>18</v>
      </c>
      <c r="D1381" s="10" t="s">
        <v>129</v>
      </c>
      <c r="F1381" s="937" t="s">
        <v>40</v>
      </c>
      <c r="G1381" s="937"/>
      <c r="H1381" s="937"/>
      <c r="I1381" s="8">
        <f t="shared" ref="I1381:K1381" si="324">SUM(I1376:I1380)</f>
        <v>232</v>
      </c>
      <c r="J1381" s="8">
        <f t="shared" si="324"/>
        <v>61</v>
      </c>
      <c r="K1381" s="8">
        <f t="shared" si="324"/>
        <v>31</v>
      </c>
      <c r="L1381" s="8">
        <f>SUM(L1376:L1380)</f>
        <v>324</v>
      </c>
      <c r="M1381" s="43"/>
    </row>
    <row r="1382" spans="2:14" ht="15.75" hidden="1" x14ac:dyDescent="0.25">
      <c r="B1382" s="10">
        <v>46197</v>
      </c>
      <c r="C1382" s="10" t="s">
        <v>153</v>
      </c>
      <c r="D1382" s="10" t="s">
        <v>23</v>
      </c>
      <c r="F1382" s="943">
        <v>46197</v>
      </c>
      <c r="G1382" s="29" t="s">
        <v>16</v>
      </c>
      <c r="H1382" s="29" t="s">
        <v>151</v>
      </c>
      <c r="I1382" s="42">
        <f>29+69</f>
        <v>98</v>
      </c>
      <c r="J1382" s="42">
        <f>9+34</f>
        <v>43</v>
      </c>
      <c r="K1382" s="60">
        <v>0</v>
      </c>
      <c r="L1382" s="66">
        <f t="shared" ref="L1382:L1383" si="325">SUM(I1382:K1382)</f>
        <v>141</v>
      </c>
      <c r="M1382" s="43"/>
    </row>
    <row r="1383" spans="2:14" ht="15.75" hidden="1" x14ac:dyDescent="0.25">
      <c r="B1383" s="10">
        <v>46197</v>
      </c>
      <c r="C1383" s="10" t="s">
        <v>153</v>
      </c>
      <c r="D1383" s="10" t="s">
        <v>23</v>
      </c>
      <c r="F1383" s="944"/>
      <c r="G1383" s="29" t="s">
        <v>14</v>
      </c>
      <c r="H1383" s="29" t="s">
        <v>106</v>
      </c>
      <c r="I1383" s="42">
        <f>24+18</f>
        <v>42</v>
      </c>
      <c r="J1383" s="42">
        <f>2+7</f>
        <v>9</v>
      </c>
      <c r="K1383" s="60">
        <v>11</v>
      </c>
      <c r="L1383" s="66">
        <f t="shared" si="325"/>
        <v>62</v>
      </c>
      <c r="M1383" s="43"/>
    </row>
    <row r="1384" spans="2:14" ht="15.75" hidden="1" x14ac:dyDescent="0.25">
      <c r="B1384" s="10">
        <v>46197</v>
      </c>
      <c r="C1384" s="10" t="s">
        <v>153</v>
      </c>
      <c r="D1384" s="10" t="s">
        <v>23</v>
      </c>
      <c r="F1384" s="944"/>
      <c r="G1384" s="29" t="s">
        <v>118</v>
      </c>
      <c r="H1384" s="29" t="s">
        <v>43</v>
      </c>
      <c r="I1384" s="42">
        <v>20</v>
      </c>
      <c r="J1384" s="42">
        <v>0</v>
      </c>
      <c r="K1384" s="60">
        <v>0</v>
      </c>
      <c r="L1384" s="66">
        <f t="shared" ref="L1384" si="326">SUM(I1384:K1384)</f>
        <v>20</v>
      </c>
      <c r="M1384" s="43"/>
    </row>
    <row r="1385" spans="2:14" ht="15.75" hidden="1" x14ac:dyDescent="0.25">
      <c r="B1385" s="10">
        <v>46197</v>
      </c>
      <c r="C1385" s="10" t="s">
        <v>153</v>
      </c>
      <c r="D1385" s="10" t="s">
        <v>23</v>
      </c>
      <c r="F1385" s="945"/>
      <c r="G1385" s="29" t="s">
        <v>17</v>
      </c>
      <c r="H1385" s="29" t="s">
        <v>105</v>
      </c>
      <c r="I1385" s="42">
        <f>75+30</f>
        <v>105</v>
      </c>
      <c r="J1385" s="42">
        <f>16+13</f>
        <v>29</v>
      </c>
      <c r="K1385" s="60">
        <v>0</v>
      </c>
      <c r="L1385" s="66">
        <f t="shared" ref="L1385" si="327">SUM(I1385:K1385)</f>
        <v>134</v>
      </c>
      <c r="M1385" s="43"/>
      <c r="N1385" s="2"/>
    </row>
    <row r="1386" spans="2:14" ht="15.75" hidden="1" x14ac:dyDescent="0.2">
      <c r="B1386" s="10">
        <v>46197</v>
      </c>
      <c r="C1386" s="10" t="s">
        <v>153</v>
      </c>
      <c r="D1386" s="10" t="s">
        <v>23</v>
      </c>
      <c r="F1386" s="937" t="s">
        <v>40</v>
      </c>
      <c r="G1386" s="937"/>
      <c r="H1386" s="937"/>
      <c r="I1386" s="8">
        <f>SUM(I1382:I1385)</f>
        <v>265</v>
      </c>
      <c r="J1386" s="8">
        <f t="shared" ref="J1386:K1386" si="328">SUM(J1382:J1385)</f>
        <v>81</v>
      </c>
      <c r="K1386" s="8">
        <f t="shared" si="328"/>
        <v>11</v>
      </c>
      <c r="L1386" s="8">
        <f>SUBTOTAL(9,I1386:K1386)</f>
        <v>0</v>
      </c>
      <c r="M1386" s="316"/>
      <c r="N1386" s="2"/>
    </row>
    <row r="1387" spans="2:14" ht="15.75" hidden="1" x14ac:dyDescent="0.25">
      <c r="B1387" s="10">
        <v>46197</v>
      </c>
      <c r="C1387" s="10" t="s">
        <v>18</v>
      </c>
      <c r="D1387" s="10" t="s">
        <v>129</v>
      </c>
      <c r="F1387" s="315">
        <v>46197</v>
      </c>
      <c r="G1387" s="29" t="s">
        <v>17</v>
      </c>
      <c r="H1387" s="29" t="s">
        <v>105</v>
      </c>
      <c r="I1387" s="42">
        <v>18</v>
      </c>
      <c r="J1387" s="42">
        <v>17</v>
      </c>
      <c r="K1387" s="60">
        <v>0</v>
      </c>
      <c r="L1387" s="66">
        <f t="shared" ref="L1387:L1391" si="329">SUM(I1387:K1387)</f>
        <v>35</v>
      </c>
      <c r="M1387" s="43"/>
    </row>
    <row r="1388" spans="2:14" ht="15.75" hidden="1" x14ac:dyDescent="0.25">
      <c r="B1388" s="10">
        <v>46197</v>
      </c>
      <c r="C1388" s="10" t="s">
        <v>18</v>
      </c>
      <c r="D1388" s="10" t="s">
        <v>129</v>
      </c>
      <c r="F1388" s="948">
        <v>46198</v>
      </c>
      <c r="G1388" s="29" t="s">
        <v>16</v>
      </c>
      <c r="H1388" s="29" t="s">
        <v>151</v>
      </c>
      <c r="I1388" s="42">
        <v>0</v>
      </c>
      <c r="J1388" s="42">
        <v>0</v>
      </c>
      <c r="K1388" s="60">
        <v>18</v>
      </c>
      <c r="L1388" s="66">
        <f t="shared" si="329"/>
        <v>18</v>
      </c>
      <c r="M1388" s="43"/>
    </row>
    <row r="1389" spans="2:14" ht="15.75" hidden="1" x14ac:dyDescent="0.25">
      <c r="B1389" s="10">
        <v>46197</v>
      </c>
      <c r="C1389" s="10" t="s">
        <v>18</v>
      </c>
      <c r="D1389" s="10" t="s">
        <v>129</v>
      </c>
      <c r="F1389" s="948"/>
      <c r="G1389" s="29" t="s">
        <v>14</v>
      </c>
      <c r="H1389" s="29" t="s">
        <v>106</v>
      </c>
      <c r="I1389" s="42">
        <v>104</v>
      </c>
      <c r="J1389" s="42">
        <v>29</v>
      </c>
      <c r="K1389" s="60">
        <v>0</v>
      </c>
      <c r="L1389" s="66">
        <f t="shared" si="329"/>
        <v>133</v>
      </c>
      <c r="M1389" s="43"/>
    </row>
    <row r="1390" spans="2:14" ht="15.75" hidden="1" x14ac:dyDescent="0.25">
      <c r="B1390" s="10">
        <v>46197</v>
      </c>
      <c r="C1390" s="10" t="s">
        <v>18</v>
      </c>
      <c r="D1390" s="10" t="s">
        <v>129</v>
      </c>
      <c r="F1390" s="948"/>
      <c r="G1390" s="29" t="s">
        <v>118</v>
      </c>
      <c r="H1390" s="29" t="s">
        <v>43</v>
      </c>
      <c r="I1390" s="42">
        <v>47</v>
      </c>
      <c r="J1390" s="42">
        <v>1</v>
      </c>
      <c r="K1390" s="60">
        <v>0</v>
      </c>
      <c r="L1390" s="66">
        <f t="shared" si="329"/>
        <v>48</v>
      </c>
      <c r="M1390" s="43"/>
    </row>
    <row r="1391" spans="2:14" ht="15.75" hidden="1" x14ac:dyDescent="0.25">
      <c r="B1391" s="10">
        <v>46197</v>
      </c>
      <c r="C1391" s="10" t="s">
        <v>18</v>
      </c>
      <c r="D1391" s="10" t="s">
        <v>129</v>
      </c>
      <c r="F1391" s="948"/>
      <c r="G1391" s="29" t="s">
        <v>17</v>
      </c>
      <c r="H1391" s="29" t="s">
        <v>105</v>
      </c>
      <c r="I1391" s="42">
        <v>20</v>
      </c>
      <c r="J1391" s="42">
        <v>15</v>
      </c>
      <c r="K1391" s="60">
        <v>23</v>
      </c>
      <c r="L1391" s="66">
        <f t="shared" si="329"/>
        <v>58</v>
      </c>
      <c r="M1391" s="43"/>
    </row>
    <row r="1392" spans="2:14" ht="15.75" hidden="1" x14ac:dyDescent="0.2">
      <c r="B1392" s="10">
        <v>46197</v>
      </c>
      <c r="C1392" s="10" t="s">
        <v>18</v>
      </c>
      <c r="D1392" s="10" t="s">
        <v>129</v>
      </c>
      <c r="F1392" s="937" t="s">
        <v>40</v>
      </c>
      <c r="G1392" s="937"/>
      <c r="H1392" s="937"/>
      <c r="I1392" s="8">
        <f t="shared" ref="I1392:K1392" si="330">SUM(I1387:I1391)</f>
        <v>189</v>
      </c>
      <c r="J1392" s="8">
        <f t="shared" si="330"/>
        <v>62</v>
      </c>
      <c r="K1392" s="8">
        <f t="shared" si="330"/>
        <v>41</v>
      </c>
      <c r="L1392" s="8">
        <f>SUM(L1387:L1391)</f>
        <v>292</v>
      </c>
      <c r="M1392" s="316"/>
    </row>
    <row r="1393" spans="2:13" ht="15.75" hidden="1" x14ac:dyDescent="0.25">
      <c r="B1393" s="10">
        <v>46198</v>
      </c>
      <c r="C1393" s="10" t="s">
        <v>154</v>
      </c>
      <c r="D1393" s="10" t="s">
        <v>150</v>
      </c>
      <c r="F1393" s="948">
        <v>46198</v>
      </c>
      <c r="G1393" s="29" t="s">
        <v>16</v>
      </c>
      <c r="H1393" s="29" t="s">
        <v>151</v>
      </c>
      <c r="I1393" s="42">
        <v>48</v>
      </c>
      <c r="J1393" s="42">
        <v>26</v>
      </c>
      <c r="K1393" s="60">
        <v>0</v>
      </c>
      <c r="L1393" s="66">
        <f t="shared" ref="L1393:L1398" si="331">SUM(I1393:K1393)</f>
        <v>74</v>
      </c>
      <c r="M1393" s="43"/>
    </row>
    <row r="1394" spans="2:13" ht="15.75" hidden="1" x14ac:dyDescent="0.25">
      <c r="B1394" s="10">
        <v>46198</v>
      </c>
      <c r="C1394" s="10" t="s">
        <v>154</v>
      </c>
      <c r="D1394" s="10" t="s">
        <v>150</v>
      </c>
      <c r="F1394" s="948"/>
      <c r="G1394" s="29" t="s">
        <v>14</v>
      </c>
      <c r="H1394" s="29" t="s">
        <v>106</v>
      </c>
      <c r="I1394" s="42">
        <v>13</v>
      </c>
      <c r="J1394" s="42">
        <v>12</v>
      </c>
      <c r="K1394" s="60">
        <v>0</v>
      </c>
      <c r="L1394" s="66">
        <f t="shared" si="331"/>
        <v>25</v>
      </c>
      <c r="M1394" s="43"/>
    </row>
    <row r="1395" spans="2:13" ht="15.75" hidden="1" x14ac:dyDescent="0.25">
      <c r="B1395" s="10">
        <v>46198</v>
      </c>
      <c r="C1395" s="10" t="s">
        <v>154</v>
      </c>
      <c r="D1395" s="10" t="s">
        <v>150</v>
      </c>
      <c r="F1395" s="948"/>
      <c r="G1395" s="29" t="s">
        <v>118</v>
      </c>
      <c r="H1395" s="29" t="s">
        <v>43</v>
      </c>
      <c r="I1395" s="42">
        <v>9</v>
      </c>
      <c r="J1395" s="42">
        <v>0</v>
      </c>
      <c r="K1395" s="60">
        <v>0</v>
      </c>
      <c r="L1395" s="66">
        <f t="shared" si="331"/>
        <v>9</v>
      </c>
      <c r="M1395" s="43"/>
    </row>
    <row r="1396" spans="2:13" ht="15.75" hidden="1" x14ac:dyDescent="0.25">
      <c r="B1396" s="10">
        <v>46198</v>
      </c>
      <c r="C1396" s="10" t="s">
        <v>154</v>
      </c>
      <c r="D1396" s="10" t="s">
        <v>150</v>
      </c>
      <c r="F1396" s="948"/>
      <c r="G1396" s="29" t="s">
        <v>155</v>
      </c>
      <c r="H1396" s="29" t="s">
        <v>43</v>
      </c>
      <c r="I1396" s="42">
        <v>16</v>
      </c>
      <c r="J1396" s="42">
        <v>0</v>
      </c>
      <c r="K1396" s="60">
        <v>0</v>
      </c>
      <c r="L1396" s="66">
        <f t="shared" si="331"/>
        <v>16</v>
      </c>
      <c r="M1396" s="43"/>
    </row>
    <row r="1397" spans="2:13" ht="15.75" hidden="1" x14ac:dyDescent="0.25">
      <c r="B1397" s="10">
        <v>46198</v>
      </c>
      <c r="C1397" s="10" t="s">
        <v>154</v>
      </c>
      <c r="D1397" s="10" t="s">
        <v>150</v>
      </c>
      <c r="F1397" s="948"/>
      <c r="G1397" s="29" t="s">
        <v>17</v>
      </c>
      <c r="H1397" s="29" t="s">
        <v>105</v>
      </c>
      <c r="I1397" s="42">
        <v>44</v>
      </c>
      <c r="J1397" s="42">
        <v>14</v>
      </c>
      <c r="K1397" s="60">
        <v>44</v>
      </c>
      <c r="L1397" s="66">
        <f t="shared" si="331"/>
        <v>102</v>
      </c>
      <c r="M1397" s="43"/>
    </row>
    <row r="1398" spans="2:13" ht="15.75" hidden="1" x14ac:dyDescent="0.25">
      <c r="B1398" s="10">
        <v>46198</v>
      </c>
      <c r="C1398" s="10" t="s">
        <v>154</v>
      </c>
      <c r="D1398" s="10" t="s">
        <v>150</v>
      </c>
      <c r="F1398" s="317">
        <v>46199</v>
      </c>
      <c r="G1398" s="29" t="s">
        <v>16</v>
      </c>
      <c r="H1398" s="29" t="s">
        <v>151</v>
      </c>
      <c r="I1398" s="42">
        <v>11</v>
      </c>
      <c r="J1398" s="42">
        <v>2</v>
      </c>
      <c r="K1398" s="60">
        <v>18</v>
      </c>
      <c r="L1398" s="66">
        <f t="shared" si="331"/>
        <v>31</v>
      </c>
      <c r="M1398" s="43"/>
    </row>
    <row r="1399" spans="2:13" ht="15.75" hidden="1" x14ac:dyDescent="0.2">
      <c r="B1399" s="10">
        <v>46198</v>
      </c>
      <c r="C1399" s="10" t="s">
        <v>154</v>
      </c>
      <c r="D1399" s="10" t="s">
        <v>150</v>
      </c>
      <c r="F1399" s="937" t="s">
        <v>40</v>
      </c>
      <c r="G1399" s="937"/>
      <c r="H1399" s="937"/>
      <c r="I1399" s="8">
        <f>SUM(I1393:I1398)</f>
        <v>141</v>
      </c>
      <c r="J1399" s="8">
        <f>SUM(J1393:J1398)</f>
        <v>54</v>
      </c>
      <c r="K1399" s="8">
        <f>SUM(K1393:K1398)</f>
        <v>62</v>
      </c>
      <c r="L1399" s="8">
        <f>SUM(L1393:L1398)</f>
        <v>257</v>
      </c>
    </row>
    <row r="1400" spans="2:13" ht="15.75" hidden="1" x14ac:dyDescent="0.25">
      <c r="B1400" s="10">
        <v>46198</v>
      </c>
      <c r="C1400" s="10" t="s">
        <v>12</v>
      </c>
      <c r="D1400" s="10" t="s">
        <v>150</v>
      </c>
      <c r="F1400" s="948">
        <v>46198</v>
      </c>
      <c r="G1400" s="29" t="s">
        <v>16</v>
      </c>
      <c r="H1400" s="29" t="s">
        <v>151</v>
      </c>
      <c r="I1400" s="42">
        <v>108</v>
      </c>
      <c r="J1400" s="42">
        <v>38</v>
      </c>
      <c r="K1400" s="60">
        <v>0</v>
      </c>
      <c r="L1400" s="66">
        <f t="shared" ref="L1400:L1402" si="332">SUM(I1400:K1400)</f>
        <v>146</v>
      </c>
      <c r="M1400" s="43"/>
    </row>
    <row r="1401" spans="2:13" ht="15.75" hidden="1" x14ac:dyDescent="0.25">
      <c r="B1401" s="10">
        <v>46198</v>
      </c>
      <c r="C1401" s="10" t="s">
        <v>12</v>
      </c>
      <c r="D1401" s="10" t="s">
        <v>150</v>
      </c>
      <c r="F1401" s="948"/>
      <c r="G1401" s="29" t="s">
        <v>14</v>
      </c>
      <c r="H1401" s="29" t="s">
        <v>106</v>
      </c>
      <c r="I1401" s="42">
        <v>28</v>
      </c>
      <c r="J1401" s="42">
        <v>8</v>
      </c>
      <c r="K1401" s="60">
        <v>0</v>
      </c>
      <c r="L1401" s="66">
        <f t="shared" si="332"/>
        <v>36</v>
      </c>
      <c r="M1401" s="43"/>
    </row>
    <row r="1402" spans="2:13" ht="15.75" hidden="1" x14ac:dyDescent="0.25">
      <c r="B1402" s="10">
        <v>46198</v>
      </c>
      <c r="C1402" s="10" t="s">
        <v>12</v>
      </c>
      <c r="D1402" s="10" t="s">
        <v>150</v>
      </c>
      <c r="F1402" s="948"/>
      <c r="G1402" s="29" t="s">
        <v>17</v>
      </c>
      <c r="H1402" s="29" t="s">
        <v>105</v>
      </c>
      <c r="I1402" s="42">
        <v>61</v>
      </c>
      <c r="J1402" s="42">
        <v>7</v>
      </c>
      <c r="K1402" s="60">
        <v>0</v>
      </c>
      <c r="L1402" s="66">
        <f t="shared" si="332"/>
        <v>68</v>
      </c>
      <c r="M1402" s="43"/>
    </row>
    <row r="1403" spans="2:13" ht="15.75" hidden="1" x14ac:dyDescent="0.25">
      <c r="B1403" s="10">
        <v>46198</v>
      </c>
      <c r="C1403" s="10" t="s">
        <v>12</v>
      </c>
      <c r="D1403" s="10" t="s">
        <v>150</v>
      </c>
      <c r="F1403" s="937" t="s">
        <v>40</v>
      </c>
      <c r="G1403" s="937"/>
      <c r="H1403" s="937"/>
      <c r="I1403" s="8">
        <f>SUM(I1400:I1402)</f>
        <v>197</v>
      </c>
      <c r="J1403" s="8">
        <f t="shared" ref="J1403:K1403" si="333">SUM(J1400:J1402)</f>
        <v>53</v>
      </c>
      <c r="K1403" s="8">
        <f t="shared" si="333"/>
        <v>0</v>
      </c>
      <c r="L1403" s="8">
        <f>SUM(L1400:L1402)</f>
        <v>250</v>
      </c>
      <c r="M1403" s="43"/>
    </row>
    <row r="1404" spans="2:13" ht="15.75" hidden="1" x14ac:dyDescent="0.25">
      <c r="B1404" s="10">
        <v>46198</v>
      </c>
      <c r="C1404" s="10" t="s">
        <v>18</v>
      </c>
      <c r="D1404" s="10" t="s">
        <v>129</v>
      </c>
      <c r="F1404" s="320">
        <v>46198</v>
      </c>
      <c r="G1404" s="29" t="s">
        <v>17</v>
      </c>
      <c r="H1404" s="29" t="s">
        <v>18</v>
      </c>
      <c r="I1404" s="42">
        <v>29</v>
      </c>
      <c r="J1404" s="42">
        <v>10</v>
      </c>
      <c r="K1404" s="60">
        <v>0</v>
      </c>
      <c r="L1404" s="66">
        <f t="shared" ref="L1404:L1407" si="334">SUM(I1404:K1404)</f>
        <v>39</v>
      </c>
      <c r="M1404" s="43"/>
    </row>
    <row r="1405" spans="2:13" ht="15.75" hidden="1" x14ac:dyDescent="0.25">
      <c r="B1405" s="10">
        <v>46198</v>
      </c>
      <c r="C1405" s="10" t="s">
        <v>18</v>
      </c>
      <c r="D1405" s="10" t="s">
        <v>129</v>
      </c>
      <c r="F1405" s="943">
        <v>46199</v>
      </c>
      <c r="G1405" s="29" t="s">
        <v>16</v>
      </c>
      <c r="H1405" s="29" t="s">
        <v>151</v>
      </c>
      <c r="I1405" s="42">
        <v>0</v>
      </c>
      <c r="J1405" s="42">
        <v>0</v>
      </c>
      <c r="K1405" s="60">
        <v>23</v>
      </c>
      <c r="L1405" s="66">
        <f t="shared" si="334"/>
        <v>23</v>
      </c>
      <c r="M1405" s="43"/>
    </row>
    <row r="1406" spans="2:13" ht="15.75" hidden="1" x14ac:dyDescent="0.25">
      <c r="B1406" s="10">
        <v>46198</v>
      </c>
      <c r="C1406" s="10" t="s">
        <v>18</v>
      </c>
      <c r="D1406" s="10" t="s">
        <v>129</v>
      </c>
      <c r="F1406" s="945"/>
      <c r="G1406" s="29" t="s">
        <v>14</v>
      </c>
      <c r="H1406" s="29" t="s">
        <v>15</v>
      </c>
      <c r="I1406" s="42">
        <v>129</v>
      </c>
      <c r="J1406" s="42">
        <v>29</v>
      </c>
      <c r="K1406" s="60">
        <v>0</v>
      </c>
      <c r="L1406" s="66">
        <f t="shared" si="334"/>
        <v>158</v>
      </c>
      <c r="M1406" s="43"/>
    </row>
    <row r="1407" spans="2:13" ht="15.75" hidden="1" x14ac:dyDescent="0.25">
      <c r="B1407" s="10">
        <v>46198</v>
      </c>
      <c r="C1407" s="10" t="s">
        <v>18</v>
      </c>
      <c r="D1407" s="10" t="s">
        <v>129</v>
      </c>
      <c r="F1407" s="319" t="s">
        <v>157</v>
      </c>
      <c r="G1407" s="29" t="s">
        <v>25</v>
      </c>
      <c r="H1407" s="29" t="s">
        <v>18</v>
      </c>
      <c r="I1407" s="42">
        <v>8</v>
      </c>
      <c r="J1407" s="42">
        <v>8</v>
      </c>
      <c r="K1407" s="60">
        <v>27</v>
      </c>
      <c r="L1407" s="66">
        <f t="shared" si="334"/>
        <v>43</v>
      </c>
      <c r="M1407" s="43"/>
    </row>
    <row r="1408" spans="2:13" ht="15.75" hidden="1" x14ac:dyDescent="0.2">
      <c r="B1408" s="10">
        <v>46198</v>
      </c>
      <c r="C1408" s="10" t="s">
        <v>18</v>
      </c>
      <c r="D1408" s="10" t="s">
        <v>129</v>
      </c>
      <c r="F1408" s="937" t="s">
        <v>40</v>
      </c>
      <c r="G1408" s="937"/>
      <c r="H1408" s="937"/>
      <c r="I1408" s="8">
        <f>SUM(I1404:I1407)</f>
        <v>166</v>
      </c>
      <c r="J1408" s="8">
        <f>SUM(J1404:J1407)</f>
        <v>47</v>
      </c>
      <c r="K1408" s="8">
        <f>SUM(K1404:K1407)</f>
        <v>50</v>
      </c>
      <c r="L1408" s="8">
        <f>SUM(L1404:L1407)</f>
        <v>263</v>
      </c>
      <c r="M1408" s="316"/>
    </row>
    <row r="1409" spans="2:13" ht="15.75" hidden="1" x14ac:dyDescent="0.25">
      <c r="B1409" s="10">
        <v>46199</v>
      </c>
      <c r="C1409" s="10" t="s">
        <v>22</v>
      </c>
      <c r="D1409" s="10" t="s">
        <v>23</v>
      </c>
      <c r="F1409" s="939">
        <v>46199</v>
      </c>
      <c r="G1409" s="29" t="s">
        <v>16</v>
      </c>
      <c r="H1409" s="29" t="s">
        <v>15</v>
      </c>
      <c r="I1409" s="42">
        <v>50</v>
      </c>
      <c r="J1409" s="42">
        <v>23</v>
      </c>
      <c r="K1409" s="60">
        <v>65</v>
      </c>
      <c r="L1409" s="66">
        <f t="shared" ref="L1409:L1413" si="335">SUM(I1409:K1409)</f>
        <v>138</v>
      </c>
      <c r="M1409" s="43"/>
    </row>
    <row r="1410" spans="2:13" ht="15.75" hidden="1" x14ac:dyDescent="0.25">
      <c r="B1410" s="10">
        <v>46199</v>
      </c>
      <c r="C1410" s="10" t="s">
        <v>22</v>
      </c>
      <c r="D1410" s="10" t="s">
        <v>23</v>
      </c>
      <c r="F1410" s="940"/>
      <c r="G1410" s="29" t="s">
        <v>14</v>
      </c>
      <c r="H1410" s="29" t="s">
        <v>15</v>
      </c>
      <c r="I1410" s="42">
        <v>29</v>
      </c>
      <c r="J1410" s="42">
        <v>6</v>
      </c>
      <c r="K1410" s="60">
        <v>0</v>
      </c>
      <c r="L1410" s="66">
        <f t="shared" si="335"/>
        <v>35</v>
      </c>
      <c r="M1410" s="43"/>
    </row>
    <row r="1411" spans="2:13" ht="15.75" hidden="1" x14ac:dyDescent="0.25">
      <c r="B1411" s="10">
        <v>46199</v>
      </c>
      <c r="C1411" s="10" t="s">
        <v>22</v>
      </c>
      <c r="D1411" s="10" t="s">
        <v>23</v>
      </c>
      <c r="F1411" s="940"/>
      <c r="G1411" s="29" t="s">
        <v>17</v>
      </c>
      <c r="H1411" s="29" t="s">
        <v>18</v>
      </c>
      <c r="I1411" s="42">
        <v>25</v>
      </c>
      <c r="J1411" s="42">
        <v>0</v>
      </c>
      <c r="K1411" s="60">
        <v>23</v>
      </c>
      <c r="L1411" s="66">
        <f t="shared" si="335"/>
        <v>48</v>
      </c>
      <c r="M1411" s="43"/>
    </row>
    <row r="1412" spans="2:13" ht="15.75" hidden="1" x14ac:dyDescent="0.25">
      <c r="B1412" s="10">
        <v>46199</v>
      </c>
      <c r="C1412" s="10" t="s">
        <v>22</v>
      </c>
      <c r="D1412" s="10" t="s">
        <v>23</v>
      </c>
      <c r="F1412" s="940"/>
      <c r="G1412" s="29" t="s">
        <v>25</v>
      </c>
      <c r="H1412" s="29" t="s">
        <v>18</v>
      </c>
      <c r="I1412" s="42">
        <v>47</v>
      </c>
      <c r="J1412" s="42">
        <v>7</v>
      </c>
      <c r="K1412" s="60">
        <v>0</v>
      </c>
      <c r="L1412" s="66">
        <f t="shared" si="335"/>
        <v>54</v>
      </c>
      <c r="M1412" s="43"/>
    </row>
    <row r="1413" spans="2:13" ht="15.75" hidden="1" x14ac:dyDescent="0.25">
      <c r="B1413" s="10">
        <v>46199</v>
      </c>
      <c r="C1413" s="10" t="s">
        <v>22</v>
      </c>
      <c r="D1413" s="10" t="s">
        <v>23</v>
      </c>
      <c r="F1413" s="941"/>
      <c r="G1413" s="29" t="s">
        <v>118</v>
      </c>
      <c r="H1413" s="29" t="s">
        <v>43</v>
      </c>
      <c r="I1413" s="42">
        <v>4</v>
      </c>
      <c r="J1413" s="42">
        <v>0</v>
      </c>
      <c r="K1413" s="60">
        <v>0</v>
      </c>
      <c r="L1413" s="66">
        <f t="shared" si="335"/>
        <v>4</v>
      </c>
      <c r="M1413" s="43"/>
    </row>
    <row r="1414" spans="2:13" ht="15.75" hidden="1" x14ac:dyDescent="0.2">
      <c r="B1414" s="10">
        <v>46199</v>
      </c>
      <c r="C1414" s="10" t="s">
        <v>22</v>
      </c>
      <c r="D1414" s="10" t="s">
        <v>23</v>
      </c>
      <c r="F1414" s="937" t="s">
        <v>40</v>
      </c>
      <c r="G1414" s="937"/>
      <c r="H1414" s="937"/>
      <c r="I1414" s="8">
        <f>SUM(I1409:I1413)</f>
        <v>155</v>
      </c>
      <c r="J1414" s="8">
        <f>SUM(J1409:J1413)</f>
        <v>36</v>
      </c>
      <c r="K1414" s="8">
        <f>SUM(K1409:K1413)</f>
        <v>88</v>
      </c>
      <c r="L1414" s="8">
        <f>SUM(L1409:L1412)</f>
        <v>275</v>
      </c>
      <c r="M1414" s="316"/>
    </row>
    <row r="1415" spans="2:13" ht="15.75" hidden="1" x14ac:dyDescent="0.25">
      <c r="B1415" s="10">
        <v>46199</v>
      </c>
      <c r="C1415" s="10" t="s">
        <v>12</v>
      </c>
      <c r="D1415" s="10" t="s">
        <v>23</v>
      </c>
      <c r="F1415" s="939">
        <v>46199</v>
      </c>
      <c r="G1415" s="29" t="s">
        <v>16</v>
      </c>
      <c r="H1415" s="29" t="s">
        <v>15</v>
      </c>
      <c r="I1415" s="42">
        <v>136</v>
      </c>
      <c r="J1415" s="42">
        <v>28</v>
      </c>
      <c r="K1415" s="60">
        <v>0</v>
      </c>
      <c r="L1415" s="66">
        <f t="shared" ref="L1415:L1418" si="336">SUM(I1415:K1415)</f>
        <v>164</v>
      </c>
      <c r="M1415" s="43"/>
    </row>
    <row r="1416" spans="2:13" ht="15.75" hidden="1" x14ac:dyDescent="0.25">
      <c r="B1416" s="10">
        <v>46199</v>
      </c>
      <c r="C1416" s="10" t="s">
        <v>12</v>
      </c>
      <c r="D1416" s="10" t="s">
        <v>23</v>
      </c>
      <c r="F1416" s="940"/>
      <c r="G1416" s="29" t="s">
        <v>14</v>
      </c>
      <c r="H1416" s="29" t="s">
        <v>15</v>
      </c>
      <c r="I1416" s="42">
        <v>35</v>
      </c>
      <c r="J1416" s="42">
        <v>1</v>
      </c>
      <c r="K1416" s="60">
        <v>0</v>
      </c>
      <c r="L1416" s="66">
        <f t="shared" si="336"/>
        <v>36</v>
      </c>
      <c r="M1416" s="43"/>
    </row>
    <row r="1417" spans="2:13" ht="15.75" hidden="1" x14ac:dyDescent="0.25">
      <c r="B1417" s="10">
        <v>46199</v>
      </c>
      <c r="C1417" s="10" t="s">
        <v>12</v>
      </c>
      <c r="D1417" s="10" t="s">
        <v>23</v>
      </c>
      <c r="F1417" s="940"/>
      <c r="G1417" s="29" t="s">
        <v>17</v>
      </c>
      <c r="H1417" s="29" t="s">
        <v>18</v>
      </c>
      <c r="I1417" s="42">
        <v>5</v>
      </c>
      <c r="J1417" s="42">
        <v>1</v>
      </c>
      <c r="K1417" s="60">
        <v>23</v>
      </c>
      <c r="L1417" s="66">
        <f t="shared" si="336"/>
        <v>29</v>
      </c>
      <c r="M1417" s="43"/>
    </row>
    <row r="1418" spans="2:13" ht="15.75" hidden="1" x14ac:dyDescent="0.25">
      <c r="B1418" s="10">
        <v>46199</v>
      </c>
      <c r="C1418" s="10" t="s">
        <v>12</v>
      </c>
      <c r="D1418" s="10" t="s">
        <v>23</v>
      </c>
      <c r="F1418" s="940"/>
      <c r="G1418" s="29" t="s">
        <v>25</v>
      </c>
      <c r="H1418" s="29" t="s">
        <v>18</v>
      </c>
      <c r="I1418" s="42">
        <v>55</v>
      </c>
      <c r="J1418" s="42">
        <v>15</v>
      </c>
      <c r="K1418" s="60">
        <v>14</v>
      </c>
      <c r="L1418" s="66">
        <f t="shared" si="336"/>
        <v>84</v>
      </c>
      <c r="M1418" s="43"/>
    </row>
    <row r="1419" spans="2:13" ht="15.75" hidden="1" x14ac:dyDescent="0.2">
      <c r="B1419" s="10">
        <v>46199</v>
      </c>
      <c r="C1419" s="10" t="s">
        <v>12</v>
      </c>
      <c r="D1419" s="10" t="s">
        <v>23</v>
      </c>
      <c r="F1419" s="937" t="s">
        <v>40</v>
      </c>
      <c r="G1419" s="937"/>
      <c r="H1419" s="937"/>
      <c r="I1419" s="8">
        <f>SUM(I1415:I1418)</f>
        <v>231</v>
      </c>
      <c r="J1419" s="8">
        <f>SUM(J1415:J1418)</f>
        <v>45</v>
      </c>
      <c r="K1419" s="8">
        <f>SUM(K1415:K1418)</f>
        <v>37</v>
      </c>
      <c r="L1419" s="8">
        <f>SUM(L1415:L1418)</f>
        <v>313</v>
      </c>
      <c r="M1419" s="316"/>
    </row>
    <row r="1420" spans="2:13" ht="15.75" hidden="1" x14ac:dyDescent="0.25">
      <c r="B1420" s="10">
        <v>46199</v>
      </c>
      <c r="C1420" s="10" t="s">
        <v>18</v>
      </c>
      <c r="D1420" s="10" t="s">
        <v>129</v>
      </c>
      <c r="F1420" s="322" t="s">
        <v>157</v>
      </c>
      <c r="G1420" s="29" t="s">
        <v>25</v>
      </c>
      <c r="H1420" s="29" t="s">
        <v>18</v>
      </c>
      <c r="I1420" s="42">
        <v>62</v>
      </c>
      <c r="J1420" s="42">
        <v>28</v>
      </c>
      <c r="K1420" s="60">
        <v>0</v>
      </c>
      <c r="L1420" s="66">
        <f t="shared" ref="L1420:L1424" si="337">SUM(I1420:K1420)</f>
        <v>90</v>
      </c>
      <c r="M1420" s="43"/>
    </row>
    <row r="1421" spans="2:13" ht="15.75" hidden="1" x14ac:dyDescent="0.25">
      <c r="B1421" s="10">
        <v>46199</v>
      </c>
      <c r="C1421" s="10" t="s">
        <v>18</v>
      </c>
      <c r="D1421" s="10" t="s">
        <v>129</v>
      </c>
      <c r="F1421" s="948">
        <v>46200</v>
      </c>
      <c r="G1421" s="29" t="s">
        <v>14</v>
      </c>
      <c r="H1421" s="29" t="s">
        <v>15</v>
      </c>
      <c r="I1421" s="42">
        <v>117</v>
      </c>
      <c r="J1421" s="42">
        <v>16</v>
      </c>
      <c r="K1421" s="60">
        <v>0</v>
      </c>
      <c r="L1421" s="66">
        <f t="shared" si="337"/>
        <v>133</v>
      </c>
      <c r="M1421" s="43"/>
    </row>
    <row r="1422" spans="2:13" ht="15.75" hidden="1" x14ac:dyDescent="0.25">
      <c r="B1422" s="10">
        <v>46199</v>
      </c>
      <c r="C1422" s="10" t="s">
        <v>18</v>
      </c>
      <c r="D1422" s="10" t="s">
        <v>129</v>
      </c>
      <c r="F1422" s="948"/>
      <c r="G1422" s="29" t="s">
        <v>17</v>
      </c>
      <c r="H1422" s="29" t="s">
        <v>18</v>
      </c>
      <c r="I1422" s="42">
        <v>14</v>
      </c>
      <c r="J1422" s="42">
        <v>18</v>
      </c>
      <c r="K1422" s="60">
        <v>16</v>
      </c>
      <c r="L1422" s="66">
        <f t="shared" si="337"/>
        <v>48</v>
      </c>
      <c r="M1422" s="43"/>
    </row>
    <row r="1423" spans="2:13" ht="15.75" hidden="1" x14ac:dyDescent="0.25">
      <c r="B1423" s="10">
        <v>46199</v>
      </c>
      <c r="C1423" s="10" t="s">
        <v>18</v>
      </c>
      <c r="D1423" s="10" t="s">
        <v>129</v>
      </c>
      <c r="F1423" s="321">
        <v>46201</v>
      </c>
      <c r="G1423" s="29" t="s">
        <v>118</v>
      </c>
      <c r="H1423" s="29" t="s">
        <v>43</v>
      </c>
      <c r="I1423" s="42">
        <v>28</v>
      </c>
      <c r="J1423" s="42">
        <v>2</v>
      </c>
      <c r="K1423" s="60">
        <v>0</v>
      </c>
      <c r="L1423" s="66">
        <f t="shared" si="337"/>
        <v>30</v>
      </c>
      <c r="M1423" s="43"/>
    </row>
    <row r="1424" spans="2:13" ht="15.75" hidden="1" x14ac:dyDescent="0.25">
      <c r="B1424" s="10">
        <v>46199</v>
      </c>
      <c r="C1424" s="10" t="s">
        <v>18</v>
      </c>
      <c r="D1424" s="10" t="s">
        <v>129</v>
      </c>
      <c r="F1424" s="321">
        <v>46202</v>
      </c>
      <c r="G1424" s="29" t="s">
        <v>16</v>
      </c>
      <c r="H1424" s="29" t="s">
        <v>151</v>
      </c>
      <c r="I1424" s="42">
        <v>0</v>
      </c>
      <c r="J1424" s="42">
        <v>0</v>
      </c>
      <c r="K1424" s="60">
        <v>14</v>
      </c>
      <c r="L1424" s="66">
        <f t="shared" si="337"/>
        <v>14</v>
      </c>
      <c r="M1424" s="43"/>
    </row>
    <row r="1425" spans="2:13" ht="15.75" hidden="1" x14ac:dyDescent="0.2">
      <c r="B1425" s="10">
        <v>46199</v>
      </c>
      <c r="C1425" s="10" t="s">
        <v>18</v>
      </c>
      <c r="D1425" s="10" t="s">
        <v>129</v>
      </c>
      <c r="F1425" s="937" t="s">
        <v>40</v>
      </c>
      <c r="G1425" s="937"/>
      <c r="H1425" s="937"/>
      <c r="I1425" s="8">
        <f>SUM(I1420:I1424)</f>
        <v>221</v>
      </c>
      <c r="J1425" s="8">
        <f>SUM(J1420:J1424)</f>
        <v>64</v>
      </c>
      <c r="K1425" s="8">
        <f>SUM(K1420:K1424)</f>
        <v>30</v>
      </c>
      <c r="L1425" s="8">
        <f>SUM(L1420:L1424)</f>
        <v>315</v>
      </c>
      <c r="M1425" s="316"/>
    </row>
    <row r="1426" spans="2:13" ht="15.75" hidden="1" x14ac:dyDescent="0.25">
      <c r="B1426" s="10">
        <v>46200</v>
      </c>
      <c r="C1426" s="10" t="s">
        <v>22</v>
      </c>
      <c r="D1426" s="10" t="s">
        <v>23</v>
      </c>
      <c r="F1426" s="939" t="s">
        <v>158</v>
      </c>
      <c r="G1426" s="29" t="s">
        <v>16</v>
      </c>
      <c r="H1426" s="29" t="s">
        <v>15</v>
      </c>
      <c r="I1426" s="42">
        <v>27</v>
      </c>
      <c r="J1426" s="42">
        <v>16</v>
      </c>
      <c r="K1426" s="60">
        <v>46</v>
      </c>
      <c r="L1426" s="66">
        <f t="shared" ref="L1426:L1429" si="338">SUM(I1426:K1426)</f>
        <v>89</v>
      </c>
      <c r="M1426" s="43"/>
    </row>
    <row r="1427" spans="2:13" ht="15.75" hidden="1" x14ac:dyDescent="0.25">
      <c r="B1427" s="10">
        <v>46200</v>
      </c>
      <c r="C1427" s="10" t="s">
        <v>22</v>
      </c>
      <c r="D1427" s="10" t="s">
        <v>23</v>
      </c>
      <c r="F1427" s="940"/>
      <c r="G1427" s="29" t="s">
        <v>17</v>
      </c>
      <c r="H1427" s="29" t="s">
        <v>18</v>
      </c>
      <c r="I1427" s="42">
        <v>48</v>
      </c>
      <c r="J1427" s="42">
        <v>11</v>
      </c>
      <c r="K1427" s="60">
        <v>41</v>
      </c>
      <c r="L1427" s="66">
        <f t="shared" si="338"/>
        <v>100</v>
      </c>
      <c r="M1427" s="43"/>
    </row>
    <row r="1428" spans="2:13" ht="15.75" hidden="1" x14ac:dyDescent="0.25">
      <c r="B1428" s="10">
        <v>46200</v>
      </c>
      <c r="C1428" s="10" t="s">
        <v>22</v>
      </c>
      <c r="D1428" s="10" t="s">
        <v>23</v>
      </c>
      <c r="F1428" s="940"/>
      <c r="G1428" s="29" t="s">
        <v>25</v>
      </c>
      <c r="H1428" s="29" t="s">
        <v>22</v>
      </c>
      <c r="I1428" s="42">
        <v>39</v>
      </c>
      <c r="J1428" s="42">
        <v>18</v>
      </c>
      <c r="K1428" s="60">
        <v>0</v>
      </c>
      <c r="L1428" s="66">
        <f t="shared" si="338"/>
        <v>57</v>
      </c>
      <c r="M1428" s="43"/>
    </row>
    <row r="1429" spans="2:13" ht="15.75" hidden="1" x14ac:dyDescent="0.25">
      <c r="B1429" s="10">
        <v>46200</v>
      </c>
      <c r="C1429" s="10" t="s">
        <v>22</v>
      </c>
      <c r="D1429" s="10" t="s">
        <v>23</v>
      </c>
      <c r="F1429" s="940"/>
      <c r="G1429" s="29" t="s">
        <v>118</v>
      </c>
      <c r="H1429" s="29" t="s">
        <v>43</v>
      </c>
      <c r="I1429" s="42">
        <v>3</v>
      </c>
      <c r="J1429" s="42">
        <v>0</v>
      </c>
      <c r="K1429" s="60">
        <v>0</v>
      </c>
      <c r="L1429" s="66">
        <f t="shared" si="338"/>
        <v>3</v>
      </c>
      <c r="M1429" s="43"/>
    </row>
    <row r="1430" spans="2:13" ht="15.75" hidden="1" x14ac:dyDescent="0.2">
      <c r="B1430" s="10">
        <v>46200</v>
      </c>
      <c r="C1430" s="10" t="s">
        <v>22</v>
      </c>
      <c r="D1430" s="10" t="s">
        <v>23</v>
      </c>
      <c r="F1430" s="937" t="s">
        <v>40</v>
      </c>
      <c r="G1430" s="937"/>
      <c r="H1430" s="937"/>
      <c r="I1430" s="8">
        <f>SUM(I1426:I1429)</f>
        <v>117</v>
      </c>
      <c r="J1430" s="8">
        <f>SUM(J1426:J1429)</f>
        <v>45</v>
      </c>
      <c r="K1430" s="8">
        <f>SUM(K1426:K1429)</f>
        <v>87</v>
      </c>
      <c r="L1430" s="8">
        <f>SUM(L1426:L1429)</f>
        <v>249</v>
      </c>
      <c r="M1430" s="316"/>
    </row>
    <row r="1431" spans="2:13" ht="15.75" hidden="1" x14ac:dyDescent="0.25">
      <c r="B1431" s="10">
        <v>46200</v>
      </c>
      <c r="C1431" s="10" t="s">
        <v>12</v>
      </c>
      <c r="D1431" s="10" t="s">
        <v>23</v>
      </c>
      <c r="F1431" s="939" t="s">
        <v>158</v>
      </c>
      <c r="G1431" s="29" t="s">
        <v>16</v>
      </c>
      <c r="H1431" s="29" t="s">
        <v>15</v>
      </c>
      <c r="I1431" s="42">
        <v>17</v>
      </c>
      <c r="J1431" s="42">
        <v>3</v>
      </c>
      <c r="K1431" s="60">
        <v>42</v>
      </c>
      <c r="L1431" s="66">
        <f t="shared" ref="L1431:L1434" si="339">SUM(I1431:K1431)</f>
        <v>62</v>
      </c>
      <c r="M1431" s="43"/>
    </row>
    <row r="1432" spans="2:13" ht="15.75" hidden="1" x14ac:dyDescent="0.25">
      <c r="B1432" s="10">
        <v>46200</v>
      </c>
      <c r="C1432" s="10" t="s">
        <v>12</v>
      </c>
      <c r="D1432" s="10" t="s">
        <v>23</v>
      </c>
      <c r="F1432" s="940"/>
      <c r="G1432" s="29" t="s">
        <v>17</v>
      </c>
      <c r="H1432" s="29" t="s">
        <v>18</v>
      </c>
      <c r="I1432" s="42">
        <v>48</v>
      </c>
      <c r="J1432" s="42">
        <v>8</v>
      </c>
      <c r="K1432" s="60">
        <v>41</v>
      </c>
      <c r="L1432" s="66">
        <f t="shared" si="339"/>
        <v>97</v>
      </c>
      <c r="M1432" s="43"/>
    </row>
    <row r="1433" spans="2:13" ht="15.75" hidden="1" x14ac:dyDescent="0.25">
      <c r="B1433" s="10">
        <v>46200</v>
      </c>
      <c r="C1433" s="10" t="s">
        <v>12</v>
      </c>
      <c r="D1433" s="10" t="s">
        <v>23</v>
      </c>
      <c r="F1433" s="940"/>
      <c r="G1433" s="29" t="s">
        <v>14</v>
      </c>
      <c r="H1433" s="29" t="s">
        <v>22</v>
      </c>
      <c r="I1433" s="42">
        <v>13</v>
      </c>
      <c r="J1433" s="42">
        <v>4</v>
      </c>
      <c r="K1433" s="60">
        <v>34</v>
      </c>
      <c r="L1433" s="66">
        <f t="shared" si="339"/>
        <v>51</v>
      </c>
      <c r="M1433" s="43"/>
    </row>
    <row r="1434" spans="2:13" ht="15.75" hidden="1" x14ac:dyDescent="0.25">
      <c r="B1434" s="10">
        <v>46200</v>
      </c>
      <c r="C1434" s="10" t="s">
        <v>12</v>
      </c>
      <c r="D1434" s="10" t="s">
        <v>23</v>
      </c>
      <c r="F1434" s="940"/>
      <c r="G1434" s="29" t="s">
        <v>118</v>
      </c>
      <c r="H1434" s="29" t="s">
        <v>43</v>
      </c>
      <c r="I1434" s="42">
        <v>49</v>
      </c>
      <c r="J1434" s="42">
        <v>0</v>
      </c>
      <c r="K1434" s="60">
        <v>0</v>
      </c>
      <c r="L1434" s="66">
        <f t="shared" si="339"/>
        <v>49</v>
      </c>
      <c r="M1434" s="43"/>
    </row>
    <row r="1435" spans="2:13" ht="15.75" hidden="1" x14ac:dyDescent="0.2">
      <c r="B1435" s="10">
        <v>46200</v>
      </c>
      <c r="C1435" s="10" t="s">
        <v>12</v>
      </c>
      <c r="D1435" s="10" t="s">
        <v>23</v>
      </c>
      <c r="F1435" s="937" t="s">
        <v>40</v>
      </c>
      <c r="G1435" s="937"/>
      <c r="H1435" s="937"/>
      <c r="I1435" s="8">
        <f>SUM(I1431:I1434)</f>
        <v>127</v>
      </c>
      <c r="J1435" s="8">
        <f>SUM(J1431:J1434)</f>
        <v>15</v>
      </c>
      <c r="K1435" s="8">
        <f>SUM(K1431:K1434)</f>
        <v>117</v>
      </c>
      <c r="L1435" s="8">
        <f>SUM(L1431:L1434)</f>
        <v>259</v>
      </c>
      <c r="M1435" s="316"/>
    </row>
    <row r="1436" spans="2:13" ht="15.75" hidden="1" x14ac:dyDescent="0.25">
      <c r="B1436" s="10">
        <v>46200</v>
      </c>
      <c r="C1436" s="10" t="s">
        <v>18</v>
      </c>
      <c r="D1436" s="10" t="s">
        <v>129</v>
      </c>
      <c r="F1436" s="324">
        <v>46200</v>
      </c>
      <c r="G1436" s="29" t="s">
        <v>17</v>
      </c>
      <c r="H1436" s="29" t="s">
        <v>18</v>
      </c>
      <c r="I1436" s="42">
        <v>22</v>
      </c>
      <c r="J1436" s="42">
        <v>6</v>
      </c>
      <c r="K1436" s="60">
        <v>0</v>
      </c>
      <c r="L1436" s="66">
        <f t="shared" ref="L1436:L1439" si="340">SUM(I1436:K1436)</f>
        <v>28</v>
      </c>
      <c r="M1436" s="43"/>
    </row>
    <row r="1437" spans="2:13" ht="15.75" hidden="1" x14ac:dyDescent="0.25">
      <c r="B1437" s="10">
        <v>46200</v>
      </c>
      <c r="C1437" s="10" t="s">
        <v>18</v>
      </c>
      <c r="D1437" s="10" t="s">
        <v>129</v>
      </c>
      <c r="F1437" s="948">
        <v>46201</v>
      </c>
      <c r="G1437" s="29" t="s">
        <v>17</v>
      </c>
      <c r="H1437" s="29" t="s">
        <v>160</v>
      </c>
      <c r="I1437" s="42">
        <v>113</v>
      </c>
      <c r="J1437" s="42">
        <v>43</v>
      </c>
      <c r="K1437" s="60">
        <v>2</v>
      </c>
      <c r="L1437" s="66">
        <f t="shared" si="340"/>
        <v>158</v>
      </c>
      <c r="M1437" s="43"/>
    </row>
    <row r="1438" spans="2:13" ht="15.75" hidden="1" x14ac:dyDescent="0.25">
      <c r="B1438" s="10">
        <v>46200</v>
      </c>
      <c r="C1438" s="10" t="s">
        <v>18</v>
      </c>
      <c r="D1438" s="10" t="s">
        <v>129</v>
      </c>
      <c r="F1438" s="948"/>
      <c r="G1438" s="29" t="s">
        <v>14</v>
      </c>
      <c r="H1438" s="29" t="s">
        <v>12</v>
      </c>
      <c r="I1438" s="42">
        <v>13</v>
      </c>
      <c r="J1438" s="42">
        <v>0</v>
      </c>
      <c r="K1438" s="60">
        <v>19</v>
      </c>
      <c r="L1438" s="66">
        <f t="shared" si="340"/>
        <v>32</v>
      </c>
      <c r="M1438" s="43"/>
    </row>
    <row r="1439" spans="2:13" ht="15.75" hidden="1" x14ac:dyDescent="0.25">
      <c r="B1439" s="10">
        <v>46200</v>
      </c>
      <c r="C1439" s="10" t="s">
        <v>18</v>
      </c>
      <c r="D1439" s="10" t="s">
        <v>129</v>
      </c>
      <c r="F1439" s="325">
        <v>46202</v>
      </c>
      <c r="G1439" s="29" t="s">
        <v>16</v>
      </c>
      <c r="H1439" s="29" t="s">
        <v>151</v>
      </c>
      <c r="I1439" s="42">
        <v>0</v>
      </c>
      <c r="J1439" s="42">
        <v>0</v>
      </c>
      <c r="K1439" s="60">
        <v>49</v>
      </c>
      <c r="L1439" s="66">
        <f t="shared" si="340"/>
        <v>49</v>
      </c>
      <c r="M1439" s="43"/>
    </row>
    <row r="1440" spans="2:13" ht="15.75" hidden="1" x14ac:dyDescent="0.2">
      <c r="B1440" s="10">
        <v>46200</v>
      </c>
      <c r="C1440" s="10" t="s">
        <v>18</v>
      </c>
      <c r="D1440" s="10" t="s">
        <v>129</v>
      </c>
      <c r="F1440" s="937" t="s">
        <v>40</v>
      </c>
      <c r="G1440" s="937"/>
      <c r="H1440" s="937"/>
      <c r="I1440" s="8">
        <f>SUM(I1436:I1439)</f>
        <v>148</v>
      </c>
      <c r="J1440" s="8">
        <f>SUM(J1436:J1439)</f>
        <v>49</v>
      </c>
      <c r="K1440" s="8">
        <f>SUM(K1436:K1439)</f>
        <v>70</v>
      </c>
      <c r="L1440" s="8">
        <f>SUM(L1436:L1439)</f>
        <v>267</v>
      </c>
      <c r="M1440" s="316"/>
    </row>
    <row r="1441" spans="2:13" ht="15.75" hidden="1" x14ac:dyDescent="0.25">
      <c r="B1441" s="10">
        <v>46201</v>
      </c>
      <c r="C1441" s="10" t="s">
        <v>22</v>
      </c>
      <c r="D1441" s="10" t="s">
        <v>13</v>
      </c>
      <c r="F1441" s="948">
        <v>46201</v>
      </c>
      <c r="G1441" s="29" t="s">
        <v>17</v>
      </c>
      <c r="H1441" s="29" t="s">
        <v>160</v>
      </c>
      <c r="I1441" s="42">
        <v>16</v>
      </c>
      <c r="J1441" s="42">
        <v>31</v>
      </c>
      <c r="K1441" s="60">
        <v>0</v>
      </c>
      <c r="L1441" s="66">
        <f t="shared" ref="L1441:L1443" si="341">SUM(I1441:K1441)</f>
        <v>47</v>
      </c>
      <c r="M1441" s="43"/>
    </row>
    <row r="1442" spans="2:13" ht="15.75" hidden="1" x14ac:dyDescent="0.25">
      <c r="B1442" s="10">
        <v>46201</v>
      </c>
      <c r="C1442" s="10" t="s">
        <v>22</v>
      </c>
      <c r="D1442" s="10" t="s">
        <v>13</v>
      </c>
      <c r="F1442" s="948"/>
      <c r="G1442" s="29" t="s">
        <v>14</v>
      </c>
      <c r="H1442" s="29" t="s">
        <v>12</v>
      </c>
      <c r="I1442" s="42">
        <v>93</v>
      </c>
      <c r="J1442" s="42">
        <v>13</v>
      </c>
      <c r="K1442" s="60">
        <v>0</v>
      </c>
      <c r="L1442" s="66">
        <f t="shared" si="341"/>
        <v>106</v>
      </c>
      <c r="M1442" s="43"/>
    </row>
    <row r="1443" spans="2:13" ht="15.75" hidden="1" x14ac:dyDescent="0.25">
      <c r="B1443" s="10">
        <v>46201</v>
      </c>
      <c r="C1443" s="10" t="s">
        <v>22</v>
      </c>
      <c r="D1443" s="10" t="s">
        <v>13</v>
      </c>
      <c r="F1443" s="326">
        <v>46202</v>
      </c>
      <c r="G1443" s="29" t="s">
        <v>16</v>
      </c>
      <c r="H1443" s="29" t="s">
        <v>151</v>
      </c>
      <c r="I1443" s="42">
        <v>0</v>
      </c>
      <c r="J1443" s="42">
        <v>0</v>
      </c>
      <c r="K1443" s="60">
        <v>0</v>
      </c>
      <c r="L1443" s="66">
        <f t="shared" si="341"/>
        <v>0</v>
      </c>
      <c r="M1443" s="43"/>
    </row>
    <row r="1444" spans="2:13" ht="15.75" hidden="1" x14ac:dyDescent="0.2">
      <c r="B1444" s="10">
        <v>46201</v>
      </c>
      <c r="C1444" s="10" t="s">
        <v>22</v>
      </c>
      <c r="D1444" s="10" t="s">
        <v>13</v>
      </c>
      <c r="F1444" s="937" t="s">
        <v>40</v>
      </c>
      <c r="G1444" s="937"/>
      <c r="H1444" s="937"/>
      <c r="I1444" s="8">
        <f t="shared" ref="I1444:K1444" si="342">SUM(I1441:I1443)</f>
        <v>109</v>
      </c>
      <c r="J1444" s="8">
        <f t="shared" si="342"/>
        <v>44</v>
      </c>
      <c r="K1444" s="8">
        <f t="shared" si="342"/>
        <v>0</v>
      </c>
      <c r="L1444" s="8">
        <f>SUM(L1441:L1443)</f>
        <v>153</v>
      </c>
      <c r="M1444" s="316"/>
    </row>
    <row r="1445" spans="2:13" ht="15.75" hidden="1" x14ac:dyDescent="0.25">
      <c r="B1445" s="10">
        <v>46201</v>
      </c>
      <c r="C1445" s="10" t="s">
        <v>12</v>
      </c>
      <c r="D1445" s="10" t="s">
        <v>23</v>
      </c>
      <c r="F1445" s="940">
        <v>46201</v>
      </c>
      <c r="G1445" s="29" t="s">
        <v>14</v>
      </c>
      <c r="H1445" s="29" t="s">
        <v>12</v>
      </c>
      <c r="I1445" s="42">
        <v>37</v>
      </c>
      <c r="J1445" s="42">
        <v>1</v>
      </c>
      <c r="K1445" s="60">
        <v>0</v>
      </c>
      <c r="L1445" s="66">
        <f>SUM(I1445:K1445)</f>
        <v>38</v>
      </c>
      <c r="M1445" s="43"/>
    </row>
    <row r="1446" spans="2:13" ht="15.75" hidden="1" x14ac:dyDescent="0.25">
      <c r="B1446" s="10">
        <v>46201</v>
      </c>
      <c r="C1446" s="10" t="s">
        <v>12</v>
      </c>
      <c r="D1446" s="10" t="s">
        <v>23</v>
      </c>
      <c r="F1446" s="941"/>
      <c r="G1446" s="29" t="s">
        <v>17</v>
      </c>
      <c r="H1446" s="29" t="s">
        <v>100</v>
      </c>
      <c r="I1446" s="42">
        <v>40</v>
      </c>
      <c r="J1446" s="42">
        <v>14</v>
      </c>
      <c r="K1446" s="60">
        <v>0</v>
      </c>
      <c r="L1446" s="66">
        <f>SUM(I1446:K1446)</f>
        <v>54</v>
      </c>
      <c r="M1446" s="43"/>
    </row>
    <row r="1447" spans="2:13" ht="15.75" hidden="1" x14ac:dyDescent="0.2">
      <c r="B1447" s="10">
        <v>46201</v>
      </c>
      <c r="C1447" s="10" t="s">
        <v>12</v>
      </c>
      <c r="D1447" s="10" t="s">
        <v>23</v>
      </c>
      <c r="F1447" s="937" t="s">
        <v>40</v>
      </c>
      <c r="G1447" s="937"/>
      <c r="H1447" s="937"/>
      <c r="I1447" s="8">
        <f>SUM(I1445:I1446)</f>
        <v>77</v>
      </c>
      <c r="J1447" s="8">
        <f>SUM(J1445:J1446)</f>
        <v>15</v>
      </c>
      <c r="K1447" s="8">
        <f>SUM(K1445:K1446)</f>
        <v>0</v>
      </c>
      <c r="L1447" s="8">
        <f>SUM(L1445:L1446)</f>
        <v>92</v>
      </c>
      <c r="M1447" s="316"/>
    </row>
    <row r="1448" spans="2:13" ht="15.75" hidden="1" x14ac:dyDescent="0.25">
      <c r="B1448" s="10">
        <v>46201</v>
      </c>
      <c r="C1448" s="10" t="s">
        <v>18</v>
      </c>
      <c r="D1448" s="10" t="s">
        <v>20</v>
      </c>
      <c r="F1448" s="327">
        <v>46201</v>
      </c>
      <c r="G1448" s="29" t="s">
        <v>17</v>
      </c>
      <c r="H1448" s="29" t="s">
        <v>18</v>
      </c>
      <c r="I1448" s="42">
        <v>16</v>
      </c>
      <c r="J1448" s="42">
        <v>16</v>
      </c>
      <c r="K1448" s="60">
        <v>0</v>
      </c>
      <c r="L1448" s="66">
        <f t="shared" ref="L1448:L1453" si="343">SUM(I1448:K1448)</f>
        <v>32</v>
      </c>
      <c r="M1448" s="43"/>
    </row>
    <row r="1449" spans="2:13" ht="15.75" hidden="1" x14ac:dyDescent="0.25">
      <c r="B1449" s="10">
        <v>46201</v>
      </c>
      <c r="C1449" s="10" t="s">
        <v>18</v>
      </c>
      <c r="D1449" s="10" t="s">
        <v>20</v>
      </c>
      <c r="F1449" s="948">
        <v>46202</v>
      </c>
      <c r="G1449" s="29" t="s">
        <v>75</v>
      </c>
      <c r="H1449" s="29" t="s">
        <v>151</v>
      </c>
      <c r="I1449" s="42">
        <v>110</v>
      </c>
      <c r="J1449" s="42">
        <v>47</v>
      </c>
      <c r="K1449" s="60">
        <v>0</v>
      </c>
      <c r="L1449" s="66">
        <f t="shared" si="343"/>
        <v>157</v>
      </c>
      <c r="M1449" s="43"/>
    </row>
    <row r="1450" spans="2:13" ht="15.75" hidden="1" x14ac:dyDescent="0.25">
      <c r="B1450" s="10">
        <v>46201</v>
      </c>
      <c r="C1450" s="10" t="s">
        <v>18</v>
      </c>
      <c r="D1450" s="10" t="s">
        <v>20</v>
      </c>
      <c r="F1450" s="948"/>
      <c r="G1450" s="29" t="s">
        <v>17</v>
      </c>
      <c r="H1450" s="29" t="s">
        <v>22</v>
      </c>
      <c r="I1450" s="42">
        <v>14</v>
      </c>
      <c r="J1450" s="42">
        <v>10</v>
      </c>
      <c r="K1450" s="60">
        <v>0</v>
      </c>
      <c r="L1450" s="66">
        <f t="shared" si="343"/>
        <v>24</v>
      </c>
      <c r="M1450" s="43"/>
    </row>
    <row r="1451" spans="2:13" ht="15.75" hidden="1" x14ac:dyDescent="0.25">
      <c r="B1451" s="10">
        <v>46201</v>
      </c>
      <c r="C1451" s="10" t="s">
        <v>18</v>
      </c>
      <c r="D1451" s="10" t="s">
        <v>20</v>
      </c>
      <c r="F1451" s="948"/>
      <c r="G1451" s="29" t="s">
        <v>123</v>
      </c>
      <c r="H1451" s="29" t="s">
        <v>22</v>
      </c>
      <c r="I1451" s="42">
        <v>0</v>
      </c>
      <c r="J1451" s="42">
        <v>0</v>
      </c>
      <c r="K1451" s="60">
        <v>49</v>
      </c>
      <c r="L1451" s="66">
        <f t="shared" si="343"/>
        <v>49</v>
      </c>
      <c r="M1451" s="43"/>
    </row>
    <row r="1452" spans="2:13" ht="15.75" hidden="1" x14ac:dyDescent="0.25">
      <c r="B1452" s="10">
        <v>46201</v>
      </c>
      <c r="C1452" s="10" t="s">
        <v>18</v>
      </c>
      <c r="D1452" s="10" t="s">
        <v>20</v>
      </c>
      <c r="F1452" s="948"/>
      <c r="G1452" s="29" t="s">
        <v>120</v>
      </c>
      <c r="H1452" s="29" t="s">
        <v>43</v>
      </c>
      <c r="I1452" s="42">
        <v>0</v>
      </c>
      <c r="J1452" s="42">
        <v>0</v>
      </c>
      <c r="K1452" s="60">
        <v>15</v>
      </c>
      <c r="L1452" s="66">
        <f t="shared" si="343"/>
        <v>15</v>
      </c>
      <c r="M1452" s="43"/>
    </row>
    <row r="1453" spans="2:13" ht="15.75" hidden="1" x14ac:dyDescent="0.25">
      <c r="B1453" s="10">
        <v>46201</v>
      </c>
      <c r="C1453" s="10" t="s">
        <v>18</v>
      </c>
      <c r="D1453" s="10" t="s">
        <v>20</v>
      </c>
      <c r="F1453" s="948"/>
      <c r="G1453" s="29" t="s">
        <v>25</v>
      </c>
      <c r="H1453" s="29" t="s">
        <v>18</v>
      </c>
      <c r="I1453" s="42">
        <v>1</v>
      </c>
      <c r="J1453" s="42">
        <v>0</v>
      </c>
      <c r="K1453" s="60">
        <v>0</v>
      </c>
      <c r="L1453" s="66">
        <f t="shared" si="343"/>
        <v>1</v>
      </c>
      <c r="M1453" s="43"/>
    </row>
    <row r="1454" spans="2:13" ht="15.75" hidden="1" x14ac:dyDescent="0.2">
      <c r="B1454" s="10">
        <v>46201</v>
      </c>
      <c r="C1454" s="10" t="s">
        <v>18</v>
      </c>
      <c r="D1454" s="10" t="s">
        <v>20</v>
      </c>
      <c r="F1454" s="937" t="s">
        <v>40</v>
      </c>
      <c r="G1454" s="937"/>
      <c r="H1454" s="937"/>
      <c r="I1454" s="8">
        <f>SUM(I1448:I1453)</f>
        <v>141</v>
      </c>
      <c r="J1454" s="8">
        <f>SUM(J1448:J1453)</f>
        <v>73</v>
      </c>
      <c r="K1454" s="8">
        <f>SUM(K1448:K1453)</f>
        <v>64</v>
      </c>
      <c r="L1454" s="8">
        <f>SUM(L1448:L1453)</f>
        <v>278</v>
      </c>
      <c r="M1454" s="316"/>
    </row>
    <row r="1455" spans="2:13" ht="15.75" hidden="1" x14ac:dyDescent="0.25">
      <c r="B1455" s="10">
        <v>46202</v>
      </c>
      <c r="C1455" s="10" t="s">
        <v>22</v>
      </c>
      <c r="D1455" s="10" t="s">
        <v>13</v>
      </c>
      <c r="F1455" s="948">
        <v>46202</v>
      </c>
      <c r="G1455" s="29" t="s">
        <v>75</v>
      </c>
      <c r="H1455" s="29" t="s">
        <v>151</v>
      </c>
      <c r="I1455" s="42">
        <v>27</v>
      </c>
      <c r="J1455" s="42">
        <v>33</v>
      </c>
      <c r="K1455" s="42">
        <v>0</v>
      </c>
      <c r="L1455" s="66">
        <f t="shared" ref="L1455:L1460" si="344">SUM(I1455:K1455)</f>
        <v>60</v>
      </c>
      <c r="M1455" s="43"/>
    </row>
    <row r="1456" spans="2:13" ht="15.75" hidden="1" x14ac:dyDescent="0.25">
      <c r="B1456" s="10">
        <v>46202</v>
      </c>
      <c r="C1456" s="10" t="s">
        <v>22</v>
      </c>
      <c r="D1456" s="10" t="s">
        <v>13</v>
      </c>
      <c r="F1456" s="948"/>
      <c r="G1456" s="29" t="s">
        <v>17</v>
      </c>
      <c r="H1456" s="29" t="s">
        <v>22</v>
      </c>
      <c r="I1456" s="42">
        <v>21</v>
      </c>
      <c r="J1456" s="42">
        <v>5</v>
      </c>
      <c r="K1456" s="42">
        <v>0</v>
      </c>
      <c r="L1456" s="66">
        <f t="shared" si="344"/>
        <v>26</v>
      </c>
      <c r="M1456" s="43"/>
    </row>
    <row r="1457" spans="2:13" ht="15.75" hidden="1" x14ac:dyDescent="0.25">
      <c r="B1457" s="10">
        <v>46202</v>
      </c>
      <c r="C1457" s="10" t="s">
        <v>22</v>
      </c>
      <c r="D1457" s="10" t="s">
        <v>13</v>
      </c>
      <c r="F1457" s="948"/>
      <c r="G1457" s="29" t="s">
        <v>123</v>
      </c>
      <c r="H1457" s="29" t="s">
        <v>22</v>
      </c>
      <c r="I1457" s="42">
        <v>49</v>
      </c>
      <c r="J1457" s="42">
        <v>0</v>
      </c>
      <c r="K1457" s="42">
        <v>0</v>
      </c>
      <c r="L1457" s="66">
        <f t="shared" si="344"/>
        <v>49</v>
      </c>
      <c r="M1457" s="43"/>
    </row>
    <row r="1458" spans="2:13" ht="15.75" hidden="1" x14ac:dyDescent="0.25">
      <c r="B1458" s="10">
        <v>46202</v>
      </c>
      <c r="C1458" s="10" t="s">
        <v>22</v>
      </c>
      <c r="D1458" s="10" t="s">
        <v>13</v>
      </c>
      <c r="F1458" s="948"/>
      <c r="G1458" s="29" t="s">
        <v>120</v>
      </c>
      <c r="H1458" s="29" t="s">
        <v>43</v>
      </c>
      <c r="I1458" s="42">
        <v>29</v>
      </c>
      <c r="J1458" s="42">
        <v>3</v>
      </c>
      <c r="K1458" s="42">
        <v>0</v>
      </c>
      <c r="L1458" s="66">
        <f t="shared" si="344"/>
        <v>32</v>
      </c>
      <c r="M1458" s="43"/>
    </row>
    <row r="1459" spans="2:13" ht="15.75" hidden="1" x14ac:dyDescent="0.25">
      <c r="B1459" s="10">
        <v>46203</v>
      </c>
      <c r="C1459" s="10" t="s">
        <v>22</v>
      </c>
      <c r="D1459" s="10" t="s">
        <v>13</v>
      </c>
      <c r="F1459" s="948"/>
      <c r="G1459" s="29" t="s">
        <v>14</v>
      </c>
      <c r="H1459" s="29" t="s">
        <v>12</v>
      </c>
      <c r="I1459" s="42">
        <v>108</v>
      </c>
      <c r="J1459" s="42">
        <v>19</v>
      </c>
      <c r="K1459" s="42">
        <v>0</v>
      </c>
      <c r="L1459" s="66">
        <f t="shared" ref="L1459" si="345">SUM(I1459:K1459)</f>
        <v>127</v>
      </c>
      <c r="M1459" s="43"/>
    </row>
    <row r="1460" spans="2:13" ht="15.75" hidden="1" x14ac:dyDescent="0.25">
      <c r="B1460" s="10">
        <v>46202</v>
      </c>
      <c r="C1460" s="10" t="s">
        <v>22</v>
      </c>
      <c r="D1460" s="10" t="s">
        <v>13</v>
      </c>
      <c r="F1460" s="948"/>
      <c r="G1460" s="29" t="s">
        <v>25</v>
      </c>
      <c r="H1460" s="29" t="s">
        <v>18</v>
      </c>
      <c r="I1460" s="42">
        <v>0</v>
      </c>
      <c r="J1460" s="42">
        <v>1</v>
      </c>
      <c r="K1460" s="42">
        <v>0</v>
      </c>
      <c r="L1460" s="66">
        <f t="shared" si="344"/>
        <v>1</v>
      </c>
      <c r="M1460" s="43"/>
    </row>
    <row r="1461" spans="2:13" ht="15.75" hidden="1" x14ac:dyDescent="0.2">
      <c r="B1461" s="10">
        <v>46202</v>
      </c>
      <c r="C1461" s="10" t="s">
        <v>22</v>
      </c>
      <c r="D1461" s="10" t="s">
        <v>13</v>
      </c>
      <c r="F1461" s="937" t="s">
        <v>40</v>
      </c>
      <c r="G1461" s="937"/>
      <c r="H1461" s="937"/>
      <c r="I1461" s="8">
        <f>SUM(I1455:I1460)</f>
        <v>234</v>
      </c>
      <c r="J1461" s="8">
        <f t="shared" ref="J1461:L1461" si="346">SUM(J1455:J1460)</f>
        <v>61</v>
      </c>
      <c r="K1461" s="8">
        <f t="shared" si="346"/>
        <v>0</v>
      </c>
      <c r="L1461" s="8">
        <f t="shared" si="346"/>
        <v>295</v>
      </c>
      <c r="M1461" s="316"/>
    </row>
    <row r="1462" spans="2:13" ht="15.75" hidden="1" x14ac:dyDescent="0.25">
      <c r="B1462" s="10">
        <v>46202</v>
      </c>
      <c r="C1462" s="10" t="s">
        <v>12</v>
      </c>
      <c r="D1462" s="10" t="s">
        <v>163</v>
      </c>
      <c r="F1462" s="948">
        <v>46202</v>
      </c>
      <c r="G1462" s="29" t="s">
        <v>75</v>
      </c>
      <c r="H1462" s="29" t="s">
        <v>151</v>
      </c>
      <c r="I1462" s="42">
        <v>49</v>
      </c>
      <c r="J1462" s="42">
        <v>11</v>
      </c>
      <c r="K1462" s="42">
        <v>0</v>
      </c>
      <c r="L1462" s="66">
        <f t="shared" ref="L1462:L1464" si="347">SUM(I1462:K1462)</f>
        <v>60</v>
      </c>
      <c r="M1462" s="43"/>
    </row>
    <row r="1463" spans="2:13" ht="15.75" hidden="1" x14ac:dyDescent="0.25">
      <c r="B1463" s="10">
        <v>46202</v>
      </c>
      <c r="C1463" s="10" t="s">
        <v>12</v>
      </c>
      <c r="D1463" s="10" t="s">
        <v>163</v>
      </c>
      <c r="F1463" s="948"/>
      <c r="G1463" s="29" t="s">
        <v>14</v>
      </c>
      <c r="H1463" s="29" t="s">
        <v>12</v>
      </c>
      <c r="I1463" s="42">
        <v>32</v>
      </c>
      <c r="J1463" s="42">
        <v>16</v>
      </c>
      <c r="K1463" s="42">
        <v>0</v>
      </c>
      <c r="L1463" s="66">
        <f t="shared" si="347"/>
        <v>48</v>
      </c>
      <c r="M1463" s="43"/>
    </row>
    <row r="1464" spans="2:13" ht="15.75" hidden="1" x14ac:dyDescent="0.25">
      <c r="B1464" s="10">
        <v>46202</v>
      </c>
      <c r="C1464" s="10" t="s">
        <v>12</v>
      </c>
      <c r="D1464" s="10" t="s">
        <v>163</v>
      </c>
      <c r="F1464" s="948"/>
      <c r="G1464" s="29" t="s">
        <v>25</v>
      </c>
      <c r="H1464" s="29" t="s">
        <v>18</v>
      </c>
      <c r="I1464" s="42">
        <v>113</v>
      </c>
      <c r="J1464" s="42">
        <v>10</v>
      </c>
      <c r="K1464" s="42">
        <v>0</v>
      </c>
      <c r="L1464" s="66">
        <f t="shared" si="347"/>
        <v>123</v>
      </c>
      <c r="M1464" s="43"/>
    </row>
    <row r="1465" spans="2:13" ht="15.75" hidden="1" x14ac:dyDescent="0.2">
      <c r="B1465" s="10">
        <v>46202</v>
      </c>
      <c r="C1465" s="10" t="s">
        <v>12</v>
      </c>
      <c r="D1465" s="10" t="s">
        <v>163</v>
      </c>
      <c r="F1465" s="937" t="s">
        <v>40</v>
      </c>
      <c r="G1465" s="937"/>
      <c r="H1465" s="937"/>
      <c r="I1465" s="8">
        <f>SUM(I1462:I1464)</f>
        <v>194</v>
      </c>
      <c r="J1465" s="8">
        <f>SUM(J1462:J1464)</f>
        <v>37</v>
      </c>
      <c r="K1465" s="8">
        <f>SUM(K1462:K1464)</f>
        <v>0</v>
      </c>
      <c r="L1465" s="8">
        <f>SUM(L1462:L1464)</f>
        <v>231</v>
      </c>
      <c r="M1465" s="316"/>
    </row>
    <row r="1466" spans="2:13" ht="15.75" hidden="1" x14ac:dyDescent="0.25">
      <c r="B1466" s="10">
        <v>46202</v>
      </c>
      <c r="C1466" s="10" t="s">
        <v>18</v>
      </c>
      <c r="D1466" s="10" t="s">
        <v>20</v>
      </c>
      <c r="F1466" s="329">
        <v>46202</v>
      </c>
      <c r="G1466" s="29" t="s">
        <v>25</v>
      </c>
      <c r="H1466" s="29" t="s">
        <v>18</v>
      </c>
      <c r="I1466" s="42">
        <v>48</v>
      </c>
      <c r="J1466" s="42">
        <v>11</v>
      </c>
      <c r="K1466" s="60">
        <v>0</v>
      </c>
      <c r="L1466" s="66">
        <f t="shared" ref="L1466:L1468" si="348">SUM(I1466:K1466)</f>
        <v>59</v>
      </c>
      <c r="M1466" s="43"/>
    </row>
    <row r="1467" spans="2:13" ht="15.75" hidden="1" x14ac:dyDescent="0.25">
      <c r="B1467" s="10">
        <v>46202</v>
      </c>
      <c r="C1467" s="10" t="s">
        <v>18</v>
      </c>
      <c r="D1467" s="10" t="s">
        <v>20</v>
      </c>
      <c r="F1467" s="948">
        <v>46203</v>
      </c>
      <c r="G1467" s="29" t="s">
        <v>75</v>
      </c>
      <c r="H1467" s="29" t="s">
        <v>151</v>
      </c>
      <c r="I1467" s="42">
        <v>0</v>
      </c>
      <c r="J1467" s="42">
        <v>0</v>
      </c>
      <c r="K1467" s="60">
        <v>97</v>
      </c>
      <c r="L1467" s="66">
        <f t="shared" si="348"/>
        <v>97</v>
      </c>
      <c r="M1467" s="43"/>
    </row>
    <row r="1468" spans="2:13" ht="15.75" hidden="1" x14ac:dyDescent="0.25">
      <c r="B1468" s="10">
        <v>46202</v>
      </c>
      <c r="C1468" s="10" t="s">
        <v>18</v>
      </c>
      <c r="D1468" s="10" t="s">
        <v>20</v>
      </c>
      <c r="F1468" s="948"/>
      <c r="G1468" s="29" t="s">
        <v>14</v>
      </c>
      <c r="H1468" s="29" t="s">
        <v>151</v>
      </c>
      <c r="I1468" s="42">
        <v>60</v>
      </c>
      <c r="J1468" s="42">
        <v>19</v>
      </c>
      <c r="K1468" s="60">
        <v>0</v>
      </c>
      <c r="L1468" s="66">
        <f t="shared" si="348"/>
        <v>79</v>
      </c>
      <c r="M1468" s="43"/>
    </row>
    <row r="1469" spans="2:13" ht="15.75" hidden="1" x14ac:dyDescent="0.2">
      <c r="B1469" s="10">
        <v>46202</v>
      </c>
      <c r="C1469" s="10" t="s">
        <v>18</v>
      </c>
      <c r="D1469" s="10" t="s">
        <v>20</v>
      </c>
      <c r="F1469" s="937" t="s">
        <v>40</v>
      </c>
      <c r="G1469" s="937"/>
      <c r="H1469" s="937"/>
      <c r="I1469" s="8">
        <f>SUM(I1466:I1468)</f>
        <v>108</v>
      </c>
      <c r="J1469" s="8">
        <f>SUM(J1466:J1468)</f>
        <v>30</v>
      </c>
      <c r="K1469" s="8">
        <f>SUM(K1466:K1468)</f>
        <v>97</v>
      </c>
      <c r="L1469" s="8">
        <f>SUM(L1466:L1468)</f>
        <v>235</v>
      </c>
      <c r="M1469" s="316"/>
    </row>
    <row r="1470" spans="2:13" ht="15.75" hidden="1" x14ac:dyDescent="0.25">
      <c r="B1470" s="10">
        <v>46203</v>
      </c>
      <c r="C1470" s="10" t="s">
        <v>22</v>
      </c>
      <c r="D1470" s="10" t="s">
        <v>13</v>
      </c>
      <c r="F1470" s="948">
        <v>46203</v>
      </c>
      <c r="G1470" s="29" t="s">
        <v>75</v>
      </c>
      <c r="H1470" s="29" t="s">
        <v>151</v>
      </c>
      <c r="I1470" s="42">
        <v>145</v>
      </c>
      <c r="J1470" s="42">
        <v>74</v>
      </c>
      <c r="K1470" s="60">
        <v>0</v>
      </c>
      <c r="L1470" s="66">
        <f t="shared" ref="L1470:L1473" si="349">SUM(I1470:K1470)</f>
        <v>219</v>
      </c>
      <c r="M1470" s="43"/>
    </row>
    <row r="1471" spans="2:13" ht="15.75" hidden="1" x14ac:dyDescent="0.2">
      <c r="B1471" s="10">
        <v>46203</v>
      </c>
      <c r="C1471" s="10" t="s">
        <v>22</v>
      </c>
      <c r="D1471" s="10" t="s">
        <v>13</v>
      </c>
      <c r="F1471" s="948"/>
      <c r="G1471" s="29" t="s">
        <v>17</v>
      </c>
      <c r="H1471" s="29" t="s">
        <v>22</v>
      </c>
      <c r="I1471" s="42">
        <v>13</v>
      </c>
      <c r="J1471" s="42">
        <v>0</v>
      </c>
      <c r="K1471" s="60">
        <v>0</v>
      </c>
      <c r="L1471" s="66">
        <f t="shared" si="349"/>
        <v>13</v>
      </c>
      <c r="M1471" s="336" t="s">
        <v>174</v>
      </c>
    </row>
    <row r="1472" spans="2:13" ht="15.75" hidden="1" x14ac:dyDescent="0.2">
      <c r="B1472" s="10">
        <v>46203</v>
      </c>
      <c r="C1472" s="10" t="s">
        <v>22</v>
      </c>
      <c r="D1472" s="10" t="s">
        <v>13</v>
      </c>
      <c r="F1472" s="948"/>
      <c r="G1472" s="29" t="s">
        <v>25</v>
      </c>
      <c r="H1472" s="29" t="s">
        <v>22</v>
      </c>
      <c r="I1472" s="42">
        <v>10</v>
      </c>
      <c r="J1472" s="42">
        <v>0</v>
      </c>
      <c r="K1472" s="60">
        <v>0</v>
      </c>
      <c r="L1472" s="66">
        <f t="shared" si="349"/>
        <v>10</v>
      </c>
      <c r="M1472" s="336" t="s">
        <v>175</v>
      </c>
    </row>
    <row r="1473" spans="2:13" ht="15.75" hidden="1" x14ac:dyDescent="0.2">
      <c r="B1473" s="10">
        <v>46203</v>
      </c>
      <c r="C1473" s="10" t="s">
        <v>22</v>
      </c>
      <c r="D1473" s="10" t="s">
        <v>13</v>
      </c>
      <c r="F1473" s="948"/>
      <c r="G1473" s="29" t="s">
        <v>14</v>
      </c>
      <c r="H1473" s="29" t="s">
        <v>151</v>
      </c>
      <c r="I1473" s="42">
        <v>84</v>
      </c>
      <c r="J1473" s="42">
        <v>39</v>
      </c>
      <c r="K1473" s="60">
        <v>0</v>
      </c>
      <c r="L1473" s="66">
        <f t="shared" si="349"/>
        <v>123</v>
      </c>
      <c r="M1473" s="336" t="s">
        <v>176</v>
      </c>
    </row>
    <row r="1474" spans="2:13" ht="15.75" hidden="1" x14ac:dyDescent="0.2">
      <c r="B1474" s="10">
        <v>46203</v>
      </c>
      <c r="C1474" s="10" t="s">
        <v>22</v>
      </c>
      <c r="D1474" s="10" t="s">
        <v>13</v>
      </c>
      <c r="F1474" s="937" t="s">
        <v>40</v>
      </c>
      <c r="G1474" s="937"/>
      <c r="H1474" s="937"/>
      <c r="I1474" s="8">
        <f>SUM(I1470:I1473)</f>
        <v>252</v>
      </c>
      <c r="J1474" s="8">
        <f>SUM(J1470:J1473)</f>
        <v>113</v>
      </c>
      <c r="K1474" s="8">
        <f>SUM(K1470:K1473)</f>
        <v>0</v>
      </c>
      <c r="L1474" s="8">
        <f>SUM(L1470:L1473)</f>
        <v>365</v>
      </c>
      <c r="M1474" s="316"/>
    </row>
    <row r="1475" spans="2:13" ht="15.75" hidden="1" x14ac:dyDescent="0.25">
      <c r="B1475" s="10">
        <v>46203</v>
      </c>
      <c r="C1475" s="10" t="s">
        <v>12</v>
      </c>
      <c r="D1475" s="10" t="s">
        <v>163</v>
      </c>
      <c r="F1475" s="948">
        <v>46203</v>
      </c>
      <c r="G1475" s="29" t="s">
        <v>75</v>
      </c>
      <c r="H1475" s="29" t="s">
        <v>151</v>
      </c>
      <c r="I1475" s="42">
        <v>39</v>
      </c>
      <c r="J1475" s="42">
        <v>0</v>
      </c>
      <c r="K1475" s="60">
        <v>0</v>
      </c>
      <c r="L1475" s="66">
        <f t="shared" ref="L1475:L1477" si="350">SUM(I1475:K1475)</f>
        <v>39</v>
      </c>
      <c r="M1475" s="43"/>
    </row>
    <row r="1476" spans="2:13" ht="15.75" hidden="1" x14ac:dyDescent="0.25">
      <c r="B1476" s="10">
        <v>46203</v>
      </c>
      <c r="C1476" s="10" t="s">
        <v>12</v>
      </c>
      <c r="D1476" s="10" t="s">
        <v>163</v>
      </c>
      <c r="F1476" s="948"/>
      <c r="G1476" s="29" t="s">
        <v>17</v>
      </c>
      <c r="H1476" s="29" t="s">
        <v>18</v>
      </c>
      <c r="I1476" s="42">
        <v>92</v>
      </c>
      <c r="J1476" s="42">
        <v>40</v>
      </c>
      <c r="K1476" s="60">
        <v>0</v>
      </c>
      <c r="L1476" s="66">
        <f t="shared" si="350"/>
        <v>132</v>
      </c>
      <c r="M1476" s="43"/>
    </row>
    <row r="1477" spans="2:13" ht="15.75" hidden="1" x14ac:dyDescent="0.25">
      <c r="B1477" s="10">
        <v>46203</v>
      </c>
      <c r="C1477" s="10" t="s">
        <v>12</v>
      </c>
      <c r="D1477" s="10" t="s">
        <v>163</v>
      </c>
      <c r="F1477" s="948"/>
      <c r="G1477" s="29" t="s">
        <v>14</v>
      </c>
      <c r="H1477" s="29" t="s">
        <v>151</v>
      </c>
      <c r="I1477" s="42">
        <v>40</v>
      </c>
      <c r="J1477" s="42">
        <v>2</v>
      </c>
      <c r="K1477" s="60">
        <v>0</v>
      </c>
      <c r="L1477" s="66">
        <f t="shared" si="350"/>
        <v>42</v>
      </c>
      <c r="M1477" s="43"/>
    </row>
    <row r="1478" spans="2:13" ht="15.75" hidden="1" x14ac:dyDescent="0.2">
      <c r="B1478" s="10">
        <v>46203</v>
      </c>
      <c r="C1478" s="10" t="s">
        <v>12</v>
      </c>
      <c r="D1478" s="10" t="s">
        <v>163</v>
      </c>
      <c r="F1478" s="937" t="s">
        <v>40</v>
      </c>
      <c r="G1478" s="937"/>
      <c r="H1478" s="937"/>
      <c r="I1478" s="8">
        <f>SUM(I1475:I1477)</f>
        <v>171</v>
      </c>
      <c r="J1478" s="8">
        <f>SUM(J1475:J1477)</f>
        <v>42</v>
      </c>
      <c r="K1478" s="8">
        <f>SUM(K1475:K1477)</f>
        <v>0</v>
      </c>
      <c r="L1478" s="8">
        <f>SUM(L1475:L1477)</f>
        <v>213</v>
      </c>
      <c r="M1478" s="316"/>
    </row>
    <row r="1479" spans="2:13" ht="15.75" hidden="1" x14ac:dyDescent="0.25">
      <c r="B1479" s="10">
        <v>46203</v>
      </c>
      <c r="C1479" s="10" t="s">
        <v>18</v>
      </c>
      <c r="D1479" s="10" t="s">
        <v>20</v>
      </c>
      <c r="F1479" s="331" t="s">
        <v>166</v>
      </c>
      <c r="G1479" s="29" t="s">
        <v>17</v>
      </c>
      <c r="H1479" s="29" t="s">
        <v>167</v>
      </c>
      <c r="I1479" s="42">
        <v>121</v>
      </c>
      <c r="J1479" s="42">
        <v>58</v>
      </c>
      <c r="K1479" s="60">
        <v>0</v>
      </c>
      <c r="L1479" s="66">
        <f t="shared" ref="L1479:L1480" si="351">SUM(I1479:K1479)</f>
        <v>179</v>
      </c>
      <c r="M1479" s="43"/>
    </row>
    <row r="1480" spans="2:13" ht="15.75" hidden="1" x14ac:dyDescent="0.25">
      <c r="B1480" s="10">
        <v>46203</v>
      </c>
      <c r="C1480" s="10" t="s">
        <v>18</v>
      </c>
      <c r="D1480" s="10" t="s">
        <v>20</v>
      </c>
      <c r="F1480" s="330">
        <v>46204</v>
      </c>
      <c r="G1480" s="29" t="s">
        <v>75</v>
      </c>
      <c r="H1480" s="29" t="s">
        <v>151</v>
      </c>
      <c r="I1480" s="42">
        <v>0</v>
      </c>
      <c r="J1480" s="42">
        <v>0</v>
      </c>
      <c r="K1480" s="60">
        <v>87</v>
      </c>
      <c r="L1480" s="66">
        <f t="shared" si="351"/>
        <v>87</v>
      </c>
      <c r="M1480" s="43"/>
    </row>
    <row r="1481" spans="2:13" ht="15.75" hidden="1" x14ac:dyDescent="0.2">
      <c r="B1481" s="10">
        <v>46203</v>
      </c>
      <c r="C1481" s="10" t="s">
        <v>18</v>
      </c>
      <c r="D1481" s="10" t="s">
        <v>20</v>
      </c>
      <c r="F1481" s="937" t="s">
        <v>40</v>
      </c>
      <c r="G1481" s="937"/>
      <c r="H1481" s="937"/>
      <c r="I1481" s="8">
        <f>SUM(I1479:I1480)</f>
        <v>121</v>
      </c>
      <c r="J1481" s="8">
        <f>SUM(J1479:J1480)</f>
        <v>58</v>
      </c>
      <c r="K1481" s="8">
        <f>SUM(K1479:K1480)</f>
        <v>87</v>
      </c>
      <c r="L1481" s="8">
        <f>SUM(L1479:L1480)</f>
        <v>266</v>
      </c>
      <c r="M1481" s="316"/>
    </row>
    <row r="1482" spans="2:13" ht="15.75" hidden="1" x14ac:dyDescent="0.25">
      <c r="B1482" s="10">
        <v>46204</v>
      </c>
      <c r="C1482" s="10" t="s">
        <v>22</v>
      </c>
      <c r="D1482" s="10" t="s">
        <v>13</v>
      </c>
      <c r="F1482" s="939">
        <v>46204</v>
      </c>
      <c r="G1482" s="29" t="s">
        <v>16</v>
      </c>
      <c r="H1482" s="29" t="s">
        <v>15</v>
      </c>
      <c r="I1482" s="42">
        <v>137</v>
      </c>
      <c r="J1482" s="42">
        <v>74</v>
      </c>
      <c r="K1482" s="60">
        <v>0</v>
      </c>
      <c r="L1482" s="66">
        <f t="shared" ref="L1482:L1485" si="352">SUM(I1482:K1482)</f>
        <v>211</v>
      </c>
      <c r="M1482" s="43"/>
    </row>
    <row r="1483" spans="2:13" ht="15.75" hidden="1" x14ac:dyDescent="0.25">
      <c r="B1483" s="10">
        <v>46204</v>
      </c>
      <c r="C1483" s="10" t="s">
        <v>22</v>
      </c>
      <c r="D1483" s="10" t="s">
        <v>13</v>
      </c>
      <c r="F1483" s="940"/>
      <c r="G1483" s="29" t="s">
        <v>14</v>
      </c>
      <c r="H1483" s="29" t="s">
        <v>12</v>
      </c>
      <c r="I1483" s="42">
        <v>23</v>
      </c>
      <c r="J1483" s="42">
        <v>16</v>
      </c>
      <c r="K1483" s="60">
        <v>0</v>
      </c>
      <c r="L1483" s="66">
        <f t="shared" si="352"/>
        <v>39</v>
      </c>
      <c r="M1483" s="43"/>
    </row>
    <row r="1484" spans="2:13" ht="15.75" hidden="1" x14ac:dyDescent="0.25">
      <c r="B1484" s="10">
        <v>46204</v>
      </c>
      <c r="C1484" s="10" t="s">
        <v>22</v>
      </c>
      <c r="D1484" s="10" t="s">
        <v>13</v>
      </c>
      <c r="F1484" s="940"/>
      <c r="G1484" s="29" t="s">
        <v>17</v>
      </c>
      <c r="H1484" s="29" t="s">
        <v>22</v>
      </c>
      <c r="I1484" s="42">
        <v>21</v>
      </c>
      <c r="J1484" s="42">
        <v>8</v>
      </c>
      <c r="K1484" s="60">
        <v>0</v>
      </c>
      <c r="L1484" s="66">
        <f t="shared" si="352"/>
        <v>29</v>
      </c>
      <c r="M1484" s="43"/>
    </row>
    <row r="1485" spans="2:13" ht="15.75" hidden="1" x14ac:dyDescent="0.25">
      <c r="B1485" s="10">
        <v>46204</v>
      </c>
      <c r="C1485" s="10" t="s">
        <v>22</v>
      </c>
      <c r="D1485" s="10" t="s">
        <v>13</v>
      </c>
      <c r="F1485" s="941"/>
      <c r="G1485" s="29" t="s">
        <v>118</v>
      </c>
      <c r="H1485" s="29" t="s">
        <v>43</v>
      </c>
      <c r="I1485" s="42">
        <v>17</v>
      </c>
      <c r="J1485" s="42">
        <v>8</v>
      </c>
      <c r="K1485" s="60">
        <v>0</v>
      </c>
      <c r="L1485" s="66">
        <f t="shared" si="352"/>
        <v>25</v>
      </c>
      <c r="M1485" s="43"/>
    </row>
    <row r="1486" spans="2:13" ht="15.75" hidden="1" x14ac:dyDescent="0.2">
      <c r="B1486" s="10">
        <v>46204</v>
      </c>
      <c r="C1486" s="10" t="s">
        <v>22</v>
      </c>
      <c r="D1486" s="10" t="s">
        <v>13</v>
      </c>
      <c r="F1486" s="937" t="s">
        <v>40</v>
      </c>
      <c r="G1486" s="937"/>
      <c r="H1486" s="937"/>
      <c r="I1486" s="8">
        <f>SUM(I1482:I1485)</f>
        <v>198</v>
      </c>
      <c r="J1486" s="8">
        <f>SUM(J1482:J1485)</f>
        <v>106</v>
      </c>
      <c r="K1486" s="8">
        <f>SUM(K1482:K1485)</f>
        <v>0</v>
      </c>
      <c r="L1486" s="8">
        <f>SUM(L1482:L1485)</f>
        <v>304</v>
      </c>
      <c r="M1486" s="316"/>
    </row>
    <row r="1487" spans="2:13" ht="15.75" hidden="1" x14ac:dyDescent="0.25">
      <c r="B1487" s="10">
        <v>46204</v>
      </c>
      <c r="C1487" s="10" t="s">
        <v>12</v>
      </c>
      <c r="D1487" s="10" t="s">
        <v>163</v>
      </c>
      <c r="F1487" s="943">
        <v>46204</v>
      </c>
      <c r="G1487" s="29" t="s">
        <v>16</v>
      </c>
      <c r="H1487" s="29" t="s">
        <v>15</v>
      </c>
      <c r="I1487" s="42">
        <v>39</v>
      </c>
      <c r="J1487" s="42">
        <v>4</v>
      </c>
      <c r="K1487" s="60">
        <v>0</v>
      </c>
      <c r="L1487" s="66">
        <f t="shared" ref="L1487:L1489" si="353">SUM(I1487:K1487)</f>
        <v>43</v>
      </c>
      <c r="M1487" s="43"/>
    </row>
    <row r="1488" spans="2:13" ht="15.75" hidden="1" x14ac:dyDescent="0.25">
      <c r="B1488" s="10">
        <v>46204</v>
      </c>
      <c r="C1488" s="10" t="s">
        <v>12</v>
      </c>
      <c r="D1488" s="10" t="s">
        <v>163</v>
      </c>
      <c r="F1488" s="944"/>
      <c r="G1488" s="29" t="s">
        <v>14</v>
      </c>
      <c r="H1488" s="29" t="s">
        <v>12</v>
      </c>
      <c r="I1488" s="42">
        <v>86</v>
      </c>
      <c r="J1488" s="42">
        <v>48</v>
      </c>
      <c r="K1488" s="60">
        <v>0</v>
      </c>
      <c r="L1488" s="66">
        <f t="shared" si="353"/>
        <v>134</v>
      </c>
      <c r="M1488" s="43"/>
    </row>
    <row r="1489" spans="2:13" ht="15.75" hidden="1" x14ac:dyDescent="0.25">
      <c r="B1489" s="10">
        <v>46204</v>
      </c>
      <c r="C1489" s="10" t="s">
        <v>12</v>
      </c>
      <c r="D1489" s="10" t="s">
        <v>163</v>
      </c>
      <c r="F1489" s="944"/>
      <c r="G1489" s="29" t="s">
        <v>25</v>
      </c>
      <c r="H1489" s="29" t="s">
        <v>18</v>
      </c>
      <c r="I1489" s="42">
        <v>59</v>
      </c>
      <c r="J1489" s="42">
        <v>3</v>
      </c>
      <c r="K1489" s="60">
        <v>0</v>
      </c>
      <c r="L1489" s="66">
        <f t="shared" si="353"/>
        <v>62</v>
      </c>
      <c r="M1489" s="43"/>
    </row>
    <row r="1490" spans="2:13" ht="15.75" hidden="1" x14ac:dyDescent="0.2">
      <c r="B1490" s="10">
        <v>46204</v>
      </c>
      <c r="C1490" s="10" t="s">
        <v>12</v>
      </c>
      <c r="D1490" s="10" t="s">
        <v>163</v>
      </c>
      <c r="F1490" s="937" t="s">
        <v>40</v>
      </c>
      <c r="G1490" s="937"/>
      <c r="H1490" s="937"/>
      <c r="I1490" s="8">
        <f>SUM(I1487:I1489)</f>
        <v>184</v>
      </c>
      <c r="J1490" s="8">
        <f>SUM(J1487:J1489)</f>
        <v>55</v>
      </c>
      <c r="K1490" s="8">
        <f>SUM(K1487:K1489)</f>
        <v>0</v>
      </c>
      <c r="L1490" s="8">
        <f>SUM(L1487:L1489)</f>
        <v>239</v>
      </c>
      <c r="M1490" s="316"/>
    </row>
    <row r="1491" spans="2:13" ht="15.75" hidden="1" x14ac:dyDescent="0.25">
      <c r="B1491" s="10">
        <v>46204</v>
      </c>
      <c r="C1491" s="10" t="s">
        <v>18</v>
      </c>
      <c r="D1491" s="10" t="s">
        <v>20</v>
      </c>
      <c r="F1491" s="332">
        <v>46204</v>
      </c>
      <c r="G1491" s="29" t="s">
        <v>25</v>
      </c>
      <c r="H1491" s="29" t="s">
        <v>167</v>
      </c>
      <c r="I1491" s="42">
        <v>100</v>
      </c>
      <c r="J1491" s="42">
        <v>15</v>
      </c>
      <c r="K1491" s="60">
        <v>0</v>
      </c>
      <c r="L1491" s="66">
        <f t="shared" ref="L1491:L1494" si="354">SUM(I1491:K1491)</f>
        <v>115</v>
      </c>
      <c r="M1491" s="43"/>
    </row>
    <row r="1492" spans="2:13" ht="15.75" hidden="1" x14ac:dyDescent="0.25">
      <c r="B1492" s="10">
        <v>46204</v>
      </c>
      <c r="C1492" s="10" t="s">
        <v>18</v>
      </c>
      <c r="D1492" s="10" t="s">
        <v>20</v>
      </c>
      <c r="F1492" s="943">
        <v>46205</v>
      </c>
      <c r="G1492" s="29" t="s">
        <v>75</v>
      </c>
      <c r="H1492" s="29" t="s">
        <v>151</v>
      </c>
      <c r="I1492" s="42">
        <v>0</v>
      </c>
      <c r="J1492" s="42">
        <v>0</v>
      </c>
      <c r="K1492" s="60">
        <v>21</v>
      </c>
      <c r="L1492" s="66">
        <f t="shared" si="354"/>
        <v>21</v>
      </c>
      <c r="M1492" s="43"/>
    </row>
    <row r="1493" spans="2:13" ht="15.75" hidden="1" x14ac:dyDescent="0.25">
      <c r="B1493" s="10">
        <v>46204</v>
      </c>
      <c r="C1493" s="10" t="s">
        <v>18</v>
      </c>
      <c r="D1493" s="10" t="s">
        <v>20</v>
      </c>
      <c r="F1493" s="944"/>
      <c r="G1493" s="29" t="s">
        <v>14</v>
      </c>
      <c r="H1493" s="29" t="s">
        <v>151</v>
      </c>
      <c r="I1493" s="42">
        <v>77</v>
      </c>
      <c r="J1493" s="42">
        <v>14</v>
      </c>
      <c r="K1493" s="60">
        <v>0</v>
      </c>
      <c r="L1493" s="66">
        <f t="shared" si="354"/>
        <v>91</v>
      </c>
      <c r="M1493" s="43"/>
    </row>
    <row r="1494" spans="2:13" ht="15.75" hidden="1" x14ac:dyDescent="0.25">
      <c r="B1494" s="10">
        <v>46204</v>
      </c>
      <c r="C1494" s="10" t="s">
        <v>18</v>
      </c>
      <c r="D1494" s="10" t="s">
        <v>20</v>
      </c>
      <c r="F1494" s="945"/>
      <c r="G1494" s="29" t="s">
        <v>17</v>
      </c>
      <c r="H1494" s="29" t="s">
        <v>18</v>
      </c>
      <c r="I1494" s="42">
        <v>0</v>
      </c>
      <c r="J1494" s="42">
        <v>8</v>
      </c>
      <c r="K1494" s="60">
        <v>0</v>
      </c>
      <c r="L1494" s="66">
        <f t="shared" si="354"/>
        <v>8</v>
      </c>
      <c r="M1494" s="43"/>
    </row>
    <row r="1495" spans="2:13" ht="15.75" hidden="1" x14ac:dyDescent="0.2">
      <c r="B1495" s="10">
        <v>46204</v>
      </c>
      <c r="C1495" s="10" t="s">
        <v>18</v>
      </c>
      <c r="D1495" s="10" t="s">
        <v>20</v>
      </c>
      <c r="F1495" s="937" t="s">
        <v>40</v>
      </c>
      <c r="G1495" s="937"/>
      <c r="H1495" s="937"/>
      <c r="I1495" s="8">
        <f>SUM(I1491:I1494)</f>
        <v>177</v>
      </c>
      <c r="J1495" s="8">
        <f>SUM(J1491:J1494)</f>
        <v>37</v>
      </c>
      <c r="K1495" s="8">
        <f>SUM(K1491:K1494)</f>
        <v>21</v>
      </c>
      <c r="L1495" s="8">
        <f>SUM(L1491:L1494)</f>
        <v>235</v>
      </c>
      <c r="M1495" s="316"/>
    </row>
    <row r="1496" spans="2:13" ht="15.75" hidden="1" x14ac:dyDescent="0.25">
      <c r="B1496" s="10">
        <v>46205</v>
      </c>
      <c r="C1496" s="10" t="s">
        <v>22</v>
      </c>
      <c r="D1496" s="10" t="s">
        <v>13</v>
      </c>
      <c r="F1496" s="943">
        <v>46205</v>
      </c>
      <c r="G1496" s="29" t="s">
        <v>75</v>
      </c>
      <c r="H1496" s="29" t="s">
        <v>151</v>
      </c>
      <c r="I1496" s="42">
        <v>136</v>
      </c>
      <c r="J1496" s="42">
        <v>67</v>
      </c>
      <c r="K1496" s="60">
        <v>0</v>
      </c>
      <c r="L1496" s="66">
        <f t="shared" ref="L1496:L1499" si="355">SUM(I1496:K1496)</f>
        <v>203</v>
      </c>
      <c r="M1496" s="43"/>
    </row>
    <row r="1497" spans="2:13" ht="15.75" hidden="1" x14ac:dyDescent="0.25">
      <c r="B1497" s="10">
        <v>46205</v>
      </c>
      <c r="C1497" s="10" t="s">
        <v>22</v>
      </c>
      <c r="D1497" s="10" t="s">
        <v>13</v>
      </c>
      <c r="F1497" s="944"/>
      <c r="G1497" s="29" t="s">
        <v>14</v>
      </c>
      <c r="H1497" s="29" t="s">
        <v>151</v>
      </c>
      <c r="I1497" s="42">
        <v>4</v>
      </c>
      <c r="J1497" s="42">
        <v>16</v>
      </c>
      <c r="K1497" s="60">
        <v>0</v>
      </c>
      <c r="L1497" s="66">
        <f t="shared" si="355"/>
        <v>20</v>
      </c>
      <c r="M1497" s="43"/>
    </row>
    <row r="1498" spans="2:13" ht="15.75" hidden="1" x14ac:dyDescent="0.25">
      <c r="B1498" s="10">
        <v>46205</v>
      </c>
      <c r="C1498" s="10" t="s">
        <v>22</v>
      </c>
      <c r="D1498" s="10" t="s">
        <v>13</v>
      </c>
      <c r="F1498" s="944"/>
      <c r="G1498" s="29" t="s">
        <v>17</v>
      </c>
      <c r="H1498" s="29" t="s">
        <v>18</v>
      </c>
      <c r="I1498" s="42">
        <v>16</v>
      </c>
      <c r="J1498" s="42">
        <v>4</v>
      </c>
      <c r="K1498" s="60">
        <v>0</v>
      </c>
      <c r="L1498" s="66">
        <f t="shared" si="355"/>
        <v>20</v>
      </c>
      <c r="M1498" s="43"/>
    </row>
    <row r="1499" spans="2:13" ht="15.75" hidden="1" x14ac:dyDescent="0.25">
      <c r="B1499" s="10">
        <v>46205</v>
      </c>
      <c r="C1499" s="10" t="s">
        <v>22</v>
      </c>
      <c r="D1499" s="10" t="s">
        <v>13</v>
      </c>
      <c r="F1499" s="945"/>
      <c r="G1499" s="29" t="s">
        <v>120</v>
      </c>
      <c r="H1499" s="29" t="s">
        <v>43</v>
      </c>
      <c r="I1499" s="42">
        <v>12</v>
      </c>
      <c r="J1499" s="42">
        <v>0</v>
      </c>
      <c r="K1499" s="60">
        <v>0</v>
      </c>
      <c r="L1499" s="66">
        <f t="shared" si="355"/>
        <v>12</v>
      </c>
      <c r="M1499" s="43"/>
    </row>
    <row r="1500" spans="2:13" ht="15.75" hidden="1" x14ac:dyDescent="0.2">
      <c r="B1500" s="10">
        <v>46205</v>
      </c>
      <c r="C1500" s="10" t="s">
        <v>22</v>
      </c>
      <c r="D1500" s="10" t="s">
        <v>13</v>
      </c>
      <c r="F1500" s="937" t="s">
        <v>40</v>
      </c>
      <c r="G1500" s="937"/>
      <c r="H1500" s="937"/>
      <c r="I1500" s="8">
        <f>SUM(I1496:I1499)</f>
        <v>168</v>
      </c>
      <c r="J1500" s="8">
        <f>SUM(J1496:J1499)</f>
        <v>87</v>
      </c>
      <c r="K1500" s="8">
        <f>SUM(K1496:K1499)</f>
        <v>0</v>
      </c>
      <c r="L1500" s="8">
        <f>SUM(L1496:L1499)</f>
        <v>255</v>
      </c>
      <c r="M1500" s="316"/>
    </row>
    <row r="1501" spans="2:13" ht="15.75" hidden="1" x14ac:dyDescent="0.25">
      <c r="B1501" s="10">
        <v>46205</v>
      </c>
      <c r="C1501" s="10" t="s">
        <v>12</v>
      </c>
      <c r="D1501" s="10" t="s">
        <v>163</v>
      </c>
      <c r="F1501" s="943">
        <v>46205</v>
      </c>
      <c r="G1501" s="29" t="s">
        <v>75</v>
      </c>
      <c r="H1501" s="29" t="s">
        <v>151</v>
      </c>
      <c r="I1501" s="42">
        <v>39</v>
      </c>
      <c r="J1501" s="42">
        <v>1</v>
      </c>
      <c r="K1501" s="60">
        <v>0</v>
      </c>
      <c r="L1501" s="66">
        <f t="shared" ref="L1501:L1505" si="356">SUM(I1501:K1501)</f>
        <v>40</v>
      </c>
      <c r="M1501" s="43"/>
    </row>
    <row r="1502" spans="2:13" ht="15.75" hidden="1" x14ac:dyDescent="0.25">
      <c r="B1502" s="10">
        <v>46205</v>
      </c>
      <c r="C1502" s="10" t="s">
        <v>12</v>
      </c>
      <c r="D1502" s="10" t="s">
        <v>163</v>
      </c>
      <c r="F1502" s="944"/>
      <c r="G1502" s="29" t="s">
        <v>14</v>
      </c>
      <c r="H1502" s="29" t="s">
        <v>151</v>
      </c>
      <c r="I1502" s="42">
        <v>43</v>
      </c>
      <c r="J1502" s="42">
        <v>1</v>
      </c>
      <c r="K1502" s="60">
        <v>0</v>
      </c>
      <c r="L1502" s="66">
        <f t="shared" si="356"/>
        <v>44</v>
      </c>
      <c r="M1502" s="43"/>
    </row>
    <row r="1503" spans="2:13" ht="15.75" hidden="1" x14ac:dyDescent="0.25">
      <c r="B1503" s="10">
        <v>46205</v>
      </c>
      <c r="C1503" s="10" t="s">
        <v>12</v>
      </c>
      <c r="D1503" s="10" t="s">
        <v>163</v>
      </c>
      <c r="F1503" s="944"/>
      <c r="G1503" s="29" t="s">
        <v>17</v>
      </c>
      <c r="H1503" s="29" t="s">
        <v>18</v>
      </c>
      <c r="I1503" s="42">
        <v>68</v>
      </c>
      <c r="J1503" s="42">
        <v>40</v>
      </c>
      <c r="K1503" s="60">
        <v>0</v>
      </c>
      <c r="L1503" s="66">
        <f t="shared" si="356"/>
        <v>108</v>
      </c>
      <c r="M1503" s="43"/>
    </row>
    <row r="1504" spans="2:13" ht="15.75" hidden="1" x14ac:dyDescent="0.25">
      <c r="B1504" s="10">
        <v>46205</v>
      </c>
      <c r="C1504" s="10" t="s">
        <v>12</v>
      </c>
      <c r="D1504" s="10" t="s">
        <v>163</v>
      </c>
      <c r="F1504" s="944"/>
      <c r="G1504" s="29" t="s">
        <v>84</v>
      </c>
      <c r="H1504" s="29" t="s">
        <v>12</v>
      </c>
      <c r="I1504" s="42">
        <v>5</v>
      </c>
      <c r="J1504" s="42">
        <v>0</v>
      </c>
      <c r="K1504" s="60">
        <v>0</v>
      </c>
      <c r="L1504" s="66">
        <f t="shared" si="356"/>
        <v>5</v>
      </c>
      <c r="M1504" s="43"/>
    </row>
    <row r="1505" spans="2:13" ht="15.75" hidden="1" x14ac:dyDescent="0.25">
      <c r="B1505" s="10">
        <v>46205</v>
      </c>
      <c r="C1505" s="10" t="s">
        <v>12</v>
      </c>
      <c r="D1505" s="10" t="s">
        <v>163</v>
      </c>
      <c r="F1505" s="945"/>
      <c r="G1505" s="29" t="s">
        <v>120</v>
      </c>
      <c r="H1505" s="29" t="s">
        <v>43</v>
      </c>
      <c r="I1505" s="42">
        <v>22</v>
      </c>
      <c r="J1505" s="42">
        <v>4</v>
      </c>
      <c r="K1505" s="60">
        <v>0</v>
      </c>
      <c r="L1505" s="66">
        <f t="shared" si="356"/>
        <v>26</v>
      </c>
      <c r="M1505" s="43"/>
    </row>
    <row r="1506" spans="2:13" ht="15.75" hidden="1" x14ac:dyDescent="0.2">
      <c r="B1506" s="10">
        <v>46205</v>
      </c>
      <c r="C1506" s="10" t="s">
        <v>12</v>
      </c>
      <c r="D1506" s="10" t="s">
        <v>163</v>
      </c>
      <c r="F1506" s="937" t="s">
        <v>40</v>
      </c>
      <c r="G1506" s="937"/>
      <c r="H1506" s="937"/>
      <c r="I1506" s="8">
        <f>SUM(I1501:I1505)</f>
        <v>177</v>
      </c>
      <c r="J1506" s="8">
        <f>SUM(J1501:J1505)</f>
        <v>46</v>
      </c>
      <c r="K1506" s="8">
        <f>SUM(K1501:K1505)</f>
        <v>0</v>
      </c>
      <c r="L1506" s="8">
        <f>SUM(L1501:L1505)</f>
        <v>223</v>
      </c>
      <c r="M1506" s="316"/>
    </row>
    <row r="1507" spans="2:13" ht="15.75" hidden="1" x14ac:dyDescent="0.25">
      <c r="B1507" s="10">
        <v>46205</v>
      </c>
      <c r="C1507" s="10" t="s">
        <v>18</v>
      </c>
      <c r="D1507" s="10" t="s">
        <v>20</v>
      </c>
      <c r="F1507" s="334" t="s">
        <v>170</v>
      </c>
      <c r="G1507" s="29" t="s">
        <v>17</v>
      </c>
      <c r="H1507" s="29" t="s">
        <v>167</v>
      </c>
      <c r="I1507" s="42">
        <v>49</v>
      </c>
      <c r="J1507" s="42">
        <v>21</v>
      </c>
      <c r="K1507" s="60">
        <v>0</v>
      </c>
      <c r="L1507" s="66">
        <f t="shared" ref="L1507:L1508" si="357">SUM(I1507:K1507)</f>
        <v>70</v>
      </c>
      <c r="M1507" s="43"/>
    </row>
    <row r="1508" spans="2:13" ht="15.75" hidden="1" x14ac:dyDescent="0.25">
      <c r="B1508" s="10">
        <v>46205</v>
      </c>
      <c r="C1508" s="10" t="s">
        <v>18</v>
      </c>
      <c r="D1508" s="10" t="s">
        <v>20</v>
      </c>
      <c r="F1508" s="333">
        <v>46206</v>
      </c>
      <c r="G1508" s="29" t="s">
        <v>16</v>
      </c>
      <c r="H1508" s="29" t="s">
        <v>83</v>
      </c>
      <c r="I1508" s="42">
        <v>100</v>
      </c>
      <c r="J1508" s="42">
        <v>39</v>
      </c>
      <c r="K1508" s="60">
        <v>6</v>
      </c>
      <c r="L1508" s="66">
        <f t="shared" si="357"/>
        <v>145</v>
      </c>
      <c r="M1508" s="43"/>
    </row>
    <row r="1509" spans="2:13" ht="15.75" hidden="1" x14ac:dyDescent="0.2">
      <c r="B1509" s="10">
        <v>46205</v>
      </c>
      <c r="C1509" s="10" t="s">
        <v>18</v>
      </c>
      <c r="D1509" s="10" t="s">
        <v>20</v>
      </c>
      <c r="F1509" s="937" t="s">
        <v>40</v>
      </c>
      <c r="G1509" s="937"/>
      <c r="H1509" s="937"/>
      <c r="I1509" s="8">
        <f>SUM(I1507:I1508)</f>
        <v>149</v>
      </c>
      <c r="J1509" s="8">
        <f>SUM(J1507:J1508)</f>
        <v>60</v>
      </c>
      <c r="K1509" s="8">
        <f>SUM(K1507:K1508)</f>
        <v>6</v>
      </c>
      <c r="L1509" s="8">
        <f>SUM(L1507:L1508)</f>
        <v>215</v>
      </c>
      <c r="M1509" s="316"/>
    </row>
    <row r="1510" spans="2:13" ht="15.75" hidden="1" x14ac:dyDescent="0.2">
      <c r="B1510" s="10">
        <v>46206</v>
      </c>
      <c r="C1510" s="10" t="s">
        <v>22</v>
      </c>
      <c r="D1510" s="10" t="s">
        <v>13</v>
      </c>
      <c r="F1510" s="943">
        <v>46206</v>
      </c>
      <c r="G1510" s="29" t="s">
        <v>16</v>
      </c>
      <c r="H1510" s="29" t="s">
        <v>83</v>
      </c>
      <c r="I1510" s="42">
        <f>60+33</f>
        <v>93</v>
      </c>
      <c r="J1510" s="42">
        <v>45</v>
      </c>
      <c r="K1510" s="60">
        <v>0</v>
      </c>
      <c r="L1510" s="66">
        <f>SUM(I1510:K1510)</f>
        <v>138</v>
      </c>
      <c r="M1510" s="336" t="s">
        <v>171</v>
      </c>
    </row>
    <row r="1511" spans="2:13" ht="15.75" hidden="1" x14ac:dyDescent="0.2">
      <c r="B1511" s="10">
        <v>46206</v>
      </c>
      <c r="C1511" s="10" t="s">
        <v>22</v>
      </c>
      <c r="D1511" s="10" t="s">
        <v>13</v>
      </c>
      <c r="F1511" s="944"/>
      <c r="G1511" s="29" t="s">
        <v>120</v>
      </c>
      <c r="H1511" s="29" t="s">
        <v>43</v>
      </c>
      <c r="I1511" s="42">
        <v>4</v>
      </c>
      <c r="J1511" s="42">
        <v>0</v>
      </c>
      <c r="K1511" s="60">
        <v>0</v>
      </c>
      <c r="L1511" s="66">
        <f t="shared" ref="L1511:L1512" si="358">SUM(I1511:K1511)</f>
        <v>4</v>
      </c>
      <c r="M1511" s="336"/>
    </row>
    <row r="1512" spans="2:13" ht="15.75" hidden="1" x14ac:dyDescent="0.25">
      <c r="B1512" s="10">
        <v>46206</v>
      </c>
      <c r="C1512" s="10" t="s">
        <v>22</v>
      </c>
      <c r="D1512" s="10" t="s">
        <v>13</v>
      </c>
      <c r="F1512" s="945"/>
      <c r="G1512" s="29" t="s">
        <v>17</v>
      </c>
      <c r="H1512" s="29" t="s">
        <v>100</v>
      </c>
      <c r="I1512" s="42">
        <v>70</v>
      </c>
      <c r="J1512" s="42">
        <v>22</v>
      </c>
      <c r="K1512" s="60">
        <v>21</v>
      </c>
      <c r="L1512" s="66">
        <f t="shared" si="358"/>
        <v>113</v>
      </c>
      <c r="M1512" s="335" t="s">
        <v>172</v>
      </c>
    </row>
    <row r="1513" spans="2:13" ht="15.75" hidden="1" x14ac:dyDescent="0.2">
      <c r="B1513" s="10">
        <v>46206</v>
      </c>
      <c r="C1513" s="10" t="s">
        <v>22</v>
      </c>
      <c r="D1513" s="10" t="s">
        <v>13</v>
      </c>
      <c r="F1513" s="937" t="s">
        <v>40</v>
      </c>
      <c r="G1513" s="937"/>
      <c r="H1513" s="937"/>
      <c r="I1513" s="8">
        <f>SUM(I1510:I1512)</f>
        <v>167</v>
      </c>
      <c r="J1513" s="8">
        <f t="shared" ref="J1513:L1513" si="359">SUM(J1510:J1512)</f>
        <v>67</v>
      </c>
      <c r="K1513" s="8">
        <f t="shared" si="359"/>
        <v>21</v>
      </c>
      <c r="L1513" s="8">
        <f t="shared" si="359"/>
        <v>255</v>
      </c>
      <c r="M1513" s="316"/>
    </row>
    <row r="1514" spans="2:13" ht="15.75" hidden="1" x14ac:dyDescent="0.2">
      <c r="B1514" s="10">
        <v>46206</v>
      </c>
      <c r="C1514" s="10" t="s">
        <v>12</v>
      </c>
      <c r="D1514" s="10" t="s">
        <v>163</v>
      </c>
      <c r="F1514" s="943">
        <v>46206</v>
      </c>
      <c r="G1514" s="29" t="s">
        <v>16</v>
      </c>
      <c r="H1514" s="29" t="s">
        <v>83</v>
      </c>
      <c r="I1514" s="42">
        <v>99</v>
      </c>
      <c r="J1514" s="42">
        <v>47</v>
      </c>
      <c r="K1514" s="60">
        <v>5</v>
      </c>
      <c r="L1514" s="66">
        <f>SUM(I1514:K1514)</f>
        <v>151</v>
      </c>
      <c r="M1514" s="336"/>
    </row>
    <row r="1515" spans="2:13" ht="15.75" hidden="1" x14ac:dyDescent="0.2">
      <c r="B1515" s="10">
        <v>46206</v>
      </c>
      <c r="C1515" s="10" t="s">
        <v>12</v>
      </c>
      <c r="D1515" s="10" t="s">
        <v>163</v>
      </c>
      <c r="F1515" s="944"/>
      <c r="G1515" s="29" t="s">
        <v>120</v>
      </c>
      <c r="H1515" s="29" t="s">
        <v>43</v>
      </c>
      <c r="I1515" s="42">
        <v>7</v>
      </c>
      <c r="J1515" s="42">
        <v>0</v>
      </c>
      <c r="K1515" s="60">
        <v>0</v>
      </c>
      <c r="L1515" s="66">
        <f t="shared" ref="L1515:L1516" si="360">SUM(I1515:K1515)</f>
        <v>7</v>
      </c>
      <c r="M1515" s="336"/>
    </row>
    <row r="1516" spans="2:13" ht="15.75" hidden="1" x14ac:dyDescent="0.25">
      <c r="B1516" s="10">
        <v>46206</v>
      </c>
      <c r="C1516" s="10" t="s">
        <v>12</v>
      </c>
      <c r="D1516" s="10" t="s">
        <v>163</v>
      </c>
      <c r="F1516" s="945"/>
      <c r="G1516" s="29" t="s">
        <v>17</v>
      </c>
      <c r="H1516" s="29" t="s">
        <v>100</v>
      </c>
      <c r="I1516" s="42">
        <v>58</v>
      </c>
      <c r="J1516" s="42">
        <v>15</v>
      </c>
      <c r="K1516" s="60">
        <v>0</v>
      </c>
      <c r="L1516" s="66">
        <f t="shared" si="360"/>
        <v>73</v>
      </c>
      <c r="M1516" s="335"/>
    </row>
    <row r="1517" spans="2:13" ht="15.75" hidden="1" x14ac:dyDescent="0.2">
      <c r="B1517" s="10">
        <v>46206</v>
      </c>
      <c r="C1517" s="10" t="s">
        <v>12</v>
      </c>
      <c r="D1517" s="10" t="s">
        <v>163</v>
      </c>
      <c r="F1517" s="937" t="s">
        <v>40</v>
      </c>
      <c r="G1517" s="937"/>
      <c r="H1517" s="937"/>
      <c r="I1517" s="8">
        <f>SUM(I1514:I1516)</f>
        <v>164</v>
      </c>
      <c r="J1517" s="8">
        <f t="shared" ref="J1517:L1517" si="361">SUM(J1514:J1516)</f>
        <v>62</v>
      </c>
      <c r="K1517" s="8">
        <f t="shared" si="361"/>
        <v>5</v>
      </c>
      <c r="L1517" s="8">
        <f t="shared" si="361"/>
        <v>231</v>
      </c>
      <c r="M1517" s="316"/>
    </row>
    <row r="1518" spans="2:13" ht="15.75" hidden="1" x14ac:dyDescent="0.2">
      <c r="B1518" s="10">
        <v>46206</v>
      </c>
      <c r="C1518" s="10" t="s">
        <v>18</v>
      </c>
      <c r="D1518" s="10" t="s">
        <v>20</v>
      </c>
      <c r="F1518" s="337">
        <v>46206</v>
      </c>
      <c r="G1518" s="29" t="s">
        <v>17</v>
      </c>
      <c r="H1518" s="29" t="s">
        <v>167</v>
      </c>
      <c r="I1518" s="42">
        <v>22</v>
      </c>
      <c r="J1518" s="42">
        <v>14</v>
      </c>
      <c r="K1518" s="60">
        <v>0</v>
      </c>
      <c r="L1518" s="66">
        <f>SUM(I1518:K1518)</f>
        <v>36</v>
      </c>
      <c r="M1518" s="336"/>
    </row>
    <row r="1519" spans="2:13" ht="15.75" hidden="1" x14ac:dyDescent="0.2">
      <c r="B1519" s="10">
        <v>46206</v>
      </c>
      <c r="C1519" s="10" t="s">
        <v>18</v>
      </c>
      <c r="D1519" s="10" t="s">
        <v>20</v>
      </c>
      <c r="F1519" s="948">
        <v>46207</v>
      </c>
      <c r="G1519" s="29" t="s">
        <v>16</v>
      </c>
      <c r="H1519" s="29" t="s">
        <v>83</v>
      </c>
      <c r="I1519" s="42">
        <v>56</v>
      </c>
      <c r="J1519" s="42">
        <v>44</v>
      </c>
      <c r="K1519" s="60">
        <v>0</v>
      </c>
      <c r="L1519" s="66">
        <f t="shared" ref="L1519:L1521" si="362">SUM(I1519:K1519)</f>
        <v>100</v>
      </c>
      <c r="M1519" s="336"/>
    </row>
    <row r="1520" spans="2:13" ht="15.75" hidden="1" x14ac:dyDescent="0.2">
      <c r="B1520" s="10">
        <v>46206</v>
      </c>
      <c r="C1520" s="10" t="s">
        <v>18</v>
      </c>
      <c r="D1520" s="10" t="s">
        <v>20</v>
      </c>
      <c r="F1520" s="948"/>
      <c r="G1520" s="29" t="s">
        <v>120</v>
      </c>
      <c r="H1520" s="29" t="s">
        <v>43</v>
      </c>
      <c r="I1520" s="42">
        <v>0</v>
      </c>
      <c r="J1520" s="42">
        <v>0</v>
      </c>
      <c r="K1520" s="60">
        <v>29</v>
      </c>
      <c r="L1520" s="66">
        <f t="shared" si="362"/>
        <v>29</v>
      </c>
      <c r="M1520" s="336"/>
    </row>
    <row r="1521" spans="2:13" ht="15.75" hidden="1" x14ac:dyDescent="0.25">
      <c r="B1521" s="10">
        <v>46206</v>
      </c>
      <c r="C1521" s="10" t="s">
        <v>18</v>
      </c>
      <c r="D1521" s="10" t="s">
        <v>20</v>
      </c>
      <c r="F1521" s="338">
        <v>46210</v>
      </c>
      <c r="G1521" s="29" t="s">
        <v>16</v>
      </c>
      <c r="H1521" s="29" t="s">
        <v>83</v>
      </c>
      <c r="I1521" s="42">
        <v>0</v>
      </c>
      <c r="J1521" s="42">
        <v>0</v>
      </c>
      <c r="K1521" s="60">
        <v>45</v>
      </c>
      <c r="L1521" s="66">
        <f t="shared" si="362"/>
        <v>45</v>
      </c>
      <c r="M1521" s="335"/>
    </row>
    <row r="1522" spans="2:13" ht="15.75" hidden="1" x14ac:dyDescent="0.2">
      <c r="B1522" s="10">
        <v>46206</v>
      </c>
      <c r="C1522" s="10" t="s">
        <v>18</v>
      </c>
      <c r="D1522" s="10" t="s">
        <v>20</v>
      </c>
      <c r="F1522" s="937" t="s">
        <v>40</v>
      </c>
      <c r="G1522" s="937"/>
      <c r="H1522" s="937"/>
      <c r="I1522" s="8">
        <f>SUM(I1518:I1521)</f>
        <v>78</v>
      </c>
      <c r="J1522" s="8">
        <f t="shared" ref="J1522:L1522" si="363">SUM(J1518:J1521)</f>
        <v>58</v>
      </c>
      <c r="K1522" s="8">
        <f t="shared" si="363"/>
        <v>74</v>
      </c>
      <c r="L1522" s="8">
        <f t="shared" si="363"/>
        <v>210</v>
      </c>
      <c r="M1522" s="316"/>
    </row>
    <row r="1523" spans="2:13" ht="15.75" hidden="1" x14ac:dyDescent="0.2">
      <c r="B1523" s="10">
        <v>46207</v>
      </c>
      <c r="C1523" s="10" t="s">
        <v>22</v>
      </c>
      <c r="D1523" s="10" t="s">
        <v>13</v>
      </c>
      <c r="F1523" s="942">
        <v>46207</v>
      </c>
      <c r="G1523" s="29" t="s">
        <v>16</v>
      </c>
      <c r="H1523" s="29" t="s">
        <v>83</v>
      </c>
      <c r="I1523" s="42">
        <v>9</v>
      </c>
      <c r="J1523" s="42">
        <v>20</v>
      </c>
      <c r="K1523" s="60">
        <v>0</v>
      </c>
      <c r="L1523" s="66">
        <f t="shared" ref="L1523:L1527" si="364">SUM(I1523:K1523)</f>
        <v>29</v>
      </c>
      <c r="M1523" s="336"/>
    </row>
    <row r="1524" spans="2:13" ht="15.75" hidden="1" x14ac:dyDescent="0.2">
      <c r="B1524" s="10">
        <v>46207</v>
      </c>
      <c r="C1524" s="10" t="s">
        <v>22</v>
      </c>
      <c r="D1524" s="10" t="s">
        <v>13</v>
      </c>
      <c r="F1524" s="942"/>
      <c r="G1524" s="29" t="s">
        <v>17</v>
      </c>
      <c r="H1524" s="29" t="s">
        <v>100</v>
      </c>
      <c r="I1524" s="42">
        <v>21</v>
      </c>
      <c r="J1524" s="42">
        <v>13</v>
      </c>
      <c r="K1524" s="60">
        <v>0</v>
      </c>
      <c r="L1524" s="66">
        <f t="shared" si="364"/>
        <v>34</v>
      </c>
      <c r="M1524" s="336"/>
    </row>
    <row r="1525" spans="2:13" ht="15.75" hidden="1" x14ac:dyDescent="0.2">
      <c r="B1525" s="10">
        <v>46207</v>
      </c>
      <c r="C1525" s="10" t="s">
        <v>22</v>
      </c>
      <c r="D1525" s="10" t="s">
        <v>13</v>
      </c>
      <c r="F1525" s="942"/>
      <c r="G1525" s="29" t="s">
        <v>118</v>
      </c>
      <c r="H1525" s="29" t="s">
        <v>43</v>
      </c>
      <c r="I1525" s="42">
        <v>0</v>
      </c>
      <c r="J1525" s="42">
        <v>0</v>
      </c>
      <c r="K1525" s="60">
        <v>0</v>
      </c>
      <c r="L1525" s="66">
        <f t="shared" si="364"/>
        <v>0</v>
      </c>
      <c r="M1525" s="336"/>
    </row>
    <row r="1526" spans="2:13" ht="15.75" hidden="1" x14ac:dyDescent="0.2">
      <c r="B1526" s="10">
        <v>46207</v>
      </c>
      <c r="C1526" s="10" t="s">
        <v>22</v>
      </c>
      <c r="D1526" s="10" t="s">
        <v>13</v>
      </c>
      <c r="F1526" s="942"/>
      <c r="G1526" s="29" t="s">
        <v>120</v>
      </c>
      <c r="H1526" s="29" t="s">
        <v>43</v>
      </c>
      <c r="I1526" s="42">
        <v>0</v>
      </c>
      <c r="J1526" s="42">
        <v>0</v>
      </c>
      <c r="K1526" s="312">
        <v>5</v>
      </c>
      <c r="L1526" s="66">
        <f t="shared" si="364"/>
        <v>5</v>
      </c>
      <c r="M1526" s="336"/>
    </row>
    <row r="1527" spans="2:13" ht="15.75" hidden="1" x14ac:dyDescent="0.25">
      <c r="B1527" s="10">
        <v>46207</v>
      </c>
      <c r="C1527" s="10" t="s">
        <v>22</v>
      </c>
      <c r="D1527" s="10" t="s">
        <v>13</v>
      </c>
      <c r="F1527" s="341">
        <v>46210</v>
      </c>
      <c r="G1527" s="29" t="s">
        <v>16</v>
      </c>
      <c r="H1527" s="29" t="s">
        <v>83</v>
      </c>
      <c r="I1527" s="42">
        <v>30</v>
      </c>
      <c r="J1527" s="42">
        <v>7</v>
      </c>
      <c r="K1527" s="312">
        <v>40</v>
      </c>
      <c r="L1527" s="66">
        <f t="shared" si="364"/>
        <v>77</v>
      </c>
      <c r="M1527" s="335"/>
    </row>
    <row r="1528" spans="2:13" ht="15.75" hidden="1" x14ac:dyDescent="0.2">
      <c r="B1528" s="10">
        <v>46207</v>
      </c>
      <c r="C1528" s="10" t="s">
        <v>22</v>
      </c>
      <c r="D1528" s="10" t="s">
        <v>13</v>
      </c>
      <c r="F1528" s="937" t="s">
        <v>40</v>
      </c>
      <c r="G1528" s="937"/>
      <c r="H1528" s="937"/>
      <c r="I1528" s="8">
        <f>SUM(I1523:I1527)</f>
        <v>60</v>
      </c>
      <c r="J1528" s="8">
        <f>SUM(J1523:J1527)</f>
        <v>40</v>
      </c>
      <c r="K1528" s="8">
        <f>SUM(K1523:K1527)</f>
        <v>45</v>
      </c>
      <c r="L1528" s="8">
        <f>SUM(L1523:L1527)</f>
        <v>145</v>
      </c>
      <c r="M1528" s="316"/>
    </row>
    <row r="1529" spans="2:13" ht="15.75" hidden="1" x14ac:dyDescent="0.2">
      <c r="B1529" s="10">
        <v>46207</v>
      </c>
      <c r="C1529" s="10" t="s">
        <v>12</v>
      </c>
      <c r="D1529" s="10" t="s">
        <v>163</v>
      </c>
      <c r="F1529" s="948">
        <v>46207</v>
      </c>
      <c r="G1529" s="29" t="s">
        <v>16</v>
      </c>
      <c r="H1529" s="29" t="s">
        <v>83</v>
      </c>
      <c r="I1529" s="42">
        <v>127</v>
      </c>
      <c r="J1529" s="42">
        <v>50</v>
      </c>
      <c r="K1529" s="60">
        <v>0</v>
      </c>
      <c r="L1529" s="66">
        <f t="shared" ref="L1529:L1532" si="365">SUM(I1529:K1529)</f>
        <v>177</v>
      </c>
      <c r="M1529" s="336"/>
    </row>
    <row r="1530" spans="2:13" ht="15.75" hidden="1" x14ac:dyDescent="0.2">
      <c r="B1530" s="10">
        <v>46207</v>
      </c>
      <c r="C1530" s="10" t="s">
        <v>12</v>
      </c>
      <c r="D1530" s="10" t="s">
        <v>163</v>
      </c>
      <c r="F1530" s="948"/>
      <c r="G1530" s="29" t="s">
        <v>17</v>
      </c>
      <c r="H1530" s="29" t="s">
        <v>100</v>
      </c>
      <c r="I1530" s="42">
        <v>15</v>
      </c>
      <c r="J1530" s="42">
        <v>0</v>
      </c>
      <c r="K1530" s="60">
        <v>27</v>
      </c>
      <c r="L1530" s="66">
        <f t="shared" si="365"/>
        <v>42</v>
      </c>
      <c r="M1530" s="336"/>
    </row>
    <row r="1531" spans="2:13" ht="15.75" hidden="1" x14ac:dyDescent="0.2">
      <c r="B1531" s="10">
        <v>46207</v>
      </c>
      <c r="C1531" s="10" t="s">
        <v>12</v>
      </c>
      <c r="D1531" s="10" t="s">
        <v>163</v>
      </c>
      <c r="F1531" s="948"/>
      <c r="G1531" s="29" t="s">
        <v>118</v>
      </c>
      <c r="H1531" s="29" t="s">
        <v>43</v>
      </c>
      <c r="I1531" s="42">
        <v>8</v>
      </c>
      <c r="J1531" s="42">
        <v>0</v>
      </c>
      <c r="K1531" s="60">
        <v>0</v>
      </c>
      <c r="L1531" s="66">
        <f t="shared" si="365"/>
        <v>8</v>
      </c>
      <c r="M1531" s="336"/>
    </row>
    <row r="1532" spans="2:13" ht="15.75" hidden="1" x14ac:dyDescent="0.2">
      <c r="B1532" s="10">
        <v>46207</v>
      </c>
      <c r="C1532" s="10" t="s">
        <v>12</v>
      </c>
      <c r="D1532" s="10" t="s">
        <v>163</v>
      </c>
      <c r="F1532" s="948"/>
      <c r="G1532" s="29" t="s">
        <v>120</v>
      </c>
      <c r="H1532" s="29" t="s">
        <v>43</v>
      </c>
      <c r="I1532" s="42">
        <v>31</v>
      </c>
      <c r="J1532" s="42">
        <v>2</v>
      </c>
      <c r="K1532" s="60">
        <v>0</v>
      </c>
      <c r="L1532" s="66">
        <f t="shared" si="365"/>
        <v>33</v>
      </c>
      <c r="M1532" s="336"/>
    </row>
    <row r="1533" spans="2:13" ht="15.75" hidden="1" x14ac:dyDescent="0.2">
      <c r="B1533" s="10">
        <v>46207</v>
      </c>
      <c r="C1533" s="10" t="s">
        <v>12</v>
      </c>
      <c r="D1533" s="10" t="s">
        <v>163</v>
      </c>
      <c r="F1533" s="937" t="s">
        <v>40</v>
      </c>
      <c r="G1533" s="937"/>
      <c r="H1533" s="937"/>
      <c r="I1533" s="8">
        <f>SUM(I1529:I1532)</f>
        <v>181</v>
      </c>
      <c r="J1533" s="8">
        <f>SUM(J1529:J1532)</f>
        <v>52</v>
      </c>
      <c r="K1533" s="8">
        <f>SUM(K1529:K1532)</f>
        <v>27</v>
      </c>
      <c r="L1533" s="8">
        <f>SUM(L1529:L1532)</f>
        <v>260</v>
      </c>
      <c r="M1533" s="316"/>
    </row>
    <row r="1534" spans="2:13" ht="15.75" hidden="1" x14ac:dyDescent="0.2">
      <c r="B1534" s="10">
        <v>46207</v>
      </c>
      <c r="C1534" s="10" t="s">
        <v>18</v>
      </c>
      <c r="D1534" s="10" t="s">
        <v>20</v>
      </c>
      <c r="F1534" s="943">
        <v>46207</v>
      </c>
      <c r="G1534" s="29" t="s">
        <v>17</v>
      </c>
      <c r="H1534" s="29" t="s">
        <v>167</v>
      </c>
      <c r="I1534" s="42">
        <v>20</v>
      </c>
      <c r="J1534" s="42">
        <v>12</v>
      </c>
      <c r="K1534" s="60">
        <v>0</v>
      </c>
      <c r="L1534" s="66">
        <f>SUM(I1534:K1534)</f>
        <v>32</v>
      </c>
      <c r="M1534" s="336"/>
    </row>
    <row r="1535" spans="2:13" ht="15.75" hidden="1" x14ac:dyDescent="0.2">
      <c r="B1535" s="10">
        <v>46207</v>
      </c>
      <c r="C1535" s="10" t="s">
        <v>18</v>
      </c>
      <c r="D1535" s="10" t="s">
        <v>20</v>
      </c>
      <c r="F1535" s="945"/>
      <c r="G1535" s="29" t="s">
        <v>16</v>
      </c>
      <c r="H1535" s="29" t="s">
        <v>83</v>
      </c>
      <c r="I1535" s="42">
        <v>2</v>
      </c>
      <c r="J1535" s="42">
        <v>12</v>
      </c>
      <c r="K1535" s="60">
        <v>0</v>
      </c>
      <c r="L1535" s="66">
        <f t="shared" ref="L1535:L1537" si="366">SUM(I1535:K1535)</f>
        <v>14</v>
      </c>
      <c r="M1535" s="336"/>
    </row>
    <row r="1536" spans="2:13" ht="15.75" hidden="1" x14ac:dyDescent="0.2">
      <c r="B1536" s="10">
        <v>46207</v>
      </c>
      <c r="C1536" s="10" t="s">
        <v>18</v>
      </c>
      <c r="D1536" s="10" t="s">
        <v>20</v>
      </c>
      <c r="F1536" s="943">
        <v>46210</v>
      </c>
      <c r="G1536" s="29" t="s">
        <v>17</v>
      </c>
      <c r="H1536" s="29" t="s">
        <v>43</v>
      </c>
      <c r="I1536" s="42">
        <v>42</v>
      </c>
      <c r="J1536" s="42">
        <v>15</v>
      </c>
      <c r="K1536" s="60">
        <v>0</v>
      </c>
      <c r="L1536" s="66">
        <f t="shared" si="366"/>
        <v>57</v>
      </c>
      <c r="M1536" s="336"/>
    </row>
    <row r="1537" spans="2:13" ht="15.75" hidden="1" x14ac:dyDescent="0.25">
      <c r="B1537" s="10">
        <v>46207</v>
      </c>
      <c r="C1537" s="10" t="s">
        <v>18</v>
      </c>
      <c r="D1537" s="10" t="s">
        <v>20</v>
      </c>
      <c r="F1537" s="945"/>
      <c r="G1537" s="29" t="s">
        <v>16</v>
      </c>
      <c r="H1537" s="29" t="s">
        <v>83</v>
      </c>
      <c r="I1537" s="42">
        <v>9</v>
      </c>
      <c r="J1537" s="42">
        <v>6</v>
      </c>
      <c r="K1537" s="60">
        <v>0</v>
      </c>
      <c r="L1537" s="66">
        <f t="shared" si="366"/>
        <v>15</v>
      </c>
      <c r="M1537" s="335"/>
    </row>
    <row r="1538" spans="2:13" ht="15.75" hidden="1" x14ac:dyDescent="0.2">
      <c r="B1538" s="10">
        <v>46207</v>
      </c>
      <c r="C1538" s="10" t="s">
        <v>18</v>
      </c>
      <c r="D1538" s="10" t="s">
        <v>20</v>
      </c>
      <c r="F1538" s="937" t="s">
        <v>40</v>
      </c>
      <c r="G1538" s="937"/>
      <c r="H1538" s="937"/>
      <c r="I1538" s="8">
        <f>SUM(I1534:I1537)</f>
        <v>73</v>
      </c>
      <c r="J1538" s="8">
        <f t="shared" ref="J1538:L1538" si="367">SUM(J1534:J1537)</f>
        <v>45</v>
      </c>
      <c r="K1538" s="8">
        <f t="shared" si="367"/>
        <v>0</v>
      </c>
      <c r="L1538" s="8">
        <f t="shared" si="367"/>
        <v>118</v>
      </c>
      <c r="M1538" s="316"/>
    </row>
    <row r="1539" spans="2:13" ht="15.75" hidden="1" x14ac:dyDescent="0.2">
      <c r="B1539" s="10">
        <v>46209</v>
      </c>
      <c r="C1539" s="10" t="s">
        <v>18</v>
      </c>
      <c r="D1539" s="10" t="s">
        <v>20</v>
      </c>
      <c r="F1539" s="943">
        <v>46210</v>
      </c>
      <c r="G1539" s="29" t="s">
        <v>16</v>
      </c>
      <c r="H1539" s="29" t="s">
        <v>83</v>
      </c>
      <c r="I1539" s="42">
        <v>0</v>
      </c>
      <c r="J1539" s="42">
        <v>0</v>
      </c>
      <c r="K1539" s="60">
        <v>26</v>
      </c>
      <c r="L1539" s="66">
        <f>SUM(I1539:K1539)</f>
        <v>26</v>
      </c>
      <c r="M1539" s="336"/>
    </row>
    <row r="1540" spans="2:13" ht="15.75" hidden="1" x14ac:dyDescent="0.2">
      <c r="B1540" s="10">
        <v>46209</v>
      </c>
      <c r="C1540" s="10" t="s">
        <v>18</v>
      </c>
      <c r="D1540" s="10" t="s">
        <v>20</v>
      </c>
      <c r="F1540" s="945"/>
      <c r="G1540" s="29" t="s">
        <v>118</v>
      </c>
      <c r="H1540" s="29" t="s">
        <v>43</v>
      </c>
      <c r="I1540" s="42">
        <v>0</v>
      </c>
      <c r="J1540" s="42">
        <v>0</v>
      </c>
      <c r="K1540" s="60">
        <v>161</v>
      </c>
      <c r="L1540" s="66">
        <f t="shared" ref="L1540:L1541" si="368">SUM(I1540:K1540)</f>
        <v>161</v>
      </c>
      <c r="M1540" s="336"/>
    </row>
    <row r="1541" spans="2:13" ht="15.75" hidden="1" x14ac:dyDescent="0.25">
      <c r="B1541" s="10">
        <v>46209</v>
      </c>
      <c r="C1541" s="10" t="s">
        <v>18</v>
      </c>
      <c r="D1541" s="10" t="s">
        <v>20</v>
      </c>
      <c r="F1541" s="343">
        <v>46211</v>
      </c>
      <c r="G1541" s="29" t="s">
        <v>17</v>
      </c>
      <c r="H1541" s="29" t="s">
        <v>43</v>
      </c>
      <c r="I1541" s="42">
        <v>0</v>
      </c>
      <c r="J1541" s="42">
        <v>0</v>
      </c>
      <c r="K1541" s="60">
        <v>35</v>
      </c>
      <c r="L1541" s="66">
        <f t="shared" si="368"/>
        <v>35</v>
      </c>
      <c r="M1541" s="335"/>
    </row>
    <row r="1542" spans="2:13" ht="15.75" hidden="1" x14ac:dyDescent="0.2">
      <c r="B1542" s="10">
        <v>46209</v>
      </c>
      <c r="C1542" s="10" t="s">
        <v>18</v>
      </c>
      <c r="D1542" s="10" t="s">
        <v>20</v>
      </c>
      <c r="F1542" s="937" t="s">
        <v>40</v>
      </c>
      <c r="G1542" s="937"/>
      <c r="H1542" s="937"/>
      <c r="I1542" s="8">
        <f>SUM(I1539:I1541)</f>
        <v>0</v>
      </c>
      <c r="J1542" s="8">
        <f>SUM(J1539:J1541)</f>
        <v>0</v>
      </c>
      <c r="K1542" s="8">
        <f>SUM(K1539:K1541)</f>
        <v>222</v>
      </c>
      <c r="L1542" s="8">
        <f>SUM(L1539:L1541)</f>
        <v>222</v>
      </c>
      <c r="M1542" s="316"/>
    </row>
    <row r="1543" spans="2:13" ht="15.75" hidden="1" x14ac:dyDescent="0.2">
      <c r="B1543" s="10">
        <v>46210</v>
      </c>
      <c r="C1543" s="10" t="s">
        <v>22</v>
      </c>
      <c r="D1543" s="10" t="s">
        <v>13</v>
      </c>
      <c r="F1543" s="943">
        <v>46210</v>
      </c>
      <c r="G1543" s="29" t="s">
        <v>16</v>
      </c>
      <c r="H1543" s="29" t="s">
        <v>83</v>
      </c>
      <c r="I1543" s="42">
        <v>20</v>
      </c>
      <c r="J1543" s="42">
        <v>26</v>
      </c>
      <c r="K1543" s="60">
        <v>0</v>
      </c>
      <c r="L1543" s="66">
        <f>SUM(I1543:K1543)</f>
        <v>46</v>
      </c>
      <c r="M1543" s="336"/>
    </row>
    <row r="1544" spans="2:13" ht="15.75" hidden="1" x14ac:dyDescent="0.2">
      <c r="B1544" s="10">
        <v>46210</v>
      </c>
      <c r="C1544" s="10" t="s">
        <v>22</v>
      </c>
      <c r="D1544" s="10" t="s">
        <v>13</v>
      </c>
      <c r="F1544" s="944"/>
      <c r="G1544" s="29" t="s">
        <v>118</v>
      </c>
      <c r="H1544" s="29" t="s">
        <v>43</v>
      </c>
      <c r="I1544" s="42">
        <v>90</v>
      </c>
      <c r="J1544" s="42">
        <v>14</v>
      </c>
      <c r="K1544" s="60">
        <v>0</v>
      </c>
      <c r="L1544" s="66">
        <f t="shared" ref="L1544:L1546" si="369">SUM(I1544:K1544)</f>
        <v>104</v>
      </c>
      <c r="M1544" s="336"/>
    </row>
    <row r="1545" spans="2:13" ht="15.75" hidden="1" x14ac:dyDescent="0.2">
      <c r="B1545" s="10">
        <v>46210</v>
      </c>
      <c r="C1545" s="10" t="s">
        <v>22</v>
      </c>
      <c r="D1545" s="10" t="s">
        <v>13</v>
      </c>
      <c r="F1545" s="944"/>
      <c r="G1545" s="29" t="s">
        <v>120</v>
      </c>
      <c r="H1545" s="29" t="s">
        <v>43</v>
      </c>
      <c r="I1545" s="42">
        <v>1</v>
      </c>
      <c r="J1545" s="42">
        <v>0</v>
      </c>
      <c r="K1545" s="60">
        <v>0</v>
      </c>
      <c r="L1545" s="66">
        <f t="shared" si="369"/>
        <v>1</v>
      </c>
      <c r="M1545" s="336"/>
    </row>
    <row r="1546" spans="2:13" ht="15.75" hidden="1" x14ac:dyDescent="0.25">
      <c r="B1546" s="10">
        <v>46210</v>
      </c>
      <c r="C1546" s="10" t="s">
        <v>22</v>
      </c>
      <c r="D1546" s="10" t="s">
        <v>13</v>
      </c>
      <c r="F1546" s="945"/>
      <c r="G1546" s="29" t="s">
        <v>17</v>
      </c>
      <c r="H1546" s="29" t="s">
        <v>43</v>
      </c>
      <c r="I1546" s="42">
        <v>2</v>
      </c>
      <c r="J1546" s="42">
        <v>1</v>
      </c>
      <c r="K1546" s="60">
        <v>0</v>
      </c>
      <c r="L1546" s="66">
        <f t="shared" si="369"/>
        <v>3</v>
      </c>
      <c r="M1546" s="335"/>
    </row>
    <row r="1547" spans="2:13" ht="15.75" hidden="1" x14ac:dyDescent="0.2">
      <c r="B1547" s="10">
        <v>46210</v>
      </c>
      <c r="C1547" s="10" t="s">
        <v>22</v>
      </c>
      <c r="D1547" s="10" t="s">
        <v>13</v>
      </c>
      <c r="F1547" s="943">
        <v>46211</v>
      </c>
      <c r="G1547" s="29" t="s">
        <v>16</v>
      </c>
      <c r="H1547" s="29" t="s">
        <v>83</v>
      </c>
      <c r="I1547" s="42">
        <v>32</v>
      </c>
      <c r="J1547" s="42">
        <v>13</v>
      </c>
      <c r="K1547" s="312">
        <v>67</v>
      </c>
      <c r="L1547" s="66">
        <f>SUM(I1547:K1547)</f>
        <v>112</v>
      </c>
      <c r="M1547" s="336"/>
    </row>
    <row r="1548" spans="2:13" ht="15.75" hidden="1" x14ac:dyDescent="0.25">
      <c r="B1548" s="10">
        <v>46210</v>
      </c>
      <c r="C1548" s="10" t="s">
        <v>22</v>
      </c>
      <c r="D1548" s="10" t="s">
        <v>13</v>
      </c>
      <c r="F1548" s="945"/>
      <c r="G1548" s="29" t="s">
        <v>17</v>
      </c>
      <c r="H1548" s="29" t="s">
        <v>43</v>
      </c>
      <c r="I1548" s="42">
        <v>33</v>
      </c>
      <c r="J1548" s="42">
        <v>6</v>
      </c>
      <c r="K1548" s="60">
        <v>0</v>
      </c>
      <c r="L1548" s="66">
        <f t="shared" ref="L1548" si="370">SUM(I1548:K1548)</f>
        <v>39</v>
      </c>
      <c r="M1548" s="335"/>
    </row>
    <row r="1549" spans="2:13" ht="15.75" hidden="1" x14ac:dyDescent="0.2">
      <c r="B1549" s="10">
        <v>46210</v>
      </c>
      <c r="C1549" s="10" t="s">
        <v>22</v>
      </c>
      <c r="D1549" s="10" t="s">
        <v>13</v>
      </c>
      <c r="F1549" s="937" t="s">
        <v>40</v>
      </c>
      <c r="G1549" s="937"/>
      <c r="H1549" s="937"/>
      <c r="I1549" s="8">
        <f>SUM(I1543:I1548)</f>
        <v>178</v>
      </c>
      <c r="J1549" s="8">
        <f>SUM(J1543:J1548)</f>
        <v>60</v>
      </c>
      <c r="K1549" s="8">
        <f>SUM(K1543:K1548)</f>
        <v>67</v>
      </c>
      <c r="L1549" s="8">
        <f>SUM(L1543:L1548)</f>
        <v>305</v>
      </c>
      <c r="M1549" s="316"/>
    </row>
    <row r="1550" spans="2:13" ht="15.75" hidden="1" x14ac:dyDescent="0.2">
      <c r="B1550" s="10">
        <v>46210</v>
      </c>
      <c r="C1550" s="10" t="s">
        <v>12</v>
      </c>
      <c r="D1550" s="10" t="s">
        <v>163</v>
      </c>
      <c r="F1550" s="943">
        <v>46210</v>
      </c>
      <c r="G1550" s="29" t="s">
        <v>16</v>
      </c>
      <c r="H1550" s="29" t="s">
        <v>83</v>
      </c>
      <c r="I1550" s="42">
        <v>35</v>
      </c>
      <c r="J1550" s="42">
        <v>16</v>
      </c>
      <c r="K1550" s="60">
        <v>0</v>
      </c>
      <c r="L1550" s="66">
        <f>SUM(I1550:K1550)</f>
        <v>51</v>
      </c>
      <c r="M1550" s="336"/>
    </row>
    <row r="1551" spans="2:13" ht="15.75" hidden="1" x14ac:dyDescent="0.2">
      <c r="B1551" s="10">
        <v>46210</v>
      </c>
      <c r="C1551" s="10" t="s">
        <v>12</v>
      </c>
      <c r="D1551" s="10" t="s">
        <v>163</v>
      </c>
      <c r="F1551" s="944"/>
      <c r="G1551" s="29" t="s">
        <v>118</v>
      </c>
      <c r="H1551" s="29" t="s">
        <v>43</v>
      </c>
      <c r="I1551" s="42">
        <v>49</v>
      </c>
      <c r="J1551" s="42">
        <v>17</v>
      </c>
      <c r="K1551" s="60">
        <v>0</v>
      </c>
      <c r="L1551" s="66">
        <f t="shared" ref="L1551:L1552" si="371">SUM(I1551:K1551)</f>
        <v>66</v>
      </c>
      <c r="M1551" s="336"/>
    </row>
    <row r="1552" spans="2:13" ht="15.75" hidden="1" x14ac:dyDescent="0.25">
      <c r="B1552" s="10">
        <v>46210</v>
      </c>
      <c r="C1552" s="10" t="s">
        <v>12</v>
      </c>
      <c r="D1552" s="10" t="s">
        <v>163</v>
      </c>
      <c r="F1552" s="945"/>
      <c r="G1552" s="29" t="s">
        <v>17</v>
      </c>
      <c r="H1552" s="29" t="s">
        <v>43</v>
      </c>
      <c r="I1552" s="42">
        <v>2</v>
      </c>
      <c r="J1552" s="42">
        <v>11</v>
      </c>
      <c r="K1552" s="60">
        <v>0</v>
      </c>
      <c r="L1552" s="66">
        <f t="shared" si="371"/>
        <v>13</v>
      </c>
      <c r="M1552" s="335"/>
    </row>
    <row r="1553" spans="2:13" ht="15.75" hidden="1" x14ac:dyDescent="0.2">
      <c r="B1553" s="10">
        <v>46210</v>
      </c>
      <c r="C1553" s="10" t="s">
        <v>12</v>
      </c>
      <c r="D1553" s="10" t="s">
        <v>163</v>
      </c>
      <c r="F1553" s="943">
        <v>46211</v>
      </c>
      <c r="G1553" s="29" t="s">
        <v>16</v>
      </c>
      <c r="H1553" s="29" t="s">
        <v>83</v>
      </c>
      <c r="I1553" s="42">
        <v>48</v>
      </c>
      <c r="J1553" s="42">
        <v>40</v>
      </c>
      <c r="K1553" s="312">
        <v>0</v>
      </c>
      <c r="L1553" s="66">
        <f>SUM(I1553:K1553)</f>
        <v>88</v>
      </c>
      <c r="M1553" s="336"/>
    </row>
    <row r="1554" spans="2:13" ht="15.75" hidden="1" x14ac:dyDescent="0.2">
      <c r="B1554" s="10">
        <v>46210</v>
      </c>
      <c r="C1554" s="10" t="s">
        <v>12</v>
      </c>
      <c r="D1554" s="10" t="s">
        <v>163</v>
      </c>
      <c r="F1554" s="944"/>
      <c r="G1554" s="29" t="s">
        <v>84</v>
      </c>
      <c r="H1554" s="29" t="s">
        <v>15</v>
      </c>
      <c r="I1554" s="42">
        <v>60</v>
      </c>
      <c r="J1554" s="42">
        <v>10</v>
      </c>
      <c r="K1554" s="312">
        <v>0</v>
      </c>
      <c r="L1554" s="66">
        <f>SUM(I1554:K1554)</f>
        <v>70</v>
      </c>
      <c r="M1554" s="336"/>
    </row>
    <row r="1555" spans="2:13" ht="15.75" hidden="1" x14ac:dyDescent="0.25">
      <c r="B1555" s="10">
        <v>46210</v>
      </c>
      <c r="C1555" s="10" t="s">
        <v>12</v>
      </c>
      <c r="D1555" s="10" t="s">
        <v>163</v>
      </c>
      <c r="F1555" s="945"/>
      <c r="G1555" s="29" t="s">
        <v>17</v>
      </c>
      <c r="H1555" s="29" t="s">
        <v>43</v>
      </c>
      <c r="I1555" s="42">
        <v>4</v>
      </c>
      <c r="J1555" s="42">
        <v>4</v>
      </c>
      <c r="K1555" s="60">
        <v>0</v>
      </c>
      <c r="L1555" s="66">
        <f t="shared" ref="L1555" si="372">SUM(I1555:K1555)</f>
        <v>8</v>
      </c>
      <c r="M1555" s="335"/>
    </row>
    <row r="1556" spans="2:13" ht="15.75" hidden="1" x14ac:dyDescent="0.2">
      <c r="B1556" s="10">
        <v>46210</v>
      </c>
      <c r="C1556" s="10" t="s">
        <v>12</v>
      </c>
      <c r="D1556" s="10" t="s">
        <v>163</v>
      </c>
      <c r="F1556" s="937" t="s">
        <v>40</v>
      </c>
      <c r="G1556" s="937"/>
      <c r="H1556" s="937"/>
      <c r="I1556" s="8">
        <f>SUM(I1550:I1555)</f>
        <v>198</v>
      </c>
      <c r="J1556" s="8">
        <f>SUM(J1550:J1555)</f>
        <v>98</v>
      </c>
      <c r="K1556" s="8">
        <f>SUM(K1550:K1555)</f>
        <v>0</v>
      </c>
      <c r="L1556" s="8">
        <f>SUM(L1550:L1555)</f>
        <v>296</v>
      </c>
      <c r="M1556" s="316"/>
    </row>
    <row r="1557" spans="2:13" ht="15.75" hidden="1" x14ac:dyDescent="0.2">
      <c r="B1557" s="10">
        <v>46210</v>
      </c>
      <c r="C1557" s="10" t="s">
        <v>18</v>
      </c>
      <c r="D1557" s="10" t="s">
        <v>20</v>
      </c>
      <c r="F1557" s="344">
        <v>46210</v>
      </c>
      <c r="G1557" s="29" t="s">
        <v>16</v>
      </c>
      <c r="H1557" s="29" t="s">
        <v>83</v>
      </c>
      <c r="I1557" s="42">
        <v>16</v>
      </c>
      <c r="J1557" s="42">
        <v>10</v>
      </c>
      <c r="K1557" s="60">
        <v>0</v>
      </c>
      <c r="L1557" s="66">
        <f>SUM(I1557:K1557)</f>
        <v>26</v>
      </c>
      <c r="M1557" s="336"/>
    </row>
    <row r="1558" spans="2:13" ht="15.75" hidden="1" x14ac:dyDescent="0.2">
      <c r="B1558" s="10">
        <v>46210</v>
      </c>
      <c r="C1558" s="10" t="s">
        <v>18</v>
      </c>
      <c r="D1558" s="10" t="s">
        <v>20</v>
      </c>
      <c r="F1558" s="948">
        <v>46211</v>
      </c>
      <c r="G1558" s="29" t="s">
        <v>84</v>
      </c>
      <c r="H1558" s="29" t="s">
        <v>43</v>
      </c>
      <c r="I1558" s="42">
        <v>64</v>
      </c>
      <c r="J1558" s="42">
        <v>8</v>
      </c>
      <c r="K1558" s="60">
        <v>66</v>
      </c>
      <c r="L1558" s="66">
        <f t="shared" ref="L1558:L1559" si="373">SUM(I1558:K1558)</f>
        <v>138</v>
      </c>
      <c r="M1558" s="336"/>
    </row>
    <row r="1559" spans="2:13" ht="15.75" hidden="1" x14ac:dyDescent="0.25">
      <c r="B1559" s="10">
        <v>46210</v>
      </c>
      <c r="C1559" s="10" t="s">
        <v>18</v>
      </c>
      <c r="D1559" s="10" t="s">
        <v>20</v>
      </c>
      <c r="F1559" s="948"/>
      <c r="G1559" s="29" t="s">
        <v>17</v>
      </c>
      <c r="H1559" s="29" t="s">
        <v>43</v>
      </c>
      <c r="I1559" s="42">
        <v>19</v>
      </c>
      <c r="J1559" s="42">
        <v>3</v>
      </c>
      <c r="K1559" s="60">
        <v>19</v>
      </c>
      <c r="L1559" s="66">
        <f t="shared" si="373"/>
        <v>41</v>
      </c>
      <c r="M1559" s="335"/>
    </row>
    <row r="1560" spans="2:13" ht="15.75" hidden="1" x14ac:dyDescent="0.2">
      <c r="B1560" s="10">
        <v>46210</v>
      </c>
      <c r="C1560" s="10" t="s">
        <v>18</v>
      </c>
      <c r="D1560" s="10" t="s">
        <v>20</v>
      </c>
      <c r="F1560" s="937" t="s">
        <v>40</v>
      </c>
      <c r="G1560" s="937"/>
      <c r="H1560" s="937"/>
      <c r="I1560" s="8">
        <f>SUM(I1557:I1559)</f>
        <v>99</v>
      </c>
      <c r="J1560" s="8">
        <f>SUM(J1557:J1559)</f>
        <v>21</v>
      </c>
      <c r="K1560" s="8">
        <f>SUM(K1557:K1559)</f>
        <v>85</v>
      </c>
      <c r="L1560" s="8">
        <f>SUM(L1557:L1559)</f>
        <v>205</v>
      </c>
      <c r="M1560" s="316"/>
    </row>
    <row r="1561" spans="2:13" ht="15.75" hidden="1" x14ac:dyDescent="0.2">
      <c r="B1561" s="10">
        <v>46211</v>
      </c>
      <c r="C1561" s="10" t="s">
        <v>22</v>
      </c>
      <c r="D1561" s="10" t="s">
        <v>13</v>
      </c>
      <c r="F1561" s="948">
        <v>46211</v>
      </c>
      <c r="G1561" s="29" t="s">
        <v>84</v>
      </c>
      <c r="H1561" s="29" t="s">
        <v>15</v>
      </c>
      <c r="I1561" s="42">
        <v>106</v>
      </c>
      <c r="J1561" s="42">
        <v>17</v>
      </c>
      <c r="K1561" s="60">
        <v>28</v>
      </c>
      <c r="L1561" s="66">
        <f t="shared" ref="L1561:L1564" si="374">SUM(I1561:K1561)</f>
        <v>151</v>
      </c>
      <c r="M1561" s="336"/>
    </row>
    <row r="1562" spans="2:13" ht="15.75" hidden="1" x14ac:dyDescent="0.2">
      <c r="B1562" s="10">
        <v>46211</v>
      </c>
      <c r="C1562" s="10" t="s">
        <v>22</v>
      </c>
      <c r="D1562" s="10" t="s">
        <v>13</v>
      </c>
      <c r="F1562" s="948"/>
      <c r="G1562" s="29" t="s">
        <v>16</v>
      </c>
      <c r="H1562" s="29" t="s">
        <v>83</v>
      </c>
      <c r="I1562" s="42">
        <v>20</v>
      </c>
      <c r="J1562" s="42">
        <v>26</v>
      </c>
      <c r="K1562" s="60">
        <v>0</v>
      </c>
      <c r="L1562" s="66">
        <f t="shared" si="374"/>
        <v>46</v>
      </c>
      <c r="M1562" s="336"/>
    </row>
    <row r="1563" spans="2:13" ht="15.75" hidden="1" x14ac:dyDescent="0.2">
      <c r="B1563" s="10">
        <v>46211</v>
      </c>
      <c r="C1563" s="10" t="s">
        <v>22</v>
      </c>
      <c r="D1563" s="10" t="s">
        <v>13</v>
      </c>
      <c r="F1563" s="948"/>
      <c r="G1563" s="29" t="s">
        <v>118</v>
      </c>
      <c r="H1563" s="29" t="s">
        <v>43</v>
      </c>
      <c r="I1563" s="42">
        <v>63</v>
      </c>
      <c r="J1563" s="42">
        <v>4</v>
      </c>
      <c r="K1563" s="60">
        <v>0</v>
      </c>
      <c r="L1563" s="66">
        <f t="shared" si="374"/>
        <v>67</v>
      </c>
      <c r="M1563" s="336"/>
    </row>
    <row r="1564" spans="2:13" ht="15.75" hidden="1" x14ac:dyDescent="0.25">
      <c r="B1564" s="10">
        <v>46211</v>
      </c>
      <c r="C1564" s="10" t="s">
        <v>22</v>
      </c>
      <c r="D1564" s="10" t="s">
        <v>13</v>
      </c>
      <c r="F1564" s="948"/>
      <c r="G1564" s="29" t="s">
        <v>17</v>
      </c>
      <c r="H1564" s="29" t="s">
        <v>43</v>
      </c>
      <c r="I1564" s="42">
        <v>5</v>
      </c>
      <c r="J1564" s="42">
        <v>1</v>
      </c>
      <c r="K1564" s="60">
        <v>0</v>
      </c>
      <c r="L1564" s="66">
        <f t="shared" si="374"/>
        <v>6</v>
      </c>
      <c r="M1564" s="335"/>
    </row>
    <row r="1565" spans="2:13" ht="15.75" hidden="1" x14ac:dyDescent="0.2">
      <c r="B1565" s="10">
        <v>46211</v>
      </c>
      <c r="C1565" s="10" t="s">
        <v>22</v>
      </c>
      <c r="D1565" s="10" t="s">
        <v>20</v>
      </c>
      <c r="F1565" s="937" t="s">
        <v>40</v>
      </c>
      <c r="G1565" s="937"/>
      <c r="H1565" s="937"/>
      <c r="I1565" s="8">
        <f>SUM(I1561:I1564)</f>
        <v>194</v>
      </c>
      <c r="J1565" s="8">
        <f t="shared" ref="J1565:L1565" si="375">SUM(J1561:J1564)</f>
        <v>48</v>
      </c>
      <c r="K1565" s="8">
        <f t="shared" si="375"/>
        <v>28</v>
      </c>
      <c r="L1565" s="8">
        <f t="shared" si="375"/>
        <v>270</v>
      </c>
      <c r="M1565" s="316"/>
    </row>
    <row r="1566" spans="2:13" ht="15.75" hidden="1" x14ac:dyDescent="0.2">
      <c r="B1566" s="10">
        <v>46211</v>
      </c>
      <c r="C1566" s="10" t="s">
        <v>12</v>
      </c>
      <c r="D1566" s="10" t="s">
        <v>163</v>
      </c>
      <c r="F1566" s="948">
        <v>46211</v>
      </c>
      <c r="G1566" s="29" t="s">
        <v>16</v>
      </c>
      <c r="H1566" s="29" t="s">
        <v>83</v>
      </c>
      <c r="I1566" s="42">
        <v>128</v>
      </c>
      <c r="J1566" s="42">
        <v>49</v>
      </c>
      <c r="K1566" s="60">
        <v>0</v>
      </c>
      <c r="L1566" s="66">
        <f t="shared" ref="L1566:L1568" si="376">SUM(I1566:K1566)</f>
        <v>177</v>
      </c>
      <c r="M1566" s="336"/>
    </row>
    <row r="1567" spans="2:13" ht="15.75" hidden="1" x14ac:dyDescent="0.2">
      <c r="B1567" s="10">
        <v>46211</v>
      </c>
      <c r="C1567" s="10" t="s">
        <v>12</v>
      </c>
      <c r="D1567" s="10" t="s">
        <v>163</v>
      </c>
      <c r="F1567" s="948"/>
      <c r="G1567" s="29" t="s">
        <v>118</v>
      </c>
      <c r="H1567" s="29" t="s">
        <v>43</v>
      </c>
      <c r="I1567" s="42">
        <v>7</v>
      </c>
      <c r="J1567" s="42">
        <v>2</v>
      </c>
      <c r="K1567" s="60">
        <v>12</v>
      </c>
      <c r="L1567" s="66">
        <f t="shared" si="376"/>
        <v>21</v>
      </c>
      <c r="M1567" s="336"/>
    </row>
    <row r="1568" spans="2:13" ht="15.75" hidden="1" x14ac:dyDescent="0.25">
      <c r="B1568" s="10">
        <v>46211</v>
      </c>
      <c r="C1568" s="10" t="s">
        <v>12</v>
      </c>
      <c r="D1568" s="10" t="s">
        <v>163</v>
      </c>
      <c r="F1568" s="948"/>
      <c r="G1568" s="29" t="s">
        <v>17</v>
      </c>
      <c r="H1568" s="29" t="s">
        <v>43</v>
      </c>
      <c r="I1568" s="42">
        <v>29</v>
      </c>
      <c r="J1568" s="42">
        <v>7</v>
      </c>
      <c r="K1568" s="60">
        <v>16</v>
      </c>
      <c r="L1568" s="66">
        <f t="shared" si="376"/>
        <v>52</v>
      </c>
      <c r="M1568" s="335"/>
    </row>
    <row r="1569" spans="2:13" ht="15.75" hidden="1" x14ac:dyDescent="0.2">
      <c r="B1569" s="10">
        <v>46211</v>
      </c>
      <c r="C1569" s="10" t="s">
        <v>12</v>
      </c>
      <c r="D1569" s="10" t="s">
        <v>163</v>
      </c>
      <c r="F1569" s="937" t="s">
        <v>40</v>
      </c>
      <c r="G1569" s="937"/>
      <c r="H1569" s="937"/>
      <c r="I1569" s="8">
        <f>SUM(I1566:I1568)</f>
        <v>164</v>
      </c>
      <c r="J1569" s="8">
        <f>SUM(J1566:J1568)</f>
        <v>58</v>
      </c>
      <c r="K1569" s="8">
        <f>SUM(K1566:K1568)</f>
        <v>28</v>
      </c>
      <c r="L1569" s="8">
        <f>SUM(L1566:L1568)</f>
        <v>250</v>
      </c>
      <c r="M1569" s="316"/>
    </row>
    <row r="1570" spans="2:13" ht="15.75" hidden="1" x14ac:dyDescent="0.2">
      <c r="B1570" s="10">
        <v>46211</v>
      </c>
      <c r="C1570" s="10" t="s">
        <v>18</v>
      </c>
      <c r="D1570" s="10" t="s">
        <v>20</v>
      </c>
      <c r="F1570" s="348">
        <v>46211</v>
      </c>
      <c r="G1570" s="29" t="s">
        <v>16</v>
      </c>
      <c r="H1570" s="29" t="s">
        <v>83</v>
      </c>
      <c r="I1570" s="42">
        <v>20</v>
      </c>
      <c r="J1570" s="42">
        <v>16</v>
      </c>
      <c r="K1570" s="60">
        <v>0</v>
      </c>
      <c r="L1570" s="66">
        <f>SUM(I1570:K1570)</f>
        <v>36</v>
      </c>
      <c r="M1570" s="336"/>
    </row>
    <row r="1571" spans="2:13" ht="15.75" hidden="1" x14ac:dyDescent="0.2">
      <c r="B1571" s="10">
        <v>46211</v>
      </c>
      <c r="C1571" s="10" t="s">
        <v>18</v>
      </c>
      <c r="D1571" s="10" t="s">
        <v>20</v>
      </c>
      <c r="F1571" s="944">
        <v>46212</v>
      </c>
      <c r="G1571" s="29" t="s">
        <v>17</v>
      </c>
      <c r="H1571" s="29" t="s">
        <v>43</v>
      </c>
      <c r="I1571" s="42">
        <v>22</v>
      </c>
      <c r="J1571" s="42">
        <v>12</v>
      </c>
      <c r="K1571" s="60">
        <v>0</v>
      </c>
      <c r="L1571" s="66">
        <f t="shared" ref="L1571:L1574" si="377">SUM(I1571:K1571)</f>
        <v>34</v>
      </c>
      <c r="M1571" s="336"/>
    </row>
    <row r="1572" spans="2:13" ht="15.75" hidden="1" x14ac:dyDescent="0.2">
      <c r="B1572" s="10">
        <v>46211</v>
      </c>
      <c r="C1572" s="10" t="s">
        <v>18</v>
      </c>
      <c r="D1572" s="10" t="s">
        <v>20</v>
      </c>
      <c r="F1572" s="945"/>
      <c r="G1572" s="29" t="s">
        <v>118</v>
      </c>
      <c r="H1572" s="29" t="s">
        <v>43</v>
      </c>
      <c r="I1572" s="42">
        <v>49</v>
      </c>
      <c r="J1572" s="42">
        <v>1</v>
      </c>
      <c r="K1572" s="60">
        <v>0</v>
      </c>
      <c r="L1572" s="66">
        <f t="shared" si="377"/>
        <v>50</v>
      </c>
      <c r="M1572" s="336"/>
    </row>
    <row r="1573" spans="2:13" ht="15.75" hidden="1" x14ac:dyDescent="0.2">
      <c r="B1573" s="10">
        <v>46211</v>
      </c>
      <c r="C1573" s="10" t="s">
        <v>18</v>
      </c>
      <c r="D1573" s="10" t="s">
        <v>20</v>
      </c>
      <c r="F1573" s="943">
        <v>46213</v>
      </c>
      <c r="G1573" s="29" t="s">
        <v>84</v>
      </c>
      <c r="H1573" s="29" t="s">
        <v>43</v>
      </c>
      <c r="I1573" s="42">
        <v>0</v>
      </c>
      <c r="J1573" s="42">
        <v>0</v>
      </c>
      <c r="K1573" s="60">
        <v>57</v>
      </c>
      <c r="L1573" s="66">
        <f t="shared" si="377"/>
        <v>57</v>
      </c>
      <c r="M1573" s="336"/>
    </row>
    <row r="1574" spans="2:13" ht="15.75" hidden="1" x14ac:dyDescent="0.25">
      <c r="B1574" s="10">
        <v>46211</v>
      </c>
      <c r="C1574" s="10" t="s">
        <v>18</v>
      </c>
      <c r="D1574" s="10" t="s">
        <v>20</v>
      </c>
      <c r="F1574" s="945"/>
      <c r="G1574" s="29" t="s">
        <v>25</v>
      </c>
      <c r="H1574" s="29" t="s">
        <v>43</v>
      </c>
      <c r="I1574" s="42">
        <v>0</v>
      </c>
      <c r="J1574" s="42">
        <v>1</v>
      </c>
      <c r="K1574" s="60">
        <v>5</v>
      </c>
      <c r="L1574" s="66">
        <f t="shared" si="377"/>
        <v>6</v>
      </c>
      <c r="M1574" s="335"/>
    </row>
    <row r="1575" spans="2:13" ht="15.75" hidden="1" x14ac:dyDescent="0.2">
      <c r="B1575" s="10">
        <v>46211</v>
      </c>
      <c r="C1575" s="10" t="s">
        <v>18</v>
      </c>
      <c r="D1575" s="10" t="s">
        <v>20</v>
      </c>
      <c r="F1575" s="937" t="s">
        <v>40</v>
      </c>
      <c r="G1575" s="937"/>
      <c r="H1575" s="937"/>
      <c r="I1575" s="8">
        <f>SUM(I1570:I1574)</f>
        <v>91</v>
      </c>
      <c r="J1575" s="8">
        <f>SUM(J1570:J1574)</f>
        <v>30</v>
      </c>
      <c r="K1575" s="8">
        <f>SUM(K1570:K1574)</f>
        <v>62</v>
      </c>
      <c r="L1575" s="8">
        <f>SUM(L1570:L1574)</f>
        <v>183</v>
      </c>
      <c r="M1575" s="316"/>
    </row>
    <row r="1576" spans="2:13" ht="15.75" hidden="1" x14ac:dyDescent="0.2">
      <c r="B1576" s="10">
        <v>46212</v>
      </c>
      <c r="C1576" s="10" t="s">
        <v>22</v>
      </c>
      <c r="D1576" s="10" t="s">
        <v>13</v>
      </c>
      <c r="F1576" s="940">
        <v>46212</v>
      </c>
      <c r="G1576" s="29" t="s">
        <v>16</v>
      </c>
      <c r="H1576" s="29" t="s">
        <v>83</v>
      </c>
      <c r="I1576" s="42">
        <v>10</v>
      </c>
      <c r="J1576" s="42">
        <v>26</v>
      </c>
      <c r="K1576" s="60">
        <v>0</v>
      </c>
      <c r="L1576" s="66">
        <f>SUM(I1576:K1576)</f>
        <v>36</v>
      </c>
      <c r="M1576" s="336"/>
    </row>
    <row r="1577" spans="2:13" ht="15.75" hidden="1" x14ac:dyDescent="0.2">
      <c r="B1577" s="10">
        <v>46212</v>
      </c>
      <c r="C1577" s="10" t="s">
        <v>22</v>
      </c>
      <c r="D1577" s="10" t="s">
        <v>13</v>
      </c>
      <c r="F1577" s="940"/>
      <c r="G1577" s="29" t="s">
        <v>84</v>
      </c>
      <c r="H1577" s="29" t="s">
        <v>15</v>
      </c>
      <c r="I1577" s="42">
        <v>3</v>
      </c>
      <c r="J1577" s="42">
        <v>0</v>
      </c>
      <c r="K1577" s="60">
        <v>0</v>
      </c>
      <c r="L1577" s="66">
        <f t="shared" ref="L1577:L1582" si="378">SUM(I1577:K1577)</f>
        <v>3</v>
      </c>
      <c r="M1577" s="336"/>
    </row>
    <row r="1578" spans="2:13" ht="15.75" hidden="1" x14ac:dyDescent="0.2">
      <c r="B1578" s="10">
        <v>46212</v>
      </c>
      <c r="C1578" s="10" t="s">
        <v>22</v>
      </c>
      <c r="D1578" s="10" t="s">
        <v>13</v>
      </c>
      <c r="F1578" s="940"/>
      <c r="G1578" s="29" t="s">
        <v>17</v>
      </c>
      <c r="H1578" s="29" t="s">
        <v>43</v>
      </c>
      <c r="I1578" s="42">
        <v>9</v>
      </c>
      <c r="J1578" s="42">
        <v>13</v>
      </c>
      <c r="K1578" s="60">
        <v>0</v>
      </c>
      <c r="L1578" s="66">
        <f t="shared" si="378"/>
        <v>22</v>
      </c>
      <c r="M1578" s="336"/>
    </row>
    <row r="1579" spans="2:13" ht="15.75" hidden="1" x14ac:dyDescent="0.2">
      <c r="B1579" s="10">
        <v>46212</v>
      </c>
      <c r="C1579" s="10" t="s">
        <v>22</v>
      </c>
      <c r="D1579" s="10" t="s">
        <v>13</v>
      </c>
      <c r="F1579" s="941"/>
      <c r="G1579" s="29" t="s">
        <v>118</v>
      </c>
      <c r="H1579" s="29" t="s">
        <v>43</v>
      </c>
      <c r="I1579" s="42">
        <v>14</v>
      </c>
      <c r="J1579" s="42">
        <v>3</v>
      </c>
      <c r="K1579" s="60">
        <v>0</v>
      </c>
      <c r="L1579" s="66">
        <f t="shared" si="378"/>
        <v>17</v>
      </c>
      <c r="M1579" s="336"/>
    </row>
    <row r="1580" spans="2:13" ht="15.75" hidden="1" x14ac:dyDescent="0.2">
      <c r="B1580" s="10">
        <v>46212</v>
      </c>
      <c r="C1580" s="10" t="s">
        <v>22</v>
      </c>
      <c r="D1580" s="10" t="s">
        <v>13</v>
      </c>
      <c r="F1580" s="943">
        <v>46213</v>
      </c>
      <c r="G1580" s="29" t="s">
        <v>16</v>
      </c>
      <c r="H1580" s="29" t="s">
        <v>83</v>
      </c>
      <c r="I1580" s="42">
        <v>33</v>
      </c>
      <c r="J1580" s="42">
        <v>17</v>
      </c>
      <c r="K1580" s="312">
        <v>63</v>
      </c>
      <c r="L1580" s="66">
        <f t="shared" si="378"/>
        <v>113</v>
      </c>
      <c r="M1580" s="336"/>
    </row>
    <row r="1581" spans="2:13" ht="15.75" hidden="1" x14ac:dyDescent="0.2">
      <c r="B1581" s="10">
        <v>46212</v>
      </c>
      <c r="C1581" s="10" t="s">
        <v>22</v>
      </c>
      <c r="D1581" s="10" t="s">
        <v>13</v>
      </c>
      <c r="F1581" s="944"/>
      <c r="G1581" s="29" t="s">
        <v>84</v>
      </c>
      <c r="H1581" s="29" t="s">
        <v>15</v>
      </c>
      <c r="I1581" s="42">
        <v>62</v>
      </c>
      <c r="J1581" s="42">
        <v>21</v>
      </c>
      <c r="K1581" s="60">
        <v>0</v>
      </c>
      <c r="L1581" s="66">
        <f t="shared" si="378"/>
        <v>83</v>
      </c>
      <c r="M1581" s="336"/>
    </row>
    <row r="1582" spans="2:13" ht="15.75" hidden="1" x14ac:dyDescent="0.25">
      <c r="B1582" s="10">
        <v>46212</v>
      </c>
      <c r="C1582" s="10" t="s">
        <v>22</v>
      </c>
      <c r="D1582" s="10" t="s">
        <v>13</v>
      </c>
      <c r="F1582" s="945"/>
      <c r="G1582" s="29" t="s">
        <v>25</v>
      </c>
      <c r="H1582" s="29" t="s">
        <v>43</v>
      </c>
      <c r="I1582" s="42">
        <v>6</v>
      </c>
      <c r="J1582" s="42">
        <v>1</v>
      </c>
      <c r="K1582" s="60">
        <v>0</v>
      </c>
      <c r="L1582" s="66">
        <f t="shared" si="378"/>
        <v>7</v>
      </c>
      <c r="M1582" s="335"/>
    </row>
    <row r="1583" spans="2:13" ht="15.75" hidden="1" x14ac:dyDescent="0.2">
      <c r="B1583" s="10">
        <v>46212</v>
      </c>
      <c r="C1583" s="10" t="s">
        <v>22</v>
      </c>
      <c r="D1583" s="10" t="s">
        <v>13</v>
      </c>
      <c r="F1583" s="937" t="s">
        <v>40</v>
      </c>
      <c r="G1583" s="937"/>
      <c r="H1583" s="937"/>
      <c r="I1583" s="8">
        <f>SUM(I1576:I1582)</f>
        <v>137</v>
      </c>
      <c r="J1583" s="8">
        <f t="shared" ref="J1583:L1583" si="379">SUM(J1576:J1582)</f>
        <v>81</v>
      </c>
      <c r="K1583" s="8">
        <f t="shared" si="379"/>
        <v>63</v>
      </c>
      <c r="L1583" s="8">
        <f t="shared" si="379"/>
        <v>281</v>
      </c>
      <c r="M1583" s="316"/>
    </row>
    <row r="1584" spans="2:13" ht="15.75" hidden="1" x14ac:dyDescent="0.2">
      <c r="B1584" s="10">
        <v>46212</v>
      </c>
      <c r="C1584" s="10" t="s">
        <v>12</v>
      </c>
      <c r="D1584" s="10" t="s">
        <v>163</v>
      </c>
      <c r="F1584" s="944">
        <v>46212</v>
      </c>
      <c r="G1584" s="29" t="s">
        <v>16</v>
      </c>
      <c r="H1584" s="29" t="s">
        <v>83</v>
      </c>
      <c r="I1584" s="42">
        <v>107</v>
      </c>
      <c r="J1584" s="42">
        <v>48</v>
      </c>
      <c r="K1584" s="60">
        <v>0</v>
      </c>
      <c r="L1584" s="66">
        <f>SUM(I1584:K1584)</f>
        <v>155</v>
      </c>
      <c r="M1584" s="336"/>
    </row>
    <row r="1585" spans="2:13" ht="15.75" hidden="1" x14ac:dyDescent="0.2">
      <c r="B1585" s="10">
        <v>46212</v>
      </c>
      <c r="C1585" s="10" t="s">
        <v>12</v>
      </c>
      <c r="D1585" s="10" t="s">
        <v>163</v>
      </c>
      <c r="F1585" s="944"/>
      <c r="G1585" s="29" t="s">
        <v>84</v>
      </c>
      <c r="H1585" s="29" t="s">
        <v>15</v>
      </c>
      <c r="I1585" s="42">
        <v>14</v>
      </c>
      <c r="J1585" s="42">
        <v>0</v>
      </c>
      <c r="K1585" s="60">
        <v>0</v>
      </c>
      <c r="L1585" s="66">
        <f t="shared" ref="L1585:L1588" si="380">SUM(I1585:K1585)</f>
        <v>14</v>
      </c>
      <c r="M1585" s="336"/>
    </row>
    <row r="1586" spans="2:13" ht="15.75" hidden="1" x14ac:dyDescent="0.2">
      <c r="B1586" s="10">
        <v>46212</v>
      </c>
      <c r="C1586" s="10" t="s">
        <v>12</v>
      </c>
      <c r="D1586" s="10" t="s">
        <v>163</v>
      </c>
      <c r="F1586" s="944"/>
      <c r="G1586" s="29" t="s">
        <v>17</v>
      </c>
      <c r="H1586" s="29" t="s">
        <v>43</v>
      </c>
      <c r="I1586" s="42">
        <v>17</v>
      </c>
      <c r="J1586" s="42">
        <v>1</v>
      </c>
      <c r="K1586" s="60">
        <v>0</v>
      </c>
      <c r="L1586" s="66">
        <f t="shared" si="380"/>
        <v>18</v>
      </c>
      <c r="M1586" s="336"/>
    </row>
    <row r="1587" spans="2:13" ht="15.75" hidden="1" x14ac:dyDescent="0.2">
      <c r="B1587" s="10">
        <v>46212</v>
      </c>
      <c r="C1587" s="10" t="s">
        <v>12</v>
      </c>
      <c r="D1587" s="10" t="s">
        <v>163</v>
      </c>
      <c r="F1587" s="944"/>
      <c r="G1587" s="29" t="s">
        <v>179</v>
      </c>
      <c r="H1587" s="29" t="s">
        <v>43</v>
      </c>
      <c r="I1587" s="42">
        <v>0</v>
      </c>
      <c r="J1587" s="42">
        <v>0</v>
      </c>
      <c r="K1587" s="60">
        <v>18</v>
      </c>
      <c r="L1587" s="66">
        <f t="shared" si="380"/>
        <v>18</v>
      </c>
      <c r="M1587" s="336"/>
    </row>
    <row r="1588" spans="2:13" ht="15.75" hidden="1" x14ac:dyDescent="0.2">
      <c r="B1588" s="10">
        <v>46212</v>
      </c>
      <c r="C1588" s="10" t="s">
        <v>12</v>
      </c>
      <c r="D1588" s="10" t="s">
        <v>163</v>
      </c>
      <c r="F1588" s="945"/>
      <c r="G1588" s="29" t="s">
        <v>25</v>
      </c>
      <c r="H1588" s="29" t="s">
        <v>43</v>
      </c>
      <c r="I1588" s="42">
        <v>1</v>
      </c>
      <c r="J1588" s="42">
        <v>1</v>
      </c>
      <c r="K1588" s="60">
        <v>36</v>
      </c>
      <c r="L1588" s="66">
        <f t="shared" si="380"/>
        <v>38</v>
      </c>
      <c r="M1588" s="336"/>
    </row>
    <row r="1589" spans="2:13" ht="15.75" hidden="1" x14ac:dyDescent="0.2">
      <c r="B1589" s="10">
        <v>46212</v>
      </c>
      <c r="C1589" s="10" t="s">
        <v>12</v>
      </c>
      <c r="D1589" s="10" t="s">
        <v>163</v>
      </c>
      <c r="F1589" s="937" t="s">
        <v>40</v>
      </c>
      <c r="G1589" s="937"/>
      <c r="H1589" s="937"/>
      <c r="I1589" s="8">
        <f>SUM(I1584:I1588)</f>
        <v>139</v>
      </c>
      <c r="J1589" s="8">
        <f t="shared" ref="J1589:K1589" si="381">SUM(J1584:J1588)</f>
        <v>50</v>
      </c>
      <c r="K1589" s="8">
        <f t="shared" si="381"/>
        <v>54</v>
      </c>
      <c r="L1589" s="8">
        <f>SUM(L1584:L1588)</f>
        <v>243</v>
      </c>
      <c r="M1589" s="316"/>
    </row>
    <row r="1590" spans="2:13" ht="15.75" hidden="1" x14ac:dyDescent="0.2">
      <c r="B1590" s="10">
        <v>46212</v>
      </c>
      <c r="C1590" s="10" t="s">
        <v>18</v>
      </c>
      <c r="D1590" s="10" t="s">
        <v>20</v>
      </c>
      <c r="F1590" s="349">
        <v>46212</v>
      </c>
      <c r="G1590" s="29" t="s">
        <v>16</v>
      </c>
      <c r="H1590" s="29" t="s">
        <v>83</v>
      </c>
      <c r="I1590" s="42">
        <v>17</v>
      </c>
      <c r="J1590" s="42">
        <v>16</v>
      </c>
      <c r="K1590" s="60">
        <v>0</v>
      </c>
      <c r="L1590" s="66">
        <f>SUM(I1590:K1590)</f>
        <v>33</v>
      </c>
      <c r="M1590" s="336"/>
    </row>
    <row r="1591" spans="2:13" ht="15.75" hidden="1" x14ac:dyDescent="0.2">
      <c r="B1591" s="10">
        <v>46212</v>
      </c>
      <c r="C1591" s="10" t="s">
        <v>18</v>
      </c>
      <c r="D1591" s="10" t="s">
        <v>20</v>
      </c>
      <c r="F1591" s="943">
        <v>46213</v>
      </c>
      <c r="G1591" s="29" t="s">
        <v>16</v>
      </c>
      <c r="H1591" s="29" t="s">
        <v>83</v>
      </c>
      <c r="I1591" s="42">
        <v>12</v>
      </c>
      <c r="J1591" s="42">
        <v>3</v>
      </c>
      <c r="K1591" s="60">
        <v>0</v>
      </c>
      <c r="L1591" s="66">
        <f t="shared" ref="L1591:L1593" si="382">SUM(I1591:K1591)</f>
        <v>15</v>
      </c>
      <c r="M1591" s="336"/>
    </row>
    <row r="1592" spans="2:13" ht="15.75" hidden="1" x14ac:dyDescent="0.2">
      <c r="B1592" s="10">
        <v>46212</v>
      </c>
      <c r="C1592" s="10" t="s">
        <v>18</v>
      </c>
      <c r="D1592" s="10" t="s">
        <v>20</v>
      </c>
      <c r="F1592" s="944"/>
      <c r="G1592" s="29" t="s">
        <v>25</v>
      </c>
      <c r="H1592" s="29" t="s">
        <v>43</v>
      </c>
      <c r="I1592" s="42">
        <v>92</v>
      </c>
      <c r="J1592" s="42">
        <v>17</v>
      </c>
      <c r="K1592" s="60">
        <v>0</v>
      </c>
      <c r="L1592" s="66">
        <f t="shared" si="382"/>
        <v>109</v>
      </c>
      <c r="M1592" s="336"/>
    </row>
    <row r="1593" spans="2:13" ht="15.75" hidden="1" x14ac:dyDescent="0.25">
      <c r="B1593" s="10">
        <v>46212</v>
      </c>
      <c r="C1593" s="10" t="s">
        <v>18</v>
      </c>
      <c r="D1593" s="10" t="s">
        <v>20</v>
      </c>
      <c r="F1593" s="945"/>
      <c r="G1593" s="29" t="s">
        <v>180</v>
      </c>
      <c r="H1593" s="29" t="s">
        <v>43</v>
      </c>
      <c r="I1593" s="42">
        <v>0</v>
      </c>
      <c r="J1593" s="42">
        <v>0</v>
      </c>
      <c r="K1593" s="60">
        <v>38</v>
      </c>
      <c r="L1593" s="66">
        <f t="shared" si="382"/>
        <v>38</v>
      </c>
      <c r="M1593" s="335"/>
    </row>
    <row r="1594" spans="2:13" ht="15.75" hidden="1" x14ac:dyDescent="0.2">
      <c r="B1594" s="10">
        <v>46212</v>
      </c>
      <c r="C1594" s="10" t="s">
        <v>18</v>
      </c>
      <c r="D1594" s="10" t="s">
        <v>20</v>
      </c>
      <c r="F1594" s="937" t="s">
        <v>40</v>
      </c>
      <c r="G1594" s="937"/>
      <c r="H1594" s="937"/>
      <c r="I1594" s="8">
        <f>SUM(I1590:I1593)</f>
        <v>121</v>
      </c>
      <c r="J1594" s="8">
        <f>SUM(J1590:J1593)</f>
        <v>36</v>
      </c>
      <c r="K1594" s="8">
        <f>SUM(K1590:K1593)</f>
        <v>38</v>
      </c>
      <c r="L1594" s="8">
        <f>SUM(L1590:L1593)</f>
        <v>195</v>
      </c>
      <c r="M1594" s="316"/>
    </row>
    <row r="1595" spans="2:13" ht="15.75" hidden="1" x14ac:dyDescent="0.2">
      <c r="B1595" s="10">
        <v>46213</v>
      </c>
      <c r="C1595" s="10" t="s">
        <v>22</v>
      </c>
      <c r="D1595" s="10" t="s">
        <v>13</v>
      </c>
      <c r="F1595" s="943">
        <v>46213</v>
      </c>
      <c r="G1595" s="29" t="s">
        <v>16</v>
      </c>
      <c r="H1595" s="29" t="s">
        <v>83</v>
      </c>
      <c r="I1595" s="42">
        <v>40</v>
      </c>
      <c r="J1595" s="42">
        <v>37</v>
      </c>
      <c r="K1595" s="60">
        <v>127</v>
      </c>
      <c r="L1595" s="66">
        <f t="shared" ref="L1595:L1598" si="383">SUM(I1595:K1595)</f>
        <v>204</v>
      </c>
      <c r="M1595" s="336"/>
    </row>
    <row r="1596" spans="2:13" ht="15.75" hidden="1" x14ac:dyDescent="0.2">
      <c r="B1596" s="10">
        <v>46213</v>
      </c>
      <c r="C1596" s="10" t="s">
        <v>22</v>
      </c>
      <c r="D1596" s="10" t="s">
        <v>13</v>
      </c>
      <c r="F1596" s="944"/>
      <c r="G1596" s="29" t="s">
        <v>25</v>
      </c>
      <c r="H1596" s="29" t="s">
        <v>43</v>
      </c>
      <c r="I1596" s="42">
        <v>15</v>
      </c>
      <c r="J1596" s="42">
        <v>6</v>
      </c>
      <c r="K1596" s="60">
        <v>0</v>
      </c>
      <c r="L1596" s="66">
        <f t="shared" si="383"/>
        <v>21</v>
      </c>
      <c r="M1596" s="336"/>
    </row>
    <row r="1597" spans="2:13" ht="15.75" hidden="1" x14ac:dyDescent="0.2">
      <c r="B1597" s="10">
        <v>46213</v>
      </c>
      <c r="C1597" s="10" t="s">
        <v>22</v>
      </c>
      <c r="D1597" s="10" t="s">
        <v>13</v>
      </c>
      <c r="F1597" s="944"/>
      <c r="G1597" s="29" t="s">
        <v>84</v>
      </c>
      <c r="H1597" s="29" t="s">
        <v>181</v>
      </c>
      <c r="I1597" s="42">
        <v>8</v>
      </c>
      <c r="J1597" s="42">
        <v>1</v>
      </c>
      <c r="K1597" s="60">
        <v>0</v>
      </c>
      <c r="L1597" s="66">
        <f t="shared" si="383"/>
        <v>9</v>
      </c>
      <c r="M1597" s="336"/>
    </row>
    <row r="1598" spans="2:13" ht="15.75" hidden="1" x14ac:dyDescent="0.25">
      <c r="B1598" s="10">
        <v>46213</v>
      </c>
      <c r="C1598" s="10" t="s">
        <v>22</v>
      </c>
      <c r="D1598" s="10" t="s">
        <v>13</v>
      </c>
      <c r="F1598" s="945"/>
      <c r="G1598" s="29" t="s">
        <v>180</v>
      </c>
      <c r="H1598" s="29" t="s">
        <v>43</v>
      </c>
      <c r="I1598" s="42">
        <v>35</v>
      </c>
      <c r="J1598" s="42">
        <v>3</v>
      </c>
      <c r="K1598" s="60">
        <v>0</v>
      </c>
      <c r="L1598" s="66">
        <f t="shared" si="383"/>
        <v>38</v>
      </c>
      <c r="M1598" s="335"/>
    </row>
    <row r="1599" spans="2:13" ht="15.75" hidden="1" x14ac:dyDescent="0.2">
      <c r="B1599" s="10">
        <v>46213</v>
      </c>
      <c r="C1599" s="10" t="s">
        <v>22</v>
      </c>
      <c r="D1599" s="10" t="s">
        <v>13</v>
      </c>
      <c r="F1599" s="937" t="s">
        <v>40</v>
      </c>
      <c r="G1599" s="937"/>
      <c r="H1599" s="937"/>
      <c r="I1599" s="8">
        <f>SUM(I1595:I1598)</f>
        <v>98</v>
      </c>
      <c r="J1599" s="8">
        <f t="shared" ref="J1599:K1599" si="384">SUM(J1595:J1598)</f>
        <v>47</v>
      </c>
      <c r="K1599" s="8">
        <f t="shared" si="384"/>
        <v>127</v>
      </c>
      <c r="L1599" s="8">
        <f>SUM(L1595:L1598)</f>
        <v>272</v>
      </c>
      <c r="M1599" s="316"/>
    </row>
    <row r="1600" spans="2:13" ht="15.75" hidden="1" x14ac:dyDescent="0.2">
      <c r="B1600" s="10">
        <v>46213</v>
      </c>
      <c r="C1600" s="10" t="s">
        <v>12</v>
      </c>
      <c r="D1600" s="10" t="s">
        <v>163</v>
      </c>
      <c r="F1600" s="943">
        <v>46213</v>
      </c>
      <c r="G1600" s="29" t="s">
        <v>16</v>
      </c>
      <c r="H1600" s="29" t="s">
        <v>83</v>
      </c>
      <c r="I1600" s="42">
        <v>111</v>
      </c>
      <c r="J1600" s="42">
        <v>83</v>
      </c>
      <c r="K1600" s="60">
        <v>0</v>
      </c>
      <c r="L1600" s="66">
        <f t="shared" ref="L1600:L1605" si="385">SUM(I1600:K1600)</f>
        <v>194</v>
      </c>
      <c r="M1600" s="336"/>
    </row>
    <row r="1601" spans="2:13" ht="15.75" hidden="1" x14ac:dyDescent="0.2">
      <c r="B1601" s="10">
        <v>46213</v>
      </c>
      <c r="C1601" s="10" t="s">
        <v>12</v>
      </c>
      <c r="D1601" s="10" t="s">
        <v>163</v>
      </c>
      <c r="F1601" s="944"/>
      <c r="G1601" s="29" t="s">
        <v>122</v>
      </c>
      <c r="H1601" s="29" t="s">
        <v>43</v>
      </c>
      <c r="I1601" s="42">
        <v>19</v>
      </c>
      <c r="J1601" s="42">
        <v>3</v>
      </c>
      <c r="K1601" s="60">
        <v>0</v>
      </c>
      <c r="L1601" s="66">
        <f t="shared" si="385"/>
        <v>22</v>
      </c>
      <c r="M1601" s="336"/>
    </row>
    <row r="1602" spans="2:13" ht="15.75" hidden="1" x14ac:dyDescent="0.2">
      <c r="B1602" s="10">
        <v>46213</v>
      </c>
      <c r="C1602" s="10" t="s">
        <v>12</v>
      </c>
      <c r="D1602" s="10" t="s">
        <v>163</v>
      </c>
      <c r="F1602" s="944"/>
      <c r="G1602" s="29" t="s">
        <v>84</v>
      </c>
      <c r="H1602" s="29" t="s">
        <v>15</v>
      </c>
      <c r="I1602" s="42">
        <v>2</v>
      </c>
      <c r="J1602" s="42">
        <v>2</v>
      </c>
      <c r="K1602" s="60">
        <v>0</v>
      </c>
      <c r="L1602" s="66">
        <f t="shared" si="385"/>
        <v>4</v>
      </c>
      <c r="M1602" s="336"/>
    </row>
    <row r="1603" spans="2:13" ht="15.75" hidden="1" x14ac:dyDescent="0.2">
      <c r="B1603" s="10">
        <v>46213</v>
      </c>
      <c r="C1603" s="10" t="s">
        <v>12</v>
      </c>
      <c r="D1603" s="10" t="s">
        <v>163</v>
      </c>
      <c r="F1603" s="944"/>
      <c r="G1603" s="29" t="s">
        <v>120</v>
      </c>
      <c r="H1603" s="29" t="s">
        <v>43</v>
      </c>
      <c r="I1603" s="42">
        <v>0</v>
      </c>
      <c r="J1603" s="42">
        <v>0</v>
      </c>
      <c r="K1603" s="60">
        <v>22</v>
      </c>
      <c r="L1603" s="66">
        <f t="shared" si="385"/>
        <v>22</v>
      </c>
      <c r="M1603" s="336"/>
    </row>
    <row r="1604" spans="2:13" ht="15.75" hidden="1" x14ac:dyDescent="0.2">
      <c r="B1604" s="10">
        <v>46213</v>
      </c>
      <c r="C1604" s="10" t="s">
        <v>12</v>
      </c>
      <c r="D1604" s="10" t="s">
        <v>163</v>
      </c>
      <c r="F1604" s="944"/>
      <c r="G1604" s="29" t="s">
        <v>118</v>
      </c>
      <c r="H1604" s="29" t="s">
        <v>43</v>
      </c>
      <c r="I1604" s="42">
        <v>0</v>
      </c>
      <c r="J1604" s="42">
        <v>0</v>
      </c>
      <c r="K1604" s="60">
        <v>42</v>
      </c>
      <c r="L1604" s="66">
        <f t="shared" si="385"/>
        <v>42</v>
      </c>
      <c r="M1604" s="336"/>
    </row>
    <row r="1605" spans="2:13" ht="15.75" hidden="1" x14ac:dyDescent="0.25">
      <c r="B1605" s="10">
        <v>46213</v>
      </c>
      <c r="C1605" s="10" t="s">
        <v>12</v>
      </c>
      <c r="D1605" s="10" t="s">
        <v>163</v>
      </c>
      <c r="F1605" s="945"/>
      <c r="G1605" s="29" t="s">
        <v>180</v>
      </c>
      <c r="H1605" s="29" t="s">
        <v>43</v>
      </c>
      <c r="I1605" s="42">
        <v>0</v>
      </c>
      <c r="J1605" s="42">
        <v>0</v>
      </c>
      <c r="K1605" s="60">
        <v>32</v>
      </c>
      <c r="L1605" s="66">
        <f t="shared" si="385"/>
        <v>32</v>
      </c>
      <c r="M1605" s="335"/>
    </row>
    <row r="1606" spans="2:13" ht="15.75" hidden="1" x14ac:dyDescent="0.2">
      <c r="B1606" s="10">
        <v>46213</v>
      </c>
      <c r="C1606" s="10" t="s">
        <v>12</v>
      </c>
      <c r="D1606" s="10" t="s">
        <v>163</v>
      </c>
      <c r="F1606" s="937" t="s">
        <v>40</v>
      </c>
      <c r="G1606" s="937"/>
      <c r="H1606" s="937"/>
      <c r="I1606" s="8">
        <f>SUM(I1600:I1605)</f>
        <v>132</v>
      </c>
      <c r="J1606" s="8">
        <f t="shared" ref="J1606:K1606" si="386">SUM(J1600:J1605)</f>
        <v>88</v>
      </c>
      <c r="K1606" s="8">
        <f t="shared" si="386"/>
        <v>96</v>
      </c>
      <c r="L1606" s="8">
        <f>SUM(L1600:L1605)</f>
        <v>316</v>
      </c>
      <c r="M1606" s="316"/>
    </row>
    <row r="1607" spans="2:13" ht="15.75" hidden="1" x14ac:dyDescent="0.2">
      <c r="B1607" s="10">
        <v>46213</v>
      </c>
      <c r="C1607" s="10" t="s">
        <v>18</v>
      </c>
      <c r="D1607" s="10" t="s">
        <v>20</v>
      </c>
      <c r="F1607" s="350">
        <v>46213</v>
      </c>
      <c r="G1607" s="29" t="s">
        <v>16</v>
      </c>
      <c r="H1607" s="29" t="s">
        <v>83</v>
      </c>
      <c r="I1607" s="42">
        <v>12</v>
      </c>
      <c r="J1607" s="42">
        <v>14</v>
      </c>
      <c r="K1607" s="60">
        <v>0</v>
      </c>
      <c r="L1607" s="66">
        <f>SUM(I1607:K1607)</f>
        <v>26</v>
      </c>
      <c r="M1607" s="336"/>
    </row>
    <row r="1608" spans="2:13" ht="15.75" hidden="1" x14ac:dyDescent="0.2">
      <c r="B1608" s="10">
        <v>46213</v>
      </c>
      <c r="C1608" s="10" t="s">
        <v>18</v>
      </c>
      <c r="D1608" s="10" t="s">
        <v>20</v>
      </c>
      <c r="F1608" s="943">
        <v>46215</v>
      </c>
      <c r="G1608" s="29" t="s">
        <v>180</v>
      </c>
      <c r="H1608" s="29" t="s">
        <v>43</v>
      </c>
      <c r="I1608" s="42">
        <v>51</v>
      </c>
      <c r="J1608" s="42">
        <v>0</v>
      </c>
      <c r="K1608" s="60">
        <v>0</v>
      </c>
      <c r="L1608" s="66">
        <f t="shared" ref="L1608:L1609" si="387">SUM(I1608:K1608)</f>
        <v>51</v>
      </c>
      <c r="M1608" s="336"/>
    </row>
    <row r="1609" spans="2:13" ht="15.75" hidden="1" x14ac:dyDescent="0.25">
      <c r="B1609" s="10">
        <v>46213</v>
      </c>
      <c r="C1609" s="10" t="s">
        <v>18</v>
      </c>
      <c r="D1609" s="10" t="s">
        <v>20</v>
      </c>
      <c r="F1609" s="945"/>
      <c r="G1609" s="29" t="s">
        <v>118</v>
      </c>
      <c r="H1609" s="29" t="s">
        <v>43</v>
      </c>
      <c r="I1609" s="42">
        <v>127</v>
      </c>
      <c r="J1609" s="42">
        <v>35</v>
      </c>
      <c r="K1609" s="60">
        <v>30</v>
      </c>
      <c r="L1609" s="66">
        <f t="shared" si="387"/>
        <v>192</v>
      </c>
      <c r="M1609" s="335"/>
    </row>
    <row r="1610" spans="2:13" ht="15.75" hidden="1" x14ac:dyDescent="0.2">
      <c r="B1610" s="10">
        <v>46213</v>
      </c>
      <c r="C1610" s="10" t="s">
        <v>18</v>
      </c>
      <c r="D1610" s="10" t="s">
        <v>20</v>
      </c>
      <c r="F1610" s="937" t="s">
        <v>40</v>
      </c>
      <c r="G1610" s="937"/>
      <c r="H1610" s="937"/>
      <c r="I1610" s="8">
        <f>SUM(I1607:I1609)</f>
        <v>190</v>
      </c>
      <c r="J1610" s="8">
        <f>SUM(J1607:J1609)</f>
        <v>49</v>
      </c>
      <c r="K1610" s="8">
        <f>SUM(K1607:K1609)</f>
        <v>30</v>
      </c>
      <c r="L1610" s="8">
        <f>SUM(L1607:L1609)</f>
        <v>269</v>
      </c>
      <c r="M1610" s="316"/>
    </row>
    <row r="1611" spans="2:13" ht="15.75" hidden="1" x14ac:dyDescent="0.2">
      <c r="B1611" s="10">
        <v>46214</v>
      </c>
      <c r="C1611" s="10" t="s">
        <v>22</v>
      </c>
      <c r="D1611" s="10" t="s">
        <v>13</v>
      </c>
      <c r="F1611" s="939">
        <v>46214</v>
      </c>
      <c r="G1611" s="377" t="s">
        <v>84</v>
      </c>
      <c r="H1611" s="377" t="s">
        <v>15</v>
      </c>
      <c r="I1611" s="42"/>
      <c r="J1611" s="42"/>
      <c r="K1611" s="60"/>
      <c r="L1611" s="66">
        <f>SUM(I1611:K1611)</f>
        <v>0</v>
      </c>
      <c r="M1611" s="376"/>
    </row>
    <row r="1612" spans="2:13" ht="15.75" hidden="1" x14ac:dyDescent="0.2">
      <c r="B1612" s="10">
        <v>46214</v>
      </c>
      <c r="C1612" s="10" t="s">
        <v>22</v>
      </c>
      <c r="D1612" s="10" t="s">
        <v>13</v>
      </c>
      <c r="F1612" s="941"/>
      <c r="G1612" s="29" t="s">
        <v>16</v>
      </c>
      <c r="H1612" s="29" t="s">
        <v>83</v>
      </c>
      <c r="I1612" s="42"/>
      <c r="J1612" s="42"/>
      <c r="K1612" s="60"/>
      <c r="L1612" s="66">
        <f t="shared" ref="L1612:L1616" si="388">SUM(I1612:K1612)</f>
        <v>0</v>
      </c>
      <c r="M1612" s="42"/>
    </row>
    <row r="1613" spans="2:13" ht="15.75" hidden="1" x14ac:dyDescent="0.2">
      <c r="B1613" s="10">
        <v>46214</v>
      </c>
      <c r="C1613" s="10" t="s">
        <v>22</v>
      </c>
      <c r="D1613" s="10" t="s">
        <v>13</v>
      </c>
      <c r="F1613" s="943">
        <v>46215</v>
      </c>
      <c r="G1613" s="29" t="s">
        <v>16</v>
      </c>
      <c r="H1613" s="29" t="s">
        <v>83</v>
      </c>
      <c r="I1613" s="42"/>
      <c r="J1613" s="42"/>
      <c r="K1613" s="60"/>
      <c r="L1613" s="66">
        <f t="shared" si="388"/>
        <v>0</v>
      </c>
      <c r="M1613" s="42"/>
    </row>
    <row r="1614" spans="2:13" ht="15.75" hidden="1" x14ac:dyDescent="0.2">
      <c r="B1614" s="10">
        <v>46214</v>
      </c>
      <c r="C1614" s="10" t="s">
        <v>22</v>
      </c>
      <c r="D1614" s="10" t="s">
        <v>13</v>
      </c>
      <c r="F1614" s="944"/>
      <c r="G1614" s="29" t="s">
        <v>84</v>
      </c>
      <c r="H1614" s="29" t="s">
        <v>100</v>
      </c>
      <c r="I1614" s="42">
        <v>145</v>
      </c>
      <c r="J1614" s="42">
        <v>54</v>
      </c>
      <c r="K1614" s="60">
        <v>25</v>
      </c>
      <c r="L1614" s="66">
        <f t="shared" si="388"/>
        <v>224</v>
      </c>
      <c r="M1614" s="42"/>
    </row>
    <row r="1615" spans="2:13" ht="15.75" hidden="1" x14ac:dyDescent="0.2">
      <c r="B1615" s="10">
        <v>46214</v>
      </c>
      <c r="C1615" s="10" t="s">
        <v>22</v>
      </c>
      <c r="D1615" s="10" t="s">
        <v>13</v>
      </c>
      <c r="F1615" s="944"/>
      <c r="G1615" s="29" t="s">
        <v>180</v>
      </c>
      <c r="H1615" s="29" t="s">
        <v>43</v>
      </c>
      <c r="I1615" s="42">
        <v>1</v>
      </c>
      <c r="J1615" s="42">
        <v>2</v>
      </c>
      <c r="K1615" s="60">
        <v>0</v>
      </c>
      <c r="L1615" s="66">
        <f t="shared" si="388"/>
        <v>3</v>
      </c>
      <c r="M1615" s="336"/>
    </row>
    <row r="1616" spans="2:13" ht="15.75" hidden="1" x14ac:dyDescent="0.25">
      <c r="B1616" s="10">
        <v>46214</v>
      </c>
      <c r="C1616" s="10" t="s">
        <v>22</v>
      </c>
      <c r="D1616" s="10" t="s">
        <v>13</v>
      </c>
      <c r="F1616" s="945"/>
      <c r="G1616" s="29" t="s">
        <v>118</v>
      </c>
      <c r="H1616" s="29" t="s">
        <v>43</v>
      </c>
      <c r="I1616" s="42">
        <v>50</v>
      </c>
      <c r="J1616" s="42">
        <v>14</v>
      </c>
      <c r="K1616" s="60">
        <v>19</v>
      </c>
      <c r="L1616" s="66">
        <f t="shared" si="388"/>
        <v>83</v>
      </c>
      <c r="M1616" s="335"/>
    </row>
    <row r="1617" spans="2:13" ht="15.75" hidden="1" x14ac:dyDescent="0.2">
      <c r="B1617" s="10">
        <v>46214</v>
      </c>
      <c r="C1617" s="10" t="s">
        <v>22</v>
      </c>
      <c r="D1617" s="10" t="s">
        <v>13</v>
      </c>
      <c r="F1617" s="937" t="s">
        <v>40</v>
      </c>
      <c r="G1617" s="937"/>
      <c r="H1617" s="937"/>
      <c r="I1617" s="8">
        <f>SUM(I1611:I1616)</f>
        <v>196</v>
      </c>
      <c r="J1617" s="8">
        <f t="shared" ref="J1617:L1617" si="389">SUM(J1611:J1616)</f>
        <v>70</v>
      </c>
      <c r="K1617" s="8">
        <f t="shared" si="389"/>
        <v>44</v>
      </c>
      <c r="L1617" s="8">
        <f t="shared" si="389"/>
        <v>310</v>
      </c>
      <c r="M1617" s="316"/>
    </row>
    <row r="1618" spans="2:13" ht="15.75" hidden="1" x14ac:dyDescent="0.2">
      <c r="B1618" s="10">
        <v>46214</v>
      </c>
      <c r="C1618" s="10" t="s">
        <v>12</v>
      </c>
      <c r="D1618" s="10" t="s">
        <v>163</v>
      </c>
      <c r="F1618" s="943">
        <v>46214</v>
      </c>
      <c r="G1618" s="29" t="s">
        <v>16</v>
      </c>
      <c r="H1618" s="29" t="s">
        <v>12</v>
      </c>
      <c r="I1618" s="42">
        <v>193</v>
      </c>
      <c r="J1618" s="42">
        <v>25</v>
      </c>
      <c r="K1618" s="60">
        <v>0</v>
      </c>
      <c r="L1618" s="66">
        <f>SUM(I1618:K1618)</f>
        <v>218</v>
      </c>
      <c r="M1618" s="42"/>
    </row>
    <row r="1619" spans="2:13" ht="15.75" hidden="1" x14ac:dyDescent="0.2">
      <c r="B1619" s="10">
        <v>46214</v>
      </c>
      <c r="C1619" s="10" t="s">
        <v>12</v>
      </c>
      <c r="D1619" s="10" t="s">
        <v>163</v>
      </c>
      <c r="F1619" s="944"/>
      <c r="G1619" s="29" t="s">
        <v>120</v>
      </c>
      <c r="H1619" s="29" t="s">
        <v>43</v>
      </c>
      <c r="I1619" s="42">
        <v>20</v>
      </c>
      <c r="J1619" s="42">
        <v>2</v>
      </c>
      <c r="K1619" s="60">
        <v>0</v>
      </c>
      <c r="L1619" s="66">
        <f t="shared" ref="L1619:L1622" si="390">SUM(I1619:K1619)</f>
        <v>22</v>
      </c>
      <c r="M1619" s="42"/>
    </row>
    <row r="1620" spans="2:13" ht="15.75" hidden="1" x14ac:dyDescent="0.2">
      <c r="B1620" s="10">
        <v>46214</v>
      </c>
      <c r="C1620" s="10" t="s">
        <v>12</v>
      </c>
      <c r="D1620" s="10" t="s">
        <v>163</v>
      </c>
      <c r="F1620" s="944"/>
      <c r="G1620" s="29" t="s">
        <v>84</v>
      </c>
      <c r="H1620" s="29" t="s">
        <v>15</v>
      </c>
      <c r="I1620" s="42">
        <v>23</v>
      </c>
      <c r="J1620" s="42">
        <v>12</v>
      </c>
      <c r="K1620" s="60">
        <v>0</v>
      </c>
      <c r="L1620" s="66">
        <f t="shared" si="390"/>
        <v>35</v>
      </c>
      <c r="M1620" s="42"/>
    </row>
    <row r="1621" spans="2:13" ht="15.75" hidden="1" x14ac:dyDescent="0.2">
      <c r="B1621" s="10">
        <v>46214</v>
      </c>
      <c r="C1621" s="10" t="s">
        <v>12</v>
      </c>
      <c r="D1621" s="10" t="s">
        <v>163</v>
      </c>
      <c r="F1621" s="944"/>
      <c r="G1621" s="29" t="s">
        <v>180</v>
      </c>
      <c r="H1621" s="29" t="s">
        <v>22</v>
      </c>
      <c r="I1621" s="42">
        <v>0</v>
      </c>
      <c r="J1621" s="42">
        <v>0</v>
      </c>
      <c r="K1621" s="60">
        <v>24</v>
      </c>
      <c r="L1621" s="66">
        <f t="shared" si="390"/>
        <v>24</v>
      </c>
      <c r="M1621" s="42"/>
    </row>
    <row r="1622" spans="2:13" ht="15.75" hidden="1" x14ac:dyDescent="0.2">
      <c r="B1622" s="10">
        <v>46214</v>
      </c>
      <c r="C1622" s="10" t="s">
        <v>12</v>
      </c>
      <c r="D1622" s="10" t="s">
        <v>163</v>
      </c>
      <c r="F1622" s="944"/>
      <c r="G1622" s="29" t="s">
        <v>118</v>
      </c>
      <c r="H1622" s="29" t="s">
        <v>43</v>
      </c>
      <c r="I1622" s="42">
        <v>10</v>
      </c>
      <c r="J1622" s="42">
        <v>4</v>
      </c>
      <c r="K1622" s="60">
        <v>0</v>
      </c>
      <c r="L1622" s="66">
        <f t="shared" si="390"/>
        <v>14</v>
      </c>
      <c r="M1622" s="336"/>
    </row>
    <row r="1623" spans="2:13" ht="15.75" hidden="1" x14ac:dyDescent="0.2">
      <c r="B1623" s="10">
        <v>46214</v>
      </c>
      <c r="C1623" s="10" t="s">
        <v>12</v>
      </c>
      <c r="D1623" s="10" t="s">
        <v>163</v>
      </c>
      <c r="F1623" s="937" t="s">
        <v>40</v>
      </c>
      <c r="G1623" s="937"/>
      <c r="H1623" s="937"/>
      <c r="I1623" s="8">
        <f>SUM(I1618:I1622)</f>
        <v>246</v>
      </c>
      <c r="J1623" s="8">
        <f t="shared" ref="J1623:K1623" si="391">SUM(J1618:J1622)</f>
        <v>43</v>
      </c>
      <c r="K1623" s="8">
        <f t="shared" si="391"/>
        <v>24</v>
      </c>
      <c r="L1623" s="8">
        <f>SUM(L1618:L1622)</f>
        <v>313</v>
      </c>
      <c r="M1623" s="316"/>
    </row>
    <row r="1624" spans="2:13" ht="15.75" hidden="1" x14ac:dyDescent="0.2">
      <c r="B1624" s="10">
        <v>46215</v>
      </c>
      <c r="C1624" s="10" t="s">
        <v>22</v>
      </c>
      <c r="D1624" s="10" t="s">
        <v>20</v>
      </c>
      <c r="F1624" s="943">
        <v>46215</v>
      </c>
      <c r="G1624" s="29" t="s">
        <v>16</v>
      </c>
      <c r="H1624" s="29" t="s">
        <v>83</v>
      </c>
      <c r="I1624" s="42">
        <v>20</v>
      </c>
      <c r="J1624" s="42">
        <v>4</v>
      </c>
      <c r="K1624" s="60">
        <v>0</v>
      </c>
      <c r="L1624" s="66">
        <f>SUM(I1624:K1624)</f>
        <v>24</v>
      </c>
      <c r="M1624" s="42"/>
    </row>
    <row r="1625" spans="2:13" ht="15.75" hidden="1" x14ac:dyDescent="0.2">
      <c r="B1625" s="10">
        <v>46215</v>
      </c>
      <c r="C1625" s="10" t="s">
        <v>22</v>
      </c>
      <c r="D1625" s="10" t="s">
        <v>20</v>
      </c>
      <c r="F1625" s="944"/>
      <c r="G1625" s="29" t="s">
        <v>180</v>
      </c>
      <c r="H1625" s="29" t="s">
        <v>43</v>
      </c>
      <c r="I1625" s="42">
        <v>22</v>
      </c>
      <c r="J1625" s="42">
        <v>4</v>
      </c>
      <c r="K1625" s="60">
        <v>0</v>
      </c>
      <c r="L1625" s="66">
        <f t="shared" ref="L1625:L1630" si="392">SUM(I1625:K1625)</f>
        <v>26</v>
      </c>
    </row>
    <row r="1626" spans="2:13" ht="15.75" hidden="1" x14ac:dyDescent="0.2">
      <c r="B1626" s="10">
        <v>46215</v>
      </c>
      <c r="C1626" s="10" t="s">
        <v>22</v>
      </c>
      <c r="D1626" s="10" t="s">
        <v>20</v>
      </c>
      <c r="F1626" s="944"/>
      <c r="G1626" s="29" t="s">
        <v>84</v>
      </c>
      <c r="H1626" s="29" t="s">
        <v>43</v>
      </c>
      <c r="I1626" s="42">
        <v>0</v>
      </c>
      <c r="J1626" s="42">
        <v>19</v>
      </c>
      <c r="K1626" s="60">
        <v>45</v>
      </c>
      <c r="L1626" s="66">
        <f t="shared" si="392"/>
        <v>64</v>
      </c>
      <c r="M1626" s="42"/>
    </row>
    <row r="1627" spans="2:13" ht="15.75" hidden="1" x14ac:dyDescent="0.2">
      <c r="B1627" s="10">
        <v>46215</v>
      </c>
      <c r="C1627" s="10" t="s">
        <v>22</v>
      </c>
      <c r="D1627" s="10" t="s">
        <v>20</v>
      </c>
      <c r="F1627" s="944"/>
      <c r="G1627" s="29" t="s">
        <v>120</v>
      </c>
      <c r="H1627" s="29" t="s">
        <v>22</v>
      </c>
      <c r="I1627" s="42">
        <v>0</v>
      </c>
      <c r="J1627" s="42">
        <v>18</v>
      </c>
      <c r="K1627" s="60">
        <v>0</v>
      </c>
      <c r="L1627" s="66">
        <f t="shared" si="392"/>
        <v>18</v>
      </c>
      <c r="M1627" s="42"/>
    </row>
    <row r="1628" spans="2:13" ht="15.75" hidden="1" x14ac:dyDescent="0.2">
      <c r="B1628" s="10">
        <v>46215</v>
      </c>
      <c r="C1628" s="10" t="s">
        <v>22</v>
      </c>
      <c r="D1628" s="10" t="s">
        <v>20</v>
      </c>
      <c r="F1628" s="944"/>
      <c r="G1628" s="29" t="s">
        <v>118</v>
      </c>
      <c r="H1628" s="29" t="s">
        <v>22</v>
      </c>
      <c r="I1628" s="42">
        <v>0</v>
      </c>
      <c r="J1628" s="42">
        <v>15</v>
      </c>
      <c r="K1628" s="60">
        <v>0</v>
      </c>
      <c r="L1628" s="66">
        <f t="shared" si="392"/>
        <v>15</v>
      </c>
      <c r="M1628" s="42"/>
    </row>
    <row r="1629" spans="2:13" ht="15.75" hidden="1" x14ac:dyDescent="0.2">
      <c r="B1629" s="10">
        <v>46215</v>
      </c>
      <c r="C1629" s="10" t="s">
        <v>22</v>
      </c>
      <c r="D1629" s="10" t="s">
        <v>20</v>
      </c>
      <c r="F1629" s="944"/>
      <c r="G1629" s="29" t="s">
        <v>17</v>
      </c>
      <c r="H1629" s="29" t="s">
        <v>12</v>
      </c>
      <c r="I1629" s="42">
        <v>9</v>
      </c>
      <c r="J1629" s="42">
        <v>42</v>
      </c>
      <c r="K1629" s="60">
        <v>6</v>
      </c>
      <c r="L1629" s="66">
        <f t="shared" si="392"/>
        <v>57</v>
      </c>
      <c r="M1629" s="42"/>
    </row>
    <row r="1630" spans="2:13" ht="15.75" hidden="1" x14ac:dyDescent="0.2">
      <c r="B1630" s="10">
        <v>46215</v>
      </c>
      <c r="C1630" s="10" t="s">
        <v>22</v>
      </c>
      <c r="D1630" s="10" t="s">
        <v>20</v>
      </c>
      <c r="F1630" s="944"/>
      <c r="G1630" s="29" t="s">
        <v>25</v>
      </c>
      <c r="H1630" s="29" t="s">
        <v>12</v>
      </c>
      <c r="I1630" s="42">
        <v>4</v>
      </c>
      <c r="J1630" s="42">
        <v>65</v>
      </c>
      <c r="K1630" s="60">
        <v>0</v>
      </c>
      <c r="L1630" s="66">
        <f t="shared" si="392"/>
        <v>69</v>
      </c>
      <c r="M1630" s="42"/>
    </row>
    <row r="1631" spans="2:13" ht="15.75" hidden="1" x14ac:dyDescent="0.2">
      <c r="B1631" s="10">
        <v>46215</v>
      </c>
      <c r="C1631" s="10" t="s">
        <v>22</v>
      </c>
      <c r="D1631" s="10" t="s">
        <v>20</v>
      </c>
      <c r="F1631" s="937" t="s">
        <v>40</v>
      </c>
      <c r="G1631" s="937"/>
      <c r="H1631" s="937"/>
      <c r="I1631" s="8">
        <f>SUM(I1624:I1630)</f>
        <v>55</v>
      </c>
      <c r="J1631" s="8">
        <f>SUM(J1624:J1630)</f>
        <v>167</v>
      </c>
      <c r="K1631" s="8">
        <f>SUM(K1624:K1630)</f>
        <v>51</v>
      </c>
      <c r="L1631" s="8">
        <f>SUM(L1624:L1630)</f>
        <v>273</v>
      </c>
      <c r="M1631" s="316"/>
    </row>
    <row r="1632" spans="2:13" ht="15.75" hidden="1" x14ac:dyDescent="0.2">
      <c r="B1632" s="10">
        <v>46215</v>
      </c>
      <c r="C1632" s="10" t="s">
        <v>22</v>
      </c>
      <c r="D1632" s="10" t="s">
        <v>13</v>
      </c>
      <c r="F1632" s="943">
        <v>46215</v>
      </c>
      <c r="G1632" s="29" t="s">
        <v>16</v>
      </c>
      <c r="H1632" s="29" t="s">
        <v>83</v>
      </c>
      <c r="I1632" s="42">
        <v>11</v>
      </c>
      <c r="J1632" s="42">
        <v>0</v>
      </c>
      <c r="K1632" s="60">
        <v>0</v>
      </c>
      <c r="L1632" s="66">
        <f>SUM(I1632:K1632)</f>
        <v>11</v>
      </c>
      <c r="M1632" s="42"/>
    </row>
    <row r="1633" spans="2:13" ht="15.75" hidden="1" x14ac:dyDescent="0.2">
      <c r="B1633" s="10">
        <v>46215</v>
      </c>
      <c r="C1633" s="10" t="s">
        <v>22</v>
      </c>
      <c r="D1633" s="10" t="s">
        <v>13</v>
      </c>
      <c r="F1633" s="944"/>
      <c r="G1633" s="29" t="s">
        <v>84</v>
      </c>
      <c r="H1633" s="29" t="s">
        <v>27</v>
      </c>
      <c r="I1633" s="42">
        <v>42</v>
      </c>
      <c r="J1633" s="42">
        <v>18</v>
      </c>
      <c r="K1633" s="60">
        <v>6</v>
      </c>
      <c r="L1633" s="66">
        <f t="shared" ref="L1633:L1636" si="393">SUM(I1633:K1633)</f>
        <v>66</v>
      </c>
      <c r="M1633" s="42"/>
    </row>
    <row r="1634" spans="2:13" ht="15.75" hidden="1" x14ac:dyDescent="0.2">
      <c r="B1634" s="10">
        <v>46215</v>
      </c>
      <c r="C1634" s="10" t="s">
        <v>22</v>
      </c>
      <c r="D1634" s="10" t="s">
        <v>13</v>
      </c>
      <c r="F1634" s="944"/>
      <c r="G1634" s="29" t="s">
        <v>120</v>
      </c>
      <c r="H1634" s="29" t="s">
        <v>22</v>
      </c>
      <c r="I1634" s="42">
        <v>17</v>
      </c>
      <c r="J1634" s="42">
        <v>1</v>
      </c>
      <c r="K1634" s="60">
        <v>0</v>
      </c>
      <c r="L1634" s="66">
        <f t="shared" si="393"/>
        <v>18</v>
      </c>
      <c r="M1634" s="42"/>
    </row>
    <row r="1635" spans="2:13" ht="15.75" hidden="1" x14ac:dyDescent="0.2">
      <c r="B1635" s="10">
        <v>46215</v>
      </c>
      <c r="C1635" s="10" t="s">
        <v>22</v>
      </c>
      <c r="D1635" s="10" t="s">
        <v>13</v>
      </c>
      <c r="F1635" s="944"/>
      <c r="G1635" s="29" t="s">
        <v>17</v>
      </c>
      <c r="H1635" s="29" t="s">
        <v>12</v>
      </c>
      <c r="I1635" s="42">
        <v>12</v>
      </c>
      <c r="J1635" s="42">
        <v>6</v>
      </c>
      <c r="K1635" s="60">
        <v>0</v>
      </c>
      <c r="L1635" s="66">
        <f t="shared" si="393"/>
        <v>18</v>
      </c>
      <c r="M1635" s="42"/>
    </row>
    <row r="1636" spans="2:13" ht="15.75" hidden="1" x14ac:dyDescent="0.2">
      <c r="B1636" s="10">
        <v>46215</v>
      </c>
      <c r="C1636" s="10" t="s">
        <v>22</v>
      </c>
      <c r="D1636" s="10" t="s">
        <v>13</v>
      </c>
      <c r="F1636" s="944"/>
      <c r="G1636" s="29" t="s">
        <v>25</v>
      </c>
      <c r="H1636" s="29" t="s">
        <v>12</v>
      </c>
      <c r="I1636" s="42">
        <v>60</v>
      </c>
      <c r="J1636" s="42">
        <v>14</v>
      </c>
      <c r="K1636" s="60">
        <v>0</v>
      </c>
      <c r="L1636" s="66">
        <f t="shared" si="393"/>
        <v>74</v>
      </c>
      <c r="M1636" s="42"/>
    </row>
    <row r="1637" spans="2:13" ht="15.75" hidden="1" x14ac:dyDescent="0.2">
      <c r="B1637" s="10">
        <v>46215</v>
      </c>
      <c r="C1637" s="10" t="s">
        <v>22</v>
      </c>
      <c r="D1637" s="10" t="s">
        <v>13</v>
      </c>
      <c r="F1637" s="943">
        <v>46216</v>
      </c>
      <c r="G1637" s="29" t="s">
        <v>16</v>
      </c>
      <c r="H1637" s="29" t="s">
        <v>83</v>
      </c>
      <c r="I1637" s="42">
        <v>7</v>
      </c>
      <c r="J1637" s="42">
        <v>7</v>
      </c>
      <c r="K1637" s="60">
        <v>0</v>
      </c>
      <c r="L1637" s="66">
        <f>SUM(I1637:K1637)</f>
        <v>14</v>
      </c>
      <c r="M1637" s="42"/>
    </row>
    <row r="1638" spans="2:13" ht="15.75" hidden="1" x14ac:dyDescent="0.2">
      <c r="B1638" s="10">
        <v>46215</v>
      </c>
      <c r="C1638" s="10" t="s">
        <v>22</v>
      </c>
      <c r="D1638" s="10" t="s">
        <v>13</v>
      </c>
      <c r="F1638" s="944"/>
      <c r="G1638" s="29" t="s">
        <v>84</v>
      </c>
      <c r="H1638" s="29" t="s">
        <v>27</v>
      </c>
      <c r="I1638" s="42">
        <v>17</v>
      </c>
      <c r="J1638" s="42">
        <v>6</v>
      </c>
      <c r="K1638" s="60">
        <v>0</v>
      </c>
      <c r="L1638" s="66">
        <f>SUM(I1638:K1638)</f>
        <v>23</v>
      </c>
      <c r="M1638" s="42"/>
    </row>
    <row r="1639" spans="2:13" ht="15.75" hidden="1" x14ac:dyDescent="0.2">
      <c r="B1639" s="10">
        <v>46215</v>
      </c>
      <c r="C1639" s="10" t="s">
        <v>22</v>
      </c>
      <c r="D1639" s="10" t="s">
        <v>13</v>
      </c>
      <c r="F1639" s="944"/>
      <c r="G1639" s="29" t="s">
        <v>123</v>
      </c>
      <c r="H1639" s="29" t="s">
        <v>22</v>
      </c>
      <c r="I1639" s="42">
        <v>0</v>
      </c>
      <c r="J1639" s="42">
        <v>0</v>
      </c>
      <c r="K1639" s="60">
        <v>19</v>
      </c>
      <c r="L1639" s="66">
        <f t="shared" ref="L1639:L1640" si="394">SUM(I1639:K1639)</f>
        <v>19</v>
      </c>
      <c r="M1639" s="42"/>
    </row>
    <row r="1640" spans="2:13" ht="15.75" hidden="1" x14ac:dyDescent="0.2">
      <c r="B1640" s="10">
        <v>46215</v>
      </c>
      <c r="C1640" s="10" t="s">
        <v>22</v>
      </c>
      <c r="D1640" s="10" t="s">
        <v>13</v>
      </c>
      <c r="F1640" s="944"/>
      <c r="G1640" s="29" t="s">
        <v>180</v>
      </c>
      <c r="H1640" s="29" t="s">
        <v>22</v>
      </c>
      <c r="I1640" s="42">
        <v>0</v>
      </c>
      <c r="J1640" s="42">
        <v>0</v>
      </c>
      <c r="K1640" s="60">
        <v>21</v>
      </c>
      <c r="L1640" s="66">
        <f t="shared" si="394"/>
        <v>21</v>
      </c>
      <c r="M1640" s="42"/>
    </row>
    <row r="1641" spans="2:13" ht="15.75" hidden="1" x14ac:dyDescent="0.2">
      <c r="B1641" s="10">
        <v>46215</v>
      </c>
      <c r="C1641" s="10" t="s">
        <v>22</v>
      </c>
      <c r="D1641" s="10" t="s">
        <v>13</v>
      </c>
      <c r="F1641" s="937" t="s">
        <v>40</v>
      </c>
      <c r="G1641" s="937"/>
      <c r="H1641" s="937"/>
      <c r="I1641" s="8">
        <f>SUM(I1632:I1640)</f>
        <v>166</v>
      </c>
      <c r="J1641" s="8">
        <f t="shared" ref="J1641:K1641" si="395">SUM(J1632:J1640)</f>
        <v>52</v>
      </c>
      <c r="K1641" s="8">
        <f t="shared" si="395"/>
        <v>46</v>
      </c>
      <c r="L1641" s="8">
        <f>SUM(L1632:L1640)</f>
        <v>264</v>
      </c>
      <c r="M1641" s="316"/>
    </row>
    <row r="1642" spans="2:13" ht="15.75" hidden="1" x14ac:dyDescent="0.2">
      <c r="B1642" s="10">
        <v>46215</v>
      </c>
      <c r="C1642" s="10" t="s">
        <v>18</v>
      </c>
      <c r="D1642" s="10" t="s">
        <v>163</v>
      </c>
      <c r="F1642" s="943">
        <v>46215</v>
      </c>
      <c r="G1642" s="29" t="s">
        <v>16</v>
      </c>
      <c r="H1642" s="29" t="s">
        <v>83</v>
      </c>
      <c r="I1642" s="42">
        <v>99</v>
      </c>
      <c r="J1642" s="42">
        <v>37</v>
      </c>
      <c r="K1642" s="60">
        <v>51</v>
      </c>
      <c r="L1642" s="66">
        <f>SUM(I1642:K1642)</f>
        <v>187</v>
      </c>
      <c r="M1642" s="42"/>
    </row>
    <row r="1643" spans="2:13" ht="15.75" hidden="1" x14ac:dyDescent="0.2">
      <c r="B1643" s="10">
        <v>46215</v>
      </c>
      <c r="C1643" s="10" t="s">
        <v>18</v>
      </c>
      <c r="D1643" s="10" t="s">
        <v>163</v>
      </c>
      <c r="F1643" s="944"/>
      <c r="G1643" s="29" t="s">
        <v>84</v>
      </c>
      <c r="H1643" s="29" t="s">
        <v>27</v>
      </c>
      <c r="I1643" s="42">
        <v>11</v>
      </c>
      <c r="J1643" s="42">
        <v>1</v>
      </c>
      <c r="K1643" s="60">
        <v>0</v>
      </c>
      <c r="L1643" s="66">
        <f t="shared" ref="L1643:L1648" si="396">SUM(I1643:K1643)</f>
        <v>12</v>
      </c>
      <c r="M1643" s="42"/>
    </row>
    <row r="1644" spans="2:13" ht="15.75" hidden="1" x14ac:dyDescent="0.2">
      <c r="B1644" s="10">
        <v>46215</v>
      </c>
      <c r="C1644" s="10" t="s">
        <v>18</v>
      </c>
      <c r="D1644" s="10" t="s">
        <v>163</v>
      </c>
      <c r="F1644" s="944"/>
      <c r="G1644" s="29" t="s">
        <v>118</v>
      </c>
      <c r="H1644" s="29" t="s">
        <v>22</v>
      </c>
      <c r="I1644" s="42">
        <v>14</v>
      </c>
      <c r="J1644" s="42">
        <v>0</v>
      </c>
      <c r="K1644" s="60">
        <v>0</v>
      </c>
      <c r="L1644" s="66">
        <f t="shared" si="396"/>
        <v>14</v>
      </c>
      <c r="M1644" s="42"/>
    </row>
    <row r="1645" spans="2:13" ht="15.75" hidden="1" x14ac:dyDescent="0.2">
      <c r="B1645" s="10">
        <v>46215</v>
      </c>
      <c r="C1645" s="10" t="s">
        <v>18</v>
      </c>
      <c r="D1645" s="10" t="s">
        <v>163</v>
      </c>
      <c r="F1645" s="944"/>
      <c r="G1645" s="29" t="s">
        <v>17</v>
      </c>
      <c r="H1645" s="29" t="s">
        <v>12</v>
      </c>
      <c r="I1645" s="42">
        <v>10</v>
      </c>
      <c r="J1645" s="42">
        <v>0</v>
      </c>
      <c r="K1645" s="60">
        <v>0</v>
      </c>
      <c r="L1645" s="66">
        <f t="shared" si="396"/>
        <v>10</v>
      </c>
      <c r="M1645" s="42"/>
    </row>
    <row r="1646" spans="2:13" ht="15.75" hidden="1" x14ac:dyDescent="0.2">
      <c r="B1646" s="10">
        <v>46215</v>
      </c>
      <c r="C1646" s="10" t="s">
        <v>18</v>
      </c>
      <c r="D1646" s="10" t="s">
        <v>163</v>
      </c>
      <c r="F1646" s="944"/>
      <c r="G1646" s="29" t="s">
        <v>183</v>
      </c>
      <c r="H1646" s="29" t="s">
        <v>22</v>
      </c>
      <c r="I1646" s="42">
        <v>0</v>
      </c>
      <c r="J1646" s="42">
        <v>0</v>
      </c>
      <c r="K1646" s="60">
        <v>30</v>
      </c>
      <c r="L1646" s="66">
        <f t="shared" si="396"/>
        <v>30</v>
      </c>
      <c r="M1646" s="42"/>
    </row>
    <row r="1647" spans="2:13" ht="15.75" hidden="1" x14ac:dyDescent="0.2">
      <c r="B1647" s="10">
        <v>46215</v>
      </c>
      <c r="C1647" s="10" t="s">
        <v>18</v>
      </c>
      <c r="D1647" s="10" t="s">
        <v>163</v>
      </c>
      <c r="F1647" s="944"/>
      <c r="G1647" s="29" t="s">
        <v>180</v>
      </c>
      <c r="H1647" s="29" t="s">
        <v>22</v>
      </c>
      <c r="I1647" s="42">
        <v>0</v>
      </c>
      <c r="J1647" s="42">
        <v>0</v>
      </c>
      <c r="K1647" s="60">
        <v>35</v>
      </c>
      <c r="L1647" s="66">
        <f t="shared" si="396"/>
        <v>35</v>
      </c>
      <c r="M1647" s="42"/>
    </row>
    <row r="1648" spans="2:13" ht="15.75" hidden="1" x14ac:dyDescent="0.2">
      <c r="B1648" s="10">
        <v>46215</v>
      </c>
      <c r="C1648" s="10" t="s">
        <v>18</v>
      </c>
      <c r="D1648" s="10" t="s">
        <v>163</v>
      </c>
      <c r="F1648" s="944"/>
      <c r="G1648" s="29" t="s">
        <v>25</v>
      </c>
      <c r="H1648" s="29" t="s">
        <v>12</v>
      </c>
      <c r="I1648" s="42">
        <v>12</v>
      </c>
      <c r="J1648" s="42">
        <v>0</v>
      </c>
      <c r="K1648" s="60">
        <v>0</v>
      </c>
      <c r="L1648" s="66">
        <f t="shared" si="396"/>
        <v>12</v>
      </c>
      <c r="M1648" s="42"/>
    </row>
    <row r="1649" spans="2:13" ht="15.75" hidden="1" x14ac:dyDescent="0.2">
      <c r="B1649" s="10">
        <v>46215</v>
      </c>
      <c r="C1649" s="10" t="s">
        <v>18</v>
      </c>
      <c r="D1649" s="10" t="s">
        <v>163</v>
      </c>
      <c r="F1649" s="937" t="s">
        <v>40</v>
      </c>
      <c r="G1649" s="937"/>
      <c r="H1649" s="937"/>
      <c r="I1649" s="8">
        <f>SUM(I1642:I1648)</f>
        <v>146</v>
      </c>
      <c r="J1649" s="8">
        <f t="shared" ref="J1649:K1649" si="397">SUM(J1642:J1648)</f>
        <v>38</v>
      </c>
      <c r="K1649" s="8">
        <f t="shared" si="397"/>
        <v>116</v>
      </c>
      <c r="L1649" s="8">
        <f>SUM(L1642:L1648)</f>
        <v>300</v>
      </c>
      <c r="M1649" s="316"/>
    </row>
    <row r="1650" spans="2:13" ht="15.75" hidden="1" x14ac:dyDescent="0.2">
      <c r="B1650" s="10">
        <v>46216</v>
      </c>
      <c r="C1650" s="10" t="s">
        <v>22</v>
      </c>
      <c r="D1650" s="10" t="s">
        <v>20</v>
      </c>
      <c r="F1650" s="939">
        <v>46216</v>
      </c>
      <c r="G1650" s="29" t="s">
        <v>16</v>
      </c>
      <c r="H1650" s="29" t="s">
        <v>83</v>
      </c>
      <c r="I1650" s="42">
        <v>78</v>
      </c>
      <c r="J1650" s="42">
        <v>60</v>
      </c>
      <c r="K1650" s="60">
        <v>0</v>
      </c>
      <c r="L1650" s="66">
        <f>SUM(I1650:K1650)</f>
        <v>138</v>
      </c>
      <c r="M1650" s="42"/>
    </row>
    <row r="1651" spans="2:13" ht="15.75" hidden="1" x14ac:dyDescent="0.2">
      <c r="B1651" s="10">
        <v>46216</v>
      </c>
      <c r="C1651" s="10" t="s">
        <v>22</v>
      </c>
      <c r="D1651" s="10" t="s">
        <v>20</v>
      </c>
      <c r="F1651" s="940"/>
      <c r="G1651" s="29" t="s">
        <v>180</v>
      </c>
      <c r="H1651" s="29" t="s">
        <v>43</v>
      </c>
      <c r="I1651" s="42">
        <v>58</v>
      </c>
      <c r="J1651" s="42">
        <v>2</v>
      </c>
      <c r="K1651" s="60">
        <v>0</v>
      </c>
      <c r="L1651" s="66">
        <f t="shared" ref="L1651:L1656" si="398">SUM(I1651:K1651)</f>
        <v>60</v>
      </c>
    </row>
    <row r="1652" spans="2:13" ht="15.75" hidden="1" x14ac:dyDescent="0.2">
      <c r="B1652" s="10">
        <v>46216</v>
      </c>
      <c r="C1652" s="10" t="s">
        <v>22</v>
      </c>
      <c r="D1652" s="10" t="s">
        <v>20</v>
      </c>
      <c r="F1652" s="940"/>
      <c r="G1652" s="29" t="s">
        <v>120</v>
      </c>
      <c r="H1652" s="29" t="s">
        <v>22</v>
      </c>
      <c r="I1652" s="42">
        <v>11</v>
      </c>
      <c r="J1652" s="42">
        <v>1</v>
      </c>
      <c r="K1652" s="60">
        <v>0</v>
      </c>
      <c r="L1652" s="66">
        <f t="shared" si="398"/>
        <v>12</v>
      </c>
      <c r="M1652" s="42"/>
    </row>
    <row r="1653" spans="2:13" ht="15.75" hidden="1" x14ac:dyDescent="0.2">
      <c r="B1653" s="10">
        <v>46216</v>
      </c>
      <c r="C1653" s="10" t="s">
        <v>22</v>
      </c>
      <c r="D1653" s="10" t="s">
        <v>20</v>
      </c>
      <c r="F1653" s="940"/>
      <c r="G1653" s="29" t="s">
        <v>183</v>
      </c>
      <c r="H1653" s="29" t="s">
        <v>12</v>
      </c>
      <c r="I1653" s="42">
        <v>48</v>
      </c>
      <c r="J1653" s="42">
        <v>1</v>
      </c>
      <c r="K1653" s="60">
        <v>0</v>
      </c>
      <c r="L1653" s="66">
        <f t="shared" si="398"/>
        <v>49</v>
      </c>
      <c r="M1653" s="42"/>
    </row>
    <row r="1654" spans="2:13" ht="15.75" hidden="1" x14ac:dyDescent="0.2">
      <c r="B1654" s="10">
        <v>46216</v>
      </c>
      <c r="C1654" s="10" t="s">
        <v>22</v>
      </c>
      <c r="D1654" s="10" t="s">
        <v>20</v>
      </c>
      <c r="F1654" s="940"/>
      <c r="G1654" s="29" t="s">
        <v>17</v>
      </c>
      <c r="H1654" s="29" t="s">
        <v>12</v>
      </c>
      <c r="I1654" s="42">
        <v>28</v>
      </c>
      <c r="J1654" s="42">
        <v>6</v>
      </c>
      <c r="K1654" s="60">
        <v>16</v>
      </c>
      <c r="L1654" s="66">
        <f t="shared" si="398"/>
        <v>50</v>
      </c>
      <c r="M1654" s="42"/>
    </row>
    <row r="1655" spans="2:13" ht="15.75" hidden="1" x14ac:dyDescent="0.2">
      <c r="B1655" s="10">
        <v>46216</v>
      </c>
      <c r="C1655" s="10" t="s">
        <v>22</v>
      </c>
      <c r="D1655" s="10" t="s">
        <v>20</v>
      </c>
      <c r="F1655" s="940"/>
      <c r="G1655" s="29" t="s">
        <v>25</v>
      </c>
      <c r="H1655" s="29" t="s">
        <v>12</v>
      </c>
      <c r="I1655" s="42">
        <v>54</v>
      </c>
      <c r="J1655" s="42">
        <v>7</v>
      </c>
      <c r="K1655" s="60">
        <v>0</v>
      </c>
      <c r="L1655" s="66"/>
      <c r="M1655" s="42"/>
    </row>
    <row r="1656" spans="2:13" ht="15.75" hidden="1" x14ac:dyDescent="0.2">
      <c r="B1656" s="10">
        <v>46216</v>
      </c>
      <c r="C1656" s="10" t="s">
        <v>22</v>
      </c>
      <c r="D1656" s="10" t="s">
        <v>20</v>
      </c>
      <c r="F1656" s="940"/>
      <c r="G1656" s="29" t="s">
        <v>118</v>
      </c>
      <c r="H1656" s="29" t="s">
        <v>12</v>
      </c>
      <c r="I1656" s="42">
        <v>2</v>
      </c>
      <c r="J1656" s="42">
        <v>2</v>
      </c>
      <c r="K1656" s="60">
        <v>7</v>
      </c>
      <c r="L1656" s="66">
        <f t="shared" si="398"/>
        <v>11</v>
      </c>
      <c r="M1656" s="42"/>
    </row>
    <row r="1657" spans="2:13" ht="15.75" hidden="1" x14ac:dyDescent="0.2">
      <c r="B1657" s="10">
        <v>46216</v>
      </c>
      <c r="C1657" s="10" t="s">
        <v>22</v>
      </c>
      <c r="D1657" s="10" t="s">
        <v>20</v>
      </c>
      <c r="F1657" s="937" t="s">
        <v>40</v>
      </c>
      <c r="G1657" s="937"/>
      <c r="H1657" s="937"/>
      <c r="I1657" s="8">
        <f>SUM(I1650:I1656)</f>
        <v>279</v>
      </c>
      <c r="J1657" s="8">
        <f>SUM(J1650:J1656)</f>
        <v>79</v>
      </c>
      <c r="K1657" s="8">
        <f>SUM(K1650:K1656)</f>
        <v>23</v>
      </c>
      <c r="L1657" s="8">
        <f>SUM(L1650:L1656)</f>
        <v>320</v>
      </c>
      <c r="M1657" s="316"/>
    </row>
    <row r="1658" spans="2:13" ht="15.75" hidden="1" x14ac:dyDescent="0.2">
      <c r="B1658" s="10">
        <v>46216</v>
      </c>
      <c r="C1658" s="10" t="s">
        <v>12</v>
      </c>
      <c r="D1658" s="10" t="s">
        <v>13</v>
      </c>
      <c r="F1658" s="939">
        <v>46216</v>
      </c>
      <c r="G1658" s="29" t="s">
        <v>16</v>
      </c>
      <c r="H1658" s="29" t="s">
        <v>83</v>
      </c>
      <c r="I1658" s="42">
        <v>7</v>
      </c>
      <c r="J1658" s="42">
        <v>7</v>
      </c>
      <c r="K1658" s="60">
        <v>0</v>
      </c>
      <c r="L1658" s="66">
        <f>SUM(I1658:K1658)</f>
        <v>14</v>
      </c>
      <c r="M1658" s="29"/>
    </row>
    <row r="1659" spans="2:13" ht="15.75" hidden="1" x14ac:dyDescent="0.2">
      <c r="B1659" s="10">
        <v>46216</v>
      </c>
      <c r="C1659" s="10" t="s">
        <v>12</v>
      </c>
      <c r="D1659" s="10" t="s">
        <v>13</v>
      </c>
      <c r="F1659" s="940"/>
      <c r="G1659" s="29" t="s">
        <v>17</v>
      </c>
      <c r="H1659" s="29" t="s">
        <v>12</v>
      </c>
      <c r="I1659" s="42">
        <v>58</v>
      </c>
      <c r="J1659" s="42">
        <v>16</v>
      </c>
      <c r="K1659" s="60">
        <v>0</v>
      </c>
      <c r="L1659" s="66">
        <f t="shared" ref="L1659:L1661" si="399">SUM(I1659:K1659)</f>
        <v>74</v>
      </c>
      <c r="M1659" s="42"/>
    </row>
    <row r="1660" spans="2:13" ht="15.75" hidden="1" x14ac:dyDescent="0.2">
      <c r="B1660" s="10">
        <v>46216</v>
      </c>
      <c r="C1660" s="10" t="s">
        <v>12</v>
      </c>
      <c r="D1660" s="10" t="s">
        <v>13</v>
      </c>
      <c r="F1660" s="940"/>
      <c r="G1660" s="29" t="s">
        <v>118</v>
      </c>
      <c r="H1660" s="29" t="s">
        <v>43</v>
      </c>
      <c r="I1660" s="42">
        <v>12</v>
      </c>
      <c r="J1660" s="42">
        <v>1</v>
      </c>
      <c r="K1660" s="60">
        <v>0</v>
      </c>
      <c r="L1660" s="66">
        <f t="shared" si="399"/>
        <v>13</v>
      </c>
      <c r="M1660" s="42"/>
    </row>
    <row r="1661" spans="2:13" ht="15.75" hidden="1" x14ac:dyDescent="0.2">
      <c r="B1661" s="10">
        <v>46216</v>
      </c>
      <c r="C1661" s="10" t="s">
        <v>12</v>
      </c>
      <c r="D1661" s="10" t="s">
        <v>13</v>
      </c>
      <c r="F1661" s="940"/>
      <c r="G1661" s="29" t="s">
        <v>25</v>
      </c>
      <c r="H1661" s="29" t="s">
        <v>12</v>
      </c>
      <c r="I1661" s="42">
        <v>4</v>
      </c>
      <c r="J1661" s="42">
        <v>5</v>
      </c>
      <c r="K1661" s="60">
        <v>0</v>
      </c>
      <c r="L1661" s="66">
        <f t="shared" si="399"/>
        <v>9</v>
      </c>
      <c r="M1661" s="42"/>
    </row>
    <row r="1662" spans="2:13" ht="15.75" hidden="1" x14ac:dyDescent="0.2">
      <c r="B1662" s="10">
        <v>46216</v>
      </c>
      <c r="C1662" s="10" t="s">
        <v>12</v>
      </c>
      <c r="D1662" s="10" t="s">
        <v>13</v>
      </c>
      <c r="F1662" s="984">
        <v>46217</v>
      </c>
      <c r="G1662" s="29" t="s">
        <v>16</v>
      </c>
      <c r="H1662" s="29" t="s">
        <v>83</v>
      </c>
      <c r="I1662" s="42">
        <v>25</v>
      </c>
      <c r="J1662" s="42">
        <v>24</v>
      </c>
      <c r="K1662" s="60">
        <v>0</v>
      </c>
      <c r="L1662" s="66">
        <f>SUM(I1662:K1662)</f>
        <v>49</v>
      </c>
      <c r="M1662" s="29"/>
    </row>
    <row r="1663" spans="2:13" ht="15.75" hidden="1" x14ac:dyDescent="0.2">
      <c r="B1663" s="10">
        <v>46216</v>
      </c>
      <c r="C1663" s="10" t="s">
        <v>12</v>
      </c>
      <c r="D1663" s="10" t="s">
        <v>13</v>
      </c>
      <c r="F1663" s="985"/>
      <c r="G1663" s="29" t="s">
        <v>84</v>
      </c>
      <c r="H1663" s="29" t="s">
        <v>27</v>
      </c>
      <c r="I1663" s="42">
        <v>39</v>
      </c>
      <c r="J1663" s="42">
        <v>14</v>
      </c>
      <c r="K1663" s="60">
        <v>0</v>
      </c>
      <c r="L1663" s="66">
        <f t="shared" ref="L1663" si="400">SUM(I1663:K1663)</f>
        <v>53</v>
      </c>
      <c r="M1663" s="42"/>
    </row>
    <row r="1664" spans="2:13" ht="15.75" hidden="1" x14ac:dyDescent="0.2">
      <c r="B1664" s="10">
        <v>46216</v>
      </c>
      <c r="C1664" s="10" t="s">
        <v>12</v>
      </c>
      <c r="D1664" s="10" t="s">
        <v>13</v>
      </c>
      <c r="F1664" s="937" t="s">
        <v>40</v>
      </c>
      <c r="G1664" s="937"/>
      <c r="H1664" s="937"/>
      <c r="I1664" s="8">
        <f>SUM(I1658:I1663)</f>
        <v>145</v>
      </c>
      <c r="J1664" s="8">
        <f t="shared" ref="J1664:L1664" si="401">SUM(J1658:J1663)</f>
        <v>67</v>
      </c>
      <c r="K1664" s="8">
        <f t="shared" si="401"/>
        <v>0</v>
      </c>
      <c r="L1664" s="8">
        <f t="shared" si="401"/>
        <v>212</v>
      </c>
      <c r="M1664" s="316"/>
    </row>
    <row r="1665" spans="2:13" ht="15.75" hidden="1" x14ac:dyDescent="0.2">
      <c r="B1665" s="10">
        <v>46216</v>
      </c>
      <c r="C1665" s="10" t="s">
        <v>18</v>
      </c>
      <c r="D1665" s="10" t="s">
        <v>163</v>
      </c>
      <c r="F1665" s="943">
        <v>46216</v>
      </c>
      <c r="G1665" s="29" t="s">
        <v>16</v>
      </c>
      <c r="H1665" s="29" t="s">
        <v>83</v>
      </c>
      <c r="I1665" s="42">
        <v>120</v>
      </c>
      <c r="J1665" s="42">
        <v>62</v>
      </c>
      <c r="K1665" s="60">
        <v>0</v>
      </c>
      <c r="L1665" s="66">
        <f>SUM(I1665:K1665)</f>
        <v>182</v>
      </c>
      <c r="M1665" s="29"/>
    </row>
    <row r="1666" spans="2:13" ht="15.75" hidden="1" x14ac:dyDescent="0.2">
      <c r="B1666" s="10">
        <v>46216</v>
      </c>
      <c r="C1666" s="10" t="s">
        <v>18</v>
      </c>
      <c r="D1666" s="10" t="s">
        <v>163</v>
      </c>
      <c r="F1666" s="944"/>
      <c r="G1666" s="29" t="s">
        <v>17</v>
      </c>
      <c r="H1666" s="29" t="s">
        <v>12</v>
      </c>
      <c r="I1666" s="42">
        <v>13</v>
      </c>
      <c r="J1666" s="42">
        <v>0</v>
      </c>
      <c r="K1666" s="60">
        <v>18</v>
      </c>
      <c r="L1666" s="66">
        <f t="shared" ref="L1666:L1669" si="402">SUM(I1666:K1666)</f>
        <v>31</v>
      </c>
      <c r="M1666" s="42"/>
    </row>
    <row r="1667" spans="2:13" ht="15.75" hidden="1" x14ac:dyDescent="0.2">
      <c r="B1667" s="10">
        <v>46216</v>
      </c>
      <c r="C1667" s="10" t="s">
        <v>18</v>
      </c>
      <c r="D1667" s="10" t="s">
        <v>163</v>
      </c>
      <c r="F1667" s="944"/>
      <c r="G1667" s="29" t="s">
        <v>120</v>
      </c>
      <c r="H1667" s="29" t="s">
        <v>22</v>
      </c>
      <c r="I1667" s="42">
        <v>0</v>
      </c>
      <c r="J1667" s="42">
        <v>0</v>
      </c>
      <c r="K1667" s="60">
        <v>32</v>
      </c>
      <c r="L1667" s="66">
        <f t="shared" si="402"/>
        <v>32</v>
      </c>
      <c r="M1667" s="42"/>
    </row>
    <row r="1668" spans="2:13" ht="15.75" hidden="1" x14ac:dyDescent="0.2">
      <c r="B1668" s="10">
        <v>46216</v>
      </c>
      <c r="C1668" s="10" t="s">
        <v>18</v>
      </c>
      <c r="D1668" s="10" t="s">
        <v>163</v>
      </c>
      <c r="F1668" s="944"/>
      <c r="G1668" s="29" t="s">
        <v>84</v>
      </c>
      <c r="H1668" s="29" t="s">
        <v>27</v>
      </c>
      <c r="I1668" s="42">
        <v>6</v>
      </c>
      <c r="J1668" s="42">
        <v>1</v>
      </c>
      <c r="K1668" s="60">
        <v>0</v>
      </c>
      <c r="L1668" s="66">
        <f t="shared" si="402"/>
        <v>7</v>
      </c>
      <c r="M1668" s="42"/>
    </row>
    <row r="1669" spans="2:13" ht="15.75" hidden="1" x14ac:dyDescent="0.2">
      <c r="B1669" s="10">
        <v>46216</v>
      </c>
      <c r="C1669" s="10" t="s">
        <v>18</v>
      </c>
      <c r="D1669" s="10" t="s">
        <v>163</v>
      </c>
      <c r="F1669" s="944"/>
      <c r="G1669" s="29" t="s">
        <v>25</v>
      </c>
      <c r="H1669" s="29" t="s">
        <v>12</v>
      </c>
      <c r="I1669" s="42">
        <v>9</v>
      </c>
      <c r="J1669" s="42">
        <v>0</v>
      </c>
      <c r="K1669" s="60">
        <v>18</v>
      </c>
      <c r="L1669" s="66">
        <f t="shared" si="402"/>
        <v>27</v>
      </c>
      <c r="M1669" s="42"/>
    </row>
    <row r="1670" spans="2:13" ht="15.75" hidden="1" x14ac:dyDescent="0.2">
      <c r="B1670" s="10">
        <v>46216</v>
      </c>
      <c r="C1670" s="10" t="s">
        <v>18</v>
      </c>
      <c r="D1670" s="10" t="s">
        <v>163</v>
      </c>
      <c r="F1670" s="937" t="s">
        <v>40</v>
      </c>
      <c r="G1670" s="937"/>
      <c r="H1670" s="937"/>
      <c r="I1670" s="8">
        <f>SUM(I1665:I1669)</f>
        <v>148</v>
      </c>
      <c r="J1670" s="8">
        <f t="shared" ref="J1670:K1670" si="403">SUM(J1665:J1669)</f>
        <v>63</v>
      </c>
      <c r="K1670" s="8">
        <f t="shared" si="403"/>
        <v>68</v>
      </c>
      <c r="L1670" s="8">
        <f>SUM(L1665:L1669)</f>
        <v>279</v>
      </c>
      <c r="M1670" s="316"/>
    </row>
    <row r="1671" spans="2:13" ht="15.75" hidden="1" x14ac:dyDescent="0.2">
      <c r="B1671" s="10">
        <v>46217</v>
      </c>
      <c r="C1671" s="10" t="s">
        <v>22</v>
      </c>
      <c r="D1671" s="10" t="s">
        <v>20</v>
      </c>
      <c r="F1671" s="942">
        <v>46217</v>
      </c>
      <c r="G1671" s="29" t="s">
        <v>16</v>
      </c>
      <c r="H1671" s="29" t="s">
        <v>83</v>
      </c>
      <c r="I1671" s="42">
        <v>109</v>
      </c>
      <c r="J1671" s="42">
        <v>28</v>
      </c>
      <c r="K1671" s="42">
        <v>0</v>
      </c>
      <c r="L1671" s="66">
        <f>SUM(I1671:K1671)</f>
        <v>137</v>
      </c>
      <c r="M1671" s="42"/>
    </row>
    <row r="1672" spans="2:13" ht="15.75" hidden="1" x14ac:dyDescent="0.2">
      <c r="B1672" s="10">
        <v>46217</v>
      </c>
      <c r="C1672" s="10" t="s">
        <v>22</v>
      </c>
      <c r="D1672" s="10" t="s">
        <v>20</v>
      </c>
      <c r="F1672" s="942"/>
      <c r="G1672" s="29" t="s">
        <v>180</v>
      </c>
      <c r="H1672" s="29" t="s">
        <v>43</v>
      </c>
      <c r="I1672" s="42">
        <v>1</v>
      </c>
      <c r="J1672" s="42">
        <v>0</v>
      </c>
      <c r="K1672" s="42">
        <v>0</v>
      </c>
      <c r="L1672" s="66">
        <f t="shared" ref="L1672:L1676" si="404">SUM(I1672:K1672)</f>
        <v>1</v>
      </c>
    </row>
    <row r="1673" spans="2:13" ht="15.75" hidden="1" x14ac:dyDescent="0.2">
      <c r="B1673" s="10">
        <v>46217</v>
      </c>
      <c r="C1673" s="10" t="s">
        <v>22</v>
      </c>
      <c r="D1673" s="10" t="s">
        <v>20</v>
      </c>
      <c r="F1673" s="942"/>
      <c r="G1673" s="29" t="s">
        <v>120</v>
      </c>
      <c r="H1673" s="29" t="s">
        <v>22</v>
      </c>
      <c r="I1673" s="42">
        <v>36</v>
      </c>
      <c r="J1673" s="42">
        <v>1</v>
      </c>
      <c r="K1673" s="42">
        <v>0</v>
      </c>
      <c r="L1673" s="66">
        <f t="shared" si="404"/>
        <v>37</v>
      </c>
      <c r="M1673" s="42"/>
    </row>
    <row r="1674" spans="2:13" ht="15.75" hidden="1" x14ac:dyDescent="0.2">
      <c r="B1674" s="10">
        <v>46217</v>
      </c>
      <c r="C1674" s="10" t="s">
        <v>22</v>
      </c>
      <c r="D1674" s="10" t="s">
        <v>20</v>
      </c>
      <c r="F1674" s="942"/>
      <c r="G1674" s="29" t="s">
        <v>17</v>
      </c>
      <c r="H1674" s="29" t="s">
        <v>12</v>
      </c>
      <c r="I1674" s="42">
        <v>73</v>
      </c>
      <c r="J1674" s="42">
        <v>6</v>
      </c>
      <c r="K1674" s="42">
        <v>0</v>
      </c>
      <c r="L1674" s="66">
        <f t="shared" si="404"/>
        <v>79</v>
      </c>
      <c r="M1674" s="42"/>
    </row>
    <row r="1675" spans="2:13" ht="15.75" hidden="1" x14ac:dyDescent="0.2">
      <c r="B1675" s="10">
        <v>46217</v>
      </c>
      <c r="C1675" s="10" t="s">
        <v>22</v>
      </c>
      <c r="D1675" s="10" t="s">
        <v>20</v>
      </c>
      <c r="F1675" s="942"/>
      <c r="G1675" s="29" t="s">
        <v>25</v>
      </c>
      <c r="H1675" s="29" t="s">
        <v>12</v>
      </c>
      <c r="I1675" s="42">
        <v>52</v>
      </c>
      <c r="J1675" s="42">
        <v>10</v>
      </c>
      <c r="K1675" s="42">
        <v>0</v>
      </c>
      <c r="L1675" s="66">
        <f t="shared" si="404"/>
        <v>62</v>
      </c>
      <c r="M1675" s="42"/>
    </row>
    <row r="1676" spans="2:13" ht="15.75" hidden="1" x14ac:dyDescent="0.2">
      <c r="B1676" s="10">
        <v>46217</v>
      </c>
      <c r="C1676" s="10" t="s">
        <v>22</v>
      </c>
      <c r="D1676" s="10" t="s">
        <v>20</v>
      </c>
      <c r="F1676" s="379">
        <v>46218</v>
      </c>
      <c r="G1676" s="29" t="s">
        <v>118</v>
      </c>
      <c r="H1676" s="29" t="s">
        <v>12</v>
      </c>
      <c r="I1676" s="42">
        <v>14</v>
      </c>
      <c r="J1676" s="42">
        <v>0</v>
      </c>
      <c r="K1676" s="42">
        <v>10</v>
      </c>
      <c r="L1676" s="66">
        <f t="shared" si="404"/>
        <v>24</v>
      </c>
      <c r="M1676" s="42"/>
    </row>
    <row r="1677" spans="2:13" ht="15.75" hidden="1" x14ac:dyDescent="0.2">
      <c r="B1677" s="10">
        <v>46217</v>
      </c>
      <c r="C1677" s="10" t="s">
        <v>22</v>
      </c>
      <c r="D1677" s="10" t="s">
        <v>20</v>
      </c>
      <c r="F1677" s="937" t="s">
        <v>40</v>
      </c>
      <c r="G1677" s="937"/>
      <c r="H1677" s="937"/>
      <c r="I1677" s="8">
        <f>SUM(I1671:I1676)</f>
        <v>285</v>
      </c>
      <c r="J1677" s="8">
        <f>SUM(J1671:J1676)</f>
        <v>45</v>
      </c>
      <c r="K1677" s="8">
        <f>SUM(K1671:K1676)</f>
        <v>10</v>
      </c>
      <c r="L1677" s="8">
        <f>SUM(L1671:L1676)</f>
        <v>340</v>
      </c>
      <c r="M1677" s="316"/>
    </row>
    <row r="1678" spans="2:13" ht="15.75" hidden="1" x14ac:dyDescent="0.2">
      <c r="B1678" s="10">
        <v>46217</v>
      </c>
      <c r="C1678" s="10" t="s">
        <v>12</v>
      </c>
      <c r="D1678" s="10" t="s">
        <v>13</v>
      </c>
      <c r="F1678" s="942">
        <v>46217</v>
      </c>
      <c r="G1678" s="29" t="s">
        <v>16</v>
      </c>
      <c r="H1678" s="29" t="s">
        <v>83</v>
      </c>
      <c r="I1678" s="42">
        <v>5</v>
      </c>
      <c r="J1678" s="42">
        <v>0</v>
      </c>
      <c r="K1678" s="381">
        <v>17</v>
      </c>
      <c r="L1678" s="66">
        <f>SUM(I1678:K1678)</f>
        <v>22</v>
      </c>
      <c r="M1678" s="29"/>
    </row>
    <row r="1679" spans="2:13" ht="15.75" hidden="1" x14ac:dyDescent="0.2">
      <c r="B1679" s="10">
        <v>46217</v>
      </c>
      <c r="C1679" s="10" t="s">
        <v>12</v>
      </c>
      <c r="D1679" s="10" t="s">
        <v>13</v>
      </c>
      <c r="F1679" s="942"/>
      <c r="G1679" s="29" t="s">
        <v>184</v>
      </c>
      <c r="H1679" s="29" t="s">
        <v>125</v>
      </c>
      <c r="I1679" s="42">
        <v>0</v>
      </c>
      <c r="J1679" s="42">
        <v>0</v>
      </c>
      <c r="K1679" s="381">
        <v>68</v>
      </c>
      <c r="L1679" s="66">
        <f t="shared" ref="L1679:L1685" si="405">SUM(I1679:K1679)</f>
        <v>68</v>
      </c>
      <c r="M1679" s="380"/>
    </row>
    <row r="1680" spans="2:13" ht="15.75" hidden="1" x14ac:dyDescent="0.2">
      <c r="B1680" s="10">
        <v>46217</v>
      </c>
      <c r="C1680" s="10" t="s">
        <v>12</v>
      </c>
      <c r="D1680" s="10" t="s">
        <v>13</v>
      </c>
      <c r="F1680" s="942"/>
      <c r="G1680" s="29" t="s">
        <v>84</v>
      </c>
      <c r="H1680" s="29" t="s">
        <v>27</v>
      </c>
      <c r="I1680" s="42">
        <v>13</v>
      </c>
      <c r="J1680" s="42">
        <v>8</v>
      </c>
      <c r="K1680" s="381">
        <v>0</v>
      </c>
      <c r="L1680" s="66">
        <f t="shared" si="405"/>
        <v>21</v>
      </c>
      <c r="M1680" s="380"/>
    </row>
    <row r="1681" spans="2:13" ht="15.75" hidden="1" x14ac:dyDescent="0.2">
      <c r="B1681" s="10">
        <v>46217</v>
      </c>
      <c r="C1681" s="10" t="s">
        <v>12</v>
      </c>
      <c r="D1681" s="10" t="s">
        <v>13</v>
      </c>
      <c r="F1681" s="942"/>
      <c r="G1681" s="29" t="s">
        <v>120</v>
      </c>
      <c r="H1681" s="29" t="s">
        <v>22</v>
      </c>
      <c r="I1681" s="42">
        <v>0</v>
      </c>
      <c r="J1681" s="42">
        <v>0</v>
      </c>
      <c r="K1681" s="381">
        <v>0</v>
      </c>
      <c r="L1681" s="66">
        <f t="shared" si="405"/>
        <v>0</v>
      </c>
      <c r="M1681" s="42"/>
    </row>
    <row r="1682" spans="2:13" ht="15.75" hidden="1" x14ac:dyDescent="0.2">
      <c r="B1682" s="10">
        <v>46217</v>
      </c>
      <c r="C1682" s="10" t="s">
        <v>12</v>
      </c>
      <c r="D1682" s="10" t="s">
        <v>13</v>
      </c>
      <c r="F1682" s="942"/>
      <c r="G1682" s="29" t="s">
        <v>17</v>
      </c>
      <c r="H1682" s="29" t="s">
        <v>12</v>
      </c>
      <c r="I1682" s="42">
        <v>14</v>
      </c>
      <c r="J1682" s="42">
        <v>9</v>
      </c>
      <c r="K1682" s="381">
        <v>0</v>
      </c>
      <c r="L1682" s="66">
        <f t="shared" si="405"/>
        <v>23</v>
      </c>
      <c r="M1682" s="42"/>
    </row>
    <row r="1683" spans="2:13" ht="15.75" hidden="1" x14ac:dyDescent="0.2">
      <c r="B1683" s="10">
        <v>46217</v>
      </c>
      <c r="C1683" s="10" t="s">
        <v>12</v>
      </c>
      <c r="D1683" s="10" t="s">
        <v>13</v>
      </c>
      <c r="F1683" s="942"/>
      <c r="G1683" s="29" t="s">
        <v>25</v>
      </c>
      <c r="H1683" s="29" t="s">
        <v>12</v>
      </c>
      <c r="I1683" s="42">
        <v>6</v>
      </c>
      <c r="J1683" s="42">
        <v>1</v>
      </c>
      <c r="K1683" s="381">
        <v>0</v>
      </c>
      <c r="L1683" s="66">
        <f t="shared" si="405"/>
        <v>7</v>
      </c>
      <c r="M1683" s="42"/>
    </row>
    <row r="1684" spans="2:13" ht="15.75" hidden="1" x14ac:dyDescent="0.2">
      <c r="B1684" s="10">
        <v>46217</v>
      </c>
      <c r="C1684" s="10" t="s">
        <v>12</v>
      </c>
      <c r="D1684" s="10" t="s">
        <v>13</v>
      </c>
      <c r="F1684" s="943">
        <v>46218</v>
      </c>
      <c r="G1684" s="29" t="s">
        <v>16</v>
      </c>
      <c r="H1684" s="29" t="s">
        <v>83</v>
      </c>
      <c r="I1684" s="42">
        <v>0</v>
      </c>
      <c r="J1684" s="42">
        <v>0</v>
      </c>
      <c r="K1684" s="381">
        <v>36</v>
      </c>
      <c r="L1684" s="66">
        <f t="shared" si="405"/>
        <v>36</v>
      </c>
      <c r="M1684" s="42"/>
    </row>
    <row r="1685" spans="2:13" ht="15.75" hidden="1" x14ac:dyDescent="0.2">
      <c r="B1685" s="10">
        <v>46217</v>
      </c>
      <c r="C1685" s="10" t="s">
        <v>12</v>
      </c>
      <c r="D1685" s="10" t="s">
        <v>13</v>
      </c>
      <c r="F1685" s="945"/>
      <c r="G1685" s="29" t="s">
        <v>118</v>
      </c>
      <c r="H1685" s="29" t="s">
        <v>12</v>
      </c>
      <c r="I1685" s="42">
        <v>69</v>
      </c>
      <c r="J1685" s="42">
        <v>5</v>
      </c>
      <c r="K1685" s="381">
        <v>27</v>
      </c>
      <c r="L1685" s="66">
        <f t="shared" si="405"/>
        <v>101</v>
      </c>
      <c r="M1685" s="42"/>
    </row>
    <row r="1686" spans="2:13" ht="15.75" hidden="1" x14ac:dyDescent="0.2">
      <c r="B1686" s="10">
        <v>46217</v>
      </c>
      <c r="C1686" s="10" t="s">
        <v>12</v>
      </c>
      <c r="D1686" s="10" t="s">
        <v>13</v>
      </c>
      <c r="F1686" s="937" t="s">
        <v>40</v>
      </c>
      <c r="G1686" s="937"/>
      <c r="H1686" s="937"/>
      <c r="I1686" s="8">
        <f>SUM(I1678:I1685)</f>
        <v>107</v>
      </c>
      <c r="J1686" s="8">
        <f t="shared" ref="J1686:L1686" si="406">SUM(J1678:J1685)</f>
        <v>23</v>
      </c>
      <c r="K1686" s="8">
        <f t="shared" si="406"/>
        <v>148</v>
      </c>
      <c r="L1686" s="8">
        <f t="shared" si="406"/>
        <v>278</v>
      </c>
      <c r="M1686" s="316"/>
    </row>
    <row r="1687" spans="2:13" ht="15.75" hidden="1" x14ac:dyDescent="0.2">
      <c r="B1687" s="10">
        <v>46217</v>
      </c>
      <c r="C1687" s="10" t="s">
        <v>18</v>
      </c>
      <c r="D1687" s="10" t="s">
        <v>163</v>
      </c>
      <c r="F1687" s="948">
        <v>46217</v>
      </c>
      <c r="G1687" s="29" t="s">
        <v>16</v>
      </c>
      <c r="H1687" s="29" t="s">
        <v>83</v>
      </c>
      <c r="I1687" s="42">
        <v>110</v>
      </c>
      <c r="J1687" s="42">
        <v>43</v>
      </c>
      <c r="K1687" s="381">
        <v>18</v>
      </c>
      <c r="L1687" s="66">
        <f>SUM(I1687:K1687)</f>
        <v>171</v>
      </c>
      <c r="M1687" s="29"/>
    </row>
    <row r="1688" spans="2:13" ht="15.75" hidden="1" x14ac:dyDescent="0.2">
      <c r="B1688" s="10">
        <v>46217</v>
      </c>
      <c r="C1688" s="10" t="s">
        <v>18</v>
      </c>
      <c r="D1688" s="10" t="s">
        <v>163</v>
      </c>
      <c r="F1688" s="948"/>
      <c r="G1688" s="29" t="s">
        <v>17</v>
      </c>
      <c r="H1688" s="29" t="s">
        <v>12</v>
      </c>
      <c r="I1688" s="42">
        <v>23</v>
      </c>
      <c r="J1688" s="42">
        <v>0</v>
      </c>
      <c r="K1688" s="381">
        <v>0</v>
      </c>
      <c r="L1688" s="66">
        <f t="shared" ref="L1688:L1690" si="407">SUM(I1688:K1688)</f>
        <v>23</v>
      </c>
      <c r="M1688" s="380"/>
    </row>
    <row r="1689" spans="2:13" ht="15.75" hidden="1" x14ac:dyDescent="0.2">
      <c r="B1689" s="10">
        <v>46217</v>
      </c>
      <c r="C1689" s="10" t="s">
        <v>18</v>
      </c>
      <c r="D1689" s="10" t="s">
        <v>163</v>
      </c>
      <c r="F1689" s="948"/>
      <c r="G1689" s="29" t="s">
        <v>84</v>
      </c>
      <c r="H1689" s="29" t="s">
        <v>27</v>
      </c>
      <c r="I1689" s="42">
        <v>9</v>
      </c>
      <c r="J1689" s="42">
        <v>1</v>
      </c>
      <c r="K1689" s="381">
        <v>0</v>
      </c>
      <c r="L1689" s="66">
        <f t="shared" si="407"/>
        <v>10</v>
      </c>
      <c r="M1689" s="380"/>
    </row>
    <row r="1690" spans="2:13" ht="15.75" hidden="1" x14ac:dyDescent="0.2">
      <c r="B1690" s="10">
        <v>46217</v>
      </c>
      <c r="C1690" s="10" t="s">
        <v>18</v>
      </c>
      <c r="D1690" s="10" t="s">
        <v>163</v>
      </c>
      <c r="F1690" s="948"/>
      <c r="G1690" s="29" t="s">
        <v>118</v>
      </c>
      <c r="H1690" s="29" t="s">
        <v>22</v>
      </c>
      <c r="I1690" s="42">
        <v>110</v>
      </c>
      <c r="J1690" s="42">
        <v>7</v>
      </c>
      <c r="K1690" s="381">
        <v>0</v>
      </c>
      <c r="L1690" s="66">
        <f t="shared" si="407"/>
        <v>117</v>
      </c>
      <c r="M1690" s="42"/>
    </row>
    <row r="1691" spans="2:13" ht="15.75" hidden="1" x14ac:dyDescent="0.2">
      <c r="B1691" s="10">
        <v>46217</v>
      </c>
      <c r="C1691" s="10" t="s">
        <v>18</v>
      </c>
      <c r="D1691" s="10" t="s">
        <v>163</v>
      </c>
      <c r="F1691" s="937" t="s">
        <v>40</v>
      </c>
      <c r="G1691" s="937"/>
      <c r="H1691" s="937"/>
      <c r="I1691" s="8">
        <f>SUM(I1687:I1690)</f>
        <v>252</v>
      </c>
      <c r="J1691" s="8">
        <f t="shared" ref="J1691:K1691" si="408">SUM(J1687:J1690)</f>
        <v>51</v>
      </c>
      <c r="K1691" s="8">
        <f t="shared" si="408"/>
        <v>18</v>
      </c>
      <c r="L1691" s="8">
        <f>SUM(L1687:L1690)</f>
        <v>321</v>
      </c>
      <c r="M1691" s="316"/>
    </row>
    <row r="1692" spans="2:13" ht="15.75" hidden="1" x14ac:dyDescent="0.2">
      <c r="B1692" s="10">
        <v>46217</v>
      </c>
      <c r="C1692" s="10" t="s">
        <v>22</v>
      </c>
      <c r="D1692" s="10" t="s">
        <v>20</v>
      </c>
      <c r="F1692" s="939">
        <v>46218</v>
      </c>
      <c r="G1692" s="29" t="s">
        <v>16</v>
      </c>
      <c r="H1692" s="29" t="s">
        <v>83</v>
      </c>
      <c r="I1692" s="42">
        <v>51</v>
      </c>
      <c r="J1692" s="42">
        <v>40</v>
      </c>
      <c r="K1692" s="42">
        <v>11</v>
      </c>
      <c r="L1692" s="66">
        <f>SUM(I1692:K1692)</f>
        <v>102</v>
      </c>
      <c r="M1692" s="42"/>
    </row>
    <row r="1693" spans="2:13" ht="15.75" hidden="1" x14ac:dyDescent="0.2">
      <c r="B1693" s="10">
        <v>46217</v>
      </c>
      <c r="C1693" s="10" t="s">
        <v>22</v>
      </c>
      <c r="D1693" s="10" t="s">
        <v>20</v>
      </c>
      <c r="F1693" s="940"/>
      <c r="G1693" s="29" t="s">
        <v>180</v>
      </c>
      <c r="H1693" s="29" t="s">
        <v>43</v>
      </c>
      <c r="I1693" s="42">
        <v>68</v>
      </c>
      <c r="J1693" s="42">
        <v>0</v>
      </c>
      <c r="K1693" s="42"/>
      <c r="L1693" s="66">
        <f t="shared" ref="L1693:L1697" si="409">SUM(I1693:K1693)</f>
        <v>68</v>
      </c>
    </row>
    <row r="1694" spans="2:13" ht="15.75" hidden="1" x14ac:dyDescent="0.2">
      <c r="B1694" s="10">
        <v>46217</v>
      </c>
      <c r="C1694" s="10" t="s">
        <v>22</v>
      </c>
      <c r="D1694" s="10" t="s">
        <v>20</v>
      </c>
      <c r="F1694" s="940"/>
      <c r="G1694" s="29" t="s">
        <v>120</v>
      </c>
      <c r="H1694" s="29" t="s">
        <v>22</v>
      </c>
      <c r="I1694" s="42">
        <v>61</v>
      </c>
      <c r="J1694" s="42">
        <v>2</v>
      </c>
      <c r="K1694" s="42"/>
      <c r="L1694" s="66">
        <f t="shared" si="409"/>
        <v>63</v>
      </c>
      <c r="M1694" s="42"/>
    </row>
    <row r="1695" spans="2:13" ht="15.75" hidden="1" x14ac:dyDescent="0.2">
      <c r="B1695" s="10">
        <v>46217</v>
      </c>
      <c r="C1695" s="10" t="s">
        <v>22</v>
      </c>
      <c r="D1695" s="10" t="s">
        <v>20</v>
      </c>
      <c r="F1695" s="940"/>
      <c r="G1695" s="29" t="s">
        <v>118</v>
      </c>
      <c r="H1695" s="29" t="s">
        <v>22</v>
      </c>
      <c r="I1695" s="42">
        <v>12</v>
      </c>
      <c r="J1695" s="42">
        <v>3</v>
      </c>
      <c r="K1695" s="42"/>
      <c r="L1695" s="66">
        <f t="shared" si="409"/>
        <v>15</v>
      </c>
      <c r="M1695" s="42"/>
    </row>
    <row r="1696" spans="2:13" ht="15.75" hidden="1" x14ac:dyDescent="0.2">
      <c r="B1696" s="10">
        <v>46217</v>
      </c>
      <c r="C1696" s="10" t="s">
        <v>22</v>
      </c>
      <c r="D1696" s="10" t="s">
        <v>20</v>
      </c>
      <c r="F1696" s="940"/>
      <c r="G1696" s="29" t="s">
        <v>17</v>
      </c>
      <c r="H1696" s="29" t="s">
        <v>12</v>
      </c>
      <c r="I1696" s="42">
        <v>43</v>
      </c>
      <c r="J1696" s="42">
        <v>5</v>
      </c>
      <c r="K1696" s="42"/>
      <c r="L1696" s="66">
        <f t="shared" si="409"/>
        <v>48</v>
      </c>
      <c r="M1696" s="42"/>
    </row>
    <row r="1697" spans="2:13" ht="15.75" hidden="1" x14ac:dyDescent="0.2">
      <c r="B1697" s="10">
        <v>46217</v>
      </c>
      <c r="C1697" s="10" t="s">
        <v>22</v>
      </c>
      <c r="D1697" s="10" t="s">
        <v>20</v>
      </c>
      <c r="F1697" s="941"/>
      <c r="G1697" s="29" t="s">
        <v>25</v>
      </c>
      <c r="H1697" s="29" t="s">
        <v>12</v>
      </c>
      <c r="I1697" s="42">
        <v>41</v>
      </c>
      <c r="J1697" s="42">
        <v>9</v>
      </c>
      <c r="K1697" s="42"/>
      <c r="L1697" s="66">
        <f t="shared" si="409"/>
        <v>50</v>
      </c>
      <c r="M1697" s="42"/>
    </row>
    <row r="1698" spans="2:13" ht="15.75" hidden="1" x14ac:dyDescent="0.2">
      <c r="B1698" s="10">
        <v>46217</v>
      </c>
      <c r="C1698" s="10" t="s">
        <v>22</v>
      </c>
      <c r="D1698" s="10" t="s">
        <v>20</v>
      </c>
      <c r="F1698" s="937" t="s">
        <v>40</v>
      </c>
      <c r="G1698" s="937"/>
      <c r="H1698" s="937"/>
      <c r="I1698" s="8">
        <f>SUM(I1692:I1697)</f>
        <v>276</v>
      </c>
      <c r="J1698" s="8">
        <f>SUM(J1692:J1697)</f>
        <v>59</v>
      </c>
      <c r="K1698" s="8">
        <f>SUM(K1692:K1697)</f>
        <v>11</v>
      </c>
      <c r="L1698" s="8">
        <f>SUM(L1692:L1697)</f>
        <v>346</v>
      </c>
      <c r="M1698" s="316"/>
    </row>
    <row r="1699" spans="2:13" ht="15.75" hidden="1" x14ac:dyDescent="0.2">
      <c r="B1699" s="10">
        <v>46217</v>
      </c>
      <c r="C1699" s="10" t="s">
        <v>12</v>
      </c>
      <c r="D1699" s="10" t="s">
        <v>13</v>
      </c>
      <c r="F1699" s="939">
        <v>46218</v>
      </c>
      <c r="G1699" s="29" t="s">
        <v>16</v>
      </c>
      <c r="H1699" s="29" t="s">
        <v>83</v>
      </c>
      <c r="I1699" s="42">
        <v>12</v>
      </c>
      <c r="J1699" s="42">
        <v>5</v>
      </c>
      <c r="K1699" s="381">
        <v>0</v>
      </c>
      <c r="L1699" s="66">
        <f>SUM(I1699:K1699)</f>
        <v>17</v>
      </c>
      <c r="M1699" s="42"/>
    </row>
    <row r="1700" spans="2:13" ht="15.75" hidden="1" x14ac:dyDescent="0.2">
      <c r="B1700" s="10">
        <v>46217</v>
      </c>
      <c r="C1700" s="10" t="s">
        <v>12</v>
      </c>
      <c r="D1700" s="10" t="s">
        <v>13</v>
      </c>
      <c r="F1700" s="940"/>
      <c r="G1700" s="29" t="s">
        <v>120</v>
      </c>
      <c r="H1700" s="29" t="s">
        <v>22</v>
      </c>
      <c r="I1700" s="42">
        <v>6</v>
      </c>
      <c r="J1700" s="42">
        <v>0</v>
      </c>
      <c r="K1700" s="381">
        <v>0</v>
      </c>
      <c r="L1700" s="66">
        <f t="shared" ref="L1700:L1704" si="410">SUM(I1700:K1700)</f>
        <v>6</v>
      </c>
      <c r="M1700" s="42"/>
    </row>
    <row r="1701" spans="2:13" ht="15.75" hidden="1" x14ac:dyDescent="0.2">
      <c r="B1701" s="10">
        <v>46217</v>
      </c>
      <c r="C1701" s="10" t="s">
        <v>12</v>
      </c>
      <c r="D1701" s="10" t="s">
        <v>13</v>
      </c>
      <c r="F1701" s="940"/>
      <c r="G1701" s="29" t="s">
        <v>118</v>
      </c>
      <c r="H1701" s="29" t="s">
        <v>22</v>
      </c>
      <c r="I1701" s="42">
        <v>2</v>
      </c>
      <c r="J1701" s="42">
        <v>0</v>
      </c>
      <c r="K1701" s="381">
        <v>0</v>
      </c>
      <c r="L1701" s="66">
        <f t="shared" si="410"/>
        <v>2</v>
      </c>
      <c r="M1701" s="42"/>
    </row>
    <row r="1702" spans="2:13" ht="15.75" hidden="1" x14ac:dyDescent="0.2">
      <c r="B1702" s="10">
        <v>46217</v>
      </c>
      <c r="C1702" s="10" t="s">
        <v>12</v>
      </c>
      <c r="D1702" s="10" t="s">
        <v>13</v>
      </c>
      <c r="F1702" s="940"/>
      <c r="G1702" s="29" t="s">
        <v>17</v>
      </c>
      <c r="H1702" s="29" t="s">
        <v>12</v>
      </c>
      <c r="I1702" s="42">
        <v>23</v>
      </c>
      <c r="J1702" s="42">
        <v>6</v>
      </c>
      <c r="K1702" s="381">
        <v>6</v>
      </c>
      <c r="L1702" s="66">
        <f t="shared" si="410"/>
        <v>35</v>
      </c>
      <c r="M1702" s="42"/>
    </row>
    <row r="1703" spans="2:13" ht="15.75" hidden="1" x14ac:dyDescent="0.2">
      <c r="B1703" s="10">
        <v>46217</v>
      </c>
      <c r="C1703" s="10" t="s">
        <v>12</v>
      </c>
      <c r="D1703" s="10" t="s">
        <v>13</v>
      </c>
      <c r="F1703" s="940"/>
      <c r="G1703" s="29" t="s">
        <v>84</v>
      </c>
      <c r="H1703" s="29" t="s">
        <v>27</v>
      </c>
      <c r="I1703" s="42">
        <v>12</v>
      </c>
      <c r="J1703" s="42">
        <v>11</v>
      </c>
      <c r="K1703" s="381">
        <v>0</v>
      </c>
      <c r="L1703" s="66">
        <f t="shared" si="410"/>
        <v>23</v>
      </c>
      <c r="M1703" s="42"/>
    </row>
    <row r="1704" spans="2:13" ht="15.75" hidden="1" x14ac:dyDescent="0.2">
      <c r="B1704" s="10">
        <v>46217</v>
      </c>
      <c r="C1704" s="10" t="s">
        <v>12</v>
      </c>
      <c r="D1704" s="10" t="s">
        <v>13</v>
      </c>
      <c r="F1704" s="941"/>
      <c r="G1704" s="29" t="s">
        <v>25</v>
      </c>
      <c r="H1704" s="29" t="s">
        <v>12</v>
      </c>
      <c r="I1704" s="42">
        <v>7</v>
      </c>
      <c r="J1704" s="42">
        <v>7</v>
      </c>
      <c r="K1704" s="381">
        <v>8</v>
      </c>
      <c r="L1704" s="66">
        <f t="shared" si="410"/>
        <v>22</v>
      </c>
      <c r="M1704" s="42"/>
    </row>
    <row r="1705" spans="2:13" ht="15.75" hidden="1" x14ac:dyDescent="0.2">
      <c r="B1705" s="10">
        <v>46217</v>
      </c>
      <c r="C1705" s="10" t="s">
        <v>12</v>
      </c>
      <c r="D1705" s="10" t="s">
        <v>13</v>
      </c>
      <c r="F1705" s="940">
        <v>46219</v>
      </c>
      <c r="G1705" s="29" t="s">
        <v>16</v>
      </c>
      <c r="H1705" s="29" t="s">
        <v>83</v>
      </c>
      <c r="I1705" s="42">
        <v>38</v>
      </c>
      <c r="J1705" s="42">
        <v>36</v>
      </c>
      <c r="K1705" s="381">
        <v>38</v>
      </c>
      <c r="L1705" s="66">
        <f t="shared" ref="L1705:L1706" si="411">SUM(I1705:K1705)</f>
        <v>112</v>
      </c>
      <c r="M1705" s="42"/>
    </row>
    <row r="1706" spans="2:13" ht="15.75" hidden="1" x14ac:dyDescent="0.2">
      <c r="B1706" s="10">
        <v>46217</v>
      </c>
      <c r="C1706" s="10" t="s">
        <v>12</v>
      </c>
      <c r="D1706" s="10" t="s">
        <v>13</v>
      </c>
      <c r="F1706" s="941"/>
      <c r="G1706" s="29" t="s">
        <v>180</v>
      </c>
      <c r="H1706" s="29" t="s">
        <v>22</v>
      </c>
      <c r="I1706" s="42">
        <v>1</v>
      </c>
      <c r="J1706" s="42">
        <v>0</v>
      </c>
      <c r="K1706" s="381">
        <v>27</v>
      </c>
      <c r="L1706" s="66">
        <f t="shared" si="411"/>
        <v>28</v>
      </c>
      <c r="M1706" s="42"/>
    </row>
    <row r="1707" spans="2:13" ht="15.75" hidden="1" x14ac:dyDescent="0.2">
      <c r="B1707" s="10">
        <v>46217</v>
      </c>
      <c r="C1707" s="10" t="s">
        <v>12</v>
      </c>
      <c r="D1707" s="10" t="s">
        <v>13</v>
      </c>
      <c r="F1707" s="937" t="s">
        <v>40</v>
      </c>
      <c r="G1707" s="937"/>
      <c r="H1707" s="937"/>
      <c r="I1707" s="8">
        <f>SUM(I1699:I1706)</f>
        <v>101</v>
      </c>
      <c r="J1707" s="8">
        <f t="shared" ref="J1707:L1707" si="412">SUM(J1699:J1706)</f>
        <v>65</v>
      </c>
      <c r="K1707" s="8">
        <f t="shared" si="412"/>
        <v>79</v>
      </c>
      <c r="L1707" s="8">
        <f t="shared" si="412"/>
        <v>245</v>
      </c>
      <c r="M1707" s="316"/>
    </row>
    <row r="1708" spans="2:13" ht="15.75" hidden="1" x14ac:dyDescent="0.2">
      <c r="B1708" s="10">
        <v>46218</v>
      </c>
      <c r="C1708" s="10" t="s">
        <v>18</v>
      </c>
      <c r="D1708" s="10" t="s">
        <v>163</v>
      </c>
      <c r="F1708" s="939">
        <v>46218</v>
      </c>
      <c r="G1708" s="29" t="s">
        <v>16</v>
      </c>
      <c r="H1708" s="29" t="s">
        <v>83</v>
      </c>
      <c r="I1708" s="42">
        <v>95</v>
      </c>
      <c r="J1708" s="42">
        <v>34</v>
      </c>
      <c r="K1708" s="381">
        <v>0</v>
      </c>
      <c r="L1708" s="66">
        <f>SUM(I1708:K1708)</f>
        <v>129</v>
      </c>
      <c r="M1708" s="42"/>
    </row>
    <row r="1709" spans="2:13" ht="15.75" hidden="1" x14ac:dyDescent="0.2">
      <c r="B1709" s="10">
        <v>46218</v>
      </c>
      <c r="C1709" s="10" t="s">
        <v>18</v>
      </c>
      <c r="D1709" s="10" t="s">
        <v>163</v>
      </c>
      <c r="F1709" s="940"/>
      <c r="G1709" s="29" t="s">
        <v>84</v>
      </c>
      <c r="H1709" s="29" t="s">
        <v>27</v>
      </c>
      <c r="I1709" s="42">
        <v>2</v>
      </c>
      <c r="J1709" s="42">
        <v>0</v>
      </c>
      <c r="K1709" s="381">
        <v>0</v>
      </c>
      <c r="L1709" s="66">
        <f t="shared" ref="L1709" si="413">SUM(I1709:K1709)</f>
        <v>2</v>
      </c>
      <c r="M1709" s="42"/>
    </row>
    <row r="1710" spans="2:13" ht="15.75" hidden="1" x14ac:dyDescent="0.2">
      <c r="B1710" s="10">
        <v>46218</v>
      </c>
      <c r="C1710" s="10" t="s">
        <v>18</v>
      </c>
      <c r="D1710" s="10" t="s">
        <v>163</v>
      </c>
      <c r="F1710" s="937" t="s">
        <v>40</v>
      </c>
      <c r="G1710" s="937"/>
      <c r="H1710" s="937"/>
      <c r="I1710" s="8">
        <f>SUM(I1708:I1709)</f>
        <v>97</v>
      </c>
      <c r="J1710" s="8">
        <f>SUM(J1708:J1709)</f>
        <v>34</v>
      </c>
      <c r="K1710" s="8">
        <f>SUM(K1708:K1709)</f>
        <v>0</v>
      </c>
      <c r="L1710" s="8">
        <f>SUM(L1708:L1709)</f>
        <v>131</v>
      </c>
      <c r="M1710" s="316"/>
    </row>
    <row r="1711" spans="2:13" ht="15.75" hidden="1" x14ac:dyDescent="0.2">
      <c r="B1711" s="10">
        <v>46219</v>
      </c>
      <c r="C1711" s="10" t="s">
        <v>22</v>
      </c>
      <c r="D1711" s="10" t="s">
        <v>20</v>
      </c>
      <c r="F1711" s="382">
        <v>46219</v>
      </c>
      <c r="G1711" s="29" t="s">
        <v>16</v>
      </c>
      <c r="H1711" s="29" t="s">
        <v>83</v>
      </c>
      <c r="I1711" s="42">
        <v>9</v>
      </c>
      <c r="J1711" s="42">
        <v>25</v>
      </c>
      <c r="K1711" s="381">
        <v>0</v>
      </c>
      <c r="L1711" s="66">
        <f>SUM(I1711:K1711)</f>
        <v>34</v>
      </c>
      <c r="M1711" s="42"/>
    </row>
    <row r="1712" spans="2:13" ht="15.75" hidden="1" x14ac:dyDescent="0.2">
      <c r="B1712" s="10">
        <v>46219</v>
      </c>
      <c r="C1712" s="10" t="s">
        <v>22</v>
      </c>
      <c r="D1712" s="10" t="s">
        <v>20</v>
      </c>
      <c r="F1712" s="943">
        <v>46220</v>
      </c>
      <c r="G1712" s="29" t="s">
        <v>16</v>
      </c>
      <c r="H1712" s="29" t="s">
        <v>83</v>
      </c>
      <c r="I1712" s="42">
        <v>4</v>
      </c>
      <c r="J1712" s="42">
        <v>2</v>
      </c>
      <c r="K1712" s="381">
        <v>73</v>
      </c>
      <c r="L1712" s="66">
        <f t="shared" ref="L1712:L1713" si="414">SUM(I1712:K1712)</f>
        <v>79</v>
      </c>
      <c r="M1712" s="42"/>
    </row>
    <row r="1713" spans="2:13" ht="15.75" hidden="1" x14ac:dyDescent="0.2">
      <c r="B1713" s="10">
        <v>46219</v>
      </c>
      <c r="C1713" s="10" t="s">
        <v>22</v>
      </c>
      <c r="D1713" s="10" t="s">
        <v>20</v>
      </c>
      <c r="F1713" s="944"/>
      <c r="G1713" s="29" t="s">
        <v>84</v>
      </c>
      <c r="H1713" s="29" t="s">
        <v>18</v>
      </c>
      <c r="I1713" s="42">
        <v>0</v>
      </c>
      <c r="J1713" s="42">
        <v>0</v>
      </c>
      <c r="K1713" s="381">
        <v>0</v>
      </c>
      <c r="L1713" s="66">
        <f t="shared" si="414"/>
        <v>0</v>
      </c>
      <c r="M1713" s="42"/>
    </row>
    <row r="1714" spans="2:13" ht="15.75" hidden="1" x14ac:dyDescent="0.2">
      <c r="B1714" s="10">
        <v>46219</v>
      </c>
      <c r="C1714" s="10" t="s">
        <v>22</v>
      </c>
      <c r="D1714" s="10" t="s">
        <v>20</v>
      </c>
      <c r="F1714" s="937" t="s">
        <v>40</v>
      </c>
      <c r="G1714" s="937"/>
      <c r="H1714" s="937"/>
      <c r="I1714" s="8">
        <f>SUBTOTAL(9,I1711:I1713)</f>
        <v>0</v>
      </c>
      <c r="J1714" s="8">
        <f>SUBTOTAL(9,J1711:J1713)</f>
        <v>0</v>
      </c>
      <c r="K1714" s="8">
        <f>SUM(K1712:K1713)</f>
        <v>73</v>
      </c>
      <c r="L1714" s="8">
        <f>SUBTOTAL(9,L1711:L1713)</f>
        <v>0</v>
      </c>
      <c r="M1714" s="316"/>
    </row>
    <row r="1715" spans="2:13" ht="15.75" hidden="1" x14ac:dyDescent="0.2">
      <c r="B1715" s="10">
        <v>46219</v>
      </c>
      <c r="C1715" s="10" t="s">
        <v>12</v>
      </c>
      <c r="D1715" s="10" t="s">
        <v>13</v>
      </c>
      <c r="F1715" s="383">
        <v>46219</v>
      </c>
      <c r="G1715" s="29" t="s">
        <v>16</v>
      </c>
      <c r="H1715" s="29" t="s">
        <v>83</v>
      </c>
      <c r="I1715" s="42">
        <v>6</v>
      </c>
      <c r="J1715" s="42">
        <v>16</v>
      </c>
      <c r="K1715" s="381">
        <v>0</v>
      </c>
      <c r="L1715" s="66">
        <f>SUM(I1715:K1715)</f>
        <v>22</v>
      </c>
      <c r="M1715" s="42"/>
    </row>
    <row r="1716" spans="2:13" ht="15.75" hidden="1" x14ac:dyDescent="0.2">
      <c r="B1716" s="10">
        <v>46219</v>
      </c>
      <c r="C1716" s="10" t="s">
        <v>12</v>
      </c>
      <c r="D1716" s="10" t="s">
        <v>13</v>
      </c>
      <c r="F1716" s="943">
        <v>46220</v>
      </c>
      <c r="G1716" s="29" t="s">
        <v>16</v>
      </c>
      <c r="H1716" s="29" t="s">
        <v>83</v>
      </c>
      <c r="I1716" s="42">
        <v>46</v>
      </c>
      <c r="J1716" s="42">
        <v>35</v>
      </c>
      <c r="K1716" s="381">
        <v>17</v>
      </c>
      <c r="L1716" s="66">
        <f t="shared" ref="L1716:L1717" si="415">SUM(I1716:K1716)</f>
        <v>98</v>
      </c>
      <c r="M1716" s="42"/>
    </row>
    <row r="1717" spans="2:13" ht="15.75" hidden="1" x14ac:dyDescent="0.2">
      <c r="B1717" s="10">
        <v>46219</v>
      </c>
      <c r="C1717" s="10" t="s">
        <v>12</v>
      </c>
      <c r="D1717" s="10" t="s">
        <v>13</v>
      </c>
      <c r="F1717" s="945"/>
      <c r="G1717" s="29" t="s">
        <v>84</v>
      </c>
      <c r="H1717" s="29" t="s">
        <v>18</v>
      </c>
      <c r="I1717" s="42">
        <v>0</v>
      </c>
      <c r="J1717" s="42">
        <v>0</v>
      </c>
      <c r="K1717" s="381">
        <v>0</v>
      </c>
      <c r="L1717" s="66">
        <f t="shared" si="415"/>
        <v>0</v>
      </c>
      <c r="M1717" s="42"/>
    </row>
    <row r="1718" spans="2:13" ht="15.75" hidden="1" x14ac:dyDescent="0.2">
      <c r="B1718" s="10">
        <v>46219</v>
      </c>
      <c r="C1718" s="10" t="s">
        <v>12</v>
      </c>
      <c r="D1718" s="10" t="s">
        <v>13</v>
      </c>
      <c r="F1718" s="937" t="s">
        <v>40</v>
      </c>
      <c r="G1718" s="937"/>
      <c r="H1718" s="937"/>
      <c r="I1718" s="8">
        <f>SUBTOTAL(9,I1715:I1717)</f>
        <v>0</v>
      </c>
      <c r="J1718" s="8">
        <f>SUBTOTAL(9,J1715:J1717)</f>
        <v>0</v>
      </c>
      <c r="K1718" s="8">
        <f>SUM(K1716:K1717)</f>
        <v>17</v>
      </c>
      <c r="L1718" s="8">
        <f>SUBTOTAL(9,L1715:L1717)</f>
        <v>0</v>
      </c>
      <c r="M1718" s="316"/>
    </row>
    <row r="1719" spans="2:13" ht="15.75" hidden="1" x14ac:dyDescent="0.2">
      <c r="B1719" s="10">
        <v>46219</v>
      </c>
      <c r="C1719" s="10" t="s">
        <v>18</v>
      </c>
      <c r="D1719" s="10" t="s">
        <v>163</v>
      </c>
      <c r="F1719" s="943">
        <v>46219</v>
      </c>
      <c r="G1719" s="29" t="s">
        <v>16</v>
      </c>
      <c r="H1719" s="29" t="s">
        <v>83</v>
      </c>
      <c r="I1719" s="42">
        <v>113</v>
      </c>
      <c r="J1719" s="42">
        <v>36</v>
      </c>
      <c r="K1719" s="381">
        <v>12</v>
      </c>
      <c r="L1719" s="66">
        <f>SUM(I1719:K1719)</f>
        <v>161</v>
      </c>
      <c r="M1719" s="42"/>
    </row>
    <row r="1720" spans="2:13" ht="15.75" hidden="1" x14ac:dyDescent="0.2">
      <c r="B1720" s="10">
        <v>46219</v>
      </c>
      <c r="C1720" s="10" t="s">
        <v>18</v>
      </c>
      <c r="D1720" s="10" t="s">
        <v>163</v>
      </c>
      <c r="F1720" s="945"/>
      <c r="G1720" s="29" t="s">
        <v>84</v>
      </c>
      <c r="H1720" s="29" t="s">
        <v>18</v>
      </c>
      <c r="I1720" s="42">
        <v>10</v>
      </c>
      <c r="J1720" s="42">
        <v>1</v>
      </c>
      <c r="K1720" s="381">
        <v>0</v>
      </c>
      <c r="L1720" s="66">
        <f t="shared" ref="L1720" si="416">SUM(I1720:K1720)</f>
        <v>11</v>
      </c>
      <c r="M1720" s="42"/>
    </row>
    <row r="1721" spans="2:13" ht="15.75" hidden="1" x14ac:dyDescent="0.2">
      <c r="B1721" s="10">
        <v>46219</v>
      </c>
      <c r="C1721" s="10" t="s">
        <v>18</v>
      </c>
      <c r="D1721" s="10" t="s">
        <v>163</v>
      </c>
      <c r="F1721" s="937" t="s">
        <v>40</v>
      </c>
      <c r="G1721" s="937"/>
      <c r="H1721" s="937"/>
      <c r="I1721" s="8">
        <f>SUBTOTAL(9,I1719:I1720)</f>
        <v>0</v>
      </c>
      <c r="J1721" s="8">
        <f t="shared" ref="J1721:K1721" si="417">SUBTOTAL(9,J1719:J1720)</f>
        <v>0</v>
      </c>
      <c r="K1721" s="8">
        <f t="shared" si="417"/>
        <v>0</v>
      </c>
      <c r="L1721" s="8">
        <f>SUBTOTAL(9,L1719:L1720)</f>
        <v>0</v>
      </c>
      <c r="M1721" s="316"/>
    </row>
    <row r="1722" spans="2:13" ht="15.75" hidden="1" x14ac:dyDescent="0.2">
      <c r="B1722" s="10">
        <v>46220</v>
      </c>
      <c r="C1722" s="10" t="s">
        <v>22</v>
      </c>
      <c r="D1722" s="10" t="s">
        <v>20</v>
      </c>
      <c r="F1722" s="943">
        <v>46220</v>
      </c>
      <c r="G1722" s="29" t="s">
        <v>16</v>
      </c>
      <c r="H1722" s="29" t="s">
        <v>83</v>
      </c>
      <c r="I1722" s="42">
        <v>18</v>
      </c>
      <c r="J1722" s="42">
        <v>23</v>
      </c>
      <c r="K1722" s="381">
        <v>0</v>
      </c>
      <c r="L1722" s="66">
        <f t="shared" ref="L1722:L1723" si="418">SUM(I1722:K1722)</f>
        <v>41</v>
      </c>
      <c r="M1722" s="42"/>
    </row>
    <row r="1723" spans="2:13" ht="15.75" hidden="1" x14ac:dyDescent="0.2">
      <c r="B1723" s="10">
        <v>46220</v>
      </c>
      <c r="C1723" s="10" t="s">
        <v>22</v>
      </c>
      <c r="D1723" s="10" t="s">
        <v>20</v>
      </c>
      <c r="F1723" s="945"/>
      <c r="G1723" s="29" t="s">
        <v>84</v>
      </c>
      <c r="H1723" s="29" t="s">
        <v>18</v>
      </c>
      <c r="I1723" s="42">
        <v>0</v>
      </c>
      <c r="J1723" s="42">
        <v>0</v>
      </c>
      <c r="K1723" s="381">
        <v>97</v>
      </c>
      <c r="L1723" s="66">
        <f t="shared" si="418"/>
        <v>97</v>
      </c>
      <c r="M1723" s="42"/>
    </row>
    <row r="1724" spans="2:13" ht="15.75" hidden="1" x14ac:dyDescent="0.2">
      <c r="B1724" s="10">
        <v>46220</v>
      </c>
      <c r="C1724" s="10" t="s">
        <v>22</v>
      </c>
      <c r="D1724" s="10" t="s">
        <v>20</v>
      </c>
      <c r="F1724" s="937" t="s">
        <v>40</v>
      </c>
      <c r="G1724" s="937"/>
      <c r="H1724" s="937"/>
      <c r="I1724" s="8">
        <f>SUBTOTAL(9,I1722:I1723)</f>
        <v>0</v>
      </c>
      <c r="J1724" s="8">
        <f>SUBTOTAL(9,J1722:J1723)</f>
        <v>0</v>
      </c>
      <c r="K1724" s="8">
        <f>SUBTOTAL(9,K1722:K1723)</f>
        <v>0</v>
      </c>
      <c r="L1724" s="8">
        <f>SUBTOTAL(9,L1722:L1723)</f>
        <v>0</v>
      </c>
      <c r="M1724" s="316"/>
    </row>
    <row r="1725" spans="2:13" ht="15.75" hidden="1" x14ac:dyDescent="0.2">
      <c r="B1725" s="10">
        <v>46220</v>
      </c>
      <c r="C1725" s="10" t="s">
        <v>12</v>
      </c>
      <c r="D1725" s="10" t="s">
        <v>13</v>
      </c>
      <c r="F1725" s="939">
        <v>46220</v>
      </c>
      <c r="G1725" s="377" t="s">
        <v>16</v>
      </c>
      <c r="H1725" s="29" t="s">
        <v>83</v>
      </c>
      <c r="I1725" s="42">
        <v>11</v>
      </c>
      <c r="J1725" s="42">
        <v>12</v>
      </c>
      <c r="K1725" s="381">
        <v>0</v>
      </c>
      <c r="L1725" s="389">
        <f t="shared" ref="L1725:L1726" si="419">SUM(I1725:K1725)</f>
        <v>23</v>
      </c>
      <c r="M1725" s="388"/>
    </row>
    <row r="1726" spans="2:13" ht="15.75" hidden="1" x14ac:dyDescent="0.2">
      <c r="B1726" s="10">
        <v>46220</v>
      </c>
      <c r="C1726" s="10" t="s">
        <v>12</v>
      </c>
      <c r="D1726" s="10" t="s">
        <v>13</v>
      </c>
      <c r="F1726" s="941"/>
      <c r="G1726" s="29" t="s">
        <v>84</v>
      </c>
      <c r="H1726" s="29" t="s">
        <v>18</v>
      </c>
      <c r="I1726" s="42">
        <v>77</v>
      </c>
      <c r="J1726" s="42">
        <v>27</v>
      </c>
      <c r="K1726" s="381">
        <v>0</v>
      </c>
      <c r="L1726" s="389">
        <f t="shared" si="419"/>
        <v>104</v>
      </c>
      <c r="M1726" s="42"/>
    </row>
    <row r="1727" spans="2:13" ht="15.75" hidden="1" x14ac:dyDescent="0.2">
      <c r="B1727" s="10">
        <v>46220</v>
      </c>
      <c r="C1727" s="10" t="s">
        <v>12</v>
      </c>
      <c r="D1727" s="10" t="s">
        <v>13</v>
      </c>
      <c r="F1727" s="943">
        <v>46221</v>
      </c>
      <c r="G1727" s="29" t="s">
        <v>16</v>
      </c>
      <c r="H1727" s="29" t="s">
        <v>83</v>
      </c>
      <c r="I1727" s="42">
        <v>1</v>
      </c>
      <c r="J1727" s="42">
        <v>0</v>
      </c>
      <c r="K1727" s="381">
        <v>51</v>
      </c>
      <c r="L1727" s="389">
        <f t="shared" ref="L1727:L1728" si="420">SUM(I1727:K1727)</f>
        <v>52</v>
      </c>
      <c r="M1727" s="42"/>
    </row>
    <row r="1728" spans="2:13" ht="15.75" hidden="1" x14ac:dyDescent="0.2">
      <c r="B1728" s="10">
        <v>46220</v>
      </c>
      <c r="C1728" s="10" t="s">
        <v>12</v>
      </c>
      <c r="D1728" s="10" t="s">
        <v>13</v>
      </c>
      <c r="F1728" s="945"/>
      <c r="G1728" s="29" t="s">
        <v>180</v>
      </c>
      <c r="H1728" s="29" t="s">
        <v>43</v>
      </c>
      <c r="I1728" s="42">
        <v>52</v>
      </c>
      <c r="J1728" s="42">
        <v>0</v>
      </c>
      <c r="K1728" s="381">
        <v>0</v>
      </c>
      <c r="L1728" s="389">
        <f t="shared" si="420"/>
        <v>52</v>
      </c>
      <c r="M1728" s="42"/>
    </row>
    <row r="1729" spans="2:13" ht="15.75" hidden="1" x14ac:dyDescent="0.2">
      <c r="B1729" s="10">
        <v>46220</v>
      </c>
      <c r="C1729" s="10" t="s">
        <v>12</v>
      </c>
      <c r="D1729" s="10" t="s">
        <v>13</v>
      </c>
      <c r="F1729" s="937" t="s">
        <v>40</v>
      </c>
      <c r="G1729" s="937"/>
      <c r="H1729" s="937"/>
      <c r="I1729" s="8">
        <f>SUM(I1725:I1728)</f>
        <v>141</v>
      </c>
      <c r="J1729" s="8">
        <f t="shared" ref="J1729:L1729" si="421">SUM(J1725:J1728)</f>
        <v>39</v>
      </c>
      <c r="K1729" s="8">
        <f t="shared" si="421"/>
        <v>51</v>
      </c>
      <c r="L1729" s="8">
        <f t="shared" si="421"/>
        <v>231</v>
      </c>
      <c r="M1729" s="316"/>
    </row>
    <row r="1730" spans="2:13" ht="15.75" hidden="1" x14ac:dyDescent="0.2">
      <c r="B1730" s="10">
        <v>46220</v>
      </c>
      <c r="C1730" s="10" t="s">
        <v>18</v>
      </c>
      <c r="D1730" s="10" t="s">
        <v>163</v>
      </c>
      <c r="F1730" s="943">
        <v>46220</v>
      </c>
      <c r="G1730" s="377" t="s">
        <v>16</v>
      </c>
      <c r="H1730" s="29" t="s">
        <v>83</v>
      </c>
      <c r="I1730" s="42">
        <v>97</v>
      </c>
      <c r="J1730" s="42">
        <v>64</v>
      </c>
      <c r="K1730" s="381">
        <v>0</v>
      </c>
      <c r="L1730" s="389">
        <f t="shared" ref="L1730:L1731" si="422">SUM(I1730:K1730)</f>
        <v>161</v>
      </c>
      <c r="M1730" s="388"/>
    </row>
    <row r="1731" spans="2:13" ht="15.75" hidden="1" x14ac:dyDescent="0.2">
      <c r="B1731" s="10">
        <v>46220</v>
      </c>
      <c r="C1731" s="10" t="s">
        <v>18</v>
      </c>
      <c r="D1731" s="10" t="s">
        <v>163</v>
      </c>
      <c r="F1731" s="944"/>
      <c r="G1731" s="29" t="s">
        <v>84</v>
      </c>
      <c r="H1731" s="29" t="s">
        <v>18</v>
      </c>
      <c r="I1731" s="42">
        <v>16</v>
      </c>
      <c r="J1731" s="42">
        <v>9</v>
      </c>
      <c r="K1731" s="381">
        <v>0</v>
      </c>
      <c r="L1731" s="389">
        <f t="shared" si="422"/>
        <v>25</v>
      </c>
      <c r="M1731" s="42"/>
    </row>
    <row r="1732" spans="2:13" ht="15.75" hidden="1" x14ac:dyDescent="0.2">
      <c r="B1732" s="10">
        <v>46220</v>
      </c>
      <c r="C1732" s="10" t="s">
        <v>18</v>
      </c>
      <c r="D1732" s="10" t="s">
        <v>163</v>
      </c>
      <c r="F1732" s="937" t="s">
        <v>40</v>
      </c>
      <c r="G1732" s="937"/>
      <c r="H1732" s="937"/>
      <c r="I1732" s="8">
        <f>SUM(I1730:I1731)</f>
        <v>113</v>
      </c>
      <c r="J1732" s="8">
        <f>SUM(J1730:J1731)</f>
        <v>73</v>
      </c>
      <c r="K1732" s="8">
        <f>SUM(K1730:K1731)</f>
        <v>0</v>
      </c>
      <c r="L1732" s="8">
        <f>SUM(L1730:L1731)</f>
        <v>186</v>
      </c>
      <c r="M1732" s="316"/>
    </row>
    <row r="1733" spans="2:13" ht="15.75" hidden="1" x14ac:dyDescent="0.2">
      <c r="B1733" s="10">
        <v>46221</v>
      </c>
      <c r="C1733" s="10" t="s">
        <v>22</v>
      </c>
      <c r="D1733" s="10" t="s">
        <v>20</v>
      </c>
      <c r="F1733" s="943">
        <v>46221</v>
      </c>
      <c r="G1733" s="29" t="s">
        <v>16</v>
      </c>
      <c r="H1733" s="29" t="s">
        <v>83</v>
      </c>
      <c r="I1733" s="42">
        <v>37</v>
      </c>
      <c r="J1733" s="42">
        <v>20</v>
      </c>
      <c r="K1733" s="381">
        <v>0</v>
      </c>
      <c r="L1733" s="66">
        <f>SUM(I1733:K1733)</f>
        <v>57</v>
      </c>
      <c r="M1733" s="42"/>
    </row>
    <row r="1734" spans="2:13" ht="15.75" hidden="1" x14ac:dyDescent="0.2">
      <c r="B1734" s="10">
        <v>46221</v>
      </c>
      <c r="C1734" s="10" t="s">
        <v>22</v>
      </c>
      <c r="D1734" s="10" t="s">
        <v>20</v>
      </c>
      <c r="F1734" s="944"/>
      <c r="G1734" s="29" t="s">
        <v>120</v>
      </c>
      <c r="H1734" s="29" t="s">
        <v>22</v>
      </c>
      <c r="I1734" s="42">
        <v>25</v>
      </c>
      <c r="J1734" s="42">
        <v>0</v>
      </c>
      <c r="K1734" s="381">
        <v>0</v>
      </c>
      <c r="L1734" s="66">
        <f t="shared" ref="L1734:L1739" si="423">SUM(I1734:K1734)</f>
        <v>25</v>
      </c>
      <c r="M1734" s="42"/>
    </row>
    <row r="1735" spans="2:13" ht="15.75" hidden="1" x14ac:dyDescent="0.2">
      <c r="B1735" s="10">
        <v>46221</v>
      </c>
      <c r="C1735" s="10" t="s">
        <v>22</v>
      </c>
      <c r="D1735" s="10" t="s">
        <v>20</v>
      </c>
      <c r="F1735" s="944"/>
      <c r="G1735" s="29" t="s">
        <v>25</v>
      </c>
      <c r="H1735" s="29" t="s">
        <v>22</v>
      </c>
      <c r="I1735" s="42">
        <v>9</v>
      </c>
      <c r="J1735" s="42">
        <v>0</v>
      </c>
      <c r="K1735" s="381">
        <v>6</v>
      </c>
      <c r="L1735" s="66">
        <f t="shared" si="423"/>
        <v>15</v>
      </c>
      <c r="M1735" s="42"/>
    </row>
    <row r="1736" spans="2:13" ht="15.75" hidden="1" x14ac:dyDescent="0.2">
      <c r="B1736" s="10">
        <v>46221</v>
      </c>
      <c r="C1736" s="10" t="s">
        <v>22</v>
      </c>
      <c r="D1736" s="10" t="s">
        <v>20</v>
      </c>
      <c r="F1736" s="944"/>
      <c r="G1736" s="29" t="s">
        <v>17</v>
      </c>
      <c r="H1736" s="29" t="s">
        <v>22</v>
      </c>
      <c r="I1736" s="42">
        <v>39</v>
      </c>
      <c r="J1736" s="42">
        <v>7</v>
      </c>
      <c r="K1736" s="381">
        <v>13</v>
      </c>
      <c r="L1736" s="66">
        <f t="shared" si="423"/>
        <v>59</v>
      </c>
      <c r="M1736" s="42"/>
    </row>
    <row r="1737" spans="2:13" ht="15.75" hidden="1" x14ac:dyDescent="0.2">
      <c r="B1737" s="10">
        <v>46221</v>
      </c>
      <c r="C1737" s="10" t="s">
        <v>22</v>
      </c>
      <c r="D1737" s="10" t="s">
        <v>20</v>
      </c>
      <c r="F1737" s="944"/>
      <c r="G1737" s="29" t="s">
        <v>118</v>
      </c>
      <c r="H1737" s="29" t="s">
        <v>22</v>
      </c>
      <c r="I1737" s="42">
        <v>1</v>
      </c>
      <c r="J1737" s="42">
        <v>0</v>
      </c>
      <c r="K1737" s="381">
        <v>0</v>
      </c>
      <c r="L1737" s="66">
        <f t="shared" si="423"/>
        <v>1</v>
      </c>
      <c r="M1737" s="42"/>
    </row>
    <row r="1738" spans="2:13" ht="15.75" hidden="1" x14ac:dyDescent="0.2">
      <c r="B1738" s="10">
        <v>46221</v>
      </c>
      <c r="C1738" s="10" t="s">
        <v>22</v>
      </c>
      <c r="D1738" s="10" t="s">
        <v>20</v>
      </c>
      <c r="F1738" s="944"/>
      <c r="G1738" s="29" t="s">
        <v>180</v>
      </c>
      <c r="H1738" s="29" t="s">
        <v>22</v>
      </c>
      <c r="I1738" s="42">
        <v>3</v>
      </c>
      <c r="J1738" s="42">
        <v>0</v>
      </c>
      <c r="K1738" s="381">
        <v>0</v>
      </c>
      <c r="L1738" s="66">
        <f t="shared" si="423"/>
        <v>3</v>
      </c>
      <c r="M1738" s="42"/>
    </row>
    <row r="1739" spans="2:13" ht="15.75" hidden="1" x14ac:dyDescent="0.2">
      <c r="B1739" s="10">
        <v>46221</v>
      </c>
      <c r="C1739" s="10" t="s">
        <v>22</v>
      </c>
      <c r="D1739" s="10" t="s">
        <v>20</v>
      </c>
      <c r="F1739" s="945"/>
      <c r="G1739" s="29" t="s">
        <v>84</v>
      </c>
      <c r="H1739" s="29" t="s">
        <v>27</v>
      </c>
      <c r="I1739" s="42">
        <v>16</v>
      </c>
      <c r="J1739" s="42">
        <v>5</v>
      </c>
      <c r="K1739" s="381">
        <v>27</v>
      </c>
      <c r="L1739" s="66">
        <f t="shared" si="423"/>
        <v>48</v>
      </c>
      <c r="M1739" s="42"/>
    </row>
    <row r="1740" spans="2:13" ht="15.75" hidden="1" x14ac:dyDescent="0.2">
      <c r="B1740" s="10">
        <v>46221</v>
      </c>
      <c r="C1740" s="10" t="s">
        <v>22</v>
      </c>
      <c r="D1740" s="10" t="s">
        <v>20</v>
      </c>
      <c r="F1740" s="937" t="s">
        <v>40</v>
      </c>
      <c r="G1740" s="937"/>
      <c r="H1740" s="937"/>
      <c r="I1740" s="8">
        <f>SUBTOTAL(9,I1733:I1739)</f>
        <v>0</v>
      </c>
      <c r="J1740" s="8">
        <f>SUBTOTAL(9,J1733:J1739)</f>
        <v>0</v>
      </c>
      <c r="K1740" s="8">
        <f>SUM(K1734:K1739)</f>
        <v>46</v>
      </c>
      <c r="L1740" s="8">
        <f>SUBTOTAL(9,L1733:L1739)</f>
        <v>0</v>
      </c>
      <c r="M1740" s="316"/>
    </row>
    <row r="1741" spans="2:13" ht="15.75" hidden="1" x14ac:dyDescent="0.2">
      <c r="B1741" s="10">
        <v>46221</v>
      </c>
      <c r="C1741" s="10" t="s">
        <v>12</v>
      </c>
      <c r="D1741" s="10" t="s">
        <v>13</v>
      </c>
      <c r="F1741" s="943">
        <v>46221</v>
      </c>
      <c r="G1741" s="29" t="s">
        <v>16</v>
      </c>
      <c r="H1741" s="29" t="s">
        <v>83</v>
      </c>
      <c r="I1741" s="42">
        <v>39</v>
      </c>
      <c r="J1741" s="42">
        <v>29</v>
      </c>
      <c r="K1741" s="381">
        <v>35</v>
      </c>
      <c r="L1741" s="66">
        <f>SUM(I1741:K1741)</f>
        <v>103</v>
      </c>
      <c r="M1741" s="42"/>
    </row>
    <row r="1742" spans="2:13" ht="15.75" hidden="1" x14ac:dyDescent="0.2">
      <c r="B1742" s="10">
        <v>46221</v>
      </c>
      <c r="C1742" s="10" t="s">
        <v>12</v>
      </c>
      <c r="D1742" s="10" t="s">
        <v>13</v>
      </c>
      <c r="F1742" s="944"/>
      <c r="G1742" s="29" t="s">
        <v>118</v>
      </c>
      <c r="H1742" s="29" t="s">
        <v>22</v>
      </c>
      <c r="I1742" s="42">
        <v>10</v>
      </c>
      <c r="J1742" s="42">
        <v>5</v>
      </c>
      <c r="K1742" s="381">
        <v>0</v>
      </c>
      <c r="L1742" s="66">
        <f t="shared" ref="L1742:L1743" si="424">SUM(I1742:K1742)</f>
        <v>15</v>
      </c>
      <c r="M1742" s="42"/>
    </row>
    <row r="1743" spans="2:13" ht="15.75" hidden="1" x14ac:dyDescent="0.2">
      <c r="B1743" s="10">
        <v>46221</v>
      </c>
      <c r="C1743" s="10" t="s">
        <v>12</v>
      </c>
      <c r="D1743" s="10" t="s">
        <v>13</v>
      </c>
      <c r="F1743" s="945"/>
      <c r="G1743" s="29" t="s">
        <v>84</v>
      </c>
      <c r="H1743" s="29" t="s">
        <v>27</v>
      </c>
      <c r="I1743" s="42">
        <v>52</v>
      </c>
      <c r="J1743" s="42">
        <v>11</v>
      </c>
      <c r="K1743" s="381">
        <v>50</v>
      </c>
      <c r="L1743" s="66">
        <f t="shared" si="424"/>
        <v>113</v>
      </c>
      <c r="M1743" s="42"/>
    </row>
    <row r="1744" spans="2:13" ht="15.75" hidden="1" x14ac:dyDescent="0.2">
      <c r="B1744" s="10">
        <v>46221</v>
      </c>
      <c r="C1744" s="10" t="s">
        <v>12</v>
      </c>
      <c r="D1744" s="10" t="s">
        <v>13</v>
      </c>
      <c r="F1744" s="937" t="s">
        <v>40</v>
      </c>
      <c r="G1744" s="937"/>
      <c r="H1744" s="937"/>
      <c r="I1744" s="8">
        <f>SUM(I1741:I1743)</f>
        <v>101</v>
      </c>
      <c r="J1744" s="8">
        <f t="shared" ref="J1744:L1744" si="425">SUM(J1741:J1743)</f>
        <v>45</v>
      </c>
      <c r="K1744" s="8">
        <f t="shared" si="425"/>
        <v>85</v>
      </c>
      <c r="L1744" s="8">
        <f t="shared" si="425"/>
        <v>231</v>
      </c>
      <c r="M1744" s="316"/>
    </row>
    <row r="1745" spans="2:13" ht="15.75" hidden="1" x14ac:dyDescent="0.2">
      <c r="B1745" s="10">
        <v>46221</v>
      </c>
      <c r="C1745" s="10" t="s">
        <v>18</v>
      </c>
      <c r="D1745" s="10" t="s">
        <v>163</v>
      </c>
      <c r="F1745" s="943">
        <v>46221</v>
      </c>
      <c r="G1745" s="29" t="s">
        <v>16</v>
      </c>
      <c r="H1745" s="29" t="s">
        <v>83</v>
      </c>
      <c r="I1745" s="42">
        <v>111</v>
      </c>
      <c r="J1745" s="42">
        <v>62</v>
      </c>
      <c r="K1745" s="381">
        <v>0</v>
      </c>
      <c r="L1745" s="66">
        <f>SUM(I1745:K1745)</f>
        <v>173</v>
      </c>
      <c r="M1745" s="42"/>
    </row>
    <row r="1746" spans="2:13" ht="15.75" hidden="1" x14ac:dyDescent="0.2">
      <c r="B1746" s="10">
        <v>46221</v>
      </c>
      <c r="C1746" s="10" t="s">
        <v>18</v>
      </c>
      <c r="D1746" s="10" t="s">
        <v>163</v>
      </c>
      <c r="F1746" s="945"/>
      <c r="G1746" s="29" t="s">
        <v>84</v>
      </c>
      <c r="H1746" s="29" t="s">
        <v>27</v>
      </c>
      <c r="I1746" s="42">
        <v>38</v>
      </c>
      <c r="J1746" s="42">
        <v>11</v>
      </c>
      <c r="K1746" s="381">
        <v>49</v>
      </c>
      <c r="L1746" s="66">
        <f t="shared" ref="L1746" si="426">SUM(I1746:K1746)</f>
        <v>98</v>
      </c>
      <c r="M1746" s="42"/>
    </row>
    <row r="1747" spans="2:13" ht="15.75" hidden="1" x14ac:dyDescent="0.2">
      <c r="B1747" s="10">
        <v>46221</v>
      </c>
      <c r="C1747" s="10" t="s">
        <v>18</v>
      </c>
      <c r="D1747" s="10" t="s">
        <v>163</v>
      </c>
      <c r="F1747" s="937" t="s">
        <v>40</v>
      </c>
      <c r="G1747" s="937"/>
      <c r="H1747" s="937"/>
      <c r="I1747" s="8">
        <f>SUM(I1745:I1746)</f>
        <v>149</v>
      </c>
      <c r="J1747" s="8">
        <f>SUM(J1745:J1746)</f>
        <v>73</v>
      </c>
      <c r="K1747" s="8">
        <f>SUM(K1745:K1746)</f>
        <v>49</v>
      </c>
      <c r="L1747" s="8">
        <f>SUM(L1745:L1746)</f>
        <v>271</v>
      </c>
      <c r="M1747" s="316"/>
    </row>
    <row r="1748" spans="2:13" ht="15.75" hidden="1" x14ac:dyDescent="0.2">
      <c r="B1748" s="10">
        <v>46222</v>
      </c>
      <c r="C1748" s="10" t="s">
        <v>22</v>
      </c>
      <c r="D1748" s="10" t="s">
        <v>20</v>
      </c>
      <c r="F1748" s="942">
        <v>46222</v>
      </c>
      <c r="G1748" s="29" t="s">
        <v>16</v>
      </c>
      <c r="H1748" s="29" t="s">
        <v>83</v>
      </c>
      <c r="I1748" s="42">
        <v>11</v>
      </c>
      <c r="J1748" s="42">
        <v>21</v>
      </c>
      <c r="K1748" s="381">
        <v>0</v>
      </c>
      <c r="L1748" s="66">
        <f>SUM(I1748:K1748)</f>
        <v>32</v>
      </c>
      <c r="M1748" s="42"/>
    </row>
    <row r="1749" spans="2:13" ht="15.75" hidden="1" x14ac:dyDescent="0.2">
      <c r="B1749" s="10">
        <v>46222</v>
      </c>
      <c r="C1749" s="10" t="s">
        <v>22</v>
      </c>
      <c r="D1749" s="10" t="s">
        <v>20</v>
      </c>
      <c r="F1749" s="942"/>
      <c r="G1749" s="29" t="s">
        <v>120</v>
      </c>
      <c r="H1749" s="29" t="s">
        <v>22</v>
      </c>
      <c r="I1749" s="42">
        <v>3</v>
      </c>
      <c r="J1749" s="42">
        <v>0</v>
      </c>
      <c r="K1749" s="381">
        <v>0</v>
      </c>
      <c r="L1749" s="66">
        <f t="shared" ref="L1749:L1752" si="427">SUM(I1749:K1749)</f>
        <v>3</v>
      </c>
      <c r="M1749" s="42"/>
    </row>
    <row r="1750" spans="2:13" ht="15.75" hidden="1" x14ac:dyDescent="0.2">
      <c r="B1750" s="10">
        <v>46222</v>
      </c>
      <c r="C1750" s="10" t="s">
        <v>22</v>
      </c>
      <c r="D1750" s="10" t="s">
        <v>20</v>
      </c>
      <c r="F1750" s="942"/>
      <c r="G1750" s="29" t="s">
        <v>17</v>
      </c>
      <c r="H1750" s="29" t="s">
        <v>22</v>
      </c>
      <c r="I1750" s="42">
        <v>6</v>
      </c>
      <c r="J1750" s="42">
        <v>3</v>
      </c>
      <c r="K1750" s="381">
        <v>0</v>
      </c>
      <c r="L1750" s="66">
        <f t="shared" si="427"/>
        <v>9</v>
      </c>
      <c r="M1750" s="42"/>
    </row>
    <row r="1751" spans="2:13" ht="15.75" hidden="1" x14ac:dyDescent="0.2">
      <c r="B1751" s="10">
        <v>46222</v>
      </c>
      <c r="C1751" s="10" t="s">
        <v>22</v>
      </c>
      <c r="D1751" s="10" t="s">
        <v>20</v>
      </c>
      <c r="F1751" s="948">
        <v>46223</v>
      </c>
      <c r="G1751" s="29" t="s">
        <v>180</v>
      </c>
      <c r="H1751" s="29" t="s">
        <v>22</v>
      </c>
      <c r="I1751" s="42">
        <v>3</v>
      </c>
      <c r="J1751" s="42">
        <v>0</v>
      </c>
      <c r="K1751" s="381">
        <v>24</v>
      </c>
      <c r="L1751" s="66">
        <f t="shared" si="427"/>
        <v>27</v>
      </c>
      <c r="M1751" s="42"/>
    </row>
    <row r="1752" spans="2:13" ht="15.75" hidden="1" x14ac:dyDescent="0.2">
      <c r="B1752" s="10">
        <v>46222</v>
      </c>
      <c r="C1752" s="10" t="s">
        <v>22</v>
      </c>
      <c r="D1752" s="10" t="s">
        <v>20</v>
      </c>
      <c r="F1752" s="948"/>
      <c r="G1752" s="29" t="s">
        <v>118</v>
      </c>
      <c r="H1752" s="29" t="s">
        <v>27</v>
      </c>
      <c r="I1752" s="42">
        <v>60</v>
      </c>
      <c r="J1752" s="42">
        <v>5</v>
      </c>
      <c r="K1752" s="381">
        <v>43</v>
      </c>
      <c r="L1752" s="66">
        <f t="shared" si="427"/>
        <v>108</v>
      </c>
      <c r="M1752" s="42"/>
    </row>
    <row r="1753" spans="2:13" ht="15.75" hidden="1" x14ac:dyDescent="0.2">
      <c r="B1753" s="10">
        <v>46222</v>
      </c>
      <c r="C1753" s="10" t="s">
        <v>22</v>
      </c>
      <c r="D1753" s="10" t="s">
        <v>20</v>
      </c>
      <c r="F1753" s="937" t="s">
        <v>40</v>
      </c>
      <c r="G1753" s="937"/>
      <c r="H1753" s="937"/>
      <c r="I1753" s="8">
        <f>SUBTOTAL(9,I1748:I1752)</f>
        <v>0</v>
      </c>
      <c r="J1753" s="8">
        <f>SUBTOTAL(9,J1748:J1752)</f>
        <v>0</v>
      </c>
      <c r="K1753" s="8">
        <f>SUM(K1749:K1752)</f>
        <v>67</v>
      </c>
      <c r="L1753" s="8">
        <f>SUBTOTAL(9,L1748:L1752)</f>
        <v>0</v>
      </c>
      <c r="M1753" s="316"/>
    </row>
    <row r="1754" spans="2:13" ht="15.75" hidden="1" x14ac:dyDescent="0.2">
      <c r="B1754" s="10">
        <v>46222</v>
      </c>
      <c r="C1754" s="10" t="s">
        <v>12</v>
      </c>
      <c r="D1754" s="10" t="s">
        <v>13</v>
      </c>
      <c r="F1754" s="939">
        <v>46222</v>
      </c>
      <c r="G1754" s="391" t="s">
        <v>84</v>
      </c>
      <c r="H1754" s="391" t="s">
        <v>27</v>
      </c>
      <c r="I1754" s="392">
        <v>3</v>
      </c>
      <c r="J1754" s="392">
        <v>0</v>
      </c>
      <c r="K1754" s="392">
        <v>0</v>
      </c>
      <c r="L1754" s="393">
        <v>3</v>
      </c>
      <c r="M1754" s="390"/>
    </row>
    <row r="1755" spans="2:13" ht="15.75" hidden="1" x14ac:dyDescent="0.2">
      <c r="B1755" s="10">
        <v>46222</v>
      </c>
      <c r="C1755" s="10" t="s">
        <v>12</v>
      </c>
      <c r="D1755" s="10" t="s">
        <v>13</v>
      </c>
      <c r="F1755" s="941"/>
      <c r="G1755" s="29" t="s">
        <v>16</v>
      </c>
      <c r="H1755" s="29" t="s">
        <v>83</v>
      </c>
      <c r="I1755" s="42">
        <v>11</v>
      </c>
      <c r="J1755" s="42">
        <v>20</v>
      </c>
      <c r="K1755" s="381">
        <v>0</v>
      </c>
      <c r="L1755" s="66">
        <f>SUM(I1755:K1755)</f>
        <v>31</v>
      </c>
      <c r="M1755" s="42"/>
    </row>
    <row r="1756" spans="2:13" ht="15.75" hidden="1" x14ac:dyDescent="0.2">
      <c r="B1756" s="10">
        <v>46222</v>
      </c>
      <c r="C1756" s="10" t="s">
        <v>12</v>
      </c>
      <c r="D1756" s="10" t="s">
        <v>13</v>
      </c>
      <c r="F1756" s="948">
        <v>46223</v>
      </c>
      <c r="G1756" s="29" t="s">
        <v>180</v>
      </c>
      <c r="H1756" s="29" t="s">
        <v>22</v>
      </c>
      <c r="I1756" s="42">
        <v>33</v>
      </c>
      <c r="J1756" s="42">
        <v>7</v>
      </c>
      <c r="K1756" s="381">
        <v>116</v>
      </c>
      <c r="L1756" s="66">
        <f t="shared" ref="L1756:L1758" si="428">SUM(I1756:K1756)</f>
        <v>156</v>
      </c>
      <c r="M1756" s="42"/>
    </row>
    <row r="1757" spans="2:13" ht="15.75" hidden="1" x14ac:dyDescent="0.2">
      <c r="B1757" s="10">
        <v>46222</v>
      </c>
      <c r="C1757" s="10" t="s">
        <v>12</v>
      </c>
      <c r="D1757" s="10" t="s">
        <v>13</v>
      </c>
      <c r="F1757" s="948"/>
      <c r="G1757" s="29" t="s">
        <v>16</v>
      </c>
      <c r="H1757" s="29" t="s">
        <v>83</v>
      </c>
      <c r="I1757" s="42">
        <v>12</v>
      </c>
      <c r="J1757" s="42">
        <v>4</v>
      </c>
      <c r="K1757" s="381">
        <v>19</v>
      </c>
      <c r="L1757" s="66">
        <v>0</v>
      </c>
      <c r="M1757" s="42"/>
    </row>
    <row r="1758" spans="2:13" ht="15.75" hidden="1" x14ac:dyDescent="0.2">
      <c r="B1758" s="10">
        <v>46222</v>
      </c>
      <c r="C1758" s="10" t="s">
        <v>12</v>
      </c>
      <c r="D1758" s="10" t="s">
        <v>13</v>
      </c>
      <c r="F1758" s="948"/>
      <c r="G1758" s="29" t="s">
        <v>118</v>
      </c>
      <c r="H1758" s="29" t="s">
        <v>27</v>
      </c>
      <c r="I1758" s="42">
        <v>107</v>
      </c>
      <c r="J1758" s="42">
        <v>22</v>
      </c>
      <c r="K1758" s="381">
        <v>0</v>
      </c>
      <c r="L1758" s="66">
        <f t="shared" si="428"/>
        <v>129</v>
      </c>
      <c r="M1758" s="42"/>
    </row>
    <row r="1759" spans="2:13" ht="15.75" hidden="1" x14ac:dyDescent="0.2">
      <c r="B1759" s="10">
        <v>46222</v>
      </c>
      <c r="C1759" s="10" t="s">
        <v>12</v>
      </c>
      <c r="D1759" s="10" t="s">
        <v>13</v>
      </c>
      <c r="F1759" s="937" t="s">
        <v>40</v>
      </c>
      <c r="G1759" s="937"/>
      <c r="H1759" s="937"/>
      <c r="I1759" s="8">
        <f>SUM(I1754:I1758)</f>
        <v>166</v>
      </c>
      <c r="J1759" s="8">
        <f t="shared" ref="J1759:K1759" si="429">SUM(J1754:J1758)</f>
        <v>53</v>
      </c>
      <c r="K1759" s="8">
        <f t="shared" si="429"/>
        <v>135</v>
      </c>
      <c r="L1759" s="8">
        <f>SUM(L1754:L1758)</f>
        <v>319</v>
      </c>
      <c r="M1759" s="316"/>
    </row>
    <row r="1760" spans="2:13" ht="15.75" hidden="1" x14ac:dyDescent="0.2">
      <c r="B1760" s="10">
        <v>46223</v>
      </c>
      <c r="C1760" s="10" t="s">
        <v>18</v>
      </c>
      <c r="D1760" s="10" t="s">
        <v>163</v>
      </c>
      <c r="F1760" s="939">
        <v>46222</v>
      </c>
      <c r="G1760" s="391" t="s">
        <v>84</v>
      </c>
      <c r="H1760" s="391" t="s">
        <v>27</v>
      </c>
      <c r="I1760" s="392">
        <v>35</v>
      </c>
      <c r="J1760" s="392">
        <v>2</v>
      </c>
      <c r="K1760" s="392">
        <v>0</v>
      </c>
      <c r="L1760" s="393">
        <v>3</v>
      </c>
      <c r="M1760" s="390"/>
    </row>
    <row r="1761" spans="2:13" ht="15.75" hidden="1" x14ac:dyDescent="0.2">
      <c r="B1761" s="10">
        <v>46223</v>
      </c>
      <c r="C1761" s="10" t="s">
        <v>18</v>
      </c>
      <c r="D1761" s="10" t="s">
        <v>163</v>
      </c>
      <c r="F1761" s="941"/>
      <c r="G1761" s="29" t="s">
        <v>16</v>
      </c>
      <c r="H1761" s="29" t="s">
        <v>83</v>
      </c>
      <c r="I1761" s="42">
        <f>85-77</f>
        <v>8</v>
      </c>
      <c r="J1761" s="42">
        <v>20</v>
      </c>
      <c r="K1761" s="381">
        <v>0</v>
      </c>
      <c r="L1761" s="66">
        <f>SUM(I1761:K1761)</f>
        <v>28</v>
      </c>
      <c r="M1761" s="42"/>
    </row>
    <row r="1762" spans="2:13" ht="15.75" hidden="1" x14ac:dyDescent="0.2">
      <c r="B1762" s="10">
        <v>46223</v>
      </c>
      <c r="C1762" s="10" t="s">
        <v>18</v>
      </c>
      <c r="D1762" s="10" t="s">
        <v>163</v>
      </c>
      <c r="F1762" s="948">
        <v>46223</v>
      </c>
      <c r="G1762" s="29" t="s">
        <v>180</v>
      </c>
      <c r="H1762" s="29" t="s">
        <v>22</v>
      </c>
      <c r="I1762" s="42">
        <v>180</v>
      </c>
      <c r="J1762" s="42">
        <v>27</v>
      </c>
      <c r="K1762" s="381">
        <v>0</v>
      </c>
      <c r="L1762" s="66">
        <f t="shared" ref="L1762:L1766" si="430">SUM(I1762:K1762)</f>
        <v>207</v>
      </c>
      <c r="M1762" s="42"/>
    </row>
    <row r="1763" spans="2:13" ht="15.75" hidden="1" x14ac:dyDescent="0.2">
      <c r="B1763" s="10">
        <v>46223</v>
      </c>
      <c r="C1763" s="10" t="s">
        <v>18</v>
      </c>
      <c r="D1763" s="10" t="s">
        <v>163</v>
      </c>
      <c r="F1763" s="948"/>
      <c r="G1763" s="29" t="s">
        <v>16</v>
      </c>
      <c r="H1763" s="29" t="s">
        <v>83</v>
      </c>
      <c r="I1763" s="42">
        <v>120</v>
      </c>
      <c r="J1763" s="42">
        <v>53</v>
      </c>
      <c r="K1763" s="381">
        <v>0</v>
      </c>
      <c r="L1763" s="66">
        <f t="shared" si="430"/>
        <v>173</v>
      </c>
      <c r="M1763" s="42"/>
    </row>
    <row r="1764" spans="2:13" ht="15.75" hidden="1" x14ac:dyDescent="0.2">
      <c r="B1764" s="10">
        <v>46223</v>
      </c>
      <c r="C1764" s="10" t="s">
        <v>18</v>
      </c>
      <c r="D1764" s="10" t="s">
        <v>163</v>
      </c>
      <c r="F1764" s="948"/>
      <c r="G1764" s="29" t="s">
        <v>120</v>
      </c>
      <c r="H1764" s="29" t="s">
        <v>15</v>
      </c>
      <c r="I1764" s="42">
        <v>0</v>
      </c>
      <c r="J1764" s="42">
        <v>0</v>
      </c>
      <c r="K1764" s="381">
        <v>26</v>
      </c>
      <c r="L1764" s="66">
        <f t="shared" si="430"/>
        <v>26</v>
      </c>
      <c r="M1764" s="42"/>
    </row>
    <row r="1765" spans="2:13" ht="15.75" hidden="1" x14ac:dyDescent="0.2">
      <c r="B1765" s="10">
        <v>46223</v>
      </c>
      <c r="C1765" s="10" t="s">
        <v>18</v>
      </c>
      <c r="D1765" s="10" t="s">
        <v>163</v>
      </c>
      <c r="F1765" s="948"/>
      <c r="G1765" s="29" t="s">
        <v>183</v>
      </c>
      <c r="H1765" s="29" t="s">
        <v>15</v>
      </c>
      <c r="I1765" s="42">
        <v>0</v>
      </c>
      <c r="J1765" s="42">
        <v>0</v>
      </c>
      <c r="K1765" s="381">
        <v>12</v>
      </c>
      <c r="L1765" s="66">
        <f t="shared" si="430"/>
        <v>12</v>
      </c>
      <c r="M1765" s="42"/>
    </row>
    <row r="1766" spans="2:13" ht="15.75" hidden="1" x14ac:dyDescent="0.2">
      <c r="B1766" s="10">
        <v>46223</v>
      </c>
      <c r="C1766" s="10" t="s">
        <v>18</v>
      </c>
      <c r="D1766" s="10" t="s">
        <v>163</v>
      </c>
      <c r="F1766" s="948"/>
      <c r="G1766" s="29" t="s">
        <v>118</v>
      </c>
      <c r="H1766" s="29" t="s">
        <v>27</v>
      </c>
      <c r="I1766" s="42">
        <v>0</v>
      </c>
      <c r="J1766" s="42">
        <v>22</v>
      </c>
      <c r="K1766" s="381">
        <v>0</v>
      </c>
      <c r="L1766" s="66">
        <f t="shared" si="430"/>
        <v>22</v>
      </c>
      <c r="M1766" s="42"/>
    </row>
    <row r="1767" spans="2:13" ht="15.75" hidden="1" x14ac:dyDescent="0.2">
      <c r="B1767" s="10">
        <v>46223</v>
      </c>
      <c r="C1767" s="10" t="s">
        <v>18</v>
      </c>
      <c r="D1767" s="10" t="s">
        <v>163</v>
      </c>
      <c r="F1767" s="937" t="s">
        <v>40</v>
      </c>
      <c r="G1767" s="937"/>
      <c r="H1767" s="937"/>
      <c r="I1767" s="8">
        <f>SUM(I1760:I1766)</f>
        <v>343</v>
      </c>
      <c r="J1767" s="8">
        <f t="shared" ref="J1767:K1767" si="431">SUM(J1760:J1766)</f>
        <v>124</v>
      </c>
      <c r="K1767" s="8">
        <f t="shared" si="431"/>
        <v>38</v>
      </c>
      <c r="L1767" s="8">
        <f>SUM(L1760:L1766)</f>
        <v>471</v>
      </c>
      <c r="M1767" s="316"/>
    </row>
    <row r="1768" spans="2:13" ht="15.75" hidden="1" x14ac:dyDescent="0.2">
      <c r="B1768" s="10">
        <v>46223</v>
      </c>
      <c r="C1768" s="10" t="s">
        <v>22</v>
      </c>
      <c r="D1768" s="10" t="s">
        <v>20</v>
      </c>
      <c r="F1768" s="948" t="s">
        <v>187</v>
      </c>
      <c r="G1768" s="29" t="s">
        <v>16</v>
      </c>
      <c r="H1768" s="29" t="s">
        <v>83</v>
      </c>
      <c r="I1768" s="42">
        <v>41</v>
      </c>
      <c r="J1768" s="42">
        <v>17</v>
      </c>
      <c r="K1768" s="381">
        <v>0</v>
      </c>
      <c r="L1768" s="66">
        <f t="shared" ref="L1768:L1770" si="432">SUM(I1768:K1768)</f>
        <v>58</v>
      </c>
      <c r="M1768" s="42"/>
    </row>
    <row r="1769" spans="2:13" ht="15.75" hidden="1" x14ac:dyDescent="0.2">
      <c r="B1769" s="10">
        <v>46223</v>
      </c>
      <c r="C1769" s="10" t="s">
        <v>22</v>
      </c>
      <c r="D1769" s="10" t="s">
        <v>20</v>
      </c>
      <c r="F1769" s="948"/>
      <c r="G1769" s="29" t="s">
        <v>120</v>
      </c>
      <c r="H1769" s="29" t="s">
        <v>15</v>
      </c>
      <c r="I1769" s="42">
        <v>2</v>
      </c>
      <c r="J1769" s="42">
        <v>0</v>
      </c>
      <c r="K1769" s="381">
        <v>0</v>
      </c>
      <c r="L1769" s="66">
        <f t="shared" si="432"/>
        <v>2</v>
      </c>
      <c r="M1769" s="42"/>
    </row>
    <row r="1770" spans="2:13" ht="15.75" hidden="1" x14ac:dyDescent="0.2">
      <c r="B1770" s="10">
        <v>46223</v>
      </c>
      <c r="C1770" s="10" t="s">
        <v>22</v>
      </c>
      <c r="D1770" s="10" t="s">
        <v>20</v>
      </c>
      <c r="F1770" s="948"/>
      <c r="G1770" s="29" t="s">
        <v>84</v>
      </c>
      <c r="H1770" s="29" t="s">
        <v>12</v>
      </c>
      <c r="I1770" s="42">
        <v>15</v>
      </c>
      <c r="J1770" s="42">
        <v>3</v>
      </c>
      <c r="K1770" s="381">
        <v>0</v>
      </c>
      <c r="L1770" s="66">
        <f t="shared" si="432"/>
        <v>18</v>
      </c>
      <c r="M1770" s="42"/>
    </row>
    <row r="1771" spans="2:13" ht="15.75" hidden="1" x14ac:dyDescent="0.2">
      <c r="B1771" s="10">
        <v>46223</v>
      </c>
      <c r="C1771" s="10" t="s">
        <v>22</v>
      </c>
      <c r="D1771" s="10" t="s">
        <v>20</v>
      </c>
      <c r="F1771" s="937" t="s">
        <v>40</v>
      </c>
      <c r="G1771" s="937"/>
      <c r="H1771" s="937"/>
      <c r="I1771" s="8">
        <f>SUM(I1766:I1770)</f>
        <v>401</v>
      </c>
      <c r="J1771" s="8">
        <f>SUM(J1766:J1770)</f>
        <v>166</v>
      </c>
      <c r="K1771" s="8">
        <f>SUM(K1766:K1770)</f>
        <v>38</v>
      </c>
      <c r="L1771" s="8">
        <f>SUM(L1768:L1770)</f>
        <v>78</v>
      </c>
      <c r="M1771" s="316"/>
    </row>
    <row r="1772" spans="2:13" ht="15.75" hidden="1" x14ac:dyDescent="0.2">
      <c r="B1772" s="10">
        <v>46223</v>
      </c>
      <c r="C1772" s="10" t="s">
        <v>12</v>
      </c>
      <c r="D1772" s="10" t="s">
        <v>13</v>
      </c>
      <c r="F1772" s="948" t="s">
        <v>187</v>
      </c>
      <c r="G1772" s="29" t="s">
        <v>16</v>
      </c>
      <c r="H1772" s="29" t="s">
        <v>15</v>
      </c>
      <c r="I1772" s="42">
        <v>85</v>
      </c>
      <c r="J1772" s="42">
        <v>15</v>
      </c>
      <c r="K1772" s="381">
        <v>47</v>
      </c>
      <c r="L1772" s="66">
        <f t="shared" ref="L1772:L1776" si="433">SUM(I1772:K1772)</f>
        <v>147</v>
      </c>
      <c r="M1772" s="42"/>
    </row>
    <row r="1773" spans="2:13" ht="15.75" hidden="1" x14ac:dyDescent="0.2">
      <c r="B1773" s="10">
        <v>46223</v>
      </c>
      <c r="C1773" s="10" t="s">
        <v>12</v>
      </c>
      <c r="D1773" s="10" t="s">
        <v>13</v>
      </c>
      <c r="F1773" s="948"/>
      <c r="G1773" s="29" t="s">
        <v>120</v>
      </c>
      <c r="H1773" s="29" t="s">
        <v>22</v>
      </c>
      <c r="I1773" s="42">
        <v>28</v>
      </c>
      <c r="J1773" s="42">
        <v>0</v>
      </c>
      <c r="K1773" s="381">
        <v>0</v>
      </c>
      <c r="L1773" s="66">
        <f t="shared" si="433"/>
        <v>28</v>
      </c>
      <c r="M1773" s="42"/>
    </row>
    <row r="1774" spans="2:13" ht="15.75" hidden="1" x14ac:dyDescent="0.2">
      <c r="B1774" s="10">
        <v>46223</v>
      </c>
      <c r="C1774" s="10" t="s">
        <v>12</v>
      </c>
      <c r="D1774" s="10" t="s">
        <v>13</v>
      </c>
      <c r="F1774" s="948"/>
      <c r="G1774" s="29" t="s">
        <v>84</v>
      </c>
      <c r="H1774" s="29" t="s">
        <v>12</v>
      </c>
      <c r="I1774" s="42">
        <v>80</v>
      </c>
      <c r="J1774" s="42">
        <v>7</v>
      </c>
      <c r="K1774" s="381">
        <v>0</v>
      </c>
      <c r="L1774" s="66">
        <f t="shared" si="433"/>
        <v>87</v>
      </c>
      <c r="M1774" s="42"/>
    </row>
    <row r="1775" spans="2:13" ht="15.75" hidden="1" x14ac:dyDescent="0.2">
      <c r="B1775" s="10">
        <v>46223</v>
      </c>
      <c r="C1775" s="10" t="s">
        <v>12</v>
      </c>
      <c r="D1775" s="10" t="s">
        <v>13</v>
      </c>
      <c r="F1775" s="948"/>
      <c r="G1775" s="29" t="s">
        <v>118</v>
      </c>
      <c r="H1775" s="29" t="s">
        <v>12</v>
      </c>
      <c r="I1775" s="42">
        <v>13</v>
      </c>
      <c r="J1775" s="42">
        <v>0</v>
      </c>
      <c r="K1775" s="381">
        <v>0</v>
      </c>
      <c r="L1775" s="66">
        <f t="shared" si="433"/>
        <v>13</v>
      </c>
      <c r="M1775" s="42"/>
    </row>
    <row r="1776" spans="2:13" ht="15.75" hidden="1" x14ac:dyDescent="0.2">
      <c r="B1776" s="10">
        <v>46223</v>
      </c>
      <c r="C1776" s="10" t="s">
        <v>12</v>
      </c>
      <c r="D1776" s="10" t="s">
        <v>13</v>
      </c>
      <c r="F1776" s="948"/>
      <c r="G1776" s="29" t="s">
        <v>183</v>
      </c>
      <c r="H1776" s="29" t="s">
        <v>12</v>
      </c>
      <c r="I1776" s="42">
        <v>46</v>
      </c>
      <c r="J1776" s="42">
        <v>1</v>
      </c>
      <c r="K1776" s="381">
        <v>0</v>
      </c>
      <c r="L1776" s="66">
        <f t="shared" si="433"/>
        <v>47</v>
      </c>
      <c r="M1776" s="42"/>
    </row>
    <row r="1777" spans="2:13" ht="15.75" hidden="1" x14ac:dyDescent="0.2">
      <c r="B1777" s="10">
        <v>46223</v>
      </c>
      <c r="C1777" s="10" t="s">
        <v>12</v>
      </c>
      <c r="D1777" s="10" t="s">
        <v>13</v>
      </c>
      <c r="F1777" s="937" t="s">
        <v>40</v>
      </c>
      <c r="G1777" s="937"/>
      <c r="H1777" s="937"/>
      <c r="I1777" s="8">
        <f>SUM(I1772:I1776)</f>
        <v>252</v>
      </c>
      <c r="J1777" s="8">
        <f t="shared" ref="J1777:K1777" si="434">SUM(J1772:J1776)</f>
        <v>23</v>
      </c>
      <c r="K1777" s="8">
        <f t="shared" si="434"/>
        <v>47</v>
      </c>
      <c r="L1777" s="8">
        <f>SUM(L1772:L1776)</f>
        <v>322</v>
      </c>
      <c r="M1777" s="316"/>
    </row>
    <row r="1778" spans="2:13" ht="15.75" hidden="1" x14ac:dyDescent="0.2">
      <c r="B1778" s="10">
        <v>46224</v>
      </c>
      <c r="C1778" s="10" t="s">
        <v>22</v>
      </c>
      <c r="D1778" s="10" t="s">
        <v>20</v>
      </c>
      <c r="F1778" s="939">
        <v>46224</v>
      </c>
      <c r="G1778" s="29" t="s">
        <v>16</v>
      </c>
      <c r="H1778" s="29" t="s">
        <v>15</v>
      </c>
      <c r="I1778" s="42">
        <v>116</v>
      </c>
      <c r="J1778" s="42">
        <v>50</v>
      </c>
      <c r="K1778" s="381">
        <v>0</v>
      </c>
      <c r="L1778" s="66">
        <f t="shared" ref="L1778:L1780" si="435">SUM(I1778:K1778)</f>
        <v>166</v>
      </c>
      <c r="M1778" s="42"/>
    </row>
    <row r="1779" spans="2:13" ht="15.75" hidden="1" x14ac:dyDescent="0.2">
      <c r="B1779" s="10">
        <v>46224</v>
      </c>
      <c r="C1779" s="10" t="s">
        <v>22</v>
      </c>
      <c r="D1779" s="10" t="s">
        <v>20</v>
      </c>
      <c r="F1779" s="941"/>
      <c r="G1779" s="29" t="s">
        <v>186</v>
      </c>
      <c r="H1779" s="29" t="s">
        <v>22</v>
      </c>
      <c r="I1779" s="42">
        <v>72</v>
      </c>
      <c r="J1779" s="42">
        <v>5</v>
      </c>
      <c r="K1779" s="381">
        <v>24</v>
      </c>
      <c r="L1779" s="66">
        <f t="shared" si="435"/>
        <v>101</v>
      </c>
      <c r="M1779" s="42"/>
    </row>
    <row r="1780" spans="2:13" ht="15.75" hidden="1" x14ac:dyDescent="0.2">
      <c r="B1780" s="10">
        <v>46224</v>
      </c>
      <c r="C1780" s="10" t="s">
        <v>22</v>
      </c>
      <c r="D1780" s="10" t="s">
        <v>20</v>
      </c>
      <c r="F1780" s="394">
        <v>46225</v>
      </c>
      <c r="G1780" s="29" t="s">
        <v>118</v>
      </c>
      <c r="H1780" s="29" t="s">
        <v>22</v>
      </c>
      <c r="I1780" s="42">
        <v>18</v>
      </c>
      <c r="J1780" s="42">
        <v>1</v>
      </c>
      <c r="K1780" s="381">
        <v>28</v>
      </c>
      <c r="L1780" s="66">
        <f t="shared" si="435"/>
        <v>47</v>
      </c>
      <c r="M1780" s="42"/>
    </row>
    <row r="1781" spans="2:13" ht="15.75" hidden="1" x14ac:dyDescent="0.2">
      <c r="B1781" s="10">
        <v>46224</v>
      </c>
      <c r="C1781" s="10" t="s">
        <v>22</v>
      </c>
      <c r="D1781" s="10" t="s">
        <v>20</v>
      </c>
      <c r="F1781" s="937" t="s">
        <v>40</v>
      </c>
      <c r="G1781" s="937"/>
      <c r="H1781" s="937"/>
      <c r="I1781" s="8">
        <f t="shared" ref="I1781:K1781" si="436">SUM(I1778:I1780)</f>
        <v>206</v>
      </c>
      <c r="J1781" s="8">
        <f t="shared" si="436"/>
        <v>56</v>
      </c>
      <c r="K1781" s="8">
        <f t="shared" si="436"/>
        <v>52</v>
      </c>
      <c r="L1781" s="8">
        <f>SUM(L1778:L1780)</f>
        <v>314</v>
      </c>
      <c r="M1781" s="316"/>
    </row>
    <row r="1782" spans="2:13" ht="15.75" hidden="1" x14ac:dyDescent="0.2">
      <c r="B1782" s="10">
        <v>46224</v>
      </c>
      <c r="C1782" s="10" t="s">
        <v>12</v>
      </c>
      <c r="D1782" s="10" t="s">
        <v>188</v>
      </c>
      <c r="F1782" s="939">
        <v>46224</v>
      </c>
      <c r="G1782" s="29" t="s">
        <v>16</v>
      </c>
      <c r="H1782" s="29" t="s">
        <v>15</v>
      </c>
      <c r="I1782" s="42">
        <v>49</v>
      </c>
      <c r="J1782" s="42">
        <v>10</v>
      </c>
      <c r="K1782" s="381">
        <v>0</v>
      </c>
      <c r="L1782" s="66">
        <f t="shared" ref="L1782:L1784" si="437">SUM(I1782:K1782)</f>
        <v>59</v>
      </c>
      <c r="M1782" s="42"/>
    </row>
    <row r="1783" spans="2:13" ht="15.75" hidden="1" x14ac:dyDescent="0.2">
      <c r="B1783" s="10">
        <v>46224</v>
      </c>
      <c r="C1783" s="10" t="s">
        <v>12</v>
      </c>
      <c r="D1783" s="10" t="s">
        <v>188</v>
      </c>
      <c r="F1783" s="940"/>
      <c r="G1783" s="29" t="s">
        <v>186</v>
      </c>
      <c r="H1783" s="29" t="s">
        <v>22</v>
      </c>
      <c r="I1783" s="42">
        <v>40</v>
      </c>
      <c r="J1783" s="42">
        <v>0</v>
      </c>
      <c r="K1783" s="381">
        <v>0</v>
      </c>
      <c r="L1783" s="66">
        <f t="shared" si="437"/>
        <v>40</v>
      </c>
      <c r="M1783" s="42"/>
    </row>
    <row r="1784" spans="2:13" ht="15.75" hidden="1" x14ac:dyDescent="0.2">
      <c r="B1784" s="10">
        <v>46224</v>
      </c>
      <c r="C1784" s="10" t="s">
        <v>12</v>
      </c>
      <c r="D1784" s="10" t="s">
        <v>188</v>
      </c>
      <c r="F1784" s="941"/>
      <c r="G1784" s="29" t="s">
        <v>118</v>
      </c>
      <c r="H1784" s="29" t="s">
        <v>12</v>
      </c>
      <c r="I1784" s="42">
        <v>107</v>
      </c>
      <c r="J1784" s="42">
        <v>24</v>
      </c>
      <c r="K1784" s="381">
        <v>3</v>
      </c>
      <c r="L1784" s="66">
        <f t="shared" si="437"/>
        <v>134</v>
      </c>
      <c r="M1784" s="42"/>
    </row>
    <row r="1785" spans="2:13" ht="15.75" hidden="1" x14ac:dyDescent="0.2">
      <c r="B1785" s="10">
        <v>46224</v>
      </c>
      <c r="C1785" s="10" t="s">
        <v>12</v>
      </c>
      <c r="D1785" s="10" t="s">
        <v>188</v>
      </c>
      <c r="F1785" s="937" t="s">
        <v>40</v>
      </c>
      <c r="G1785" s="937"/>
      <c r="H1785" s="937"/>
      <c r="I1785" s="8">
        <f t="shared" ref="I1785:K1785" si="438">SUM(I1782:I1784)</f>
        <v>196</v>
      </c>
      <c r="J1785" s="8">
        <f t="shared" si="438"/>
        <v>34</v>
      </c>
      <c r="K1785" s="8">
        <f t="shared" si="438"/>
        <v>3</v>
      </c>
      <c r="L1785" s="8">
        <f>SUM(L1782:L1784)</f>
        <v>233</v>
      </c>
      <c r="M1785" s="316"/>
    </row>
    <row r="1786" spans="2:13" ht="15.75" hidden="1" x14ac:dyDescent="0.2">
      <c r="B1786" s="10">
        <v>46225</v>
      </c>
      <c r="C1786" s="10" t="s">
        <v>22</v>
      </c>
      <c r="D1786" s="10" t="s">
        <v>20</v>
      </c>
      <c r="F1786" s="948">
        <v>46225</v>
      </c>
      <c r="G1786" s="29" t="s">
        <v>16</v>
      </c>
      <c r="H1786" s="29" t="s">
        <v>15</v>
      </c>
      <c r="I1786" s="42">
        <v>98</v>
      </c>
      <c r="J1786" s="42">
        <v>56</v>
      </c>
      <c r="K1786" s="381">
        <v>0</v>
      </c>
      <c r="L1786" s="66">
        <f t="shared" ref="L1786:L1788" si="439">SUM(I1786:K1786)</f>
        <v>154</v>
      </c>
      <c r="M1786" s="42"/>
    </row>
    <row r="1787" spans="2:13" ht="15.75" hidden="1" x14ac:dyDescent="0.2">
      <c r="B1787" s="10">
        <v>46225</v>
      </c>
      <c r="C1787" s="10" t="s">
        <v>22</v>
      </c>
      <c r="D1787" s="10" t="s">
        <v>20</v>
      </c>
      <c r="F1787" s="948"/>
      <c r="G1787" s="29" t="s">
        <v>186</v>
      </c>
      <c r="H1787" s="29" t="s">
        <v>22</v>
      </c>
      <c r="I1787" s="42">
        <v>12</v>
      </c>
      <c r="J1787" s="42">
        <v>3</v>
      </c>
      <c r="K1787" s="381">
        <v>0</v>
      </c>
      <c r="L1787" s="66">
        <f t="shared" si="439"/>
        <v>15</v>
      </c>
      <c r="M1787" s="42"/>
    </row>
    <row r="1788" spans="2:13" ht="15.75" hidden="1" x14ac:dyDescent="0.2">
      <c r="B1788" s="10">
        <v>46225</v>
      </c>
      <c r="C1788" s="10" t="s">
        <v>22</v>
      </c>
      <c r="D1788" s="10" t="s">
        <v>20</v>
      </c>
      <c r="F1788" s="948"/>
      <c r="G1788" s="29" t="s">
        <v>118</v>
      </c>
      <c r="H1788" s="29" t="s">
        <v>15</v>
      </c>
      <c r="I1788" s="42">
        <v>37</v>
      </c>
      <c r="J1788" s="42">
        <v>11</v>
      </c>
      <c r="K1788" s="381">
        <v>0</v>
      </c>
      <c r="L1788" s="66">
        <f t="shared" si="439"/>
        <v>48</v>
      </c>
      <c r="M1788" s="42"/>
    </row>
    <row r="1789" spans="2:13" ht="15.75" hidden="1" x14ac:dyDescent="0.2">
      <c r="B1789" s="10">
        <v>46225</v>
      </c>
      <c r="C1789" s="10" t="s">
        <v>22</v>
      </c>
      <c r="D1789" s="10" t="s">
        <v>20</v>
      </c>
      <c r="F1789" s="937" t="s">
        <v>40</v>
      </c>
      <c r="G1789" s="937"/>
      <c r="H1789" s="937"/>
      <c r="I1789" s="8">
        <f>SUM(I1784:I1788)</f>
        <v>450</v>
      </c>
      <c r="J1789" s="8">
        <f>SUM(J1784:J1788)</f>
        <v>128</v>
      </c>
      <c r="K1789" s="8">
        <f>SUM(K1784:K1788)</f>
        <v>6</v>
      </c>
      <c r="L1789" s="8">
        <f>SUM(L1786:L1788)</f>
        <v>217</v>
      </c>
      <c r="M1789" s="316"/>
    </row>
    <row r="1790" spans="2:13" ht="15.75" hidden="1" x14ac:dyDescent="0.2">
      <c r="B1790" s="10">
        <v>46225</v>
      </c>
      <c r="C1790" s="10" t="s">
        <v>12</v>
      </c>
      <c r="D1790" s="10" t="s">
        <v>188</v>
      </c>
      <c r="F1790" s="948">
        <v>46225</v>
      </c>
      <c r="G1790" s="29" t="s">
        <v>16</v>
      </c>
      <c r="H1790" s="29" t="s">
        <v>15</v>
      </c>
      <c r="I1790" s="42">
        <v>93</v>
      </c>
      <c r="J1790" s="42">
        <v>24</v>
      </c>
      <c r="K1790" s="381">
        <v>0</v>
      </c>
      <c r="L1790" s="66">
        <f t="shared" ref="L1790:L1793" si="440">SUM(I1790:K1790)</f>
        <v>117</v>
      </c>
      <c r="M1790" s="42"/>
    </row>
    <row r="1791" spans="2:13" ht="15.75" hidden="1" x14ac:dyDescent="0.2">
      <c r="B1791" s="10">
        <v>46225</v>
      </c>
      <c r="C1791" s="10" t="s">
        <v>12</v>
      </c>
      <c r="D1791" s="10" t="s">
        <v>188</v>
      </c>
      <c r="F1791" s="948"/>
      <c r="G1791" s="29" t="s">
        <v>186</v>
      </c>
      <c r="H1791" s="29" t="s">
        <v>22</v>
      </c>
      <c r="I1791" s="42">
        <v>0</v>
      </c>
      <c r="J1791" s="42">
        <v>0</v>
      </c>
      <c r="K1791" s="381">
        <v>29</v>
      </c>
      <c r="L1791" s="66">
        <f t="shared" si="440"/>
        <v>29</v>
      </c>
      <c r="M1791" s="42"/>
    </row>
    <row r="1792" spans="2:13" ht="15.75" hidden="1" x14ac:dyDescent="0.2">
      <c r="B1792" s="10">
        <v>46225</v>
      </c>
      <c r="C1792" s="10" t="s">
        <v>12</v>
      </c>
      <c r="D1792" s="10" t="s">
        <v>188</v>
      </c>
      <c r="F1792" s="948"/>
      <c r="G1792" s="29" t="s">
        <v>84</v>
      </c>
      <c r="H1792" s="29" t="s">
        <v>27</v>
      </c>
      <c r="I1792" s="42">
        <v>4</v>
      </c>
      <c r="J1792" s="42">
        <v>1</v>
      </c>
      <c r="K1792" s="381">
        <v>21</v>
      </c>
      <c r="L1792" s="66">
        <f t="shared" si="440"/>
        <v>26</v>
      </c>
      <c r="M1792" s="42"/>
    </row>
    <row r="1793" spans="2:13" ht="15.75" hidden="1" x14ac:dyDescent="0.2">
      <c r="B1793" s="10">
        <v>46225</v>
      </c>
      <c r="C1793" s="10" t="s">
        <v>12</v>
      </c>
      <c r="D1793" s="10" t="s">
        <v>188</v>
      </c>
      <c r="F1793" s="948"/>
      <c r="G1793" s="29" t="s">
        <v>118</v>
      </c>
      <c r="H1793" s="29" t="s">
        <v>15</v>
      </c>
      <c r="I1793" s="42">
        <v>9</v>
      </c>
      <c r="J1793" s="42">
        <v>0</v>
      </c>
      <c r="K1793" s="381">
        <v>0</v>
      </c>
      <c r="L1793" s="66">
        <f t="shared" si="440"/>
        <v>9</v>
      </c>
      <c r="M1793" s="42"/>
    </row>
    <row r="1794" spans="2:13" ht="15.75" hidden="1" x14ac:dyDescent="0.2">
      <c r="B1794" s="10">
        <v>46225</v>
      </c>
      <c r="C1794" s="10" t="s">
        <v>12</v>
      </c>
      <c r="D1794" s="10" t="s">
        <v>188</v>
      </c>
      <c r="F1794" s="937" t="s">
        <v>40</v>
      </c>
      <c r="G1794" s="937"/>
      <c r="H1794" s="937"/>
      <c r="I1794" s="8">
        <f>SUM(I1788:I1793)</f>
        <v>593</v>
      </c>
      <c r="J1794" s="8">
        <f>SUM(J1788:J1793)</f>
        <v>164</v>
      </c>
      <c r="K1794" s="8">
        <f>SUM(K1788:K1793)</f>
        <v>56</v>
      </c>
      <c r="L1794" s="8">
        <f>SUM(L1790:L1793)</f>
        <v>181</v>
      </c>
      <c r="M1794" s="316"/>
    </row>
    <row r="1795" spans="2:13" ht="15.75" hidden="1" x14ac:dyDescent="0.2">
      <c r="B1795" s="10">
        <v>46226</v>
      </c>
      <c r="C1795" s="10" t="s">
        <v>22</v>
      </c>
      <c r="D1795" s="10" t="s">
        <v>20</v>
      </c>
      <c r="F1795" s="948">
        <v>46226</v>
      </c>
      <c r="G1795" s="29" t="s">
        <v>16</v>
      </c>
      <c r="H1795" s="29" t="s">
        <v>83</v>
      </c>
      <c r="I1795" s="42">
        <v>90</v>
      </c>
      <c r="J1795" s="42">
        <v>78</v>
      </c>
      <c r="K1795" s="381">
        <v>0</v>
      </c>
      <c r="L1795" s="66">
        <f t="shared" ref="L1795:L1798" si="441">SUM(I1795:K1795)</f>
        <v>168</v>
      </c>
      <c r="M1795" s="42"/>
    </row>
    <row r="1796" spans="2:13" ht="15.75" hidden="1" x14ac:dyDescent="0.2">
      <c r="B1796" s="10">
        <v>46226</v>
      </c>
      <c r="C1796" s="10" t="s">
        <v>22</v>
      </c>
      <c r="D1796" s="10" t="s">
        <v>20</v>
      </c>
      <c r="F1796" s="948"/>
      <c r="G1796" s="29" t="s">
        <v>17</v>
      </c>
      <c r="H1796" s="29" t="s">
        <v>22</v>
      </c>
      <c r="I1796" s="42">
        <v>79</v>
      </c>
      <c r="J1796" s="42">
        <v>14</v>
      </c>
      <c r="K1796" s="381">
        <v>0</v>
      </c>
      <c r="L1796" s="66">
        <f t="shared" si="441"/>
        <v>93</v>
      </c>
      <c r="M1796" s="42"/>
    </row>
    <row r="1797" spans="2:13" ht="15.75" hidden="1" x14ac:dyDescent="0.2">
      <c r="B1797" s="10">
        <v>46226</v>
      </c>
      <c r="C1797" s="10" t="s">
        <v>22</v>
      </c>
      <c r="D1797" s="10" t="s">
        <v>20</v>
      </c>
      <c r="F1797" s="948"/>
      <c r="G1797" s="29" t="s">
        <v>186</v>
      </c>
      <c r="H1797" s="29" t="s">
        <v>22</v>
      </c>
      <c r="I1797" s="42">
        <v>4</v>
      </c>
      <c r="J1797" s="42">
        <v>1</v>
      </c>
      <c r="K1797" s="381">
        <v>0</v>
      </c>
      <c r="L1797" s="66">
        <f t="shared" si="441"/>
        <v>5</v>
      </c>
      <c r="M1797" s="42"/>
    </row>
    <row r="1798" spans="2:13" ht="15.75" hidden="1" x14ac:dyDescent="0.2">
      <c r="B1798" s="10">
        <v>46226</v>
      </c>
      <c r="C1798" s="10" t="s">
        <v>22</v>
      </c>
      <c r="D1798" s="10" t="s">
        <v>20</v>
      </c>
      <c r="F1798" s="948"/>
      <c r="G1798" s="29" t="s">
        <v>84</v>
      </c>
      <c r="H1798" s="29" t="s">
        <v>27</v>
      </c>
      <c r="I1798" s="42">
        <v>0</v>
      </c>
      <c r="J1798" s="42">
        <v>0</v>
      </c>
      <c r="K1798" s="381">
        <v>0</v>
      </c>
      <c r="L1798" s="66">
        <f t="shared" si="441"/>
        <v>0</v>
      </c>
      <c r="M1798" s="42"/>
    </row>
    <row r="1799" spans="2:13" ht="15.75" hidden="1" x14ac:dyDescent="0.2">
      <c r="B1799" s="10">
        <v>46226</v>
      </c>
      <c r="C1799" s="10" t="s">
        <v>22</v>
      </c>
      <c r="D1799" s="10" t="s">
        <v>20</v>
      </c>
      <c r="F1799" s="937" t="s">
        <v>40</v>
      </c>
      <c r="G1799" s="937"/>
      <c r="H1799" s="937"/>
      <c r="I1799" s="8">
        <f>SUM(I1795:I1798)</f>
        <v>173</v>
      </c>
      <c r="J1799" s="8">
        <f t="shared" ref="J1799:K1799" si="442">SUM(J1795:J1798)</f>
        <v>93</v>
      </c>
      <c r="K1799" s="8">
        <f t="shared" si="442"/>
        <v>0</v>
      </c>
      <c r="L1799" s="8">
        <f>SUM(L1795:L1798)</f>
        <v>266</v>
      </c>
      <c r="M1799" s="316"/>
    </row>
    <row r="1800" spans="2:13" ht="15.75" hidden="1" x14ac:dyDescent="0.2">
      <c r="B1800" s="10">
        <v>46226</v>
      </c>
      <c r="C1800" s="10" t="s">
        <v>12</v>
      </c>
      <c r="D1800" s="10" t="s">
        <v>13</v>
      </c>
      <c r="F1800" s="948">
        <v>46226</v>
      </c>
      <c r="G1800" s="29" t="s">
        <v>16</v>
      </c>
      <c r="H1800" s="29" t="s">
        <v>83</v>
      </c>
      <c r="I1800" s="42">
        <v>6</v>
      </c>
      <c r="J1800" s="42">
        <v>5</v>
      </c>
      <c r="K1800" s="381">
        <v>0</v>
      </c>
      <c r="L1800" s="66">
        <f t="shared" ref="L1800:L1803" si="443">SUM(I1800:K1800)</f>
        <v>11</v>
      </c>
      <c r="M1800" s="42"/>
    </row>
    <row r="1801" spans="2:13" ht="15.75" hidden="1" x14ac:dyDescent="0.2">
      <c r="B1801" s="10">
        <v>46226</v>
      </c>
      <c r="C1801" s="10" t="s">
        <v>12</v>
      </c>
      <c r="D1801" s="10" t="s">
        <v>13</v>
      </c>
      <c r="F1801" s="948"/>
      <c r="G1801" s="29" t="s">
        <v>17</v>
      </c>
      <c r="H1801" s="29" t="s">
        <v>22</v>
      </c>
      <c r="I1801" s="42">
        <v>3</v>
      </c>
      <c r="J1801" s="42">
        <v>0</v>
      </c>
      <c r="K1801" s="381">
        <v>0</v>
      </c>
      <c r="L1801" s="66">
        <f t="shared" si="443"/>
        <v>3</v>
      </c>
      <c r="M1801" s="42"/>
    </row>
    <row r="1802" spans="2:13" ht="15.75" hidden="1" x14ac:dyDescent="0.2">
      <c r="B1802" s="10">
        <v>46226</v>
      </c>
      <c r="C1802" s="10" t="s">
        <v>12</v>
      </c>
      <c r="D1802" s="10" t="s">
        <v>13</v>
      </c>
      <c r="F1802" s="948"/>
      <c r="G1802" s="29" t="s">
        <v>118</v>
      </c>
      <c r="H1802" s="29" t="s">
        <v>12</v>
      </c>
      <c r="I1802" s="42">
        <v>16</v>
      </c>
      <c r="J1802" s="42">
        <v>4</v>
      </c>
      <c r="K1802" s="381">
        <v>0</v>
      </c>
      <c r="L1802" s="66">
        <f t="shared" si="443"/>
        <v>20</v>
      </c>
      <c r="M1802" s="42"/>
    </row>
    <row r="1803" spans="2:13" ht="15.75" hidden="1" x14ac:dyDescent="0.2">
      <c r="B1803" s="10">
        <v>46226</v>
      </c>
      <c r="C1803" s="10" t="s">
        <v>12</v>
      </c>
      <c r="D1803" s="10" t="s">
        <v>13</v>
      </c>
      <c r="F1803" s="948"/>
      <c r="G1803" s="29" t="s">
        <v>84</v>
      </c>
      <c r="H1803" s="29" t="s">
        <v>27</v>
      </c>
      <c r="I1803" s="42">
        <v>81</v>
      </c>
      <c r="J1803" s="42">
        <v>30</v>
      </c>
      <c r="K1803" s="381">
        <v>0</v>
      </c>
      <c r="L1803" s="66">
        <f t="shared" si="443"/>
        <v>111</v>
      </c>
      <c r="M1803" s="42"/>
    </row>
    <row r="1804" spans="2:13" ht="15.75" hidden="1" x14ac:dyDescent="0.2">
      <c r="B1804" s="10">
        <v>46226</v>
      </c>
      <c r="C1804" s="10" t="s">
        <v>12</v>
      </c>
      <c r="D1804" s="10" t="s">
        <v>13</v>
      </c>
      <c r="F1804" s="937" t="s">
        <v>40</v>
      </c>
      <c r="G1804" s="937"/>
      <c r="H1804" s="937"/>
      <c r="I1804" s="8">
        <f>SUM(I1800:I1803)</f>
        <v>106</v>
      </c>
      <c r="J1804" s="8">
        <f t="shared" ref="J1804:K1804" si="444">SUM(J1800:J1803)</f>
        <v>39</v>
      </c>
      <c r="K1804" s="8">
        <f t="shared" si="444"/>
        <v>0</v>
      </c>
      <c r="L1804" s="8">
        <f>SUM(L1800:L1803)</f>
        <v>145</v>
      </c>
      <c r="M1804" s="316"/>
    </row>
    <row r="1805" spans="2:13" ht="15.75" hidden="1" x14ac:dyDescent="0.2">
      <c r="B1805" s="10">
        <v>46226</v>
      </c>
      <c r="C1805" s="10" t="s">
        <v>18</v>
      </c>
      <c r="D1805" s="10" t="s">
        <v>163</v>
      </c>
      <c r="F1805" s="948">
        <v>46226</v>
      </c>
      <c r="G1805" s="29" t="s">
        <v>16</v>
      </c>
      <c r="H1805" s="29" t="s">
        <v>83</v>
      </c>
      <c r="I1805" s="42">
        <v>73</v>
      </c>
      <c r="J1805" s="42">
        <v>37</v>
      </c>
      <c r="K1805" s="381">
        <v>0</v>
      </c>
      <c r="L1805" s="66">
        <f t="shared" ref="L1805:L1808" si="445">SUM(I1805:K1805)</f>
        <v>110</v>
      </c>
      <c r="M1805" s="42"/>
    </row>
    <row r="1806" spans="2:13" ht="15.75" hidden="1" x14ac:dyDescent="0.2">
      <c r="B1806" s="10">
        <v>46226</v>
      </c>
      <c r="C1806" s="10" t="s">
        <v>18</v>
      </c>
      <c r="D1806" s="10" t="s">
        <v>163</v>
      </c>
      <c r="F1806" s="948"/>
      <c r="G1806" s="29" t="s">
        <v>84</v>
      </c>
      <c r="H1806" s="29" t="s">
        <v>27</v>
      </c>
      <c r="I1806" s="42">
        <v>14</v>
      </c>
      <c r="J1806" s="42">
        <v>1</v>
      </c>
      <c r="K1806" s="381">
        <v>0</v>
      </c>
      <c r="L1806" s="66">
        <f t="shared" si="445"/>
        <v>15</v>
      </c>
      <c r="M1806" s="42"/>
    </row>
    <row r="1807" spans="2:13" ht="15.75" hidden="1" x14ac:dyDescent="0.2">
      <c r="B1807" s="10">
        <v>46226</v>
      </c>
      <c r="C1807" s="10" t="s">
        <v>18</v>
      </c>
      <c r="D1807" s="10" t="s">
        <v>163</v>
      </c>
      <c r="F1807" s="948"/>
      <c r="G1807" s="29" t="s">
        <v>120</v>
      </c>
      <c r="H1807" s="29" t="s">
        <v>22</v>
      </c>
      <c r="I1807" s="42">
        <v>0</v>
      </c>
      <c r="J1807" s="42">
        <v>0</v>
      </c>
      <c r="K1807" s="381">
        <v>20</v>
      </c>
      <c r="L1807" s="66">
        <f t="shared" si="445"/>
        <v>20</v>
      </c>
      <c r="M1807" s="42"/>
    </row>
    <row r="1808" spans="2:13" ht="15.75" hidden="1" x14ac:dyDescent="0.2">
      <c r="B1808" s="10">
        <v>46226</v>
      </c>
      <c r="C1808" s="10" t="s">
        <v>18</v>
      </c>
      <c r="D1808" s="10" t="s">
        <v>163</v>
      </c>
      <c r="F1808" s="948"/>
      <c r="G1808" s="29" t="s">
        <v>180</v>
      </c>
      <c r="H1808" s="29" t="s">
        <v>22</v>
      </c>
      <c r="I1808" s="42">
        <v>77</v>
      </c>
      <c r="J1808" s="42">
        <v>0</v>
      </c>
      <c r="K1808" s="381">
        <v>63</v>
      </c>
      <c r="L1808" s="66">
        <f t="shared" si="445"/>
        <v>140</v>
      </c>
      <c r="M1808" s="42"/>
    </row>
    <row r="1809" spans="2:13" ht="15.75" hidden="1" x14ac:dyDescent="0.2">
      <c r="B1809" s="10">
        <v>46226</v>
      </c>
      <c r="C1809" s="10" t="s">
        <v>18</v>
      </c>
      <c r="D1809" s="10" t="s">
        <v>163</v>
      </c>
      <c r="F1809" s="937" t="s">
        <v>40</v>
      </c>
      <c r="G1809" s="937"/>
      <c r="H1809" s="937"/>
      <c r="I1809" s="8">
        <f>SUM(I1805:I1808)</f>
        <v>164</v>
      </c>
      <c r="J1809" s="8">
        <f t="shared" ref="J1809:K1809" si="446">SUM(J1805:J1808)</f>
        <v>38</v>
      </c>
      <c r="K1809" s="8">
        <f t="shared" si="446"/>
        <v>83</v>
      </c>
      <c r="L1809" s="8">
        <f>SUM(L1805:L1808)</f>
        <v>285</v>
      </c>
      <c r="M1809" s="316"/>
    </row>
    <row r="1810" spans="2:13" ht="15.75" hidden="1" x14ac:dyDescent="0.2">
      <c r="B1810" s="10">
        <v>46226</v>
      </c>
      <c r="C1810" s="10" t="s">
        <v>22</v>
      </c>
      <c r="D1810" s="10" t="s">
        <v>20</v>
      </c>
      <c r="F1810" s="948">
        <v>46227</v>
      </c>
      <c r="G1810" s="29" t="s">
        <v>16</v>
      </c>
      <c r="H1810" s="29" t="s">
        <v>83</v>
      </c>
      <c r="I1810" s="42">
        <v>69</v>
      </c>
      <c r="J1810" s="42">
        <v>68</v>
      </c>
      <c r="K1810" s="381">
        <v>0</v>
      </c>
      <c r="L1810" s="66">
        <f t="shared" ref="L1810:L1813" si="447">SUM(I1810:K1810)</f>
        <v>137</v>
      </c>
      <c r="M1810" s="42"/>
    </row>
    <row r="1811" spans="2:13" ht="15.75" hidden="1" x14ac:dyDescent="0.2">
      <c r="B1811" s="10">
        <v>46226</v>
      </c>
      <c r="C1811" s="10" t="s">
        <v>22</v>
      </c>
      <c r="D1811" s="10" t="s">
        <v>20</v>
      </c>
      <c r="F1811" s="948"/>
      <c r="G1811" s="29" t="s">
        <v>17</v>
      </c>
      <c r="H1811" s="29" t="s">
        <v>22</v>
      </c>
      <c r="I1811" s="42">
        <v>63</v>
      </c>
      <c r="J1811" s="42">
        <v>14</v>
      </c>
      <c r="K1811" s="381">
        <v>16</v>
      </c>
      <c r="L1811" s="66">
        <f t="shared" si="447"/>
        <v>93</v>
      </c>
      <c r="M1811" s="42"/>
    </row>
    <row r="1812" spans="2:13" ht="15.75" hidden="1" x14ac:dyDescent="0.2">
      <c r="B1812" s="10">
        <v>46226</v>
      </c>
      <c r="C1812" s="10" t="s">
        <v>22</v>
      </c>
      <c r="D1812" s="10" t="s">
        <v>20</v>
      </c>
      <c r="F1812" s="948"/>
      <c r="G1812" s="29" t="s">
        <v>148</v>
      </c>
      <c r="H1812" s="29" t="s">
        <v>22</v>
      </c>
      <c r="I1812" s="42">
        <v>20</v>
      </c>
      <c r="J1812" s="42">
        <v>0</v>
      </c>
      <c r="K1812" s="381">
        <v>0</v>
      </c>
      <c r="L1812" s="66">
        <f t="shared" si="447"/>
        <v>20</v>
      </c>
      <c r="M1812" s="42"/>
    </row>
    <row r="1813" spans="2:13" ht="15.75" hidden="1" x14ac:dyDescent="0.2">
      <c r="B1813" s="10">
        <v>46226</v>
      </c>
      <c r="C1813" s="10" t="s">
        <v>22</v>
      </c>
      <c r="D1813" s="10" t="s">
        <v>20</v>
      </c>
      <c r="F1813" s="948"/>
      <c r="G1813" s="29" t="s">
        <v>180</v>
      </c>
      <c r="H1813" s="29" t="s">
        <v>22</v>
      </c>
      <c r="I1813" s="42">
        <v>99</v>
      </c>
      <c r="J1813" s="42">
        <v>0</v>
      </c>
      <c r="K1813" s="381">
        <v>0</v>
      </c>
      <c r="L1813" s="66">
        <f t="shared" si="447"/>
        <v>99</v>
      </c>
      <c r="M1813" s="42"/>
    </row>
    <row r="1814" spans="2:13" ht="15.75" hidden="1" x14ac:dyDescent="0.2">
      <c r="B1814" s="10">
        <v>46226</v>
      </c>
      <c r="C1814" s="10" t="s">
        <v>22</v>
      </c>
      <c r="D1814" s="10" t="s">
        <v>20</v>
      </c>
      <c r="F1814" s="937" t="s">
        <v>40</v>
      </c>
      <c r="G1814" s="937"/>
      <c r="H1814" s="937"/>
      <c r="I1814" s="8">
        <f>SUM(I1810:I1813)</f>
        <v>251</v>
      </c>
      <c r="J1814" s="8">
        <f>SUM(J1810:J1813)</f>
        <v>82</v>
      </c>
      <c r="K1814" s="8">
        <f>SUM(K1810:K1813)</f>
        <v>16</v>
      </c>
      <c r="L1814" s="8">
        <f>SUM(L1810:L1813)</f>
        <v>349</v>
      </c>
      <c r="M1814" s="316"/>
    </row>
    <row r="1815" spans="2:13" ht="15.75" hidden="1" x14ac:dyDescent="0.2">
      <c r="B1815" s="10">
        <v>46226</v>
      </c>
      <c r="C1815" s="10" t="s">
        <v>12</v>
      </c>
      <c r="D1815" s="10" t="s">
        <v>13</v>
      </c>
      <c r="F1815" s="948">
        <v>46227</v>
      </c>
      <c r="G1815" s="29" t="s">
        <v>16</v>
      </c>
      <c r="H1815" s="29" t="s">
        <v>83</v>
      </c>
      <c r="I1815" s="42">
        <v>36</v>
      </c>
      <c r="J1815" s="42">
        <v>24</v>
      </c>
      <c r="K1815" s="381">
        <v>0</v>
      </c>
      <c r="L1815" s="66">
        <f t="shared" ref="L1815:L1818" si="448">SUM(I1815:K1815)</f>
        <v>60</v>
      </c>
      <c r="M1815" s="42"/>
    </row>
    <row r="1816" spans="2:13" ht="15.75" hidden="1" x14ac:dyDescent="0.2">
      <c r="B1816" s="10">
        <v>46226</v>
      </c>
      <c r="C1816" s="10" t="s">
        <v>12</v>
      </c>
      <c r="D1816" s="10" t="s">
        <v>13</v>
      </c>
      <c r="F1816" s="948"/>
      <c r="G1816" s="29" t="s">
        <v>17</v>
      </c>
      <c r="H1816" s="29" t="s">
        <v>22</v>
      </c>
      <c r="I1816" s="42">
        <v>9</v>
      </c>
      <c r="J1816" s="42">
        <v>0</v>
      </c>
      <c r="K1816" s="381">
        <v>0</v>
      </c>
      <c r="L1816" s="66">
        <f t="shared" si="448"/>
        <v>9</v>
      </c>
      <c r="M1816" s="42"/>
    </row>
    <row r="1817" spans="2:13" ht="15.75" hidden="1" x14ac:dyDescent="0.2">
      <c r="B1817" s="10">
        <v>46226</v>
      </c>
      <c r="C1817" s="10" t="s">
        <v>12</v>
      </c>
      <c r="D1817" s="10" t="s">
        <v>13</v>
      </c>
      <c r="F1817" s="948"/>
      <c r="G1817" s="29" t="s">
        <v>84</v>
      </c>
      <c r="H1817" s="29" t="s">
        <v>27</v>
      </c>
      <c r="I1817" s="42">
        <v>0</v>
      </c>
      <c r="J1817" s="42">
        <v>6</v>
      </c>
      <c r="K1817" s="381">
        <v>0</v>
      </c>
      <c r="L1817" s="66">
        <f t="shared" si="448"/>
        <v>6</v>
      </c>
      <c r="M1817" s="42"/>
    </row>
    <row r="1818" spans="2:13" ht="15.75" hidden="1" x14ac:dyDescent="0.2">
      <c r="B1818" s="10">
        <v>46226</v>
      </c>
      <c r="C1818" s="10" t="s">
        <v>12</v>
      </c>
      <c r="D1818" s="10" t="s">
        <v>13</v>
      </c>
      <c r="F1818" s="948"/>
      <c r="G1818" s="29" t="s">
        <v>118</v>
      </c>
      <c r="H1818" s="29" t="s">
        <v>12</v>
      </c>
      <c r="I1818" s="42">
        <v>106</v>
      </c>
      <c r="J1818" s="42">
        <v>22</v>
      </c>
      <c r="K1818" s="381">
        <v>0</v>
      </c>
      <c r="L1818" s="66">
        <f t="shared" si="448"/>
        <v>128</v>
      </c>
      <c r="M1818" s="42"/>
    </row>
    <row r="1819" spans="2:13" ht="15.75" hidden="1" x14ac:dyDescent="0.2">
      <c r="B1819" s="10">
        <v>46226</v>
      </c>
      <c r="C1819" s="10" t="s">
        <v>12</v>
      </c>
      <c r="D1819" s="10" t="s">
        <v>13</v>
      </c>
      <c r="F1819" s="937" t="s">
        <v>40</v>
      </c>
      <c r="G1819" s="937"/>
      <c r="H1819" s="937"/>
      <c r="I1819" s="8">
        <f>SUM(I1815:I1818)</f>
        <v>151</v>
      </c>
      <c r="J1819" s="8">
        <f>SUM(J1815:J1818)</f>
        <v>52</v>
      </c>
      <c r="K1819" s="8">
        <f>SUM(K1815:K1818)</f>
        <v>0</v>
      </c>
      <c r="L1819" s="8">
        <f>SUM(L1815:L1818)</f>
        <v>203</v>
      </c>
      <c r="M1819" s="316"/>
    </row>
    <row r="1820" spans="2:13" ht="15.75" hidden="1" x14ac:dyDescent="0.2">
      <c r="B1820" s="10">
        <v>46227</v>
      </c>
      <c r="C1820" s="10" t="s">
        <v>18</v>
      </c>
      <c r="D1820" s="10" t="s">
        <v>163</v>
      </c>
      <c r="F1820" s="948">
        <v>46227</v>
      </c>
      <c r="G1820" s="29" t="s">
        <v>16</v>
      </c>
      <c r="H1820" s="29" t="s">
        <v>15</v>
      </c>
      <c r="I1820" s="42">
        <v>85</v>
      </c>
      <c r="J1820" s="42">
        <v>55</v>
      </c>
      <c r="K1820" s="381">
        <v>0</v>
      </c>
      <c r="L1820" s="66">
        <f t="shared" ref="L1820:L1822" si="449">SUM(I1820:K1820)</f>
        <v>140</v>
      </c>
      <c r="M1820" s="42"/>
    </row>
    <row r="1821" spans="2:13" ht="15.75" hidden="1" x14ac:dyDescent="0.2">
      <c r="B1821" s="10">
        <v>46227</v>
      </c>
      <c r="C1821" s="10" t="s">
        <v>18</v>
      </c>
      <c r="D1821" s="10" t="s">
        <v>163</v>
      </c>
      <c r="F1821" s="948"/>
      <c r="G1821" s="29" t="s">
        <v>84</v>
      </c>
      <c r="H1821" s="29" t="s">
        <v>27</v>
      </c>
      <c r="I1821" s="42">
        <v>7</v>
      </c>
      <c r="J1821" s="42">
        <v>3</v>
      </c>
      <c r="K1821" s="381">
        <v>0</v>
      </c>
      <c r="L1821" s="66">
        <f t="shared" si="449"/>
        <v>10</v>
      </c>
      <c r="M1821" s="42"/>
    </row>
    <row r="1822" spans="2:13" ht="15.75" hidden="1" x14ac:dyDescent="0.2">
      <c r="B1822" s="10">
        <v>46227</v>
      </c>
      <c r="C1822" s="10" t="s">
        <v>18</v>
      </c>
      <c r="D1822" s="10" t="s">
        <v>163</v>
      </c>
      <c r="F1822" s="948"/>
      <c r="G1822" s="29" t="s">
        <v>180</v>
      </c>
      <c r="H1822" s="29" t="s">
        <v>22</v>
      </c>
      <c r="I1822" s="42">
        <v>0</v>
      </c>
      <c r="J1822" s="42">
        <v>0</v>
      </c>
      <c r="K1822" s="381">
        <v>41</v>
      </c>
      <c r="L1822" s="66">
        <f t="shared" si="449"/>
        <v>41</v>
      </c>
      <c r="M1822" s="42"/>
    </row>
    <row r="1823" spans="2:13" ht="15.75" hidden="1" x14ac:dyDescent="0.2">
      <c r="B1823" s="10">
        <v>46227</v>
      </c>
      <c r="C1823" s="10" t="s">
        <v>18</v>
      </c>
      <c r="D1823" s="10" t="s">
        <v>163</v>
      </c>
      <c r="F1823" s="937" t="s">
        <v>40</v>
      </c>
      <c r="G1823" s="937"/>
      <c r="H1823" s="937"/>
      <c r="I1823" s="8">
        <f>SUM(I1820:I1822)</f>
        <v>92</v>
      </c>
      <c r="J1823" s="8">
        <f>SUM(J1820:J1822)</f>
        <v>58</v>
      </c>
      <c r="K1823" s="8">
        <f>SUM(K1820:K1822)</f>
        <v>41</v>
      </c>
      <c r="L1823" s="8">
        <f>SUM(L1820:L1822)</f>
        <v>191</v>
      </c>
      <c r="M1823" s="316"/>
    </row>
    <row r="1824" spans="2:13" ht="15.75" hidden="1" x14ac:dyDescent="0.2">
      <c r="B1824" s="10">
        <v>46228</v>
      </c>
      <c r="C1824" s="10" t="s">
        <v>22</v>
      </c>
      <c r="D1824" s="10" t="s">
        <v>20</v>
      </c>
      <c r="F1824" s="948">
        <v>46228</v>
      </c>
      <c r="G1824" s="29" t="s">
        <v>16</v>
      </c>
      <c r="H1824" s="29" t="s">
        <v>15</v>
      </c>
      <c r="I1824" s="42">
        <v>67</v>
      </c>
      <c r="J1824" s="42">
        <v>66</v>
      </c>
      <c r="K1824" s="381">
        <v>0</v>
      </c>
      <c r="L1824" s="66">
        <f t="shared" ref="L1824:L1827" si="450">SUM(I1824:K1824)</f>
        <v>133</v>
      </c>
      <c r="M1824" s="42"/>
    </row>
    <row r="1825" spans="2:13" ht="15.75" hidden="1" x14ac:dyDescent="0.2">
      <c r="B1825" s="10">
        <v>46228</v>
      </c>
      <c r="C1825" s="10" t="s">
        <v>22</v>
      </c>
      <c r="D1825" s="10" t="s">
        <v>20</v>
      </c>
      <c r="F1825" s="948"/>
      <c r="G1825" s="29" t="s">
        <v>17</v>
      </c>
      <c r="H1825" s="29" t="s">
        <v>22</v>
      </c>
      <c r="I1825" s="42">
        <v>77</v>
      </c>
      <c r="J1825" s="42">
        <v>12</v>
      </c>
      <c r="K1825" s="381">
        <v>1</v>
      </c>
      <c r="L1825" s="66">
        <f t="shared" si="450"/>
        <v>90</v>
      </c>
      <c r="M1825" s="42"/>
    </row>
    <row r="1826" spans="2:13" ht="15.75" hidden="1" x14ac:dyDescent="0.2">
      <c r="B1826" s="10">
        <v>46228</v>
      </c>
      <c r="C1826" s="10" t="s">
        <v>22</v>
      </c>
      <c r="D1826" s="10" t="s">
        <v>20</v>
      </c>
      <c r="F1826" s="948"/>
      <c r="G1826" s="29" t="s">
        <v>180</v>
      </c>
      <c r="H1826" s="29" t="s">
        <v>22</v>
      </c>
      <c r="I1826" s="42">
        <v>37</v>
      </c>
      <c r="J1826" s="42">
        <v>17</v>
      </c>
      <c r="K1826" s="381">
        <v>0</v>
      </c>
      <c r="L1826" s="66">
        <f t="shared" si="450"/>
        <v>54</v>
      </c>
      <c r="M1826" s="42"/>
    </row>
    <row r="1827" spans="2:13" ht="15.75" hidden="1" x14ac:dyDescent="0.2">
      <c r="B1827" s="10">
        <v>46228</v>
      </c>
      <c r="C1827" s="10" t="s">
        <v>22</v>
      </c>
      <c r="D1827" s="10" t="s">
        <v>20</v>
      </c>
      <c r="F1827" s="948"/>
      <c r="G1827" s="29" t="s">
        <v>118</v>
      </c>
      <c r="H1827" s="29" t="s">
        <v>12</v>
      </c>
      <c r="I1827" s="42">
        <v>13</v>
      </c>
      <c r="J1827" s="42">
        <v>1</v>
      </c>
      <c r="K1827" s="381">
        <v>0</v>
      </c>
      <c r="L1827" s="66">
        <f t="shared" si="450"/>
        <v>14</v>
      </c>
      <c r="M1827" s="42"/>
    </row>
    <row r="1828" spans="2:13" ht="15.75" hidden="1" x14ac:dyDescent="0.2">
      <c r="B1828" s="10">
        <v>46228</v>
      </c>
      <c r="C1828" s="10" t="s">
        <v>22</v>
      </c>
      <c r="D1828" s="10" t="s">
        <v>20</v>
      </c>
      <c r="F1828" s="937" t="s">
        <v>40</v>
      </c>
      <c r="G1828" s="937"/>
      <c r="H1828" s="937"/>
      <c r="I1828" s="8">
        <f>SUM(I1824:I1827)</f>
        <v>194</v>
      </c>
      <c r="J1828" s="8">
        <f>SUM(J1824:J1827)</f>
        <v>96</v>
      </c>
      <c r="K1828" s="8">
        <f>SUM(K1824:K1827)</f>
        <v>1</v>
      </c>
      <c r="L1828" s="8">
        <f>SUM(L1824:L1827)</f>
        <v>291</v>
      </c>
      <c r="M1828" s="316"/>
    </row>
    <row r="1829" spans="2:13" ht="15.75" hidden="1" x14ac:dyDescent="0.2">
      <c r="B1829" s="10">
        <v>46228</v>
      </c>
      <c r="C1829" s="10" t="s">
        <v>12</v>
      </c>
      <c r="D1829" s="10" t="s">
        <v>13</v>
      </c>
      <c r="F1829" s="948">
        <v>46228</v>
      </c>
      <c r="G1829" s="29" t="s">
        <v>16</v>
      </c>
      <c r="H1829" s="29" t="s">
        <v>15</v>
      </c>
      <c r="I1829" s="42">
        <v>7</v>
      </c>
      <c r="J1829" s="42">
        <v>24</v>
      </c>
      <c r="K1829" s="381">
        <v>0</v>
      </c>
      <c r="L1829" s="66">
        <f t="shared" ref="L1829:L1833" si="451">SUM(I1829:K1829)</f>
        <v>31</v>
      </c>
      <c r="M1829" s="42"/>
    </row>
    <row r="1830" spans="2:13" ht="15.75" hidden="1" x14ac:dyDescent="0.2">
      <c r="B1830" s="10">
        <v>46228</v>
      </c>
      <c r="C1830" s="10" t="s">
        <v>12</v>
      </c>
      <c r="D1830" s="10" t="s">
        <v>13</v>
      </c>
      <c r="F1830" s="948"/>
      <c r="G1830" s="29" t="s">
        <v>17</v>
      </c>
      <c r="H1830" s="29" t="s">
        <v>22</v>
      </c>
      <c r="I1830" s="42">
        <v>0</v>
      </c>
      <c r="J1830" s="42">
        <v>3</v>
      </c>
      <c r="K1830" s="381">
        <v>0</v>
      </c>
      <c r="L1830" s="66">
        <f t="shared" si="451"/>
        <v>3</v>
      </c>
      <c r="M1830" s="42"/>
    </row>
    <row r="1831" spans="2:13" ht="15.75" hidden="1" x14ac:dyDescent="0.2">
      <c r="B1831" s="10">
        <v>46228</v>
      </c>
      <c r="C1831" s="10" t="s">
        <v>12</v>
      </c>
      <c r="D1831" s="10" t="s">
        <v>13</v>
      </c>
      <c r="F1831" s="948"/>
      <c r="G1831" s="29" t="s">
        <v>84</v>
      </c>
      <c r="H1831" s="29" t="s">
        <v>12</v>
      </c>
      <c r="I1831" s="42">
        <v>12</v>
      </c>
      <c r="J1831" s="42">
        <v>11</v>
      </c>
      <c r="K1831" s="381">
        <v>0</v>
      </c>
      <c r="L1831" s="66">
        <f t="shared" si="451"/>
        <v>23</v>
      </c>
      <c r="M1831" s="42"/>
    </row>
    <row r="1832" spans="2:13" ht="15.75" hidden="1" x14ac:dyDescent="0.2">
      <c r="B1832" s="10">
        <v>46228</v>
      </c>
      <c r="C1832" s="10" t="s">
        <v>12</v>
      </c>
      <c r="D1832" s="10" t="s">
        <v>13</v>
      </c>
      <c r="F1832" s="948"/>
      <c r="G1832" s="29" t="s">
        <v>14</v>
      </c>
      <c r="H1832" s="29" t="s">
        <v>18</v>
      </c>
      <c r="I1832" s="42">
        <v>50</v>
      </c>
      <c r="J1832" s="42">
        <v>5</v>
      </c>
      <c r="K1832" s="381">
        <v>0</v>
      </c>
      <c r="L1832" s="66">
        <f t="shared" ref="L1832" si="452">SUM(I1832:K1832)</f>
        <v>55</v>
      </c>
      <c r="M1832" s="42"/>
    </row>
    <row r="1833" spans="2:13" ht="15.75" hidden="1" x14ac:dyDescent="0.2">
      <c r="B1833" s="10">
        <v>46228</v>
      </c>
      <c r="C1833" s="10" t="s">
        <v>12</v>
      </c>
      <c r="D1833" s="10" t="s">
        <v>13</v>
      </c>
      <c r="F1833" s="948"/>
      <c r="G1833" s="29" t="s">
        <v>118</v>
      </c>
      <c r="H1833" s="29" t="s">
        <v>12</v>
      </c>
      <c r="I1833" s="42">
        <v>28</v>
      </c>
      <c r="J1833" s="42">
        <v>9</v>
      </c>
      <c r="K1833" s="381">
        <v>0</v>
      </c>
      <c r="L1833" s="66">
        <f t="shared" si="451"/>
        <v>37</v>
      </c>
      <c r="M1833" s="42"/>
    </row>
    <row r="1834" spans="2:13" ht="15.75" hidden="1" x14ac:dyDescent="0.2">
      <c r="B1834" s="10">
        <v>46228</v>
      </c>
      <c r="C1834" s="10" t="s">
        <v>12</v>
      </c>
      <c r="D1834" s="10" t="s">
        <v>13</v>
      </c>
      <c r="F1834" s="937" t="s">
        <v>40</v>
      </c>
      <c r="G1834" s="937"/>
      <c r="H1834" s="937"/>
      <c r="I1834" s="8">
        <f>SUM(I1829:I1833)</f>
        <v>97</v>
      </c>
      <c r="J1834" s="8">
        <f>SUM(J1829:J1833)</f>
        <v>52</v>
      </c>
      <c r="K1834" s="8">
        <f>SUM(K1829:K1833)</f>
        <v>0</v>
      </c>
      <c r="L1834" s="8">
        <f>SUM(L1829:L1833)</f>
        <v>149</v>
      </c>
      <c r="M1834" s="316"/>
    </row>
    <row r="1835" spans="2:13" ht="15.75" hidden="1" x14ac:dyDescent="0.2">
      <c r="B1835" s="10">
        <v>46228</v>
      </c>
      <c r="C1835" s="10" t="s">
        <v>18</v>
      </c>
      <c r="D1835" s="10" t="s">
        <v>188</v>
      </c>
      <c r="F1835" s="948">
        <v>46228</v>
      </c>
      <c r="G1835" s="29" t="s">
        <v>16</v>
      </c>
      <c r="H1835" s="29" t="s">
        <v>15</v>
      </c>
      <c r="I1835" s="42">
        <v>179</v>
      </c>
      <c r="J1835" s="42">
        <v>18</v>
      </c>
      <c r="K1835" s="381">
        <v>8</v>
      </c>
      <c r="L1835" s="66">
        <f t="shared" ref="L1835:L1838" si="453">SUM(I1835:K1835)</f>
        <v>205</v>
      </c>
      <c r="M1835" s="42"/>
    </row>
    <row r="1836" spans="2:13" ht="15.75" hidden="1" x14ac:dyDescent="0.2">
      <c r="B1836" s="10">
        <v>46228</v>
      </c>
      <c r="C1836" s="10" t="s">
        <v>18</v>
      </c>
      <c r="D1836" s="10" t="s">
        <v>188</v>
      </c>
      <c r="F1836" s="948"/>
      <c r="G1836" s="29" t="s">
        <v>17</v>
      </c>
      <c r="H1836" s="29" t="s">
        <v>106</v>
      </c>
      <c r="I1836" s="42">
        <v>31</v>
      </c>
      <c r="J1836" s="42">
        <v>18</v>
      </c>
      <c r="K1836" s="381">
        <v>4</v>
      </c>
      <c r="L1836" s="66">
        <f t="shared" si="453"/>
        <v>53</v>
      </c>
      <c r="M1836" s="42"/>
    </row>
    <row r="1837" spans="2:13" ht="15.75" hidden="1" x14ac:dyDescent="0.2">
      <c r="B1837" s="10">
        <v>46228</v>
      </c>
      <c r="C1837" s="10" t="s">
        <v>18</v>
      </c>
      <c r="D1837" s="10" t="s">
        <v>188</v>
      </c>
      <c r="F1837" s="948"/>
      <c r="G1837" s="29" t="s">
        <v>84</v>
      </c>
      <c r="H1837" s="29" t="s">
        <v>27</v>
      </c>
      <c r="I1837" s="42">
        <v>4</v>
      </c>
      <c r="J1837" s="42">
        <v>1</v>
      </c>
      <c r="K1837" s="381">
        <v>0</v>
      </c>
      <c r="L1837" s="66">
        <f t="shared" si="453"/>
        <v>5</v>
      </c>
      <c r="M1837" s="42"/>
    </row>
    <row r="1838" spans="2:13" ht="15.75" hidden="1" x14ac:dyDescent="0.2">
      <c r="B1838" s="10">
        <v>46228</v>
      </c>
      <c r="C1838" s="10" t="s">
        <v>18</v>
      </c>
      <c r="D1838" s="10" t="s">
        <v>188</v>
      </c>
      <c r="F1838" s="948"/>
      <c r="G1838" s="29" t="s">
        <v>14</v>
      </c>
      <c r="H1838" s="29" t="s">
        <v>18</v>
      </c>
      <c r="I1838" s="42">
        <v>38</v>
      </c>
      <c r="J1838" s="42">
        <v>1</v>
      </c>
      <c r="K1838" s="381">
        <v>0</v>
      </c>
      <c r="L1838" s="66">
        <f t="shared" si="453"/>
        <v>39</v>
      </c>
      <c r="M1838" s="42"/>
    </row>
    <row r="1839" spans="2:13" ht="15.75" hidden="1" x14ac:dyDescent="0.2">
      <c r="B1839" s="10">
        <v>46228</v>
      </c>
      <c r="C1839" s="10" t="s">
        <v>18</v>
      </c>
      <c r="D1839" s="10" t="s">
        <v>188</v>
      </c>
      <c r="F1839" s="937" t="s">
        <v>40</v>
      </c>
      <c r="G1839" s="937"/>
      <c r="H1839" s="937"/>
      <c r="I1839" s="8">
        <f>SUM(I1835:I1838)</f>
        <v>252</v>
      </c>
      <c r="J1839" s="8">
        <f t="shared" ref="J1839:K1839" si="454">SUM(J1835:J1838)</f>
        <v>38</v>
      </c>
      <c r="K1839" s="8">
        <f t="shared" si="454"/>
        <v>12</v>
      </c>
      <c r="L1839" s="8">
        <f>SUM(L1835:L1838)</f>
        <v>302</v>
      </c>
      <c r="M1839" s="316"/>
    </row>
    <row r="1840" spans="2:13" ht="15.75" hidden="1" x14ac:dyDescent="0.2">
      <c r="B1840" s="10">
        <v>46230</v>
      </c>
      <c r="C1840" s="10" t="s">
        <v>22</v>
      </c>
      <c r="D1840" s="10" t="s">
        <v>13</v>
      </c>
      <c r="F1840" s="948">
        <v>46230</v>
      </c>
      <c r="G1840" s="29" t="s">
        <v>16</v>
      </c>
      <c r="H1840" s="29" t="s">
        <v>15</v>
      </c>
      <c r="I1840" s="42">
        <v>30</v>
      </c>
      <c r="J1840" s="42">
        <v>5</v>
      </c>
      <c r="K1840" s="381">
        <v>0</v>
      </c>
      <c r="L1840" s="66">
        <f t="shared" ref="L1840:L1844" si="455">SUM(I1840:K1840)</f>
        <v>35</v>
      </c>
      <c r="M1840" s="42"/>
    </row>
    <row r="1841" spans="2:13" ht="15.75" hidden="1" x14ac:dyDescent="0.2">
      <c r="B1841" s="10">
        <v>46230</v>
      </c>
      <c r="C1841" s="10" t="s">
        <v>22</v>
      </c>
      <c r="D1841" s="10" t="s">
        <v>13</v>
      </c>
      <c r="F1841" s="948"/>
      <c r="G1841" s="29" t="s">
        <v>17</v>
      </c>
      <c r="H1841" s="29" t="s">
        <v>106</v>
      </c>
      <c r="I1841" s="42">
        <v>108</v>
      </c>
      <c r="J1841" s="42">
        <v>45</v>
      </c>
      <c r="K1841" s="381">
        <v>0</v>
      </c>
      <c r="L1841" s="66">
        <f t="shared" si="455"/>
        <v>153</v>
      </c>
      <c r="M1841" s="42"/>
    </row>
    <row r="1842" spans="2:13" ht="15.75" hidden="1" x14ac:dyDescent="0.2">
      <c r="B1842" s="10">
        <v>46230</v>
      </c>
      <c r="C1842" s="10" t="s">
        <v>22</v>
      </c>
      <c r="D1842" s="10" t="s">
        <v>13</v>
      </c>
      <c r="F1842" s="948"/>
      <c r="G1842" s="29" t="s">
        <v>14</v>
      </c>
      <c r="H1842" s="29" t="s">
        <v>105</v>
      </c>
      <c r="I1842" s="42">
        <v>29</v>
      </c>
      <c r="J1842" s="42">
        <v>13</v>
      </c>
      <c r="K1842" s="381">
        <v>0</v>
      </c>
      <c r="L1842" s="66">
        <f t="shared" si="455"/>
        <v>42</v>
      </c>
      <c r="M1842" s="42"/>
    </row>
    <row r="1843" spans="2:13" ht="15.75" hidden="1" x14ac:dyDescent="0.2">
      <c r="B1843" s="10">
        <v>46230</v>
      </c>
      <c r="C1843" s="10" t="s">
        <v>22</v>
      </c>
      <c r="D1843" s="10" t="s">
        <v>13</v>
      </c>
      <c r="F1843" s="948"/>
      <c r="G1843" s="29" t="s">
        <v>183</v>
      </c>
      <c r="H1843" s="29" t="s">
        <v>22</v>
      </c>
      <c r="I1843" s="42">
        <v>1</v>
      </c>
      <c r="J1843" s="42">
        <v>0</v>
      </c>
      <c r="K1843" s="381">
        <v>0</v>
      </c>
      <c r="L1843" s="66">
        <f t="shared" si="455"/>
        <v>1</v>
      </c>
      <c r="M1843" s="42"/>
    </row>
    <row r="1844" spans="2:13" ht="15.75" hidden="1" x14ac:dyDescent="0.2">
      <c r="B1844" s="10">
        <v>46230</v>
      </c>
      <c r="C1844" s="10" t="s">
        <v>22</v>
      </c>
      <c r="D1844" s="10" t="s">
        <v>13</v>
      </c>
      <c r="F1844" s="948"/>
      <c r="G1844" s="29" t="s">
        <v>180</v>
      </c>
      <c r="H1844" s="29" t="s">
        <v>22</v>
      </c>
      <c r="I1844" s="42">
        <v>30</v>
      </c>
      <c r="J1844" s="42">
        <v>6</v>
      </c>
      <c r="K1844" s="381">
        <v>0</v>
      </c>
      <c r="L1844" s="66">
        <f t="shared" si="455"/>
        <v>36</v>
      </c>
      <c r="M1844" s="42"/>
    </row>
    <row r="1845" spans="2:13" ht="15.75" hidden="1" x14ac:dyDescent="0.2">
      <c r="B1845" s="10">
        <v>46230</v>
      </c>
      <c r="C1845" s="10" t="s">
        <v>22</v>
      </c>
      <c r="D1845" s="10" t="s">
        <v>13</v>
      </c>
      <c r="F1845" s="937" t="s">
        <v>40</v>
      </c>
      <c r="G1845" s="937"/>
      <c r="H1845" s="937"/>
      <c r="I1845" s="8">
        <f>SUM(I1840:I1844)</f>
        <v>198</v>
      </c>
      <c r="J1845" s="8">
        <f t="shared" ref="J1845:K1845" si="456">SUM(J1840:J1844)</f>
        <v>69</v>
      </c>
      <c r="K1845" s="8">
        <f t="shared" si="456"/>
        <v>0</v>
      </c>
      <c r="L1845" s="8">
        <f>SUM(L1840:L1844)</f>
        <v>267</v>
      </c>
      <c r="M1845" s="316"/>
    </row>
    <row r="1846" spans="2:13" ht="15.75" hidden="1" x14ac:dyDescent="0.2">
      <c r="B1846" s="10">
        <v>46230</v>
      </c>
      <c r="C1846" s="10" t="s">
        <v>106</v>
      </c>
      <c r="D1846" s="10" t="s">
        <v>13</v>
      </c>
      <c r="F1846" s="948">
        <v>46230</v>
      </c>
      <c r="G1846" s="29" t="s">
        <v>16</v>
      </c>
      <c r="H1846" s="29" t="s">
        <v>15</v>
      </c>
      <c r="I1846" s="42">
        <v>30</v>
      </c>
      <c r="J1846" s="42">
        <v>5</v>
      </c>
      <c r="K1846" s="381">
        <v>0</v>
      </c>
      <c r="L1846" s="66">
        <f t="shared" ref="L1846:L1850" si="457">SUM(I1846:K1846)</f>
        <v>35</v>
      </c>
      <c r="M1846" s="42"/>
    </row>
    <row r="1847" spans="2:13" ht="15.75" hidden="1" x14ac:dyDescent="0.2">
      <c r="B1847" s="10">
        <v>46230</v>
      </c>
      <c r="C1847" s="10" t="s">
        <v>106</v>
      </c>
      <c r="D1847" s="10" t="s">
        <v>13</v>
      </c>
      <c r="F1847" s="948"/>
      <c r="G1847" s="29" t="s">
        <v>17</v>
      </c>
      <c r="H1847" s="29" t="s">
        <v>106</v>
      </c>
      <c r="I1847" s="42">
        <v>108</v>
      </c>
      <c r="J1847" s="42">
        <v>45</v>
      </c>
      <c r="K1847" s="381">
        <v>0</v>
      </c>
      <c r="L1847" s="66">
        <f t="shared" si="457"/>
        <v>153</v>
      </c>
      <c r="M1847" s="42"/>
    </row>
    <row r="1848" spans="2:13" ht="15.75" hidden="1" x14ac:dyDescent="0.2">
      <c r="B1848" s="10">
        <v>46230</v>
      </c>
      <c r="C1848" s="10" t="s">
        <v>106</v>
      </c>
      <c r="D1848" s="10" t="s">
        <v>13</v>
      </c>
      <c r="F1848" s="948"/>
      <c r="G1848" s="29" t="s">
        <v>14</v>
      </c>
      <c r="H1848" s="29" t="s">
        <v>105</v>
      </c>
      <c r="I1848" s="42">
        <v>29</v>
      </c>
      <c r="J1848" s="42">
        <v>13</v>
      </c>
      <c r="K1848" s="381">
        <v>0</v>
      </c>
      <c r="L1848" s="66">
        <f t="shared" si="457"/>
        <v>42</v>
      </c>
      <c r="M1848" s="42"/>
    </row>
    <row r="1849" spans="2:13" ht="15.75" hidden="1" x14ac:dyDescent="0.2">
      <c r="B1849" s="10">
        <v>46230</v>
      </c>
      <c r="C1849" s="10" t="s">
        <v>106</v>
      </c>
      <c r="D1849" s="10" t="s">
        <v>13</v>
      </c>
      <c r="F1849" s="948"/>
      <c r="G1849" s="29" t="s">
        <v>183</v>
      </c>
      <c r="H1849" s="29" t="s">
        <v>22</v>
      </c>
      <c r="I1849" s="42">
        <v>1</v>
      </c>
      <c r="J1849" s="42">
        <v>0</v>
      </c>
      <c r="K1849" s="381">
        <v>0</v>
      </c>
      <c r="L1849" s="66">
        <f t="shared" si="457"/>
        <v>1</v>
      </c>
      <c r="M1849" s="42"/>
    </row>
    <row r="1850" spans="2:13" ht="15.75" hidden="1" x14ac:dyDescent="0.2">
      <c r="B1850" s="10">
        <v>46230</v>
      </c>
      <c r="C1850" s="10" t="s">
        <v>106</v>
      </c>
      <c r="D1850" s="10" t="s">
        <v>13</v>
      </c>
      <c r="F1850" s="948"/>
      <c r="G1850" s="29" t="s">
        <v>180</v>
      </c>
      <c r="H1850" s="29" t="s">
        <v>22</v>
      </c>
      <c r="I1850" s="42">
        <v>30</v>
      </c>
      <c r="J1850" s="42">
        <v>6</v>
      </c>
      <c r="K1850" s="381">
        <v>0</v>
      </c>
      <c r="L1850" s="66">
        <f t="shared" si="457"/>
        <v>36</v>
      </c>
      <c r="M1850" s="42"/>
    </row>
    <row r="1851" spans="2:13" ht="15.75" hidden="1" x14ac:dyDescent="0.2">
      <c r="B1851" s="10">
        <v>46230</v>
      </c>
      <c r="C1851" s="10" t="s">
        <v>106</v>
      </c>
      <c r="D1851" s="10" t="s">
        <v>13</v>
      </c>
      <c r="F1851" s="937" t="s">
        <v>40</v>
      </c>
      <c r="G1851" s="937"/>
      <c r="H1851" s="937"/>
      <c r="I1851" s="8">
        <f>SUM(I1846:I1850)</f>
        <v>198</v>
      </c>
      <c r="J1851" s="8">
        <f t="shared" ref="J1851:K1851" si="458">SUM(J1846:J1850)</f>
        <v>69</v>
      </c>
      <c r="K1851" s="8">
        <f t="shared" si="458"/>
        <v>0</v>
      </c>
      <c r="L1851" s="8">
        <f>SUM(L1846:L1850)</f>
        <v>267</v>
      </c>
      <c r="M1851" s="316"/>
    </row>
    <row r="1852" spans="2:13" ht="15.75" hidden="1" x14ac:dyDescent="0.2">
      <c r="B1852" s="10">
        <v>46230</v>
      </c>
      <c r="C1852" s="10" t="s">
        <v>12</v>
      </c>
      <c r="D1852" s="10" t="s">
        <v>13</v>
      </c>
      <c r="F1852" s="948">
        <v>46230</v>
      </c>
      <c r="G1852" s="29" t="s">
        <v>16</v>
      </c>
      <c r="H1852" s="29" t="s">
        <v>15</v>
      </c>
      <c r="I1852" s="42">
        <v>20</v>
      </c>
      <c r="J1852" s="42">
        <v>24</v>
      </c>
      <c r="K1852" s="381">
        <v>0</v>
      </c>
      <c r="L1852" s="66">
        <f t="shared" ref="L1852:L1855" si="459">SUM(I1852:K1852)</f>
        <v>44</v>
      </c>
      <c r="M1852" s="42"/>
    </row>
    <row r="1853" spans="2:13" ht="15.75" hidden="1" x14ac:dyDescent="0.2">
      <c r="B1853" s="10">
        <v>46230</v>
      </c>
      <c r="C1853" s="10" t="s">
        <v>12</v>
      </c>
      <c r="D1853" s="10" t="s">
        <v>13</v>
      </c>
      <c r="F1853" s="948"/>
      <c r="G1853" s="29" t="s">
        <v>17</v>
      </c>
      <c r="H1853" s="29" t="s">
        <v>106</v>
      </c>
      <c r="I1853" s="42">
        <v>12</v>
      </c>
      <c r="J1853" s="42">
        <v>5</v>
      </c>
      <c r="K1853" s="381">
        <v>0</v>
      </c>
      <c r="L1853" s="66">
        <f t="shared" si="459"/>
        <v>17</v>
      </c>
      <c r="M1853" s="42"/>
    </row>
    <row r="1854" spans="2:13" ht="15.75" hidden="1" x14ac:dyDescent="0.2">
      <c r="B1854" s="10">
        <v>46230</v>
      </c>
      <c r="C1854" s="10" t="s">
        <v>12</v>
      </c>
      <c r="D1854" s="10" t="s">
        <v>13</v>
      </c>
      <c r="F1854" s="948"/>
      <c r="G1854" s="29" t="s">
        <v>14</v>
      </c>
      <c r="H1854" s="29" t="s">
        <v>105</v>
      </c>
      <c r="I1854" s="42">
        <v>79</v>
      </c>
      <c r="J1854" s="42">
        <v>19</v>
      </c>
      <c r="K1854" s="381">
        <v>0</v>
      </c>
      <c r="L1854" s="66">
        <f t="shared" si="459"/>
        <v>98</v>
      </c>
      <c r="M1854" s="42"/>
    </row>
    <row r="1855" spans="2:13" ht="15.75" hidden="1" x14ac:dyDescent="0.2">
      <c r="B1855" s="10">
        <v>46230</v>
      </c>
      <c r="C1855" s="10" t="s">
        <v>12</v>
      </c>
      <c r="D1855" s="10" t="s">
        <v>13</v>
      </c>
      <c r="F1855" s="948"/>
      <c r="G1855" s="29" t="s">
        <v>180</v>
      </c>
      <c r="H1855" s="29" t="s">
        <v>22</v>
      </c>
      <c r="I1855" s="42">
        <v>30</v>
      </c>
      <c r="J1855" s="42">
        <v>6</v>
      </c>
      <c r="K1855" s="381">
        <v>28</v>
      </c>
      <c r="L1855" s="66">
        <f t="shared" si="459"/>
        <v>64</v>
      </c>
      <c r="M1855" s="42"/>
    </row>
    <row r="1856" spans="2:13" ht="15.75" hidden="1" x14ac:dyDescent="0.2">
      <c r="B1856" s="10">
        <v>46230</v>
      </c>
      <c r="C1856" s="10" t="s">
        <v>12</v>
      </c>
      <c r="D1856" s="10" t="s">
        <v>13</v>
      </c>
      <c r="F1856" s="937" t="s">
        <v>40</v>
      </c>
      <c r="G1856" s="937"/>
      <c r="H1856" s="937"/>
      <c r="I1856" s="8">
        <f>SUM(I1852:I1855)</f>
        <v>141</v>
      </c>
      <c r="J1856" s="8">
        <f>SUM(J1852:J1855)</f>
        <v>54</v>
      </c>
      <c r="K1856" s="8">
        <f>SUM(K1852:K1855)</f>
        <v>28</v>
      </c>
      <c r="L1856" s="8">
        <f>SUM(L1852:L1855)</f>
        <v>223</v>
      </c>
      <c r="M1856" s="316"/>
    </row>
    <row r="1857" spans="2:13" ht="15.75" hidden="1" x14ac:dyDescent="0.2">
      <c r="B1857" s="10">
        <v>46230</v>
      </c>
      <c r="C1857" s="10" t="s">
        <v>18</v>
      </c>
      <c r="D1857" s="10" t="s">
        <v>189</v>
      </c>
      <c r="F1857" s="943">
        <v>46230</v>
      </c>
      <c r="G1857" s="29" t="s">
        <v>14</v>
      </c>
      <c r="H1857" s="29" t="s">
        <v>18</v>
      </c>
      <c r="I1857" s="42">
        <v>8</v>
      </c>
      <c r="J1857" s="42">
        <v>6</v>
      </c>
      <c r="K1857" s="381">
        <v>0</v>
      </c>
      <c r="L1857" s="66">
        <f t="shared" ref="L1857:L1861" si="460">SUM(I1857:K1857)</f>
        <v>14</v>
      </c>
      <c r="M1857" s="42"/>
    </row>
    <row r="1858" spans="2:13" ht="15.75" hidden="1" x14ac:dyDescent="0.2">
      <c r="B1858" s="10">
        <v>46230</v>
      </c>
      <c r="C1858" s="10" t="s">
        <v>18</v>
      </c>
      <c r="D1858" s="10" t="s">
        <v>189</v>
      </c>
      <c r="F1858" s="945"/>
      <c r="G1858" s="29" t="s">
        <v>120</v>
      </c>
      <c r="H1858" s="29" t="s">
        <v>18</v>
      </c>
      <c r="I1858" s="42">
        <v>6</v>
      </c>
      <c r="J1858" s="42">
        <v>0</v>
      </c>
      <c r="K1858" s="381">
        <v>0</v>
      </c>
      <c r="L1858" s="66">
        <f t="shared" si="460"/>
        <v>6</v>
      </c>
      <c r="M1858" s="42"/>
    </row>
    <row r="1859" spans="2:13" ht="15.75" hidden="1" x14ac:dyDescent="0.2">
      <c r="B1859" s="10">
        <v>46230</v>
      </c>
      <c r="C1859" s="10" t="s">
        <v>18</v>
      </c>
      <c r="D1859" s="10" t="s">
        <v>189</v>
      </c>
      <c r="F1859" s="943">
        <v>46231</v>
      </c>
      <c r="G1859" s="29" t="s">
        <v>75</v>
      </c>
      <c r="H1859" s="29" t="s">
        <v>15</v>
      </c>
      <c r="I1859" s="42">
        <v>79</v>
      </c>
      <c r="J1859" s="42">
        <v>32</v>
      </c>
      <c r="K1859" s="381">
        <v>0</v>
      </c>
      <c r="L1859" s="66">
        <f t="shared" si="460"/>
        <v>111</v>
      </c>
      <c r="M1859" s="42"/>
    </row>
    <row r="1860" spans="2:13" ht="15.75" hidden="1" x14ac:dyDescent="0.2">
      <c r="B1860" s="10">
        <v>46230</v>
      </c>
      <c r="C1860" s="10" t="s">
        <v>18</v>
      </c>
      <c r="D1860" s="10" t="s">
        <v>189</v>
      </c>
      <c r="F1860" s="944"/>
      <c r="G1860" s="29" t="s">
        <v>17</v>
      </c>
      <c r="H1860" s="29" t="s">
        <v>106</v>
      </c>
      <c r="I1860" s="42">
        <v>127</v>
      </c>
      <c r="J1860" s="42">
        <v>45</v>
      </c>
      <c r="K1860" s="381">
        <v>0</v>
      </c>
      <c r="L1860" s="66">
        <f t="shared" si="460"/>
        <v>172</v>
      </c>
      <c r="M1860" s="42"/>
    </row>
    <row r="1861" spans="2:13" ht="15.75" hidden="1" x14ac:dyDescent="0.2">
      <c r="B1861" s="10">
        <v>46230</v>
      </c>
      <c r="C1861" s="10" t="s">
        <v>18</v>
      </c>
      <c r="D1861" s="10" t="s">
        <v>189</v>
      </c>
      <c r="F1861" s="945"/>
      <c r="G1861" s="29" t="s">
        <v>180</v>
      </c>
      <c r="H1861" s="29" t="s">
        <v>43</v>
      </c>
      <c r="I1861" s="42">
        <v>0</v>
      </c>
      <c r="J1861" s="42">
        <v>0</v>
      </c>
      <c r="K1861" s="381">
        <v>122</v>
      </c>
      <c r="L1861" s="66">
        <f t="shared" si="460"/>
        <v>122</v>
      </c>
      <c r="M1861" s="42"/>
    </row>
    <row r="1862" spans="2:13" ht="15.75" hidden="1" x14ac:dyDescent="0.2">
      <c r="B1862" s="10">
        <v>46230</v>
      </c>
      <c r="C1862" s="10" t="s">
        <v>18</v>
      </c>
      <c r="D1862" s="10" t="s">
        <v>189</v>
      </c>
      <c r="F1862" s="937" t="s">
        <v>40</v>
      </c>
      <c r="G1862" s="937"/>
      <c r="H1862" s="937"/>
      <c r="I1862" s="8">
        <f>SUM(I1857:I1861)</f>
        <v>220</v>
      </c>
      <c r="J1862" s="8">
        <f>SUM(J1857:J1861)</f>
        <v>83</v>
      </c>
      <c r="K1862" s="8">
        <f>SUM(K1857:K1861)</f>
        <v>122</v>
      </c>
      <c r="L1862" s="8">
        <f>SUM(L1857:L1861)</f>
        <v>425</v>
      </c>
      <c r="M1862" s="316"/>
    </row>
    <row r="1863" spans="2:13" ht="15.75" hidden="1" x14ac:dyDescent="0.2">
      <c r="B1863" s="10">
        <v>46230</v>
      </c>
      <c r="C1863" s="10" t="s">
        <v>22</v>
      </c>
      <c r="D1863" s="10" t="s">
        <v>13</v>
      </c>
      <c r="F1863" s="943">
        <v>46231</v>
      </c>
      <c r="G1863" s="29" t="s">
        <v>16</v>
      </c>
      <c r="H1863" s="29" t="s">
        <v>15</v>
      </c>
      <c r="I1863" s="42">
        <v>61</v>
      </c>
      <c r="J1863" s="42">
        <v>27</v>
      </c>
      <c r="K1863" s="381">
        <v>0</v>
      </c>
      <c r="L1863" s="66">
        <f t="shared" ref="L1863:L1866" si="461">SUM(I1863:K1863)</f>
        <v>88</v>
      </c>
      <c r="M1863" s="42"/>
    </row>
    <row r="1864" spans="2:13" ht="15.75" hidden="1" x14ac:dyDescent="0.2">
      <c r="B1864" s="10">
        <v>46230</v>
      </c>
      <c r="C1864" s="10" t="s">
        <v>22</v>
      </c>
      <c r="D1864" s="10" t="s">
        <v>13</v>
      </c>
      <c r="F1864" s="944"/>
      <c r="G1864" s="29" t="s">
        <v>14</v>
      </c>
      <c r="H1864" s="29" t="s">
        <v>105</v>
      </c>
      <c r="I1864" s="42">
        <v>52</v>
      </c>
      <c r="J1864" s="42">
        <v>24</v>
      </c>
      <c r="K1864" s="381">
        <v>23</v>
      </c>
      <c r="L1864" s="66">
        <f t="shared" si="461"/>
        <v>99</v>
      </c>
      <c r="M1864" s="42"/>
    </row>
    <row r="1865" spans="2:13" ht="15.75" hidden="1" x14ac:dyDescent="0.2">
      <c r="B1865" s="10">
        <v>46230</v>
      </c>
      <c r="C1865" s="10" t="s">
        <v>22</v>
      </c>
      <c r="D1865" s="10" t="s">
        <v>13</v>
      </c>
      <c r="F1865" s="944"/>
      <c r="G1865" s="29" t="s">
        <v>180</v>
      </c>
      <c r="H1865" s="29" t="s">
        <v>22</v>
      </c>
      <c r="I1865" s="42">
        <v>126</v>
      </c>
      <c r="J1865" s="42">
        <v>14</v>
      </c>
      <c r="K1865" s="381">
        <v>0</v>
      </c>
      <c r="L1865" s="66">
        <f t="shared" si="461"/>
        <v>140</v>
      </c>
      <c r="M1865" s="42"/>
    </row>
    <row r="1866" spans="2:13" ht="15.75" hidden="1" x14ac:dyDescent="0.2">
      <c r="B1866" s="10">
        <v>46230</v>
      </c>
      <c r="C1866" s="10" t="s">
        <v>22</v>
      </c>
      <c r="D1866" s="10" t="s">
        <v>13</v>
      </c>
      <c r="F1866" s="945"/>
      <c r="G1866" s="29" t="s">
        <v>17</v>
      </c>
      <c r="H1866" s="29" t="s">
        <v>106</v>
      </c>
      <c r="I1866" s="42">
        <v>14</v>
      </c>
      <c r="J1866" s="42">
        <v>10</v>
      </c>
      <c r="K1866" s="381">
        <v>0</v>
      </c>
      <c r="L1866" s="66">
        <f t="shared" si="461"/>
        <v>24</v>
      </c>
      <c r="M1866" s="42"/>
    </row>
    <row r="1867" spans="2:13" ht="15.75" hidden="1" x14ac:dyDescent="0.2">
      <c r="B1867" s="10">
        <v>46230</v>
      </c>
      <c r="C1867" s="10" t="s">
        <v>22</v>
      </c>
      <c r="D1867" s="10" t="s">
        <v>13</v>
      </c>
      <c r="F1867" s="937" t="s">
        <v>40</v>
      </c>
      <c r="G1867" s="937"/>
      <c r="H1867" s="937"/>
      <c r="I1867" s="8">
        <f>SUM(I1863:I1866)</f>
        <v>253</v>
      </c>
      <c r="J1867" s="8">
        <f>SUM(J1863:J1866)</f>
        <v>75</v>
      </c>
      <c r="K1867" s="8">
        <f>SUM(K1863:K1866)</f>
        <v>23</v>
      </c>
      <c r="L1867" s="8">
        <f>SUM(L1863:L1866)</f>
        <v>351</v>
      </c>
      <c r="M1867" s="316"/>
    </row>
    <row r="1868" spans="2:13" ht="15.75" hidden="1" x14ac:dyDescent="0.2">
      <c r="B1868" s="10">
        <v>46231</v>
      </c>
      <c r="C1868" s="10" t="s">
        <v>12</v>
      </c>
      <c r="D1868" s="10" t="s">
        <v>163</v>
      </c>
      <c r="F1868" s="943">
        <v>46231</v>
      </c>
      <c r="G1868" s="29" t="s">
        <v>16</v>
      </c>
      <c r="H1868" s="29" t="s">
        <v>15</v>
      </c>
      <c r="I1868" s="42">
        <f>39-28</f>
        <v>11</v>
      </c>
      <c r="J1868" s="42">
        <v>1</v>
      </c>
      <c r="K1868" s="381">
        <v>0</v>
      </c>
      <c r="L1868" s="66">
        <f t="shared" ref="L1868:L1871" si="462">SUM(I1868:K1868)</f>
        <v>12</v>
      </c>
      <c r="M1868" s="42"/>
    </row>
    <row r="1869" spans="2:13" ht="15.75" hidden="1" x14ac:dyDescent="0.2">
      <c r="B1869" s="10">
        <v>46231</v>
      </c>
      <c r="C1869" s="10" t="s">
        <v>12</v>
      </c>
      <c r="D1869" s="10" t="s">
        <v>163</v>
      </c>
      <c r="F1869" s="944"/>
      <c r="G1869" s="29" t="s">
        <v>14</v>
      </c>
      <c r="H1869" s="29" t="s">
        <v>105</v>
      </c>
      <c r="I1869" s="42">
        <v>64</v>
      </c>
      <c r="J1869" s="42">
        <v>18</v>
      </c>
      <c r="K1869" s="381">
        <v>0</v>
      </c>
      <c r="L1869" s="66">
        <f t="shared" si="462"/>
        <v>82</v>
      </c>
      <c r="M1869" s="42"/>
    </row>
    <row r="1870" spans="2:13" ht="15.75" hidden="1" x14ac:dyDescent="0.2">
      <c r="B1870" s="10">
        <v>46231</v>
      </c>
      <c r="C1870" s="10" t="s">
        <v>12</v>
      </c>
      <c r="D1870" s="10" t="s">
        <v>163</v>
      </c>
      <c r="F1870" s="944"/>
      <c r="G1870" s="29" t="s">
        <v>180</v>
      </c>
      <c r="H1870" s="29" t="s">
        <v>22</v>
      </c>
      <c r="I1870" s="42">
        <v>55</v>
      </c>
      <c r="J1870" s="42">
        <v>4</v>
      </c>
      <c r="K1870" s="381">
        <v>0</v>
      </c>
      <c r="L1870" s="66">
        <f t="shared" si="462"/>
        <v>59</v>
      </c>
      <c r="M1870" s="42"/>
    </row>
    <row r="1871" spans="2:13" ht="15.75" hidden="1" x14ac:dyDescent="0.2">
      <c r="B1871" s="10">
        <v>46231</v>
      </c>
      <c r="C1871" s="10" t="s">
        <v>12</v>
      </c>
      <c r="D1871" s="10" t="s">
        <v>163</v>
      </c>
      <c r="F1871" s="945"/>
      <c r="G1871" s="29" t="s">
        <v>17</v>
      </c>
      <c r="H1871" s="29" t="s">
        <v>106</v>
      </c>
      <c r="I1871" s="42">
        <v>14</v>
      </c>
      <c r="J1871" s="42">
        <v>7</v>
      </c>
      <c r="K1871" s="381">
        <v>0</v>
      </c>
      <c r="L1871" s="66">
        <f t="shared" si="462"/>
        <v>21</v>
      </c>
      <c r="M1871" s="42"/>
    </row>
    <row r="1872" spans="2:13" ht="15.75" hidden="1" x14ac:dyDescent="0.2">
      <c r="B1872" s="10">
        <v>46231</v>
      </c>
      <c r="C1872" s="10" t="s">
        <v>12</v>
      </c>
      <c r="D1872" s="10" t="s">
        <v>163</v>
      </c>
      <c r="F1872" s="937" t="s">
        <v>40</v>
      </c>
      <c r="G1872" s="937"/>
      <c r="H1872" s="937"/>
      <c r="I1872" s="8">
        <f>SUM(I1868:I1871)</f>
        <v>144</v>
      </c>
      <c r="J1872" s="8">
        <f>SUM(J1868:J1871)</f>
        <v>30</v>
      </c>
      <c r="K1872" s="8">
        <f>SUM(K1868:K1871)</f>
        <v>0</v>
      </c>
      <c r="L1872" s="8">
        <f>SUM(L1868:L1871)</f>
        <v>174</v>
      </c>
      <c r="M1872" s="316"/>
    </row>
    <row r="1873" spans="2:13" ht="15.75" hidden="1" x14ac:dyDescent="0.2">
      <c r="B1873" s="10">
        <v>46231</v>
      </c>
      <c r="C1873" s="10" t="s">
        <v>12</v>
      </c>
      <c r="D1873" s="10" t="s">
        <v>163</v>
      </c>
      <c r="F1873" s="397">
        <v>46232</v>
      </c>
      <c r="G1873" s="29" t="s">
        <v>16</v>
      </c>
      <c r="H1873" s="29" t="s">
        <v>15</v>
      </c>
      <c r="I1873" s="42">
        <v>50</v>
      </c>
      <c r="J1873" s="42">
        <v>12</v>
      </c>
      <c r="K1873" s="381">
        <v>0</v>
      </c>
      <c r="L1873" s="66">
        <f t="shared" ref="L1873" si="463">SUM(I1873:K1873)</f>
        <v>62</v>
      </c>
      <c r="M1873" s="42"/>
    </row>
    <row r="1874" spans="2:13" ht="15.75" hidden="1" x14ac:dyDescent="0.2">
      <c r="B1874" s="10">
        <v>46231</v>
      </c>
      <c r="C1874" s="10" t="s">
        <v>12</v>
      </c>
      <c r="D1874" s="10" t="s">
        <v>163</v>
      </c>
      <c r="F1874" s="937" t="s">
        <v>40</v>
      </c>
      <c r="G1874" s="937"/>
      <c r="H1874" s="937"/>
      <c r="I1874" s="8">
        <f>SUM(I1873:I1873)</f>
        <v>50</v>
      </c>
      <c r="J1874" s="8">
        <f>SUM(J1873:J1873)</f>
        <v>12</v>
      </c>
      <c r="K1874" s="8">
        <f>SUM(K1873:K1873)</f>
        <v>0</v>
      </c>
      <c r="L1874" s="8">
        <f>SUM(L1873:L1873)</f>
        <v>62</v>
      </c>
      <c r="M1874" s="316"/>
    </row>
    <row r="1875" spans="2:13" ht="15.75" hidden="1" x14ac:dyDescent="0.2">
      <c r="B1875" s="10">
        <v>46231</v>
      </c>
      <c r="C1875" s="10" t="s">
        <v>18</v>
      </c>
      <c r="D1875" s="10" t="s">
        <v>189</v>
      </c>
      <c r="F1875" s="943">
        <v>46231</v>
      </c>
      <c r="G1875" s="29" t="s">
        <v>14</v>
      </c>
      <c r="H1875" s="29" t="s">
        <v>18</v>
      </c>
      <c r="I1875" s="42">
        <v>14</v>
      </c>
      <c r="J1875" s="42">
        <v>7</v>
      </c>
      <c r="K1875" s="381">
        <v>0</v>
      </c>
      <c r="L1875" s="66">
        <f t="shared" ref="L1875:L1879" si="464">SUM(I1875:K1875)</f>
        <v>21</v>
      </c>
      <c r="M1875" s="42"/>
    </row>
    <row r="1876" spans="2:13" ht="15.75" hidden="1" x14ac:dyDescent="0.2">
      <c r="B1876" s="10">
        <v>46231</v>
      </c>
      <c r="C1876" s="10" t="s">
        <v>18</v>
      </c>
      <c r="D1876" s="10" t="s">
        <v>189</v>
      </c>
      <c r="F1876" s="945"/>
      <c r="G1876" s="29" t="s">
        <v>120</v>
      </c>
      <c r="H1876" s="29" t="s">
        <v>18</v>
      </c>
      <c r="I1876" s="42">
        <v>2</v>
      </c>
      <c r="J1876" s="42">
        <v>0</v>
      </c>
      <c r="K1876" s="381">
        <v>0</v>
      </c>
      <c r="L1876" s="66">
        <f t="shared" si="464"/>
        <v>2</v>
      </c>
      <c r="M1876" s="42"/>
    </row>
    <row r="1877" spans="2:13" ht="15.75" hidden="1" x14ac:dyDescent="0.2">
      <c r="B1877" s="10">
        <v>46231</v>
      </c>
      <c r="C1877" s="10" t="s">
        <v>18</v>
      </c>
      <c r="D1877" s="10" t="s">
        <v>189</v>
      </c>
      <c r="F1877" s="943">
        <v>46232</v>
      </c>
      <c r="G1877" s="29" t="s">
        <v>75</v>
      </c>
      <c r="H1877" s="29" t="s">
        <v>15</v>
      </c>
      <c r="I1877" s="42">
        <v>82</v>
      </c>
      <c r="J1877" s="42">
        <v>33</v>
      </c>
      <c r="K1877" s="381">
        <v>0</v>
      </c>
      <c r="L1877" s="66">
        <f t="shared" si="464"/>
        <v>115</v>
      </c>
      <c r="M1877" s="42"/>
    </row>
    <row r="1878" spans="2:13" ht="15.75" hidden="1" x14ac:dyDescent="0.2">
      <c r="B1878" s="10">
        <v>46231</v>
      </c>
      <c r="C1878" s="10" t="s">
        <v>18</v>
      </c>
      <c r="D1878" s="10" t="s">
        <v>189</v>
      </c>
      <c r="F1878" s="944"/>
      <c r="G1878" s="29" t="s">
        <v>17</v>
      </c>
      <c r="H1878" s="29" t="s">
        <v>106</v>
      </c>
      <c r="I1878" s="42">
        <v>72</v>
      </c>
      <c r="J1878" s="42">
        <v>28</v>
      </c>
      <c r="K1878" s="381">
        <v>2</v>
      </c>
      <c r="L1878" s="66">
        <f t="shared" si="464"/>
        <v>102</v>
      </c>
      <c r="M1878" s="42"/>
    </row>
    <row r="1879" spans="2:13" ht="15.75" hidden="1" x14ac:dyDescent="0.2">
      <c r="B1879" s="10">
        <v>46231</v>
      </c>
      <c r="C1879" s="10" t="s">
        <v>18</v>
      </c>
      <c r="D1879" s="10" t="s">
        <v>189</v>
      </c>
      <c r="F1879" s="945"/>
      <c r="G1879" s="29" t="s">
        <v>25</v>
      </c>
      <c r="H1879" s="29" t="s">
        <v>105</v>
      </c>
      <c r="I1879" s="42">
        <v>5</v>
      </c>
      <c r="J1879" s="42">
        <v>0</v>
      </c>
      <c r="K1879" s="381">
        <v>4</v>
      </c>
      <c r="L1879" s="66">
        <f t="shared" si="464"/>
        <v>9</v>
      </c>
      <c r="M1879" s="42"/>
    </row>
    <row r="1880" spans="2:13" ht="15.75" hidden="1" x14ac:dyDescent="0.2">
      <c r="B1880" s="10">
        <v>46231</v>
      </c>
      <c r="C1880" s="10" t="s">
        <v>18</v>
      </c>
      <c r="D1880" s="10" t="s">
        <v>189</v>
      </c>
      <c r="F1880" s="937" t="s">
        <v>40</v>
      </c>
      <c r="G1880" s="937"/>
      <c r="H1880" s="937"/>
      <c r="I1880" s="8">
        <f>SUM(I1875:I1879)</f>
        <v>175</v>
      </c>
      <c r="J1880" s="8">
        <f>SUM(J1875:J1879)</f>
        <v>68</v>
      </c>
      <c r="K1880" s="8">
        <f>SUM(K1875:K1879)</f>
        <v>6</v>
      </c>
      <c r="L1880" s="8">
        <f>SUM(L1875:L1879)</f>
        <v>249</v>
      </c>
      <c r="M1880" s="316"/>
    </row>
    <row r="1881" spans="2:13" ht="15.75" hidden="1" x14ac:dyDescent="0.2">
      <c r="B1881" s="10">
        <v>46231</v>
      </c>
      <c r="C1881" s="10" t="s">
        <v>22</v>
      </c>
      <c r="D1881" s="10" t="s">
        <v>13</v>
      </c>
      <c r="F1881" s="943">
        <v>46232</v>
      </c>
      <c r="G1881" s="29" t="s">
        <v>75</v>
      </c>
      <c r="H1881" s="29" t="s">
        <v>15</v>
      </c>
      <c r="I1881" s="42">
        <v>40</v>
      </c>
      <c r="J1881" s="42">
        <v>31</v>
      </c>
      <c r="K1881" s="381">
        <v>18</v>
      </c>
      <c r="L1881" s="66">
        <f t="shared" ref="L1881:L1886" si="465">SUM(I1881:K1881)</f>
        <v>89</v>
      </c>
      <c r="M1881" s="42"/>
    </row>
    <row r="1882" spans="2:13" ht="15.75" hidden="1" x14ac:dyDescent="0.2">
      <c r="B1882" s="10">
        <v>46231</v>
      </c>
      <c r="C1882" s="10" t="s">
        <v>22</v>
      </c>
      <c r="D1882" s="10" t="s">
        <v>13</v>
      </c>
      <c r="F1882" s="944"/>
      <c r="G1882" s="29" t="s">
        <v>14</v>
      </c>
      <c r="H1882" s="29" t="s">
        <v>105</v>
      </c>
      <c r="I1882" s="42">
        <v>15</v>
      </c>
      <c r="J1882" s="42">
        <v>0</v>
      </c>
      <c r="K1882" s="381">
        <v>0</v>
      </c>
      <c r="L1882" s="66">
        <f t="shared" si="465"/>
        <v>15</v>
      </c>
      <c r="M1882" s="42"/>
    </row>
    <row r="1883" spans="2:13" ht="15.75" hidden="1" x14ac:dyDescent="0.2">
      <c r="B1883" s="10">
        <v>46231</v>
      </c>
      <c r="C1883" s="10" t="s">
        <v>22</v>
      </c>
      <c r="D1883" s="10" t="s">
        <v>13</v>
      </c>
      <c r="F1883" s="944"/>
      <c r="G1883" s="29" t="s">
        <v>17</v>
      </c>
      <c r="H1883" s="29" t="s">
        <v>106</v>
      </c>
      <c r="I1883" s="42">
        <v>57</v>
      </c>
      <c r="J1883" s="42">
        <v>29</v>
      </c>
      <c r="K1883" s="381">
        <v>0</v>
      </c>
      <c r="L1883" s="66">
        <f t="shared" si="465"/>
        <v>86</v>
      </c>
      <c r="M1883" s="42"/>
    </row>
    <row r="1884" spans="2:13" ht="15.75" hidden="1" x14ac:dyDescent="0.2">
      <c r="B1884" s="10">
        <v>46231</v>
      </c>
      <c r="C1884" s="10" t="s">
        <v>22</v>
      </c>
      <c r="D1884" s="10" t="s">
        <v>13</v>
      </c>
      <c r="F1884" s="944"/>
      <c r="G1884" s="29" t="s">
        <v>25</v>
      </c>
      <c r="H1884" s="29" t="s">
        <v>105</v>
      </c>
      <c r="I1884" s="42">
        <v>74</v>
      </c>
      <c r="J1884" s="42">
        <v>15</v>
      </c>
      <c r="K1884" s="381">
        <v>0</v>
      </c>
      <c r="L1884" s="66">
        <f t="shared" si="465"/>
        <v>89</v>
      </c>
      <c r="M1884" s="42"/>
    </row>
    <row r="1885" spans="2:13" ht="15.75" hidden="1" x14ac:dyDescent="0.2">
      <c r="B1885" s="10">
        <v>46231</v>
      </c>
      <c r="C1885" s="10" t="s">
        <v>22</v>
      </c>
      <c r="D1885" s="10" t="s">
        <v>13</v>
      </c>
      <c r="F1885" s="944"/>
      <c r="G1885" s="29" t="s">
        <v>84</v>
      </c>
      <c r="H1885" s="29" t="s">
        <v>15</v>
      </c>
      <c r="I1885" s="42">
        <v>33</v>
      </c>
      <c r="J1885" s="42">
        <v>2</v>
      </c>
      <c r="K1885" s="381">
        <v>0</v>
      </c>
      <c r="L1885" s="66">
        <f t="shared" si="465"/>
        <v>35</v>
      </c>
      <c r="M1885" s="42"/>
    </row>
    <row r="1886" spans="2:13" ht="15.75" hidden="1" x14ac:dyDescent="0.2">
      <c r="B1886" s="10">
        <v>46231</v>
      </c>
      <c r="C1886" s="10" t="s">
        <v>22</v>
      </c>
      <c r="D1886" s="10" t="s">
        <v>13</v>
      </c>
      <c r="F1886" s="945"/>
      <c r="G1886" s="29" t="s">
        <v>118</v>
      </c>
      <c r="H1886" s="29" t="s">
        <v>22</v>
      </c>
      <c r="I1886" s="42">
        <v>5</v>
      </c>
      <c r="J1886" s="42">
        <v>0</v>
      </c>
      <c r="K1886" s="381">
        <v>0</v>
      </c>
      <c r="L1886" s="66">
        <f t="shared" si="465"/>
        <v>5</v>
      </c>
      <c r="M1886" s="42"/>
    </row>
    <row r="1887" spans="2:13" ht="15.75" hidden="1" x14ac:dyDescent="0.2">
      <c r="B1887" s="10">
        <v>46231</v>
      </c>
      <c r="C1887" s="10" t="s">
        <v>22</v>
      </c>
      <c r="D1887" s="10" t="s">
        <v>13</v>
      </c>
      <c r="F1887" s="937" t="s">
        <v>40</v>
      </c>
      <c r="G1887" s="937"/>
      <c r="H1887" s="937"/>
      <c r="I1887" s="8">
        <f>SUM(I1881:I1886)</f>
        <v>224</v>
      </c>
      <c r="J1887" s="8">
        <f t="shared" ref="J1887:L1887" si="466">SUM(J1881:J1886)</f>
        <v>77</v>
      </c>
      <c r="K1887" s="8">
        <f t="shared" si="466"/>
        <v>18</v>
      </c>
      <c r="L1887" s="8">
        <f t="shared" si="466"/>
        <v>319</v>
      </c>
      <c r="M1887" s="316"/>
    </row>
    <row r="1888" spans="2:13" ht="15.75" hidden="1" x14ac:dyDescent="0.2">
      <c r="B1888" s="10">
        <v>46232</v>
      </c>
      <c r="C1888" s="10" t="s">
        <v>106</v>
      </c>
      <c r="D1888" s="10" t="s">
        <v>13</v>
      </c>
      <c r="F1888" s="943">
        <v>46232</v>
      </c>
      <c r="G1888" s="29" t="s">
        <v>75</v>
      </c>
      <c r="H1888" s="29" t="s">
        <v>15</v>
      </c>
      <c r="I1888" s="42">
        <v>40</v>
      </c>
      <c r="J1888" s="42">
        <v>31</v>
      </c>
      <c r="K1888" s="381">
        <v>18</v>
      </c>
      <c r="L1888" s="66">
        <f t="shared" ref="L1888:L1893" si="467">SUM(I1888:K1888)</f>
        <v>89</v>
      </c>
    </row>
    <row r="1889" spans="2:13" ht="15.75" hidden="1" x14ac:dyDescent="0.2">
      <c r="B1889" s="10">
        <v>46232</v>
      </c>
      <c r="C1889" s="10" t="s">
        <v>106</v>
      </c>
      <c r="D1889" s="10" t="s">
        <v>13</v>
      </c>
      <c r="F1889" s="944"/>
      <c r="G1889" s="29" t="s">
        <v>14</v>
      </c>
      <c r="H1889" s="29" t="s">
        <v>105</v>
      </c>
      <c r="I1889" s="42">
        <v>15</v>
      </c>
      <c r="J1889" s="42">
        <v>0</v>
      </c>
      <c r="K1889" s="381">
        <v>0</v>
      </c>
      <c r="L1889" s="66">
        <f t="shared" si="467"/>
        <v>15</v>
      </c>
    </row>
    <row r="1890" spans="2:13" ht="15.75" hidden="1" x14ac:dyDescent="0.2">
      <c r="B1890" s="10">
        <v>46232</v>
      </c>
      <c r="C1890" s="10" t="s">
        <v>106</v>
      </c>
      <c r="D1890" s="10" t="s">
        <v>13</v>
      </c>
      <c r="F1890" s="944"/>
      <c r="G1890" s="29" t="s">
        <v>17</v>
      </c>
      <c r="H1890" s="29" t="s">
        <v>106</v>
      </c>
      <c r="I1890" s="42">
        <v>57</v>
      </c>
      <c r="J1890" s="42">
        <v>29</v>
      </c>
      <c r="K1890" s="381">
        <v>0</v>
      </c>
      <c r="L1890" s="66">
        <f t="shared" si="467"/>
        <v>86</v>
      </c>
    </row>
    <row r="1891" spans="2:13" ht="15.75" hidden="1" x14ac:dyDescent="0.2">
      <c r="B1891" s="10">
        <v>46232</v>
      </c>
      <c r="C1891" s="10" t="s">
        <v>106</v>
      </c>
      <c r="D1891" s="10" t="s">
        <v>13</v>
      </c>
      <c r="F1891" s="944"/>
      <c r="G1891" s="29" t="s">
        <v>25</v>
      </c>
      <c r="H1891" s="29" t="s">
        <v>105</v>
      </c>
      <c r="I1891" s="42">
        <v>78</v>
      </c>
      <c r="J1891" s="42">
        <f>15+14</f>
        <v>29</v>
      </c>
      <c r="K1891" s="381">
        <v>0</v>
      </c>
      <c r="L1891" s="66">
        <f t="shared" si="467"/>
        <v>107</v>
      </c>
    </row>
    <row r="1892" spans="2:13" ht="15.75" hidden="1" x14ac:dyDescent="0.2">
      <c r="B1892" s="10">
        <v>46232</v>
      </c>
      <c r="C1892" s="10" t="s">
        <v>106</v>
      </c>
      <c r="D1892" s="10" t="s">
        <v>13</v>
      </c>
      <c r="F1892" s="944"/>
      <c r="G1892" s="29" t="s">
        <v>84</v>
      </c>
      <c r="H1892" s="29" t="s">
        <v>15</v>
      </c>
      <c r="I1892" s="42">
        <v>33</v>
      </c>
      <c r="J1892" s="42">
        <v>2</v>
      </c>
      <c r="K1892" s="381">
        <v>0</v>
      </c>
      <c r="L1892" s="66">
        <f t="shared" si="467"/>
        <v>35</v>
      </c>
    </row>
    <row r="1893" spans="2:13" ht="15.75" hidden="1" x14ac:dyDescent="0.2">
      <c r="B1893" s="10">
        <v>46232</v>
      </c>
      <c r="C1893" s="10" t="s">
        <v>106</v>
      </c>
      <c r="D1893" s="10" t="s">
        <v>13</v>
      </c>
      <c r="F1893" s="945"/>
      <c r="G1893" s="29" t="s">
        <v>118</v>
      </c>
      <c r="H1893" s="29" t="s">
        <v>22</v>
      </c>
      <c r="I1893" s="42">
        <v>5</v>
      </c>
      <c r="J1893" s="42">
        <v>0</v>
      </c>
      <c r="K1893" s="381">
        <v>0</v>
      </c>
      <c r="L1893" s="66">
        <f t="shared" si="467"/>
        <v>5</v>
      </c>
    </row>
    <row r="1894" spans="2:13" ht="15.75" hidden="1" x14ac:dyDescent="0.2">
      <c r="B1894" s="10">
        <v>46232</v>
      </c>
      <c r="C1894" s="10" t="s">
        <v>106</v>
      </c>
      <c r="D1894" s="10" t="s">
        <v>13</v>
      </c>
      <c r="F1894" s="937" t="s">
        <v>40</v>
      </c>
      <c r="G1894" s="937"/>
      <c r="H1894" s="937"/>
      <c r="I1894" s="8">
        <f>SUM(I1888:I1893)</f>
        <v>228</v>
      </c>
      <c r="J1894" s="8">
        <f t="shared" ref="J1894:L1894" si="468">SUM(J1888:J1893)</f>
        <v>91</v>
      </c>
      <c r="K1894" s="8">
        <f t="shared" si="468"/>
        <v>18</v>
      </c>
      <c r="L1894" s="8">
        <f t="shared" si="468"/>
        <v>337</v>
      </c>
    </row>
    <row r="1895" spans="2:13" ht="15.75" hidden="1" x14ac:dyDescent="0.2">
      <c r="B1895" s="10">
        <v>46232</v>
      </c>
      <c r="C1895" s="10" t="s">
        <v>106</v>
      </c>
      <c r="D1895" s="10" t="s">
        <v>13</v>
      </c>
      <c r="F1895" s="398">
        <v>46233</v>
      </c>
      <c r="G1895" s="29" t="s">
        <v>75</v>
      </c>
      <c r="H1895" s="29" t="s">
        <v>15</v>
      </c>
      <c r="I1895" s="42">
        <v>54</v>
      </c>
      <c r="J1895" s="42">
        <v>41</v>
      </c>
      <c r="K1895" s="381">
        <v>1</v>
      </c>
      <c r="L1895" s="66">
        <f t="shared" ref="L1895" si="469">SUM(I1895:K1895)</f>
        <v>96</v>
      </c>
    </row>
    <row r="1896" spans="2:13" ht="15.75" hidden="1" x14ac:dyDescent="0.2">
      <c r="B1896" s="10">
        <v>46232</v>
      </c>
      <c r="C1896" s="10" t="s">
        <v>106</v>
      </c>
      <c r="D1896" s="10" t="s">
        <v>163</v>
      </c>
      <c r="F1896" s="937" t="s">
        <v>40</v>
      </c>
      <c r="G1896" s="937"/>
      <c r="H1896" s="937"/>
      <c r="I1896" s="8">
        <f>SUM(I1895:I1895)</f>
        <v>54</v>
      </c>
      <c r="J1896" s="8">
        <f>SUM(J1895:J1895)</f>
        <v>41</v>
      </c>
      <c r="K1896" s="8">
        <f>SUM(K1895:K1895)</f>
        <v>1</v>
      </c>
      <c r="L1896" s="8">
        <f>SUM(L1895:L1895)</f>
        <v>96</v>
      </c>
    </row>
    <row r="1897" spans="2:13" ht="15.75" hidden="1" x14ac:dyDescent="0.2">
      <c r="B1897" s="10">
        <v>46232</v>
      </c>
      <c r="C1897" s="10" t="s">
        <v>12</v>
      </c>
      <c r="D1897" s="10" t="s">
        <v>163</v>
      </c>
      <c r="F1897" s="943">
        <v>46232</v>
      </c>
      <c r="G1897" s="29" t="s">
        <v>75</v>
      </c>
      <c r="H1897" s="29" t="s">
        <v>15</v>
      </c>
      <c r="I1897" s="42">
        <v>25</v>
      </c>
      <c r="J1897" s="42">
        <v>15</v>
      </c>
      <c r="K1897" s="381">
        <v>0</v>
      </c>
      <c r="L1897" s="66">
        <f t="shared" ref="L1897:L1899" si="470">SUM(I1897:K1897)</f>
        <v>40</v>
      </c>
    </row>
    <row r="1898" spans="2:13" ht="15.75" hidden="1" x14ac:dyDescent="0.2">
      <c r="B1898" s="10">
        <v>46232</v>
      </c>
      <c r="C1898" s="10" t="s">
        <v>12</v>
      </c>
      <c r="D1898" s="10" t="s">
        <v>163</v>
      </c>
      <c r="F1898" s="944"/>
      <c r="G1898" s="29" t="s">
        <v>17</v>
      </c>
      <c r="H1898" s="29" t="s">
        <v>106</v>
      </c>
      <c r="I1898" s="42">
        <v>57</v>
      </c>
      <c r="J1898" s="42">
        <v>29</v>
      </c>
      <c r="K1898" s="381">
        <v>0</v>
      </c>
      <c r="L1898" s="66">
        <f t="shared" si="470"/>
        <v>86</v>
      </c>
    </row>
    <row r="1899" spans="2:13" ht="15.75" hidden="1" x14ac:dyDescent="0.2">
      <c r="B1899" s="10">
        <v>46232</v>
      </c>
      <c r="C1899" s="10" t="s">
        <v>12</v>
      </c>
      <c r="D1899" s="10" t="s">
        <v>163</v>
      </c>
      <c r="F1899" s="944"/>
      <c r="G1899" s="29" t="s">
        <v>25</v>
      </c>
      <c r="H1899" s="29" t="s">
        <v>105</v>
      </c>
      <c r="I1899" s="42">
        <v>8</v>
      </c>
      <c r="J1899" s="42">
        <v>17</v>
      </c>
      <c r="K1899" s="381">
        <v>0</v>
      </c>
      <c r="L1899" s="66">
        <f t="shared" si="470"/>
        <v>25</v>
      </c>
    </row>
    <row r="1900" spans="2:13" ht="15.75" hidden="1" x14ac:dyDescent="0.2">
      <c r="B1900" s="10">
        <v>46232</v>
      </c>
      <c r="C1900" s="10" t="s">
        <v>12</v>
      </c>
      <c r="D1900" s="10" t="s">
        <v>163</v>
      </c>
      <c r="F1900" s="937" t="s">
        <v>40</v>
      </c>
      <c r="G1900" s="937"/>
      <c r="H1900" s="937"/>
      <c r="I1900" s="8">
        <f>SUM(I1897:I1899)</f>
        <v>90</v>
      </c>
      <c r="J1900" s="8">
        <f>SUM(J1897:J1899)</f>
        <v>61</v>
      </c>
      <c r="K1900" s="8">
        <f>SUM(K1897:K1899)</f>
        <v>0</v>
      </c>
      <c r="L1900" s="8">
        <f>SUM(L1897:L1899)</f>
        <v>151</v>
      </c>
    </row>
    <row r="1901" spans="2:13" ht="15.75" hidden="1" x14ac:dyDescent="0.2">
      <c r="B1901" s="10">
        <v>46232</v>
      </c>
      <c r="C1901" s="10" t="s">
        <v>12</v>
      </c>
      <c r="D1901" s="10" t="s">
        <v>163</v>
      </c>
      <c r="F1901" s="398">
        <v>46233</v>
      </c>
      <c r="G1901" s="29" t="s">
        <v>75</v>
      </c>
      <c r="H1901" s="29" t="s">
        <v>15</v>
      </c>
      <c r="I1901" s="42">
        <f>99-25</f>
        <v>74</v>
      </c>
      <c r="J1901" s="42">
        <v>55</v>
      </c>
      <c r="K1901" s="381">
        <v>0</v>
      </c>
      <c r="L1901" s="66">
        <f t="shared" ref="L1901" si="471">SUM(I1901:K1901)</f>
        <v>129</v>
      </c>
    </row>
    <row r="1902" spans="2:13" ht="15.75" hidden="1" x14ac:dyDescent="0.2">
      <c r="B1902" s="10">
        <v>46232</v>
      </c>
      <c r="C1902" s="10" t="s">
        <v>12</v>
      </c>
      <c r="D1902" s="10" t="s">
        <v>163</v>
      </c>
      <c r="F1902" s="937" t="s">
        <v>40</v>
      </c>
      <c r="G1902" s="937"/>
      <c r="H1902" s="937"/>
      <c r="I1902" s="8">
        <f>SUM(I1901:I1901)</f>
        <v>74</v>
      </c>
      <c r="J1902" s="8">
        <f>SUM(J1901:J1901)</f>
        <v>55</v>
      </c>
      <c r="K1902" s="8">
        <f>SUM(K1901:K1901)</f>
        <v>0</v>
      </c>
      <c r="L1902" s="8">
        <f>SUM(L1901:L1901)</f>
        <v>129</v>
      </c>
    </row>
    <row r="1903" spans="2:13" ht="15.75" hidden="1" x14ac:dyDescent="0.2">
      <c r="B1903" s="10">
        <v>46232</v>
      </c>
      <c r="C1903" s="10" t="s">
        <v>18</v>
      </c>
      <c r="D1903" s="10" t="s">
        <v>189</v>
      </c>
      <c r="F1903" s="943">
        <v>46232</v>
      </c>
      <c r="G1903" s="29" t="s">
        <v>25</v>
      </c>
      <c r="H1903" s="29" t="s">
        <v>18</v>
      </c>
      <c r="I1903" s="42">
        <v>41</v>
      </c>
      <c r="J1903" s="42">
        <v>6</v>
      </c>
      <c r="K1903" s="381">
        <v>0</v>
      </c>
      <c r="L1903" s="66">
        <f t="shared" ref="L1903:L1907" si="472">SUM(I1903:K1903)</f>
        <v>47</v>
      </c>
      <c r="M1903" s="42"/>
    </row>
    <row r="1904" spans="2:13" ht="15.75" hidden="1" x14ac:dyDescent="0.2">
      <c r="B1904" s="10">
        <v>46232</v>
      </c>
      <c r="C1904" s="10" t="s">
        <v>18</v>
      </c>
      <c r="D1904" s="10" t="s">
        <v>189</v>
      </c>
      <c r="F1904" s="945"/>
      <c r="G1904" s="29" t="s">
        <v>120</v>
      </c>
      <c r="H1904" s="29" t="s">
        <v>18</v>
      </c>
      <c r="I1904" s="42">
        <v>2</v>
      </c>
      <c r="J1904" s="42">
        <v>0</v>
      </c>
      <c r="K1904" s="381">
        <v>0</v>
      </c>
      <c r="L1904" s="66">
        <f t="shared" si="472"/>
        <v>2</v>
      </c>
      <c r="M1904" s="42"/>
    </row>
    <row r="1905" spans="2:13" ht="15.75" hidden="1" x14ac:dyDescent="0.2">
      <c r="B1905" s="10">
        <v>46232</v>
      </c>
      <c r="C1905" s="10" t="s">
        <v>18</v>
      </c>
      <c r="D1905" s="10" t="s">
        <v>189</v>
      </c>
      <c r="F1905" s="943">
        <v>46233</v>
      </c>
      <c r="G1905" s="29" t="s">
        <v>75</v>
      </c>
      <c r="H1905" s="29" t="s">
        <v>15</v>
      </c>
      <c r="I1905" s="42">
        <v>36</v>
      </c>
      <c r="J1905" s="42">
        <v>19</v>
      </c>
      <c r="K1905" s="381">
        <v>0</v>
      </c>
      <c r="L1905" s="66">
        <f t="shared" si="472"/>
        <v>55</v>
      </c>
      <c r="M1905" s="42"/>
    </row>
    <row r="1906" spans="2:13" ht="15.75" hidden="1" x14ac:dyDescent="0.2">
      <c r="B1906" s="10">
        <v>46232</v>
      </c>
      <c r="C1906" s="10" t="s">
        <v>18</v>
      </c>
      <c r="D1906" s="10" t="s">
        <v>189</v>
      </c>
      <c r="F1906" s="944"/>
      <c r="G1906" s="29" t="s">
        <v>17</v>
      </c>
      <c r="H1906" s="29" t="s">
        <v>106</v>
      </c>
      <c r="I1906" s="42">
        <v>112</v>
      </c>
      <c r="J1906" s="42">
        <v>37</v>
      </c>
      <c r="K1906" s="381">
        <v>0</v>
      </c>
      <c r="L1906" s="66">
        <f t="shared" si="472"/>
        <v>149</v>
      </c>
      <c r="M1906" s="42"/>
    </row>
    <row r="1907" spans="2:13" ht="15.75" hidden="1" x14ac:dyDescent="0.2">
      <c r="B1907" s="10">
        <v>46232</v>
      </c>
      <c r="C1907" s="10" t="s">
        <v>18</v>
      </c>
      <c r="D1907" s="10" t="s">
        <v>189</v>
      </c>
      <c r="F1907" s="944"/>
      <c r="G1907" s="29" t="s">
        <v>14</v>
      </c>
      <c r="H1907" s="29" t="s">
        <v>105</v>
      </c>
      <c r="I1907" s="42">
        <v>15</v>
      </c>
      <c r="J1907" s="42">
        <v>7</v>
      </c>
      <c r="K1907" s="381">
        <v>0</v>
      </c>
      <c r="L1907" s="66">
        <f t="shared" si="472"/>
        <v>22</v>
      </c>
      <c r="M1907" s="42"/>
    </row>
    <row r="1908" spans="2:13" ht="15.75" hidden="1" x14ac:dyDescent="0.2">
      <c r="B1908" s="10">
        <v>46232</v>
      </c>
      <c r="C1908" s="10" t="s">
        <v>18</v>
      </c>
      <c r="D1908" s="10" t="s">
        <v>189</v>
      </c>
      <c r="F1908" s="937" t="s">
        <v>40</v>
      </c>
      <c r="G1908" s="937"/>
      <c r="H1908" s="937"/>
      <c r="I1908" s="8">
        <f>SUM(I1903:I1907)</f>
        <v>206</v>
      </c>
      <c r="J1908" s="8">
        <f>SUM(J1903:J1907)</f>
        <v>69</v>
      </c>
      <c r="K1908" s="8">
        <f>SUM(K1903:K1907)</f>
        <v>0</v>
      </c>
      <c r="L1908" s="8">
        <f>SUM(L1903:L1907)</f>
        <v>275</v>
      </c>
      <c r="M1908" s="316"/>
    </row>
    <row r="1909" spans="2:13" ht="15.75" hidden="1" x14ac:dyDescent="0.2">
      <c r="B1909" s="10">
        <v>46233</v>
      </c>
      <c r="C1909" s="10" t="s">
        <v>22</v>
      </c>
      <c r="D1909" s="10" t="s">
        <v>13</v>
      </c>
      <c r="F1909" s="943">
        <v>46233</v>
      </c>
      <c r="G1909" s="29" t="s">
        <v>75</v>
      </c>
      <c r="H1909" s="29" t="s">
        <v>15</v>
      </c>
      <c r="I1909" s="42">
        <v>17</v>
      </c>
      <c r="J1909" s="42">
        <v>25</v>
      </c>
      <c r="K1909" s="381">
        <v>0</v>
      </c>
      <c r="L1909" s="66">
        <f t="shared" ref="L1909:L1913" si="473">SUM(I1909:K1909)</f>
        <v>42</v>
      </c>
      <c r="M1909" s="42"/>
    </row>
    <row r="1910" spans="2:13" ht="15.75" hidden="1" x14ac:dyDescent="0.2">
      <c r="B1910" s="10">
        <v>46233</v>
      </c>
      <c r="C1910" s="10" t="s">
        <v>22</v>
      </c>
      <c r="D1910" s="10" t="s">
        <v>13</v>
      </c>
      <c r="F1910" s="944"/>
      <c r="G1910" s="29" t="s">
        <v>14</v>
      </c>
      <c r="H1910" s="29" t="s">
        <v>105</v>
      </c>
      <c r="I1910" s="42">
        <v>74</v>
      </c>
      <c r="J1910" s="42">
        <v>25</v>
      </c>
      <c r="K1910" s="381">
        <v>38</v>
      </c>
      <c r="L1910" s="66">
        <f t="shared" si="473"/>
        <v>137</v>
      </c>
      <c r="M1910" s="42"/>
    </row>
    <row r="1911" spans="2:13" ht="15.75" hidden="1" x14ac:dyDescent="0.2">
      <c r="B1911" s="10">
        <v>46233</v>
      </c>
      <c r="C1911" s="10" t="s">
        <v>22</v>
      </c>
      <c r="D1911" s="10" t="s">
        <v>13</v>
      </c>
      <c r="F1911" s="944"/>
      <c r="G1911" s="29" t="s">
        <v>17</v>
      </c>
      <c r="H1911" s="29" t="s">
        <v>106</v>
      </c>
      <c r="I1911" s="42">
        <v>26</v>
      </c>
      <c r="J1911" s="42">
        <v>13</v>
      </c>
      <c r="K1911" s="381">
        <v>0</v>
      </c>
      <c r="L1911" s="66">
        <f t="shared" si="473"/>
        <v>39</v>
      </c>
      <c r="M1911" s="42"/>
    </row>
    <row r="1912" spans="2:13" ht="15.75" hidden="1" x14ac:dyDescent="0.2">
      <c r="B1912" s="10">
        <v>46233</v>
      </c>
      <c r="C1912" s="10" t="s">
        <v>22</v>
      </c>
      <c r="D1912" s="10" t="s">
        <v>13</v>
      </c>
      <c r="F1912" s="944"/>
      <c r="G1912" s="29" t="s">
        <v>180</v>
      </c>
      <c r="H1912" s="29" t="s">
        <v>22</v>
      </c>
      <c r="I1912" s="42">
        <v>5</v>
      </c>
      <c r="J1912" s="42">
        <v>2</v>
      </c>
      <c r="K1912" s="381">
        <v>0</v>
      </c>
      <c r="L1912" s="66">
        <f t="shared" si="473"/>
        <v>7</v>
      </c>
      <c r="M1912" s="42"/>
    </row>
    <row r="1913" spans="2:13" ht="15.75" hidden="1" x14ac:dyDescent="0.2">
      <c r="B1913" s="10">
        <v>46233</v>
      </c>
      <c r="C1913" s="10" t="s">
        <v>22</v>
      </c>
      <c r="D1913" s="10" t="s">
        <v>13</v>
      </c>
      <c r="F1913" s="945"/>
      <c r="G1913" s="29" t="s">
        <v>123</v>
      </c>
      <c r="H1913" s="29" t="s">
        <v>22</v>
      </c>
      <c r="I1913" s="42">
        <v>1</v>
      </c>
      <c r="J1913" s="42">
        <v>0</v>
      </c>
      <c r="K1913" s="381">
        <v>0</v>
      </c>
      <c r="L1913" s="66">
        <f t="shared" si="473"/>
        <v>1</v>
      </c>
      <c r="M1913" s="42"/>
    </row>
    <row r="1914" spans="2:13" ht="15.75" hidden="1" x14ac:dyDescent="0.2">
      <c r="B1914" s="10">
        <v>46233</v>
      </c>
      <c r="C1914" s="10" t="s">
        <v>22</v>
      </c>
      <c r="D1914" s="10" t="s">
        <v>13</v>
      </c>
      <c r="F1914" s="937" t="s">
        <v>40</v>
      </c>
      <c r="G1914" s="937"/>
      <c r="H1914" s="937"/>
      <c r="I1914" s="8">
        <f>SUM(I1909:I1913)</f>
        <v>123</v>
      </c>
      <c r="J1914" s="8">
        <f t="shared" ref="J1914:L1914" si="474">SUM(J1909:J1913)</f>
        <v>65</v>
      </c>
      <c r="K1914" s="8">
        <f t="shared" si="474"/>
        <v>38</v>
      </c>
      <c r="L1914" s="8">
        <f t="shared" si="474"/>
        <v>226</v>
      </c>
      <c r="M1914" s="316"/>
    </row>
    <row r="1915" spans="2:13" ht="15.75" hidden="1" x14ac:dyDescent="0.2">
      <c r="B1915" s="10">
        <v>46233</v>
      </c>
      <c r="C1915" s="10" t="s">
        <v>106</v>
      </c>
      <c r="D1915" s="10" t="s">
        <v>13</v>
      </c>
      <c r="F1915" s="943">
        <v>46233</v>
      </c>
      <c r="G1915" s="29" t="s">
        <v>75</v>
      </c>
      <c r="H1915" s="29" t="s">
        <v>15</v>
      </c>
      <c r="I1915" s="42">
        <v>17</v>
      </c>
      <c r="J1915" s="42">
        <v>40</v>
      </c>
      <c r="K1915" s="381">
        <v>0</v>
      </c>
      <c r="L1915" s="66">
        <f t="shared" ref="L1915:L1919" si="475">SUM(I1915:K1915)</f>
        <v>57</v>
      </c>
      <c r="M1915" s="42"/>
    </row>
    <row r="1916" spans="2:13" ht="15.75" hidden="1" x14ac:dyDescent="0.2">
      <c r="B1916" s="10">
        <v>46233</v>
      </c>
      <c r="C1916" s="10" t="s">
        <v>106</v>
      </c>
      <c r="D1916" s="10" t="s">
        <v>13</v>
      </c>
      <c r="F1916" s="944"/>
      <c r="G1916" s="29" t="s">
        <v>14</v>
      </c>
      <c r="H1916" s="29" t="s">
        <v>105</v>
      </c>
      <c r="I1916" s="42">
        <f>74+23+23</f>
        <v>120</v>
      </c>
      <c r="J1916" s="42">
        <f>25+9</f>
        <v>34</v>
      </c>
      <c r="K1916" s="381">
        <v>0</v>
      </c>
      <c r="L1916" s="66">
        <f t="shared" si="475"/>
        <v>154</v>
      </c>
      <c r="M1916" s="316"/>
    </row>
    <row r="1917" spans="2:13" ht="15.75" hidden="1" x14ac:dyDescent="0.2">
      <c r="B1917" s="10">
        <v>46233</v>
      </c>
      <c r="C1917" s="10" t="s">
        <v>106</v>
      </c>
      <c r="D1917" s="10" t="s">
        <v>13</v>
      </c>
      <c r="F1917" s="944"/>
      <c r="G1917" s="29" t="s">
        <v>17</v>
      </c>
      <c r="H1917" s="29" t="s">
        <v>106</v>
      </c>
      <c r="I1917" s="42">
        <f>26+8</f>
        <v>34</v>
      </c>
      <c r="J1917" s="42">
        <f>13+12</f>
        <v>25</v>
      </c>
      <c r="K1917" s="381">
        <v>0</v>
      </c>
      <c r="L1917" s="66">
        <f t="shared" si="475"/>
        <v>59</v>
      </c>
    </row>
    <row r="1918" spans="2:13" ht="15.75" hidden="1" x14ac:dyDescent="0.2">
      <c r="B1918" s="10">
        <v>46233</v>
      </c>
      <c r="C1918" s="10" t="s">
        <v>106</v>
      </c>
      <c r="D1918" s="10" t="s">
        <v>13</v>
      </c>
      <c r="F1918" s="944"/>
      <c r="G1918" s="29" t="s">
        <v>180</v>
      </c>
      <c r="H1918" s="29" t="s">
        <v>22</v>
      </c>
      <c r="I1918" s="42">
        <v>6</v>
      </c>
      <c r="J1918" s="42">
        <v>2</v>
      </c>
      <c r="K1918" s="381">
        <v>0</v>
      </c>
      <c r="L1918" s="66">
        <f t="shared" si="475"/>
        <v>8</v>
      </c>
    </row>
    <row r="1919" spans="2:13" ht="15.75" hidden="1" x14ac:dyDescent="0.2">
      <c r="B1919" s="10">
        <v>46233</v>
      </c>
      <c r="C1919" s="10" t="s">
        <v>106</v>
      </c>
      <c r="D1919" s="10" t="s">
        <v>13</v>
      </c>
      <c r="F1919" s="945"/>
      <c r="G1919" s="29" t="s">
        <v>123</v>
      </c>
      <c r="H1919" s="29" t="s">
        <v>22</v>
      </c>
      <c r="I1919" s="42">
        <v>1</v>
      </c>
      <c r="J1919" s="42">
        <v>0</v>
      </c>
      <c r="K1919" s="381">
        <v>0</v>
      </c>
      <c r="L1919" s="66">
        <f t="shared" si="475"/>
        <v>1</v>
      </c>
    </row>
    <row r="1920" spans="2:13" ht="15.75" hidden="1" x14ac:dyDescent="0.2">
      <c r="B1920" s="10">
        <v>46233</v>
      </c>
      <c r="C1920" s="10" t="s">
        <v>106</v>
      </c>
      <c r="D1920" s="10" t="s">
        <v>13</v>
      </c>
      <c r="F1920" s="937" t="s">
        <v>40</v>
      </c>
      <c r="G1920" s="937"/>
      <c r="H1920" s="937"/>
      <c r="I1920" s="8">
        <f>SUM(I1915:I1919)</f>
        <v>178</v>
      </c>
      <c r="J1920" s="8">
        <f t="shared" ref="J1920:L1920" si="476">SUM(J1915:J1919)</f>
        <v>101</v>
      </c>
      <c r="K1920" s="8">
        <f t="shared" si="476"/>
        <v>0</v>
      </c>
      <c r="L1920" s="8">
        <f t="shared" si="476"/>
        <v>279</v>
      </c>
    </row>
    <row r="1921" spans="2:13" ht="15.75" hidden="1" x14ac:dyDescent="0.2">
      <c r="B1921" s="10">
        <v>46233</v>
      </c>
      <c r="C1921" s="10" t="s">
        <v>106</v>
      </c>
      <c r="D1921" s="10" t="s">
        <v>13</v>
      </c>
      <c r="F1921" s="399">
        <v>46234</v>
      </c>
      <c r="G1921" s="29" t="s">
        <v>75</v>
      </c>
      <c r="H1921" s="29" t="s">
        <v>15</v>
      </c>
      <c r="I1921" s="42">
        <v>72</v>
      </c>
      <c r="J1921" s="42">
        <v>20</v>
      </c>
      <c r="K1921" s="381">
        <v>0</v>
      </c>
      <c r="L1921" s="66">
        <f t="shared" ref="L1921" si="477">SUM(I1921:K1921)</f>
        <v>92</v>
      </c>
    </row>
    <row r="1922" spans="2:13" ht="15.75" hidden="1" x14ac:dyDescent="0.2">
      <c r="B1922" s="10">
        <v>46233</v>
      </c>
      <c r="C1922" s="10" t="s">
        <v>106</v>
      </c>
      <c r="D1922" s="10" t="s">
        <v>13</v>
      </c>
      <c r="F1922" s="400" t="s">
        <v>40</v>
      </c>
      <c r="G1922" s="400"/>
      <c r="H1922" s="400"/>
      <c r="I1922" s="8">
        <f>SUM(I1921:I1921)</f>
        <v>72</v>
      </c>
      <c r="J1922" s="8">
        <f>SUM(J1921:J1921)</f>
        <v>20</v>
      </c>
      <c r="K1922" s="8">
        <f>SUM(K1921:K1921)</f>
        <v>0</v>
      </c>
      <c r="L1922" s="8">
        <f>SUM(L1921:L1921)</f>
        <v>92</v>
      </c>
    </row>
    <row r="1923" spans="2:13" ht="15.75" hidden="1" x14ac:dyDescent="0.2">
      <c r="B1923" s="10">
        <v>46233</v>
      </c>
      <c r="C1923" s="10" t="s">
        <v>12</v>
      </c>
      <c r="D1923" s="10" t="s">
        <v>163</v>
      </c>
      <c r="F1923" s="943">
        <v>46233</v>
      </c>
      <c r="G1923" s="29" t="s">
        <v>75</v>
      </c>
      <c r="H1923" s="29" t="s">
        <v>15</v>
      </c>
      <c r="I1923" s="42">
        <v>17</v>
      </c>
      <c r="J1923" s="42">
        <v>40</v>
      </c>
      <c r="K1923" s="381">
        <v>0</v>
      </c>
      <c r="L1923" s="66">
        <f t="shared" ref="L1923:L1924" si="478">SUM(I1923:K1923)</f>
        <v>57</v>
      </c>
    </row>
    <row r="1924" spans="2:13" ht="15.75" hidden="1" x14ac:dyDescent="0.2">
      <c r="B1924" s="10">
        <v>46233</v>
      </c>
      <c r="C1924" s="10" t="s">
        <v>12</v>
      </c>
      <c r="D1924" s="10" t="s">
        <v>163</v>
      </c>
      <c r="F1924" s="944"/>
      <c r="G1924" s="29" t="s">
        <v>14</v>
      </c>
      <c r="H1924" s="29" t="s">
        <v>105</v>
      </c>
      <c r="I1924" s="42">
        <v>42</v>
      </c>
      <c r="J1924" s="42">
        <v>13</v>
      </c>
      <c r="K1924" s="381">
        <v>0</v>
      </c>
      <c r="L1924" s="66">
        <f t="shared" si="478"/>
        <v>55</v>
      </c>
    </row>
    <row r="1925" spans="2:13" ht="15.75" hidden="1" x14ac:dyDescent="0.2">
      <c r="B1925" s="10">
        <v>46233</v>
      </c>
      <c r="C1925" s="10" t="s">
        <v>12</v>
      </c>
      <c r="D1925" s="10" t="s">
        <v>163</v>
      </c>
      <c r="F1925" s="403"/>
      <c r="G1925" s="29" t="s">
        <v>17</v>
      </c>
      <c r="H1925" s="29" t="s">
        <v>106</v>
      </c>
      <c r="I1925" s="42">
        <v>8</v>
      </c>
      <c r="J1925" s="42">
        <v>13</v>
      </c>
      <c r="K1925" s="381">
        <v>0</v>
      </c>
      <c r="L1925" s="66">
        <f t="shared" ref="L1925" si="479">SUM(I1925:K1925)</f>
        <v>21</v>
      </c>
    </row>
    <row r="1926" spans="2:13" ht="15.75" hidden="1" x14ac:dyDescent="0.2">
      <c r="B1926" s="10">
        <v>46233</v>
      </c>
      <c r="C1926" s="10" t="s">
        <v>12</v>
      </c>
      <c r="D1926" s="10" t="s">
        <v>163</v>
      </c>
      <c r="F1926" s="937" t="s">
        <v>40</v>
      </c>
      <c r="G1926" s="937"/>
      <c r="H1926" s="937"/>
      <c r="I1926" s="8">
        <f>SUM(I1923:I1924)</f>
        <v>59</v>
      </c>
      <c r="J1926" s="8">
        <f>SUM(J1923:J1924)</f>
        <v>53</v>
      </c>
      <c r="K1926" s="8">
        <f>SUM(K1923:K1924)</f>
        <v>0</v>
      </c>
      <c r="L1926" s="8">
        <f>SUM(L1923:L1924)</f>
        <v>112</v>
      </c>
    </row>
    <row r="1927" spans="2:13" ht="15.75" hidden="1" x14ac:dyDescent="0.2">
      <c r="B1927" s="10">
        <v>46233</v>
      </c>
      <c r="C1927" s="10" t="s">
        <v>12</v>
      </c>
      <c r="D1927" s="10" t="s">
        <v>163</v>
      </c>
      <c r="F1927" s="399">
        <v>46234</v>
      </c>
      <c r="G1927" s="29" t="s">
        <v>75</v>
      </c>
      <c r="H1927" s="29" t="s">
        <v>15</v>
      </c>
      <c r="I1927" s="42">
        <v>154</v>
      </c>
      <c r="J1927" s="42">
        <v>47</v>
      </c>
      <c r="K1927" s="381">
        <v>0</v>
      </c>
      <c r="L1927" s="66">
        <f t="shared" ref="L1927" si="480">SUM(I1927:K1927)</f>
        <v>201</v>
      </c>
    </row>
    <row r="1928" spans="2:13" ht="15.75" hidden="1" x14ac:dyDescent="0.2">
      <c r="B1928" s="10">
        <v>46233</v>
      </c>
      <c r="C1928" s="10" t="s">
        <v>12</v>
      </c>
      <c r="D1928" s="10" t="s">
        <v>163</v>
      </c>
      <c r="F1928" s="402">
        <v>46234</v>
      </c>
      <c r="G1928" s="29" t="s">
        <v>17</v>
      </c>
      <c r="H1928" s="29" t="s">
        <v>106</v>
      </c>
      <c r="I1928" s="42">
        <v>0</v>
      </c>
      <c r="J1928" s="42">
        <v>0</v>
      </c>
      <c r="K1928" s="381">
        <v>15</v>
      </c>
      <c r="L1928" s="66">
        <f t="shared" ref="L1928" si="481">SUM(I1928:K1928)</f>
        <v>15</v>
      </c>
    </row>
    <row r="1929" spans="2:13" ht="15.75" hidden="1" x14ac:dyDescent="0.2">
      <c r="B1929" s="10">
        <v>46233</v>
      </c>
      <c r="C1929" s="10" t="s">
        <v>12</v>
      </c>
      <c r="D1929" s="10" t="s">
        <v>163</v>
      </c>
      <c r="F1929" s="400" t="s">
        <v>40</v>
      </c>
      <c r="G1929" s="400"/>
      <c r="H1929" s="400"/>
      <c r="I1929" s="8">
        <f>SUM(I1927:I1927)</f>
        <v>154</v>
      </c>
      <c r="J1929" s="8">
        <f>SUM(J1927:J1927)</f>
        <v>47</v>
      </c>
      <c r="K1929" s="8">
        <f>SUM(K1927:K1927)</f>
        <v>0</v>
      </c>
      <c r="L1929" s="8">
        <f>SUM(L1927:L1927)</f>
        <v>201</v>
      </c>
    </row>
    <row r="1930" spans="2:13" ht="15.75" hidden="1" x14ac:dyDescent="0.2">
      <c r="B1930" s="10">
        <v>46233</v>
      </c>
      <c r="C1930" s="10" t="s">
        <v>18</v>
      </c>
      <c r="D1930" s="10" t="s">
        <v>189</v>
      </c>
      <c r="F1930" s="942">
        <v>46233</v>
      </c>
      <c r="G1930" s="29" t="s">
        <v>14</v>
      </c>
      <c r="H1930" s="29" t="s">
        <v>18</v>
      </c>
      <c r="I1930" s="42">
        <v>24</v>
      </c>
      <c r="J1930" s="42">
        <v>7</v>
      </c>
      <c r="K1930" s="381">
        <v>0</v>
      </c>
      <c r="L1930" s="66">
        <f t="shared" ref="L1930:L1934" si="482">SUM(I1930:K1930)</f>
        <v>31</v>
      </c>
      <c r="M1930" s="42"/>
    </row>
    <row r="1931" spans="2:13" ht="15.75" hidden="1" x14ac:dyDescent="0.2">
      <c r="B1931" s="10">
        <v>46233</v>
      </c>
      <c r="C1931" s="10" t="s">
        <v>18</v>
      </c>
      <c r="D1931" s="10" t="s">
        <v>189</v>
      </c>
      <c r="F1931" s="942"/>
      <c r="G1931" s="29" t="s">
        <v>25</v>
      </c>
      <c r="H1931" s="29" t="s">
        <v>18</v>
      </c>
      <c r="I1931" s="42">
        <v>4</v>
      </c>
      <c r="J1931" s="42">
        <v>0</v>
      </c>
      <c r="K1931" s="381">
        <v>0</v>
      </c>
      <c r="L1931" s="66">
        <f t="shared" si="482"/>
        <v>4</v>
      </c>
      <c r="M1931" s="42"/>
    </row>
    <row r="1932" spans="2:13" ht="15.75" hidden="1" x14ac:dyDescent="0.2">
      <c r="B1932" s="10">
        <v>46233</v>
      </c>
      <c r="C1932" s="10" t="s">
        <v>18</v>
      </c>
      <c r="D1932" s="10" t="s">
        <v>189</v>
      </c>
      <c r="F1932" s="942"/>
      <c r="G1932" s="29" t="s">
        <v>120</v>
      </c>
      <c r="H1932" s="29" t="s">
        <v>18</v>
      </c>
      <c r="I1932" s="42">
        <v>2</v>
      </c>
      <c r="J1932" s="42">
        <v>0</v>
      </c>
      <c r="K1932" s="381">
        <v>0</v>
      </c>
      <c r="L1932" s="66">
        <f t="shared" si="482"/>
        <v>2</v>
      </c>
      <c r="M1932" s="42"/>
    </row>
    <row r="1933" spans="2:13" ht="15.75" hidden="1" x14ac:dyDescent="0.2">
      <c r="B1933" s="10">
        <v>46233</v>
      </c>
      <c r="C1933" s="10" t="s">
        <v>18</v>
      </c>
      <c r="D1933" s="10" t="s">
        <v>189</v>
      </c>
      <c r="F1933" s="948">
        <v>46234</v>
      </c>
      <c r="G1933" s="29" t="s">
        <v>17</v>
      </c>
      <c r="H1933" s="29" t="s">
        <v>106</v>
      </c>
      <c r="I1933" s="42">
        <v>103</v>
      </c>
      <c r="J1933" s="42">
        <v>24</v>
      </c>
      <c r="K1933" s="381">
        <v>0</v>
      </c>
      <c r="L1933" s="66">
        <f t="shared" si="482"/>
        <v>127</v>
      </c>
      <c r="M1933" s="42"/>
    </row>
    <row r="1934" spans="2:13" ht="15.75" hidden="1" x14ac:dyDescent="0.2">
      <c r="B1934" s="10">
        <v>46233</v>
      </c>
      <c r="C1934" s="10" t="s">
        <v>18</v>
      </c>
      <c r="D1934" s="10" t="s">
        <v>189</v>
      </c>
      <c r="F1934" s="948"/>
      <c r="G1934" s="29" t="s">
        <v>14</v>
      </c>
      <c r="H1934" s="29" t="s">
        <v>105</v>
      </c>
      <c r="I1934" s="42">
        <v>32</v>
      </c>
      <c r="J1934" s="42">
        <v>19</v>
      </c>
      <c r="K1934" s="381">
        <v>50</v>
      </c>
      <c r="L1934" s="66">
        <f t="shared" si="482"/>
        <v>101</v>
      </c>
      <c r="M1934" s="42"/>
    </row>
    <row r="1935" spans="2:13" ht="15.75" hidden="1" x14ac:dyDescent="0.2">
      <c r="B1935" s="10">
        <v>46233</v>
      </c>
      <c r="C1935" s="10" t="s">
        <v>18</v>
      </c>
      <c r="D1935" s="10" t="s">
        <v>189</v>
      </c>
      <c r="F1935" s="937" t="s">
        <v>40</v>
      </c>
      <c r="G1935" s="937"/>
      <c r="H1935" s="937"/>
      <c r="I1935" s="8">
        <f>SUM(I1930:I1934)</f>
        <v>165</v>
      </c>
      <c r="J1935" s="8">
        <f>SUM(J1930:J1934)</f>
        <v>50</v>
      </c>
      <c r="K1935" s="8">
        <f>SUM(K1930:K1934)</f>
        <v>50</v>
      </c>
      <c r="L1935" s="8">
        <f>SUM(L1930:L1934)</f>
        <v>265</v>
      </c>
      <c r="M1935" s="316"/>
    </row>
    <row r="1936" spans="2:13" ht="15.75" hidden="1" x14ac:dyDescent="0.2">
      <c r="B1936" s="10">
        <v>46234</v>
      </c>
      <c r="C1936" s="10" t="s">
        <v>22</v>
      </c>
      <c r="D1936" s="10" t="s">
        <v>13</v>
      </c>
      <c r="F1936" s="939">
        <v>46234</v>
      </c>
      <c r="G1936" s="29" t="s">
        <v>16</v>
      </c>
      <c r="H1936" s="29" t="s">
        <v>18</v>
      </c>
      <c r="I1936" s="42">
        <v>7</v>
      </c>
      <c r="J1936" s="42">
        <v>12</v>
      </c>
      <c r="K1936" s="381">
        <v>0</v>
      </c>
      <c r="L1936" s="66">
        <f t="shared" ref="L1936:L1940" si="483">SUM(I1936:K1936)</f>
        <v>19</v>
      </c>
      <c r="M1936" s="42"/>
    </row>
    <row r="1937" spans="2:13" ht="15.75" hidden="1" x14ac:dyDescent="0.2">
      <c r="B1937" s="10">
        <v>46234</v>
      </c>
      <c r="C1937" s="10" t="s">
        <v>22</v>
      </c>
      <c r="D1937" s="10" t="s">
        <v>13</v>
      </c>
      <c r="F1937" s="940"/>
      <c r="G1937" s="29" t="s">
        <v>25</v>
      </c>
      <c r="H1937" s="29" t="s">
        <v>18</v>
      </c>
      <c r="I1937" s="42">
        <v>24</v>
      </c>
      <c r="J1937" s="42">
        <v>0</v>
      </c>
      <c r="K1937" s="381">
        <v>0</v>
      </c>
      <c r="L1937" s="66">
        <f t="shared" si="483"/>
        <v>24</v>
      </c>
      <c r="M1937" s="42"/>
    </row>
    <row r="1938" spans="2:13" ht="15.75" hidden="1" x14ac:dyDescent="0.2">
      <c r="B1938" s="10">
        <v>46234</v>
      </c>
      <c r="C1938" s="10" t="s">
        <v>22</v>
      </c>
      <c r="D1938" s="10" t="s">
        <v>13</v>
      </c>
      <c r="F1938" s="940"/>
      <c r="G1938" s="29" t="s">
        <v>109</v>
      </c>
      <c r="H1938" s="29" t="s">
        <v>106</v>
      </c>
      <c r="I1938" s="42">
        <v>4</v>
      </c>
      <c r="J1938" s="42">
        <v>0</v>
      </c>
      <c r="K1938" s="381">
        <v>0</v>
      </c>
      <c r="L1938" s="66">
        <f t="shared" si="483"/>
        <v>4</v>
      </c>
      <c r="M1938" s="42"/>
    </row>
    <row r="1939" spans="2:13" ht="15.75" hidden="1" x14ac:dyDescent="0.2">
      <c r="B1939" s="10">
        <v>46234</v>
      </c>
      <c r="C1939" s="10" t="s">
        <v>22</v>
      </c>
      <c r="D1939" s="10" t="s">
        <v>13</v>
      </c>
      <c r="F1939" s="940"/>
      <c r="G1939" s="29" t="s">
        <v>17</v>
      </c>
      <c r="H1939" s="29" t="s">
        <v>106</v>
      </c>
      <c r="I1939" s="42">
        <v>28</v>
      </c>
      <c r="J1939" s="42">
        <v>8</v>
      </c>
      <c r="K1939" s="381">
        <v>0</v>
      </c>
      <c r="L1939" s="66">
        <f t="shared" si="483"/>
        <v>36</v>
      </c>
      <c r="M1939" s="42"/>
    </row>
    <row r="1940" spans="2:13" ht="15.75" hidden="1" x14ac:dyDescent="0.2">
      <c r="B1940" s="10">
        <v>46234</v>
      </c>
      <c r="C1940" s="10" t="s">
        <v>22</v>
      </c>
      <c r="D1940" s="10" t="s">
        <v>13</v>
      </c>
      <c r="F1940" s="941"/>
      <c r="G1940" s="29" t="s">
        <v>14</v>
      </c>
      <c r="H1940" s="29" t="s">
        <v>105</v>
      </c>
      <c r="I1940" s="42">
        <v>45</v>
      </c>
      <c r="J1940" s="42">
        <v>19</v>
      </c>
      <c r="K1940" s="381">
        <v>0</v>
      </c>
      <c r="L1940" s="66">
        <f t="shared" si="483"/>
        <v>64</v>
      </c>
      <c r="M1940" s="42"/>
    </row>
    <row r="1941" spans="2:13" ht="15.75" hidden="1" x14ac:dyDescent="0.2">
      <c r="B1941" s="10">
        <v>46234</v>
      </c>
      <c r="C1941" s="10" t="s">
        <v>22</v>
      </c>
      <c r="D1941" s="10" t="s">
        <v>13</v>
      </c>
      <c r="F1941" s="404">
        <v>46235</v>
      </c>
      <c r="G1941" s="29" t="s">
        <v>16</v>
      </c>
      <c r="H1941" s="29" t="s">
        <v>18</v>
      </c>
      <c r="I1941" s="42">
        <v>70</v>
      </c>
      <c r="J1941" s="42">
        <v>26</v>
      </c>
      <c r="K1941" s="381">
        <v>72</v>
      </c>
      <c r="L1941" s="66">
        <f t="shared" ref="L1941" si="484">SUM(I1941:K1941)</f>
        <v>168</v>
      </c>
      <c r="M1941" s="42"/>
    </row>
    <row r="1942" spans="2:13" ht="15.75" hidden="1" x14ac:dyDescent="0.2">
      <c r="B1942" s="10">
        <v>46234</v>
      </c>
      <c r="C1942" s="10" t="s">
        <v>22</v>
      </c>
      <c r="D1942" s="10" t="s">
        <v>13</v>
      </c>
      <c r="F1942" s="937" t="s">
        <v>40</v>
      </c>
      <c r="G1942" s="937"/>
      <c r="H1942" s="937"/>
      <c r="I1942" s="8">
        <f>SUM(I1936:I1941)</f>
        <v>178</v>
      </c>
      <c r="J1942" s="8">
        <f>SUM(J1936:J1941)</f>
        <v>65</v>
      </c>
      <c r="K1942" s="8">
        <f>SUM(K1936:K1941)</f>
        <v>72</v>
      </c>
      <c r="L1942" s="8">
        <f>SUM(L1936:L1941)</f>
        <v>315</v>
      </c>
      <c r="M1942" s="316"/>
    </row>
    <row r="1943" spans="2:13" ht="15.75" hidden="1" x14ac:dyDescent="0.2">
      <c r="B1943" s="10">
        <v>46234</v>
      </c>
      <c r="C1943" s="10" t="s">
        <v>106</v>
      </c>
      <c r="D1943" s="10" t="s">
        <v>13</v>
      </c>
      <c r="F1943" s="939">
        <v>46234</v>
      </c>
      <c r="G1943" s="29" t="s">
        <v>16</v>
      </c>
      <c r="H1943" s="29" t="s">
        <v>18</v>
      </c>
      <c r="I1943" s="42">
        <f>7+5</f>
        <v>12</v>
      </c>
      <c r="J1943" s="42">
        <v>38</v>
      </c>
      <c r="K1943" s="381">
        <v>0</v>
      </c>
      <c r="L1943" s="66">
        <f t="shared" ref="L1943:L1948" si="485">SUM(I1943:K1943)</f>
        <v>50</v>
      </c>
      <c r="M1943" s="42"/>
    </row>
    <row r="1944" spans="2:13" ht="15.75" hidden="1" x14ac:dyDescent="0.2">
      <c r="B1944" s="10">
        <v>46234</v>
      </c>
      <c r="C1944" s="10" t="s">
        <v>106</v>
      </c>
      <c r="D1944" s="10" t="s">
        <v>13</v>
      </c>
      <c r="F1944" s="940"/>
      <c r="G1944" s="29" t="s">
        <v>25</v>
      </c>
      <c r="H1944" s="29" t="s">
        <v>18</v>
      </c>
      <c r="I1944" s="42">
        <v>24</v>
      </c>
      <c r="J1944" s="42">
        <v>0</v>
      </c>
      <c r="K1944" s="381">
        <v>0</v>
      </c>
      <c r="L1944" s="66">
        <f t="shared" si="485"/>
        <v>24</v>
      </c>
      <c r="M1944" s="42"/>
    </row>
    <row r="1945" spans="2:13" ht="15.75" hidden="1" x14ac:dyDescent="0.2">
      <c r="B1945" s="10">
        <v>46234</v>
      </c>
      <c r="C1945" s="10" t="s">
        <v>106</v>
      </c>
      <c r="D1945" s="10" t="s">
        <v>13</v>
      </c>
      <c r="F1945" s="940"/>
      <c r="G1945" s="29" t="s">
        <v>109</v>
      </c>
      <c r="H1945" s="29" t="s">
        <v>106</v>
      </c>
      <c r="I1945" s="42">
        <v>4</v>
      </c>
      <c r="J1945" s="42">
        <v>0</v>
      </c>
      <c r="K1945" s="381">
        <v>0</v>
      </c>
      <c r="L1945" s="66">
        <f t="shared" si="485"/>
        <v>4</v>
      </c>
      <c r="M1945" s="42"/>
    </row>
    <row r="1946" spans="2:13" ht="15.75" hidden="1" x14ac:dyDescent="0.2">
      <c r="B1946" s="10">
        <v>46234</v>
      </c>
      <c r="C1946" s="10" t="s">
        <v>106</v>
      </c>
      <c r="D1946" s="10" t="s">
        <v>13</v>
      </c>
      <c r="F1946" s="940"/>
      <c r="G1946" s="29" t="s">
        <v>17</v>
      </c>
      <c r="H1946" s="29" t="s">
        <v>106</v>
      </c>
      <c r="I1946" s="42">
        <f>28+13</f>
        <v>41</v>
      </c>
      <c r="J1946" s="42">
        <f>8+7</f>
        <v>15</v>
      </c>
      <c r="K1946" s="381">
        <v>0</v>
      </c>
      <c r="L1946" s="66">
        <f t="shared" si="485"/>
        <v>56</v>
      </c>
      <c r="M1946" s="42"/>
    </row>
    <row r="1947" spans="2:13" ht="15.75" hidden="1" x14ac:dyDescent="0.2">
      <c r="B1947" s="10">
        <v>46234</v>
      </c>
      <c r="C1947" s="10" t="s">
        <v>106</v>
      </c>
      <c r="D1947" s="10" t="s">
        <v>13</v>
      </c>
      <c r="F1947" s="941"/>
      <c r="G1947" s="29" t="s">
        <v>14</v>
      </c>
      <c r="H1947" s="29" t="s">
        <v>105</v>
      </c>
      <c r="I1947" s="42">
        <f>45+16</f>
        <v>61</v>
      </c>
      <c r="J1947" s="42">
        <f>19+4</f>
        <v>23</v>
      </c>
      <c r="K1947" s="381">
        <v>15</v>
      </c>
      <c r="L1947" s="66">
        <f t="shared" si="485"/>
        <v>99</v>
      </c>
      <c r="M1947" s="42"/>
    </row>
    <row r="1948" spans="2:13" ht="15.75" hidden="1" x14ac:dyDescent="0.2">
      <c r="B1948" s="10">
        <v>46234</v>
      </c>
      <c r="C1948" s="10" t="s">
        <v>106</v>
      </c>
      <c r="D1948" s="10" t="s">
        <v>13</v>
      </c>
      <c r="F1948" s="405">
        <v>46235</v>
      </c>
      <c r="G1948" s="29" t="s">
        <v>16</v>
      </c>
      <c r="H1948" s="29" t="s">
        <v>18</v>
      </c>
      <c r="I1948" s="42">
        <v>125</v>
      </c>
      <c r="J1948" s="42">
        <v>36</v>
      </c>
      <c r="K1948" s="381">
        <v>31</v>
      </c>
      <c r="L1948" s="66">
        <f t="shared" si="485"/>
        <v>192</v>
      </c>
      <c r="M1948" s="42"/>
    </row>
    <row r="1949" spans="2:13" ht="15.75" hidden="1" x14ac:dyDescent="0.2">
      <c r="B1949" s="10">
        <v>46234</v>
      </c>
      <c r="C1949" s="10" t="s">
        <v>106</v>
      </c>
      <c r="D1949" s="10" t="s">
        <v>13</v>
      </c>
      <c r="F1949" s="937" t="s">
        <v>40</v>
      </c>
      <c r="G1949" s="937"/>
      <c r="H1949" s="937"/>
      <c r="I1949" s="8">
        <f>SUM(I1943:I1948)</f>
        <v>267</v>
      </c>
      <c r="J1949" s="8">
        <f>SUM(J1943:J1948)</f>
        <v>112</v>
      </c>
      <c r="K1949" s="8">
        <f>SUM(K1943:K1948)</f>
        <v>46</v>
      </c>
      <c r="L1949" s="8">
        <f>SUM(L1943:L1948)</f>
        <v>425</v>
      </c>
      <c r="M1949" s="316"/>
    </row>
    <row r="1950" spans="2:13" ht="15.75" hidden="1" x14ac:dyDescent="0.2">
      <c r="B1950" s="10">
        <v>46234</v>
      </c>
      <c r="C1950" s="10" t="s">
        <v>12</v>
      </c>
      <c r="D1950" s="10" t="s">
        <v>163</v>
      </c>
      <c r="F1950" s="939">
        <v>46234</v>
      </c>
      <c r="G1950" s="29" t="s">
        <v>16</v>
      </c>
      <c r="H1950" s="29" t="s">
        <v>18</v>
      </c>
      <c r="I1950" s="42">
        <f>7+5</f>
        <v>12</v>
      </c>
      <c r="J1950" s="42">
        <v>38</v>
      </c>
      <c r="K1950" s="381">
        <v>0</v>
      </c>
      <c r="L1950" s="66">
        <f t="shared" ref="L1950:L1952" si="486">SUM(I1950:K1950)</f>
        <v>50</v>
      </c>
      <c r="M1950" s="42"/>
    </row>
    <row r="1951" spans="2:13" ht="15.75" hidden="1" x14ac:dyDescent="0.2">
      <c r="B1951" s="10">
        <v>46234</v>
      </c>
      <c r="C1951" s="10" t="s">
        <v>12</v>
      </c>
      <c r="D1951" s="10" t="s">
        <v>163</v>
      </c>
      <c r="F1951" s="941"/>
      <c r="G1951" s="29" t="s">
        <v>14</v>
      </c>
      <c r="H1951" s="29" t="s">
        <v>105</v>
      </c>
      <c r="I1951" s="42">
        <f>29+15</f>
        <v>44</v>
      </c>
      <c r="J1951" s="42">
        <v>30</v>
      </c>
      <c r="K1951" s="381">
        <v>0</v>
      </c>
      <c r="L1951" s="66">
        <f t="shared" si="486"/>
        <v>74</v>
      </c>
      <c r="M1951" s="42"/>
    </row>
    <row r="1952" spans="2:13" ht="15.75" hidden="1" x14ac:dyDescent="0.2">
      <c r="B1952" s="10">
        <v>46234</v>
      </c>
      <c r="C1952" s="10" t="s">
        <v>12</v>
      </c>
      <c r="D1952" s="10" t="s">
        <v>163</v>
      </c>
      <c r="F1952" s="405">
        <v>46235</v>
      </c>
      <c r="G1952" s="29" t="s">
        <v>16</v>
      </c>
      <c r="H1952" s="29" t="s">
        <v>18</v>
      </c>
      <c r="I1952" s="42">
        <v>85</v>
      </c>
      <c r="J1952" s="42">
        <v>34</v>
      </c>
      <c r="K1952" s="381">
        <v>0</v>
      </c>
      <c r="L1952" s="66">
        <f t="shared" si="486"/>
        <v>119</v>
      </c>
      <c r="M1952" s="42"/>
    </row>
    <row r="1953" spans="2:13" ht="15.75" hidden="1" x14ac:dyDescent="0.2">
      <c r="B1953" s="10">
        <v>46234</v>
      </c>
      <c r="C1953" s="10" t="s">
        <v>12</v>
      </c>
      <c r="D1953" s="10" t="s">
        <v>163</v>
      </c>
      <c r="F1953" s="405">
        <v>46235</v>
      </c>
      <c r="G1953" s="29" t="s">
        <v>17</v>
      </c>
      <c r="H1953" s="29" t="s">
        <v>106</v>
      </c>
      <c r="I1953" s="42">
        <v>13</v>
      </c>
      <c r="J1953" s="42">
        <v>1</v>
      </c>
      <c r="K1953" s="381">
        <v>16</v>
      </c>
      <c r="L1953" s="66">
        <f t="shared" ref="L1953" si="487">SUM(I1953:K1953)</f>
        <v>30</v>
      </c>
      <c r="M1953" s="42"/>
    </row>
    <row r="1954" spans="2:13" ht="15.75" hidden="1" x14ac:dyDescent="0.2">
      <c r="B1954" s="10">
        <v>46234</v>
      </c>
      <c r="C1954" s="10" t="s">
        <v>12</v>
      </c>
      <c r="D1954" s="10" t="s">
        <v>163</v>
      </c>
      <c r="F1954" s="937" t="s">
        <v>40</v>
      </c>
      <c r="G1954" s="937"/>
      <c r="H1954" s="937"/>
      <c r="I1954" s="8">
        <f>SUM(I1950:I1953)</f>
        <v>154</v>
      </c>
      <c r="J1954" s="8">
        <f>SUM(J1950:J1953)</f>
        <v>103</v>
      </c>
      <c r="K1954" s="8">
        <f>SUM(K1950:K1953)</f>
        <v>16</v>
      </c>
      <c r="L1954" s="8">
        <f>SUM(L1950:L1953)</f>
        <v>273</v>
      </c>
      <c r="M1954" s="316"/>
    </row>
    <row r="1955" spans="2:13" ht="15.75" hidden="1" x14ac:dyDescent="0.2">
      <c r="B1955" s="10">
        <v>46234</v>
      </c>
      <c r="C1955" s="10" t="s">
        <v>18</v>
      </c>
      <c r="D1955" s="10" t="s">
        <v>189</v>
      </c>
      <c r="F1955" s="407">
        <v>46234</v>
      </c>
      <c r="G1955" s="29" t="s">
        <v>14</v>
      </c>
      <c r="H1955" s="29" t="s">
        <v>18</v>
      </c>
      <c r="I1955" s="42">
        <v>47</v>
      </c>
      <c r="J1955" s="42">
        <v>4</v>
      </c>
      <c r="K1955" s="381">
        <v>0</v>
      </c>
      <c r="L1955" s="66">
        <f t="shared" ref="L1955:L1959" si="488">SUM(I1955:K1955)</f>
        <v>51</v>
      </c>
      <c r="M1955" s="42"/>
    </row>
    <row r="1956" spans="2:13" ht="15.75" hidden="1" x14ac:dyDescent="0.2">
      <c r="B1956" s="10">
        <v>46234</v>
      </c>
      <c r="C1956" s="10" t="s">
        <v>18</v>
      </c>
      <c r="D1956" s="10" t="s">
        <v>189</v>
      </c>
      <c r="F1956" s="943">
        <v>46235</v>
      </c>
      <c r="G1956" s="29" t="s">
        <v>180</v>
      </c>
      <c r="H1956" s="29" t="s">
        <v>22</v>
      </c>
      <c r="I1956" s="42">
        <v>0</v>
      </c>
      <c r="J1956" s="42">
        <v>0</v>
      </c>
      <c r="K1956" s="381">
        <v>14</v>
      </c>
      <c r="L1956" s="66">
        <f t="shared" si="488"/>
        <v>14</v>
      </c>
      <c r="M1956" s="42"/>
    </row>
    <row r="1957" spans="2:13" ht="15.75" hidden="1" x14ac:dyDescent="0.2">
      <c r="B1957" s="10">
        <v>46234</v>
      </c>
      <c r="C1957" s="10" t="s">
        <v>18</v>
      </c>
      <c r="D1957" s="10" t="s">
        <v>189</v>
      </c>
      <c r="F1957" s="944"/>
      <c r="G1957" s="29" t="s">
        <v>17</v>
      </c>
      <c r="H1957" s="29" t="s">
        <v>106</v>
      </c>
      <c r="I1957" s="42">
        <v>122</v>
      </c>
      <c r="J1957" s="42">
        <v>32</v>
      </c>
      <c r="K1957" s="381">
        <v>0</v>
      </c>
      <c r="L1957" s="66">
        <f t="shared" si="488"/>
        <v>154</v>
      </c>
      <c r="M1957" s="42"/>
    </row>
    <row r="1958" spans="2:13" ht="15.75" hidden="1" x14ac:dyDescent="0.2">
      <c r="B1958" s="10">
        <v>46234</v>
      </c>
      <c r="C1958" s="10" t="s">
        <v>18</v>
      </c>
      <c r="D1958" s="10" t="s">
        <v>189</v>
      </c>
      <c r="F1958" s="945"/>
      <c r="G1958" s="29" t="s">
        <v>25</v>
      </c>
      <c r="H1958" s="29" t="s">
        <v>105</v>
      </c>
      <c r="I1958" s="42">
        <v>31</v>
      </c>
      <c r="J1958" s="42">
        <v>6</v>
      </c>
      <c r="K1958" s="381">
        <v>46</v>
      </c>
      <c r="L1958" s="66">
        <f t="shared" si="488"/>
        <v>83</v>
      </c>
      <c r="M1958" s="42"/>
    </row>
    <row r="1959" spans="2:13" ht="15.75" hidden="1" x14ac:dyDescent="0.2">
      <c r="B1959" s="10">
        <v>46234</v>
      </c>
      <c r="C1959" s="10" t="s">
        <v>18</v>
      </c>
      <c r="D1959" s="10" t="s">
        <v>189</v>
      </c>
      <c r="F1959" s="406">
        <v>46237</v>
      </c>
      <c r="G1959" s="29" t="s">
        <v>84</v>
      </c>
      <c r="H1959" s="29" t="s">
        <v>105</v>
      </c>
      <c r="I1959" s="42">
        <v>0</v>
      </c>
      <c r="J1959" s="42">
        <v>0</v>
      </c>
      <c r="K1959" s="381">
        <v>22</v>
      </c>
      <c r="L1959" s="66">
        <f t="shared" si="488"/>
        <v>22</v>
      </c>
      <c r="M1959" s="42"/>
    </row>
    <row r="1960" spans="2:13" ht="15.75" hidden="1" x14ac:dyDescent="0.2">
      <c r="B1960" s="10">
        <v>46234</v>
      </c>
      <c r="C1960" s="10" t="s">
        <v>18</v>
      </c>
      <c r="D1960" s="10" t="s">
        <v>189</v>
      </c>
      <c r="F1960" s="937" t="s">
        <v>40</v>
      </c>
      <c r="G1960" s="937"/>
      <c r="H1960" s="937"/>
      <c r="I1960" s="8">
        <f>SUM(I1955:I1959)</f>
        <v>200</v>
      </c>
      <c r="J1960" s="8">
        <f>SUM(J1955:J1959)</f>
        <v>42</v>
      </c>
      <c r="K1960" s="8">
        <f>SUM(K1955:K1959)</f>
        <v>82</v>
      </c>
      <c r="L1960" s="8">
        <f>SUM(L1955:L1959)</f>
        <v>324</v>
      </c>
      <c r="M1960" s="316"/>
    </row>
    <row r="1961" spans="2:13" ht="15.75" hidden="1" x14ac:dyDescent="0.2">
      <c r="B1961" s="10">
        <v>46235</v>
      </c>
      <c r="C1961" s="10" t="s">
        <v>22</v>
      </c>
      <c r="D1961" s="10" t="s">
        <v>13</v>
      </c>
      <c r="F1961" s="939">
        <v>46235</v>
      </c>
      <c r="G1961" s="29" t="s">
        <v>180</v>
      </c>
      <c r="H1961" s="29" t="s">
        <v>22</v>
      </c>
      <c r="I1961" s="42">
        <v>3</v>
      </c>
      <c r="J1961" s="42">
        <v>19</v>
      </c>
      <c r="K1961" s="381">
        <v>0</v>
      </c>
      <c r="L1961" s="66">
        <f t="shared" ref="L1961:L1966" si="489">SUM(I1961:K1961)</f>
        <v>22</v>
      </c>
      <c r="M1961" s="42"/>
    </row>
    <row r="1962" spans="2:13" ht="15.75" hidden="1" x14ac:dyDescent="0.2">
      <c r="B1962" s="10">
        <v>46235</v>
      </c>
      <c r="C1962" s="10" t="s">
        <v>22</v>
      </c>
      <c r="D1962" s="10" t="s">
        <v>13</v>
      </c>
      <c r="F1962" s="940"/>
      <c r="G1962" s="29" t="s">
        <v>14</v>
      </c>
      <c r="H1962" s="29" t="s">
        <v>106</v>
      </c>
      <c r="I1962" s="42">
        <v>16</v>
      </c>
      <c r="J1962" s="42">
        <v>11</v>
      </c>
      <c r="K1962" s="381">
        <v>0</v>
      </c>
      <c r="L1962" s="66">
        <f t="shared" si="489"/>
        <v>27</v>
      </c>
      <c r="M1962" s="42"/>
    </row>
    <row r="1963" spans="2:13" ht="15.75" hidden="1" x14ac:dyDescent="0.2">
      <c r="B1963" s="10">
        <v>46235</v>
      </c>
      <c r="C1963" s="10" t="s">
        <v>22</v>
      </c>
      <c r="D1963" s="10" t="s">
        <v>13</v>
      </c>
      <c r="F1963" s="940"/>
      <c r="G1963" s="29" t="s">
        <v>17</v>
      </c>
      <c r="H1963" s="29" t="s">
        <v>106</v>
      </c>
      <c r="I1963" s="42">
        <v>11</v>
      </c>
      <c r="J1963" s="42">
        <v>6</v>
      </c>
      <c r="K1963" s="381">
        <v>0</v>
      </c>
      <c r="L1963" s="66">
        <f t="shared" si="489"/>
        <v>17</v>
      </c>
      <c r="M1963" s="42"/>
    </row>
    <row r="1964" spans="2:13" ht="15.75" hidden="1" x14ac:dyDescent="0.2">
      <c r="B1964" s="10">
        <v>46235</v>
      </c>
      <c r="C1964" s="10" t="s">
        <v>22</v>
      </c>
      <c r="D1964" s="10" t="s">
        <v>13</v>
      </c>
      <c r="F1964" s="941"/>
      <c r="G1964" s="29" t="s">
        <v>25</v>
      </c>
      <c r="H1964" s="29" t="s">
        <v>105</v>
      </c>
      <c r="I1964" s="42">
        <v>48</v>
      </c>
      <c r="J1964" s="42">
        <v>8</v>
      </c>
      <c r="K1964" s="381">
        <v>8</v>
      </c>
      <c r="L1964" s="66">
        <f t="shared" si="489"/>
        <v>64</v>
      </c>
      <c r="M1964" s="42"/>
    </row>
    <row r="1965" spans="2:13" ht="15.75" hidden="1" x14ac:dyDescent="0.2">
      <c r="B1965" s="10">
        <v>46235</v>
      </c>
      <c r="C1965" s="10" t="s">
        <v>22</v>
      </c>
      <c r="D1965" s="10" t="s">
        <v>13</v>
      </c>
      <c r="F1965" s="943">
        <v>46237</v>
      </c>
      <c r="G1965" s="29" t="s">
        <v>16</v>
      </c>
      <c r="H1965" s="29" t="s">
        <v>112</v>
      </c>
      <c r="I1965" s="42">
        <v>17</v>
      </c>
      <c r="J1965" s="42">
        <v>58</v>
      </c>
      <c r="K1965" s="381">
        <v>74</v>
      </c>
      <c r="L1965" s="66">
        <f t="shared" si="489"/>
        <v>149</v>
      </c>
      <c r="M1965" s="42"/>
    </row>
    <row r="1966" spans="2:13" ht="15.75" hidden="1" x14ac:dyDescent="0.2">
      <c r="B1966" s="10">
        <v>46235</v>
      </c>
      <c r="C1966" s="10" t="s">
        <v>22</v>
      </c>
      <c r="D1966" s="10" t="s">
        <v>13</v>
      </c>
      <c r="F1966" s="945"/>
      <c r="G1966" s="29" t="s">
        <v>84</v>
      </c>
      <c r="H1966" s="29" t="s">
        <v>105</v>
      </c>
      <c r="I1966" s="42">
        <v>0</v>
      </c>
      <c r="J1966" s="42">
        <v>0</v>
      </c>
      <c r="K1966" s="381">
        <v>8</v>
      </c>
      <c r="L1966" s="66">
        <f t="shared" si="489"/>
        <v>8</v>
      </c>
      <c r="M1966" s="42"/>
    </row>
    <row r="1967" spans="2:13" ht="15.75" hidden="1" x14ac:dyDescent="0.2">
      <c r="B1967" s="10">
        <v>46235</v>
      </c>
      <c r="C1967" s="10" t="s">
        <v>22</v>
      </c>
      <c r="D1967" s="10" t="s">
        <v>13</v>
      </c>
      <c r="F1967" s="937" t="s">
        <v>40</v>
      </c>
      <c r="G1967" s="937"/>
      <c r="H1967" s="937"/>
      <c r="I1967" s="8">
        <f>SUM(I1961:I1966)</f>
        <v>95</v>
      </c>
      <c r="J1967" s="8">
        <f t="shared" ref="J1967:L1967" si="490">SUM(J1961:J1966)</f>
        <v>102</v>
      </c>
      <c r="K1967" s="8">
        <f t="shared" si="490"/>
        <v>90</v>
      </c>
      <c r="L1967" s="8">
        <f t="shared" si="490"/>
        <v>287</v>
      </c>
      <c r="M1967" s="316"/>
    </row>
    <row r="1968" spans="2:13" ht="15.75" hidden="1" x14ac:dyDescent="0.2">
      <c r="B1968" s="10">
        <v>46235</v>
      </c>
      <c r="C1968" s="10" t="s">
        <v>106</v>
      </c>
      <c r="D1968" s="10" t="s">
        <v>13</v>
      </c>
      <c r="F1968" s="939">
        <v>46235</v>
      </c>
      <c r="G1968" s="29" t="s">
        <v>180</v>
      </c>
      <c r="H1968" s="29" t="s">
        <v>22</v>
      </c>
      <c r="I1968" s="42">
        <v>3</v>
      </c>
      <c r="J1968" s="42">
        <v>19</v>
      </c>
      <c r="K1968" s="381">
        <v>0</v>
      </c>
      <c r="L1968" s="66">
        <f t="shared" ref="L1968:L1974" si="491">SUM(I1968:K1968)</f>
        <v>22</v>
      </c>
      <c r="M1968" s="42"/>
    </row>
    <row r="1969" spans="2:13" ht="15.75" hidden="1" x14ac:dyDescent="0.2">
      <c r="B1969" s="10">
        <v>46235</v>
      </c>
      <c r="C1969" s="10" t="s">
        <v>106</v>
      </c>
      <c r="D1969" s="10" t="s">
        <v>13</v>
      </c>
      <c r="F1969" s="940"/>
      <c r="G1969" s="29" t="s">
        <v>14</v>
      </c>
      <c r="H1969" s="29" t="s">
        <v>106</v>
      </c>
      <c r="I1969" s="42">
        <v>16</v>
      </c>
      <c r="J1969" s="42">
        <v>11</v>
      </c>
      <c r="K1969" s="381">
        <v>0</v>
      </c>
      <c r="L1969" s="66">
        <f t="shared" si="491"/>
        <v>27</v>
      </c>
      <c r="M1969" s="42"/>
    </row>
    <row r="1970" spans="2:13" ht="15.75" hidden="1" x14ac:dyDescent="0.2">
      <c r="B1970" s="10">
        <v>46235</v>
      </c>
      <c r="C1970" s="10" t="s">
        <v>106</v>
      </c>
      <c r="D1970" s="10" t="s">
        <v>13</v>
      </c>
      <c r="F1970" s="940"/>
      <c r="G1970" s="29" t="s">
        <v>17</v>
      </c>
      <c r="H1970" s="29" t="s">
        <v>106</v>
      </c>
      <c r="I1970" s="42">
        <v>11</v>
      </c>
      <c r="J1970" s="42">
        <v>6</v>
      </c>
      <c r="K1970" s="381">
        <v>0</v>
      </c>
      <c r="L1970" s="66">
        <f t="shared" si="491"/>
        <v>17</v>
      </c>
      <c r="M1970" s="42"/>
    </row>
    <row r="1971" spans="2:13" ht="15.75" hidden="1" x14ac:dyDescent="0.2">
      <c r="B1971" s="10">
        <v>46235</v>
      </c>
      <c r="C1971" s="10" t="s">
        <v>106</v>
      </c>
      <c r="D1971" s="10" t="s">
        <v>13</v>
      </c>
      <c r="F1971" s="941"/>
      <c r="G1971" s="29" t="s">
        <v>25</v>
      </c>
      <c r="H1971" s="29" t="s">
        <v>105</v>
      </c>
      <c r="I1971" s="42">
        <f>48+15</f>
        <v>63</v>
      </c>
      <c r="J1971" s="42">
        <f>5+28</f>
        <v>33</v>
      </c>
      <c r="K1971" s="381">
        <v>20</v>
      </c>
      <c r="L1971" s="66">
        <f t="shared" si="491"/>
        <v>116</v>
      </c>
      <c r="M1971" s="42"/>
    </row>
    <row r="1972" spans="2:13" ht="15.75" hidden="1" x14ac:dyDescent="0.2">
      <c r="B1972" s="10">
        <v>46235</v>
      </c>
      <c r="C1972" s="10" t="s">
        <v>106</v>
      </c>
      <c r="D1972" s="10" t="s">
        <v>13</v>
      </c>
      <c r="F1972" s="408">
        <v>46236</v>
      </c>
      <c r="G1972" s="29" t="s">
        <v>25</v>
      </c>
      <c r="H1972" s="29" t="s">
        <v>106</v>
      </c>
      <c r="I1972" s="42">
        <v>38</v>
      </c>
      <c r="J1972" s="42">
        <v>5</v>
      </c>
      <c r="K1972" s="381">
        <v>0</v>
      </c>
      <c r="L1972" s="66">
        <f t="shared" si="491"/>
        <v>43</v>
      </c>
      <c r="M1972" s="42"/>
    </row>
    <row r="1973" spans="2:13" ht="15.75" hidden="1" x14ac:dyDescent="0.2">
      <c r="B1973" s="10">
        <v>46235</v>
      </c>
      <c r="C1973" s="10" t="s">
        <v>106</v>
      </c>
      <c r="D1973" s="10" t="s">
        <v>13</v>
      </c>
      <c r="F1973" s="943">
        <v>46237</v>
      </c>
      <c r="G1973" s="29" t="s">
        <v>16</v>
      </c>
      <c r="H1973" s="29" t="s">
        <v>112</v>
      </c>
      <c r="I1973" s="42">
        <v>17</v>
      </c>
      <c r="J1973" s="42">
        <v>58</v>
      </c>
      <c r="K1973" s="381">
        <v>74</v>
      </c>
      <c r="L1973" s="66">
        <f t="shared" si="491"/>
        <v>149</v>
      </c>
      <c r="M1973" s="42"/>
    </row>
    <row r="1974" spans="2:13" ht="15.75" hidden="1" x14ac:dyDescent="0.2">
      <c r="B1974" s="10">
        <v>46235</v>
      </c>
      <c r="C1974" s="10" t="s">
        <v>106</v>
      </c>
      <c r="D1974" s="10" t="s">
        <v>13</v>
      </c>
      <c r="F1974" s="945"/>
      <c r="G1974" s="29" t="s">
        <v>84</v>
      </c>
      <c r="H1974" s="29" t="s">
        <v>105</v>
      </c>
      <c r="I1974" s="42">
        <v>0</v>
      </c>
      <c r="J1974" s="42">
        <v>0</v>
      </c>
      <c r="K1974" s="381">
        <f>8+31</f>
        <v>39</v>
      </c>
      <c r="L1974" s="66">
        <f t="shared" si="491"/>
        <v>39</v>
      </c>
      <c r="M1974" s="42"/>
    </row>
    <row r="1975" spans="2:13" ht="15.75" hidden="1" x14ac:dyDescent="0.2">
      <c r="B1975" s="10">
        <v>46235</v>
      </c>
      <c r="C1975" s="10" t="s">
        <v>106</v>
      </c>
      <c r="D1975" s="10" t="s">
        <v>13</v>
      </c>
      <c r="F1975" s="937" t="s">
        <v>40</v>
      </c>
      <c r="G1975" s="937"/>
      <c r="H1975" s="937"/>
      <c r="I1975" s="8">
        <f>SUM(I1968:I1974)</f>
        <v>148</v>
      </c>
      <c r="J1975" s="8">
        <f t="shared" ref="J1975:L1975" si="492">SUM(J1968:J1974)</f>
        <v>132</v>
      </c>
      <c r="K1975" s="8">
        <f t="shared" si="492"/>
        <v>133</v>
      </c>
      <c r="L1975" s="8">
        <f t="shared" si="492"/>
        <v>413</v>
      </c>
      <c r="M1975" s="316"/>
    </row>
    <row r="1976" spans="2:13" ht="15.75" hidden="1" x14ac:dyDescent="0.2">
      <c r="B1976" s="10">
        <v>46235</v>
      </c>
      <c r="C1976" s="10" t="s">
        <v>105</v>
      </c>
      <c r="D1976" s="10" t="s">
        <v>189</v>
      </c>
      <c r="F1976" s="458">
        <v>46235</v>
      </c>
      <c r="G1976" s="29" t="s">
        <v>25</v>
      </c>
      <c r="H1976" s="29" t="s">
        <v>105</v>
      </c>
      <c r="I1976" s="42">
        <v>39</v>
      </c>
      <c r="J1976" s="42">
        <v>17</v>
      </c>
      <c r="K1976" s="381">
        <v>0</v>
      </c>
      <c r="L1976" s="66">
        <f t="shared" ref="L1976:L1979" si="493">SUM(I1976:K1976)</f>
        <v>56</v>
      </c>
      <c r="M1976" s="42"/>
    </row>
    <row r="1977" spans="2:13" ht="15.75" hidden="1" x14ac:dyDescent="0.2">
      <c r="B1977" s="10">
        <v>46235</v>
      </c>
      <c r="C1977" s="10" t="s">
        <v>105</v>
      </c>
      <c r="D1977" s="10" t="s">
        <v>189</v>
      </c>
      <c r="F1977" s="943">
        <v>46236</v>
      </c>
      <c r="G1977" s="29" t="s">
        <v>25</v>
      </c>
      <c r="H1977" s="29" t="s">
        <v>106</v>
      </c>
      <c r="I1977" s="42">
        <v>72</v>
      </c>
      <c r="J1977" s="42">
        <v>40</v>
      </c>
      <c r="K1977" s="381">
        <v>0</v>
      </c>
      <c r="L1977" s="66">
        <f t="shared" si="493"/>
        <v>112</v>
      </c>
      <c r="M1977" s="42"/>
    </row>
    <row r="1978" spans="2:13" ht="15.75" hidden="1" x14ac:dyDescent="0.2">
      <c r="B1978" s="10">
        <v>46235</v>
      </c>
      <c r="C1978" s="10" t="s">
        <v>105</v>
      </c>
      <c r="D1978" s="10" t="s">
        <v>189</v>
      </c>
      <c r="F1978" s="944"/>
      <c r="G1978" s="29" t="s">
        <v>14</v>
      </c>
      <c r="H1978" s="29" t="s">
        <v>105</v>
      </c>
      <c r="I1978" s="42">
        <v>16</v>
      </c>
      <c r="J1978" s="42">
        <v>11</v>
      </c>
      <c r="K1978" s="381">
        <v>77</v>
      </c>
      <c r="L1978" s="66">
        <f t="shared" si="493"/>
        <v>104</v>
      </c>
      <c r="M1978" s="42"/>
    </row>
    <row r="1979" spans="2:13" ht="15.75" hidden="1" x14ac:dyDescent="0.2">
      <c r="B1979" s="10">
        <v>46235</v>
      </c>
      <c r="C1979" s="10" t="s">
        <v>105</v>
      </c>
      <c r="D1979" s="10" t="s">
        <v>189</v>
      </c>
      <c r="F1979" s="459">
        <v>46237</v>
      </c>
      <c r="G1979" s="29" t="s">
        <v>16</v>
      </c>
      <c r="H1979" s="29" t="s">
        <v>112</v>
      </c>
      <c r="I1979" s="42">
        <v>2</v>
      </c>
      <c r="J1979" s="42">
        <v>1</v>
      </c>
      <c r="K1979" s="381">
        <v>37</v>
      </c>
      <c r="L1979" s="66">
        <f t="shared" si="493"/>
        <v>40</v>
      </c>
      <c r="M1979" s="42"/>
    </row>
    <row r="1980" spans="2:13" ht="15.75" hidden="1" x14ac:dyDescent="0.2">
      <c r="B1980" s="10">
        <v>46235</v>
      </c>
      <c r="C1980" s="10" t="s">
        <v>105</v>
      </c>
      <c r="D1980" s="10" t="s">
        <v>189</v>
      </c>
      <c r="F1980" s="937" t="s">
        <v>40</v>
      </c>
      <c r="G1980" s="937"/>
      <c r="H1980" s="937"/>
      <c r="I1980" s="8">
        <f>SUM(I1976:I1979)</f>
        <v>129</v>
      </c>
      <c r="J1980" s="8">
        <f>SUM(J1976:J1979)</f>
        <v>69</v>
      </c>
      <c r="K1980" s="8">
        <f>SUM(K1976:K1979)</f>
        <v>114</v>
      </c>
      <c r="L1980" s="8">
        <f>SUM(L1976:L1979)</f>
        <v>312</v>
      </c>
      <c r="M1980" s="316"/>
    </row>
    <row r="1981" spans="2:13" ht="15.75" hidden="1" x14ac:dyDescent="0.2">
      <c r="B1981" s="10">
        <v>46236</v>
      </c>
      <c r="C1981" s="10" t="s">
        <v>106</v>
      </c>
      <c r="D1981" s="10" t="s">
        <v>23</v>
      </c>
      <c r="F1981" s="943">
        <v>46236</v>
      </c>
      <c r="G1981" s="29" t="s">
        <v>25</v>
      </c>
      <c r="H1981" s="29" t="s">
        <v>106</v>
      </c>
      <c r="I1981" s="42">
        <v>37</v>
      </c>
      <c r="J1981" s="42">
        <v>24</v>
      </c>
      <c r="K1981" s="381">
        <v>0</v>
      </c>
      <c r="L1981" s="66">
        <f>SUM(I1981:K1981)</f>
        <v>61</v>
      </c>
      <c r="M1981" s="42"/>
    </row>
    <row r="1982" spans="2:13" ht="15.75" hidden="1" x14ac:dyDescent="0.2">
      <c r="B1982" s="10">
        <v>46236</v>
      </c>
      <c r="C1982" s="10" t="s">
        <v>106</v>
      </c>
      <c r="D1982" s="10" t="s">
        <v>23</v>
      </c>
      <c r="F1982" s="945"/>
      <c r="G1982" s="29" t="s">
        <v>14</v>
      </c>
      <c r="H1982" s="29" t="s">
        <v>105</v>
      </c>
      <c r="I1982" s="42">
        <v>83</v>
      </c>
      <c r="J1982" s="42">
        <v>10</v>
      </c>
      <c r="K1982" s="381">
        <v>0</v>
      </c>
      <c r="L1982" s="66">
        <f t="shared" ref="L1982:L1986" si="494">SUM(I1982:K1982)</f>
        <v>93</v>
      </c>
      <c r="M1982" s="42"/>
    </row>
    <row r="1983" spans="2:13" ht="15.75" hidden="1" x14ac:dyDescent="0.2">
      <c r="B1983" s="10">
        <v>46236</v>
      </c>
      <c r="C1983" s="10" t="s">
        <v>106</v>
      </c>
      <c r="D1983" s="10" t="s">
        <v>23</v>
      </c>
      <c r="F1983" s="943">
        <v>46237</v>
      </c>
      <c r="G1983" s="29" t="s">
        <v>16</v>
      </c>
      <c r="H1983" s="29" t="s">
        <v>112</v>
      </c>
      <c r="I1983" s="42">
        <v>10</v>
      </c>
      <c r="J1983" s="42">
        <v>7</v>
      </c>
      <c r="K1983" s="381">
        <v>0</v>
      </c>
      <c r="L1983" s="66">
        <v>0</v>
      </c>
      <c r="M1983" s="42"/>
    </row>
    <row r="1984" spans="2:13" ht="15.75" hidden="1" x14ac:dyDescent="0.2">
      <c r="B1984" s="10">
        <v>46236</v>
      </c>
      <c r="C1984" s="10" t="s">
        <v>106</v>
      </c>
      <c r="D1984" s="10" t="s">
        <v>23</v>
      </c>
      <c r="F1984" s="944"/>
      <c r="G1984" s="29" t="s">
        <v>17</v>
      </c>
      <c r="H1984" s="29" t="s">
        <v>106</v>
      </c>
      <c r="I1984" s="42">
        <v>2</v>
      </c>
      <c r="J1984" s="42">
        <v>2</v>
      </c>
      <c r="K1984" s="381">
        <v>0</v>
      </c>
      <c r="L1984" s="66">
        <f t="shared" si="494"/>
        <v>4</v>
      </c>
      <c r="M1984" s="42"/>
    </row>
    <row r="1985" spans="2:13" ht="15.75" hidden="1" x14ac:dyDescent="0.2">
      <c r="B1985" s="10">
        <v>46236</v>
      </c>
      <c r="C1985" s="10" t="s">
        <v>106</v>
      </c>
      <c r="D1985" s="10" t="s">
        <v>23</v>
      </c>
      <c r="F1985" s="944"/>
      <c r="G1985" s="29" t="s">
        <v>84</v>
      </c>
      <c r="H1985" s="29" t="s">
        <v>105</v>
      </c>
      <c r="I1985" s="42">
        <v>0</v>
      </c>
      <c r="J1985" s="42">
        <v>0</v>
      </c>
      <c r="K1985" s="381">
        <v>25</v>
      </c>
      <c r="L1985" s="66">
        <f t="shared" si="494"/>
        <v>25</v>
      </c>
      <c r="M1985" s="42"/>
    </row>
    <row r="1986" spans="2:13" ht="15.75" hidden="1" x14ac:dyDescent="0.2">
      <c r="B1986" s="10">
        <v>46236</v>
      </c>
      <c r="C1986" s="10" t="s">
        <v>106</v>
      </c>
      <c r="D1986" s="10" t="s">
        <v>23</v>
      </c>
      <c r="F1986" s="945"/>
      <c r="G1986" s="29" t="s">
        <v>118</v>
      </c>
      <c r="H1986" s="29" t="s">
        <v>106</v>
      </c>
      <c r="I1986" s="42">
        <v>87</v>
      </c>
      <c r="J1986" s="42">
        <v>19</v>
      </c>
      <c r="K1986" s="381">
        <v>59</v>
      </c>
      <c r="L1986" s="66">
        <f t="shared" si="494"/>
        <v>165</v>
      </c>
      <c r="M1986" s="42"/>
    </row>
    <row r="1987" spans="2:13" ht="15.75" hidden="1" x14ac:dyDescent="0.2">
      <c r="B1987" s="10">
        <v>46236</v>
      </c>
      <c r="C1987" s="10" t="s">
        <v>106</v>
      </c>
      <c r="D1987" s="10" t="s">
        <v>23</v>
      </c>
      <c r="F1987" s="937" t="s">
        <v>40</v>
      </c>
      <c r="G1987" s="937"/>
      <c r="H1987" s="937"/>
      <c r="I1987" s="8">
        <f>SUM(I1981:I1986)</f>
        <v>219</v>
      </c>
      <c r="J1987" s="8">
        <f t="shared" ref="J1987:L1987" si="495">SUM(J1981:J1986)</f>
        <v>62</v>
      </c>
      <c r="K1987" s="8">
        <f t="shared" si="495"/>
        <v>84</v>
      </c>
      <c r="L1987" s="8">
        <f t="shared" si="495"/>
        <v>348</v>
      </c>
      <c r="M1987" s="316"/>
    </row>
    <row r="1988" spans="2:13" ht="15.75" hidden="1" x14ac:dyDescent="0.2">
      <c r="B1988" s="10">
        <v>46236</v>
      </c>
      <c r="C1988" s="10" t="s">
        <v>105</v>
      </c>
      <c r="D1988" s="10" t="s">
        <v>189</v>
      </c>
      <c r="F1988" s="476">
        <v>46236</v>
      </c>
      <c r="G1988" s="29" t="s">
        <v>14</v>
      </c>
      <c r="H1988" s="29" t="s">
        <v>105</v>
      </c>
      <c r="I1988" s="42">
        <v>9</v>
      </c>
      <c r="J1988" s="42">
        <v>9</v>
      </c>
      <c r="K1988" s="381">
        <v>0</v>
      </c>
      <c r="L1988" s="66">
        <f>SUM(I1988:K1988)</f>
        <v>18</v>
      </c>
      <c r="M1988" s="42"/>
    </row>
    <row r="1989" spans="2:13" ht="15.75" hidden="1" x14ac:dyDescent="0.2">
      <c r="B1989" s="10">
        <v>46236</v>
      </c>
      <c r="C1989" s="10" t="s">
        <v>105</v>
      </c>
      <c r="D1989" s="10" t="s">
        <v>189</v>
      </c>
      <c r="F1989" s="943">
        <v>46237</v>
      </c>
      <c r="G1989" s="29" t="s">
        <v>16</v>
      </c>
      <c r="H1989" s="29" t="s">
        <v>106</v>
      </c>
      <c r="I1989" s="42">
        <v>25</v>
      </c>
      <c r="J1989" s="42">
        <v>58</v>
      </c>
      <c r="K1989" s="381">
        <v>4</v>
      </c>
      <c r="L1989" s="66">
        <f t="shared" ref="L1989:L1994" si="496">SUM(I1989:K1989)</f>
        <v>87</v>
      </c>
      <c r="M1989" s="42"/>
    </row>
    <row r="1990" spans="2:13" ht="15.75" hidden="1" x14ac:dyDescent="0.2">
      <c r="B1990" s="10">
        <v>46236</v>
      </c>
      <c r="C1990" s="10" t="s">
        <v>105</v>
      </c>
      <c r="D1990" s="10" t="s">
        <v>189</v>
      </c>
      <c r="F1990" s="944"/>
      <c r="G1990" s="29" t="s">
        <v>14</v>
      </c>
      <c r="H1990" s="29" t="s">
        <v>105</v>
      </c>
      <c r="I1990" s="42">
        <v>0</v>
      </c>
      <c r="J1990" s="42">
        <v>0</v>
      </c>
      <c r="K1990" s="381">
        <v>23</v>
      </c>
      <c r="L1990" s="66">
        <f t="shared" si="496"/>
        <v>23</v>
      </c>
      <c r="M1990" s="42"/>
    </row>
    <row r="1991" spans="2:13" ht="15.75" hidden="1" x14ac:dyDescent="0.2">
      <c r="B1991" s="10">
        <v>46236</v>
      </c>
      <c r="C1991" s="10" t="s">
        <v>105</v>
      </c>
      <c r="D1991" s="10" t="s">
        <v>189</v>
      </c>
      <c r="F1991" s="944"/>
      <c r="G1991" s="29" t="s">
        <v>17</v>
      </c>
      <c r="H1991" s="29" t="s">
        <v>106</v>
      </c>
      <c r="I1991" s="42">
        <v>98</v>
      </c>
      <c r="J1991" s="42">
        <v>19</v>
      </c>
      <c r="K1991" s="381">
        <v>0</v>
      </c>
      <c r="L1991" s="66">
        <f t="shared" si="496"/>
        <v>117</v>
      </c>
      <c r="M1991" s="42"/>
    </row>
    <row r="1992" spans="2:13" ht="15.75" hidden="1" x14ac:dyDescent="0.2">
      <c r="B1992" s="10">
        <v>46236</v>
      </c>
      <c r="C1992" s="10" t="s">
        <v>105</v>
      </c>
      <c r="D1992" s="10" t="s">
        <v>189</v>
      </c>
      <c r="F1992" s="944"/>
      <c r="G1992" s="29" t="s">
        <v>118</v>
      </c>
      <c r="H1992" s="29" t="s">
        <v>106</v>
      </c>
      <c r="I1992" s="42">
        <v>83</v>
      </c>
      <c r="J1992" s="42">
        <v>17</v>
      </c>
      <c r="K1992" s="381">
        <v>0</v>
      </c>
      <c r="L1992" s="66">
        <f t="shared" si="496"/>
        <v>100</v>
      </c>
      <c r="M1992" s="42"/>
    </row>
    <row r="1993" spans="2:13" ht="15.75" hidden="1" x14ac:dyDescent="0.2">
      <c r="B1993" s="10">
        <v>46236</v>
      </c>
      <c r="C1993" s="10" t="s">
        <v>105</v>
      </c>
      <c r="D1993" s="10" t="s">
        <v>189</v>
      </c>
      <c r="F1993" s="944"/>
      <c r="G1993" s="29" t="s">
        <v>180</v>
      </c>
      <c r="H1993" s="29" t="s">
        <v>106</v>
      </c>
      <c r="I1993" s="42">
        <v>0</v>
      </c>
      <c r="J1993" s="42">
        <v>0</v>
      </c>
      <c r="K1993" s="381">
        <v>8</v>
      </c>
      <c r="L1993" s="66">
        <f t="shared" si="496"/>
        <v>8</v>
      </c>
      <c r="M1993" s="42"/>
    </row>
    <row r="1994" spans="2:13" ht="15.75" hidden="1" x14ac:dyDescent="0.2">
      <c r="B1994" s="10">
        <v>46236</v>
      </c>
      <c r="C1994" s="10" t="s">
        <v>105</v>
      </c>
      <c r="D1994" s="10" t="s">
        <v>189</v>
      </c>
      <c r="F1994" s="945"/>
      <c r="G1994" s="29" t="s">
        <v>84</v>
      </c>
      <c r="H1994" s="29" t="s">
        <v>105</v>
      </c>
      <c r="I1994" s="42">
        <v>0</v>
      </c>
      <c r="J1994" s="42">
        <v>0</v>
      </c>
      <c r="K1994" s="381">
        <v>49</v>
      </c>
      <c r="L1994" s="66">
        <f t="shared" si="496"/>
        <v>49</v>
      </c>
      <c r="M1994" s="42"/>
    </row>
    <row r="1995" spans="2:13" ht="15.75" hidden="1" x14ac:dyDescent="0.2">
      <c r="B1995" s="10">
        <v>46236</v>
      </c>
      <c r="C1995" s="10" t="s">
        <v>105</v>
      </c>
      <c r="D1995" s="10" t="s">
        <v>189</v>
      </c>
      <c r="F1995" s="937" t="s">
        <v>40</v>
      </c>
      <c r="G1995" s="937"/>
      <c r="H1995" s="937"/>
      <c r="I1995" s="8">
        <f>SUM(I1988:I1994)</f>
        <v>215</v>
      </c>
      <c r="J1995" s="8">
        <f t="shared" ref="J1995:L1995" si="497">SUM(J1988:J1994)</f>
        <v>103</v>
      </c>
      <c r="K1995" s="8">
        <f t="shared" si="497"/>
        <v>84</v>
      </c>
      <c r="L1995" s="8">
        <f t="shared" si="497"/>
        <v>402</v>
      </c>
      <c r="M1995" s="316"/>
    </row>
    <row r="1996" spans="2:13" ht="15.75" hidden="1" x14ac:dyDescent="0.2">
      <c r="B1996" s="10">
        <v>46236</v>
      </c>
      <c r="C1996" s="10" t="s">
        <v>105</v>
      </c>
      <c r="D1996" s="10" t="s">
        <v>189</v>
      </c>
      <c r="F1996" s="477">
        <v>46236</v>
      </c>
      <c r="G1996" s="29" t="s">
        <v>14</v>
      </c>
      <c r="H1996" s="29" t="s">
        <v>105</v>
      </c>
      <c r="I1996" s="42">
        <v>9</v>
      </c>
      <c r="J1996" s="42">
        <v>9</v>
      </c>
      <c r="K1996" s="381">
        <v>0</v>
      </c>
      <c r="L1996" s="66">
        <f>SUM(I1996:K1996)</f>
        <v>18</v>
      </c>
      <c r="M1996" s="42"/>
    </row>
    <row r="1997" spans="2:13" ht="15.75" hidden="1" x14ac:dyDescent="0.2">
      <c r="B1997" s="10">
        <v>46237</v>
      </c>
      <c r="C1997" s="10" t="s">
        <v>106</v>
      </c>
      <c r="D1997" s="10" t="s">
        <v>13</v>
      </c>
      <c r="F1997" s="943">
        <v>46237</v>
      </c>
      <c r="G1997" s="29" t="s">
        <v>16</v>
      </c>
      <c r="H1997" s="29" t="s">
        <v>106</v>
      </c>
      <c r="I1997" s="42">
        <v>118</v>
      </c>
      <c r="J1997" s="42">
        <v>55</v>
      </c>
      <c r="K1997" s="381">
        <v>105</v>
      </c>
      <c r="L1997" s="66">
        <f t="shared" ref="L1997:L2002" si="498">SUM(I1997:K1997)</f>
        <v>278</v>
      </c>
      <c r="M1997" s="42"/>
    </row>
    <row r="1998" spans="2:13" ht="15.75" hidden="1" x14ac:dyDescent="0.2">
      <c r="B1998" s="10">
        <v>46237</v>
      </c>
      <c r="C1998" s="10" t="s">
        <v>106</v>
      </c>
      <c r="D1998" s="10" t="s">
        <v>13</v>
      </c>
      <c r="F1998" s="944"/>
      <c r="G1998" s="29" t="s">
        <v>14</v>
      </c>
      <c r="H1998" s="29" t="s">
        <v>105</v>
      </c>
      <c r="I1998" s="42">
        <v>84</v>
      </c>
      <c r="J1998" s="42">
        <v>20</v>
      </c>
      <c r="K1998" s="381">
        <v>0</v>
      </c>
      <c r="L1998" s="66">
        <f t="shared" si="498"/>
        <v>104</v>
      </c>
      <c r="M1998" s="42"/>
    </row>
    <row r="1999" spans="2:13" ht="15.75" hidden="1" x14ac:dyDescent="0.2">
      <c r="B1999" s="10">
        <v>46237</v>
      </c>
      <c r="C1999" s="10" t="s">
        <v>106</v>
      </c>
      <c r="D1999" s="10" t="s">
        <v>13</v>
      </c>
      <c r="F1999" s="944"/>
      <c r="G1999" s="29" t="s">
        <v>17</v>
      </c>
      <c r="H1999" s="29" t="s">
        <v>106</v>
      </c>
      <c r="I1999" s="42">
        <v>27</v>
      </c>
      <c r="J1999" s="42">
        <v>10</v>
      </c>
      <c r="K1999" s="381">
        <v>0</v>
      </c>
      <c r="L1999" s="66">
        <f t="shared" si="498"/>
        <v>37</v>
      </c>
      <c r="M1999" s="42"/>
    </row>
    <row r="2000" spans="2:13" ht="15.75" hidden="1" x14ac:dyDescent="0.2">
      <c r="B2000" s="10">
        <v>46237</v>
      </c>
      <c r="C2000" s="10" t="s">
        <v>106</v>
      </c>
      <c r="D2000" s="10" t="s">
        <v>13</v>
      </c>
      <c r="F2000" s="944"/>
      <c r="G2000" s="29" t="s">
        <v>118</v>
      </c>
      <c r="H2000" s="29" t="s">
        <v>106</v>
      </c>
      <c r="I2000" s="42">
        <v>34</v>
      </c>
      <c r="J2000" s="42">
        <v>8</v>
      </c>
      <c r="K2000" s="381">
        <v>0</v>
      </c>
      <c r="L2000" s="66">
        <f t="shared" si="498"/>
        <v>42</v>
      </c>
      <c r="M2000" s="42"/>
    </row>
    <row r="2001" spans="2:13" ht="15.75" hidden="1" x14ac:dyDescent="0.2">
      <c r="B2001" s="10">
        <v>46237</v>
      </c>
      <c r="C2001" s="10" t="s">
        <v>106</v>
      </c>
      <c r="D2001" s="10" t="s">
        <v>13</v>
      </c>
      <c r="F2001" s="944"/>
      <c r="G2001" s="29" t="s">
        <v>180</v>
      </c>
      <c r="H2001" s="29" t="s">
        <v>106</v>
      </c>
      <c r="I2001" s="42">
        <v>15</v>
      </c>
      <c r="J2001" s="42">
        <v>0</v>
      </c>
      <c r="K2001" s="381">
        <v>0</v>
      </c>
      <c r="L2001" s="66">
        <f t="shared" si="498"/>
        <v>15</v>
      </c>
      <c r="M2001" s="42"/>
    </row>
    <row r="2002" spans="2:13" ht="15.75" hidden="1" x14ac:dyDescent="0.2">
      <c r="B2002" s="10">
        <v>46237</v>
      </c>
      <c r="C2002" s="10" t="s">
        <v>106</v>
      </c>
      <c r="D2002" s="10" t="s">
        <v>13</v>
      </c>
      <c r="F2002" s="945"/>
      <c r="G2002" s="29" t="s">
        <v>84</v>
      </c>
      <c r="H2002" s="29" t="s">
        <v>105</v>
      </c>
      <c r="I2002" s="42">
        <v>90</v>
      </c>
      <c r="J2002" s="42">
        <v>9</v>
      </c>
      <c r="K2002" s="381">
        <v>0</v>
      </c>
      <c r="L2002" s="66">
        <f t="shared" si="498"/>
        <v>99</v>
      </c>
      <c r="M2002" s="42"/>
    </row>
    <row r="2003" spans="2:13" ht="15.75" hidden="1" x14ac:dyDescent="0.2">
      <c r="B2003" s="10">
        <v>46237</v>
      </c>
      <c r="C2003" s="10" t="s">
        <v>106</v>
      </c>
      <c r="D2003" s="10" t="s">
        <v>13</v>
      </c>
      <c r="F2003" s="937" t="s">
        <v>40</v>
      </c>
      <c r="G2003" s="937"/>
      <c r="H2003" s="937"/>
      <c r="I2003" s="8">
        <f>SUM(I1997:I2002)</f>
        <v>368</v>
      </c>
      <c r="J2003" s="8">
        <f t="shared" ref="J2003:L2003" si="499">SUM(J1997:J2002)</f>
        <v>102</v>
      </c>
      <c r="K2003" s="8">
        <f t="shared" si="499"/>
        <v>105</v>
      </c>
      <c r="L2003" s="8">
        <f t="shared" si="499"/>
        <v>575</v>
      </c>
      <c r="M2003" s="316"/>
    </row>
    <row r="2004" spans="2:13" ht="15.75" hidden="1" x14ac:dyDescent="0.2">
      <c r="B2004" s="10">
        <v>46237</v>
      </c>
      <c r="C2004" s="10" t="s">
        <v>105</v>
      </c>
      <c r="D2004" s="10" t="s">
        <v>189</v>
      </c>
      <c r="F2004" s="942">
        <v>46237</v>
      </c>
      <c r="G2004" s="29" t="s">
        <v>16</v>
      </c>
      <c r="H2004" s="29" t="s">
        <v>112</v>
      </c>
      <c r="I2004" s="42">
        <v>26</v>
      </c>
      <c r="J2004" s="42">
        <v>12</v>
      </c>
      <c r="K2004" s="381">
        <v>0</v>
      </c>
      <c r="L2004" s="66">
        <f>SUM(I2004:K2004)</f>
        <v>38</v>
      </c>
      <c r="M2004" s="42"/>
    </row>
    <row r="2005" spans="2:13" ht="15.75" hidden="1" x14ac:dyDescent="0.2">
      <c r="B2005" s="10">
        <v>46237</v>
      </c>
      <c r="C2005" s="10" t="s">
        <v>105</v>
      </c>
      <c r="D2005" s="10" t="s">
        <v>189</v>
      </c>
      <c r="F2005" s="942"/>
      <c r="G2005" s="29" t="s">
        <v>14</v>
      </c>
      <c r="H2005" s="29" t="s">
        <v>105</v>
      </c>
      <c r="I2005" s="42">
        <v>67</v>
      </c>
      <c r="J2005" s="42">
        <v>18</v>
      </c>
      <c r="K2005" s="381">
        <v>0</v>
      </c>
      <c r="L2005" s="66">
        <f t="shared" ref="L2005:L2012" si="500">SUM(I2005:K2005)</f>
        <v>85</v>
      </c>
      <c r="M2005" s="42"/>
    </row>
    <row r="2006" spans="2:13" ht="15.75" hidden="1" x14ac:dyDescent="0.2">
      <c r="B2006" s="10">
        <v>46237</v>
      </c>
      <c r="C2006" s="10" t="s">
        <v>105</v>
      </c>
      <c r="D2006" s="10" t="s">
        <v>189</v>
      </c>
      <c r="F2006" s="942"/>
      <c r="G2006" s="29" t="s">
        <v>84</v>
      </c>
      <c r="H2006" s="29" t="s">
        <v>105</v>
      </c>
      <c r="I2006" s="42">
        <v>6</v>
      </c>
      <c r="J2006" s="42">
        <v>8</v>
      </c>
      <c r="K2006" s="381">
        <v>0</v>
      </c>
      <c r="L2006" s="66">
        <f t="shared" si="500"/>
        <v>14</v>
      </c>
      <c r="M2006" s="42"/>
    </row>
    <row r="2007" spans="2:13" ht="15.75" hidden="1" x14ac:dyDescent="0.2">
      <c r="B2007" s="10">
        <v>46237</v>
      </c>
      <c r="C2007" s="10" t="s">
        <v>105</v>
      </c>
      <c r="D2007" s="10" t="s">
        <v>189</v>
      </c>
      <c r="F2007" s="942"/>
      <c r="G2007" s="29" t="s">
        <v>17</v>
      </c>
      <c r="H2007" s="29" t="s">
        <v>105</v>
      </c>
      <c r="I2007" s="42">
        <v>4</v>
      </c>
      <c r="J2007" s="42">
        <v>0</v>
      </c>
      <c r="K2007" s="381">
        <v>0</v>
      </c>
      <c r="L2007" s="66">
        <f t="shared" si="500"/>
        <v>4</v>
      </c>
      <c r="M2007" s="42"/>
    </row>
    <row r="2008" spans="2:13" ht="15.75" hidden="1" x14ac:dyDescent="0.2">
      <c r="B2008" s="10">
        <v>46237</v>
      </c>
      <c r="C2008" s="10" t="s">
        <v>105</v>
      </c>
      <c r="D2008" s="10" t="s">
        <v>189</v>
      </c>
      <c r="F2008" s="942"/>
      <c r="G2008" s="29" t="s">
        <v>118</v>
      </c>
      <c r="H2008" s="29" t="s">
        <v>105</v>
      </c>
      <c r="I2008" s="42">
        <v>2</v>
      </c>
      <c r="J2008" s="42">
        <v>0</v>
      </c>
      <c r="K2008" s="381">
        <v>0</v>
      </c>
      <c r="L2008" s="66">
        <f t="shared" si="500"/>
        <v>2</v>
      </c>
      <c r="M2008" s="42"/>
    </row>
    <row r="2009" spans="2:13" ht="15.75" hidden="1" x14ac:dyDescent="0.2">
      <c r="B2009" s="10">
        <v>46237</v>
      </c>
      <c r="C2009" s="10" t="s">
        <v>105</v>
      </c>
      <c r="D2009" s="10" t="s">
        <v>189</v>
      </c>
      <c r="F2009" s="943">
        <v>46238</v>
      </c>
      <c r="G2009" s="29" t="s">
        <v>16</v>
      </c>
      <c r="H2009" s="29" t="s">
        <v>112</v>
      </c>
      <c r="I2009" s="42">
        <v>135</v>
      </c>
      <c r="J2009" s="42">
        <v>56</v>
      </c>
      <c r="K2009" s="381">
        <v>0</v>
      </c>
      <c r="L2009" s="66">
        <f t="shared" si="500"/>
        <v>191</v>
      </c>
      <c r="M2009" s="42"/>
    </row>
    <row r="2010" spans="2:13" ht="15.75" hidden="1" x14ac:dyDescent="0.2">
      <c r="B2010" s="10">
        <v>46237</v>
      </c>
      <c r="C2010" s="10" t="s">
        <v>105</v>
      </c>
      <c r="D2010" s="10" t="s">
        <v>189</v>
      </c>
      <c r="F2010" s="944"/>
      <c r="G2010" s="29" t="s">
        <v>25</v>
      </c>
      <c r="H2010" s="29" t="s">
        <v>106</v>
      </c>
      <c r="I2010" s="42">
        <v>92</v>
      </c>
      <c r="J2010" s="42">
        <v>19</v>
      </c>
      <c r="K2010" s="381">
        <v>37</v>
      </c>
      <c r="L2010" s="66">
        <f t="shared" si="500"/>
        <v>148</v>
      </c>
      <c r="M2010" s="42"/>
    </row>
    <row r="2011" spans="2:13" ht="15.75" hidden="1" x14ac:dyDescent="0.2">
      <c r="B2011" s="10">
        <v>46237</v>
      </c>
      <c r="C2011" s="10" t="s">
        <v>105</v>
      </c>
      <c r="D2011" s="10" t="s">
        <v>189</v>
      </c>
      <c r="F2011" s="945"/>
      <c r="G2011" s="29" t="s">
        <v>14</v>
      </c>
      <c r="H2011" s="29" t="s">
        <v>105</v>
      </c>
      <c r="I2011" s="42">
        <v>3</v>
      </c>
      <c r="J2011" s="42">
        <v>1</v>
      </c>
      <c r="K2011" s="381">
        <v>0</v>
      </c>
      <c r="L2011" s="66">
        <f t="shared" si="500"/>
        <v>4</v>
      </c>
      <c r="M2011" s="42"/>
    </row>
    <row r="2012" spans="2:13" ht="15.75" hidden="1" x14ac:dyDescent="0.2">
      <c r="B2012" s="10">
        <v>46237</v>
      </c>
      <c r="C2012" s="10" t="s">
        <v>105</v>
      </c>
      <c r="D2012" s="10" t="s">
        <v>189</v>
      </c>
      <c r="F2012" s="478">
        <v>46239</v>
      </c>
      <c r="G2012" s="29" t="s">
        <v>180</v>
      </c>
      <c r="H2012" s="29" t="s">
        <v>106</v>
      </c>
      <c r="I2012" s="42">
        <v>0</v>
      </c>
      <c r="J2012" s="42">
        <v>0</v>
      </c>
      <c r="K2012" s="381">
        <v>19</v>
      </c>
      <c r="L2012" s="66">
        <f t="shared" si="500"/>
        <v>19</v>
      </c>
      <c r="M2012" s="42"/>
    </row>
    <row r="2013" spans="2:13" ht="15.75" hidden="1" x14ac:dyDescent="0.2">
      <c r="B2013" s="10">
        <v>46237</v>
      </c>
      <c r="C2013" s="10" t="s">
        <v>105</v>
      </c>
      <c r="D2013" s="10" t="s">
        <v>189</v>
      </c>
      <c r="F2013" s="937" t="s">
        <v>40</v>
      </c>
      <c r="G2013" s="937"/>
      <c r="H2013" s="937"/>
      <c r="I2013" s="8">
        <f>SUM(I2004:I2012)</f>
        <v>335</v>
      </c>
      <c r="J2013" s="8">
        <f>SUM(J2004:J2012)</f>
        <v>114</v>
      </c>
      <c r="K2013" s="8">
        <f>SUM(K2004:K2012)</f>
        <v>56</v>
      </c>
      <c r="L2013" s="8">
        <f>SUM(L2004:L2012)</f>
        <v>505</v>
      </c>
      <c r="M2013" s="316"/>
    </row>
    <row r="2014" spans="2:13" ht="15.75" hidden="1" x14ac:dyDescent="0.2">
      <c r="B2014" s="10">
        <v>46238</v>
      </c>
      <c r="C2014" s="10" t="s">
        <v>106</v>
      </c>
      <c r="D2014" s="10" t="s">
        <v>13</v>
      </c>
      <c r="F2014" s="939">
        <v>46238</v>
      </c>
      <c r="G2014" s="29" t="s">
        <v>16</v>
      </c>
      <c r="H2014" s="29" t="s">
        <v>112</v>
      </c>
      <c r="I2014" s="42">
        <v>4</v>
      </c>
      <c r="J2014" s="42">
        <v>23</v>
      </c>
      <c r="K2014" s="381">
        <v>0</v>
      </c>
      <c r="L2014" s="66">
        <f t="shared" ref="L2014:L2019" si="501">SUM(I2014:K2014)</f>
        <v>27</v>
      </c>
      <c r="M2014" s="42"/>
    </row>
    <row r="2015" spans="2:13" ht="15.75" hidden="1" x14ac:dyDescent="0.2">
      <c r="B2015" s="10">
        <v>46238</v>
      </c>
      <c r="C2015" s="10" t="s">
        <v>106</v>
      </c>
      <c r="D2015" s="10" t="s">
        <v>13</v>
      </c>
      <c r="F2015" s="940"/>
      <c r="G2015" s="29" t="s">
        <v>25</v>
      </c>
      <c r="H2015" s="29" t="s">
        <v>106</v>
      </c>
      <c r="I2015" s="42">
        <v>79</v>
      </c>
      <c r="J2015" s="42">
        <v>29</v>
      </c>
      <c r="K2015" s="381">
        <v>0</v>
      </c>
      <c r="L2015" s="66">
        <f t="shared" si="501"/>
        <v>108</v>
      </c>
      <c r="M2015" s="42"/>
    </row>
    <row r="2016" spans="2:13" ht="15.75" hidden="1" x14ac:dyDescent="0.2">
      <c r="B2016" s="10">
        <v>46238</v>
      </c>
      <c r="C2016" s="10" t="s">
        <v>106</v>
      </c>
      <c r="D2016" s="10" t="s">
        <v>13</v>
      </c>
      <c r="F2016" s="940"/>
      <c r="G2016" s="29" t="s">
        <v>118</v>
      </c>
      <c r="H2016" s="29" t="s">
        <v>106</v>
      </c>
      <c r="I2016" s="42">
        <v>5</v>
      </c>
      <c r="J2016" s="42">
        <v>3</v>
      </c>
      <c r="K2016" s="381">
        <v>0</v>
      </c>
      <c r="L2016" s="66">
        <f t="shared" si="501"/>
        <v>8</v>
      </c>
      <c r="M2016" s="42"/>
    </row>
    <row r="2017" spans="2:13" ht="15.75" hidden="1" x14ac:dyDescent="0.2">
      <c r="B2017" s="10">
        <v>46238</v>
      </c>
      <c r="C2017" s="10" t="s">
        <v>106</v>
      </c>
      <c r="D2017" s="10" t="s">
        <v>13</v>
      </c>
      <c r="F2017" s="941"/>
      <c r="G2017" s="29" t="s">
        <v>14</v>
      </c>
      <c r="H2017" s="29" t="s">
        <v>105</v>
      </c>
      <c r="I2017" s="42">
        <v>102</v>
      </c>
      <c r="J2017" s="42">
        <v>28</v>
      </c>
      <c r="K2017" s="381">
        <v>0</v>
      </c>
      <c r="L2017" s="66">
        <f t="shared" si="501"/>
        <v>130</v>
      </c>
      <c r="M2017" s="42"/>
    </row>
    <row r="2018" spans="2:13" ht="15.75" hidden="1" x14ac:dyDescent="0.2">
      <c r="B2018" s="10">
        <v>46238</v>
      </c>
      <c r="C2018" s="10" t="s">
        <v>106</v>
      </c>
      <c r="D2018" s="10" t="s">
        <v>13</v>
      </c>
      <c r="F2018" s="943">
        <v>46239</v>
      </c>
      <c r="G2018" s="29" t="s">
        <v>16</v>
      </c>
      <c r="H2018" s="29" t="s">
        <v>112</v>
      </c>
      <c r="I2018" s="42">
        <v>43</v>
      </c>
      <c r="J2018" s="42">
        <v>13</v>
      </c>
      <c r="K2018" s="381">
        <v>38</v>
      </c>
      <c r="L2018" s="66">
        <f t="shared" si="501"/>
        <v>94</v>
      </c>
      <c r="M2018" s="42"/>
    </row>
    <row r="2019" spans="2:13" ht="15.75" hidden="1" x14ac:dyDescent="0.2">
      <c r="B2019" s="10">
        <v>46238</v>
      </c>
      <c r="C2019" s="10" t="s">
        <v>106</v>
      </c>
      <c r="D2019" s="10" t="s">
        <v>13</v>
      </c>
      <c r="F2019" s="945"/>
      <c r="G2019" s="29" t="s">
        <v>180</v>
      </c>
      <c r="H2019" s="29" t="s">
        <v>106</v>
      </c>
      <c r="I2019" s="42">
        <v>68</v>
      </c>
      <c r="J2019" s="42">
        <v>4</v>
      </c>
      <c r="K2019" s="381">
        <v>33</v>
      </c>
      <c r="L2019" s="66">
        <f t="shared" si="501"/>
        <v>105</v>
      </c>
      <c r="M2019" s="42"/>
    </row>
    <row r="2020" spans="2:13" ht="15.75" hidden="1" x14ac:dyDescent="0.2">
      <c r="B2020" s="10">
        <v>46238</v>
      </c>
      <c r="C2020" s="10" t="s">
        <v>106</v>
      </c>
      <c r="D2020" s="10" t="s">
        <v>13</v>
      </c>
      <c r="F2020" s="937" t="s">
        <v>40</v>
      </c>
      <c r="G2020" s="937"/>
      <c r="H2020" s="937"/>
      <c r="I2020" s="8">
        <f>SUM(I2014:I2019)</f>
        <v>301</v>
      </c>
      <c r="J2020" s="8">
        <f t="shared" ref="J2020:L2020" si="502">SUM(J2014:J2019)</f>
        <v>100</v>
      </c>
      <c r="K2020" s="8">
        <f t="shared" si="502"/>
        <v>71</v>
      </c>
      <c r="L2020" s="8">
        <f t="shared" si="502"/>
        <v>472</v>
      </c>
      <c r="M2020" s="316"/>
    </row>
    <row r="2021" spans="2:13" ht="15.75" hidden="1" x14ac:dyDescent="0.2">
      <c r="B2021" s="10">
        <v>46238</v>
      </c>
      <c r="C2021" s="10" t="s">
        <v>105</v>
      </c>
      <c r="D2021" s="10" t="s">
        <v>192</v>
      </c>
      <c r="F2021" s="942">
        <v>46238</v>
      </c>
      <c r="G2021" s="29" t="s">
        <v>16</v>
      </c>
      <c r="H2021" s="29" t="s">
        <v>112</v>
      </c>
      <c r="I2021" s="42">
        <v>24</v>
      </c>
      <c r="J2021" s="42">
        <v>11</v>
      </c>
      <c r="K2021" s="381">
        <v>0</v>
      </c>
      <c r="L2021" s="66">
        <f>SUM(I2021:K2021)</f>
        <v>35</v>
      </c>
      <c r="M2021" s="42"/>
    </row>
    <row r="2022" spans="2:13" ht="15.75" hidden="1" x14ac:dyDescent="0.2">
      <c r="B2022" s="10">
        <v>46238</v>
      </c>
      <c r="C2022" s="10" t="s">
        <v>105</v>
      </c>
      <c r="D2022" s="10" t="s">
        <v>192</v>
      </c>
      <c r="F2022" s="942"/>
      <c r="G2022" s="29" t="s">
        <v>14</v>
      </c>
      <c r="H2022" s="29" t="s">
        <v>105</v>
      </c>
      <c r="I2022" s="42">
        <v>19</v>
      </c>
      <c r="J2022" s="42">
        <v>8</v>
      </c>
      <c r="K2022" s="381">
        <v>0</v>
      </c>
      <c r="L2022" s="66">
        <f t="shared" ref="L2022:L2029" si="503">SUM(I2022:K2022)</f>
        <v>27</v>
      </c>
      <c r="M2022" s="42"/>
    </row>
    <row r="2023" spans="2:13" ht="15.75" hidden="1" x14ac:dyDescent="0.2">
      <c r="B2023" s="10">
        <v>46238</v>
      </c>
      <c r="C2023" s="10" t="s">
        <v>105</v>
      </c>
      <c r="D2023" s="10" t="s">
        <v>192</v>
      </c>
      <c r="F2023" s="942"/>
      <c r="G2023" s="29" t="s">
        <v>84</v>
      </c>
      <c r="H2023" s="29" t="s">
        <v>105</v>
      </c>
      <c r="I2023" s="42">
        <v>12</v>
      </c>
      <c r="J2023" s="42">
        <v>7</v>
      </c>
      <c r="K2023" s="381">
        <v>0</v>
      </c>
      <c r="L2023" s="66">
        <f t="shared" si="503"/>
        <v>19</v>
      </c>
      <c r="M2023" s="42"/>
    </row>
    <row r="2024" spans="2:13" ht="15.75" hidden="1" x14ac:dyDescent="0.2">
      <c r="B2024" s="10">
        <v>46238</v>
      </c>
      <c r="C2024" s="10" t="s">
        <v>105</v>
      </c>
      <c r="D2024" s="10" t="s">
        <v>192</v>
      </c>
      <c r="F2024" s="942"/>
      <c r="G2024" s="29" t="s">
        <v>118</v>
      </c>
      <c r="H2024" s="29" t="s">
        <v>105</v>
      </c>
      <c r="I2024" s="42">
        <v>1</v>
      </c>
      <c r="J2024" s="42">
        <v>0</v>
      </c>
      <c r="K2024" s="381">
        <v>0</v>
      </c>
      <c r="L2024" s="66">
        <f t="shared" si="503"/>
        <v>1</v>
      </c>
      <c r="M2024" s="42"/>
    </row>
    <row r="2025" spans="2:13" ht="15.75" hidden="1" x14ac:dyDescent="0.2">
      <c r="B2025" s="10">
        <v>46238</v>
      </c>
      <c r="C2025" s="10" t="s">
        <v>105</v>
      </c>
      <c r="D2025" s="10" t="s">
        <v>192</v>
      </c>
      <c r="F2025" s="942"/>
      <c r="G2025" s="29" t="s">
        <v>120</v>
      </c>
      <c r="H2025" s="29" t="s">
        <v>105</v>
      </c>
      <c r="I2025" s="42">
        <v>2</v>
      </c>
      <c r="J2025" s="42">
        <v>0</v>
      </c>
      <c r="K2025" s="381">
        <v>0</v>
      </c>
      <c r="L2025" s="66">
        <f t="shared" si="503"/>
        <v>2</v>
      </c>
      <c r="M2025" s="42"/>
    </row>
    <row r="2026" spans="2:13" ht="15.75" hidden="1" x14ac:dyDescent="0.2">
      <c r="B2026" s="10">
        <v>46238</v>
      </c>
      <c r="C2026" s="10" t="s">
        <v>105</v>
      </c>
      <c r="D2026" s="10" t="s">
        <v>192</v>
      </c>
      <c r="F2026" s="943">
        <v>46239</v>
      </c>
      <c r="G2026" s="29" t="s">
        <v>16</v>
      </c>
      <c r="H2026" s="29" t="s">
        <v>112</v>
      </c>
      <c r="I2026" s="42">
        <v>107</v>
      </c>
      <c r="J2026" s="42">
        <v>42</v>
      </c>
      <c r="K2026" s="381">
        <v>0</v>
      </c>
      <c r="L2026" s="66">
        <f t="shared" si="503"/>
        <v>149</v>
      </c>
      <c r="M2026" s="42"/>
    </row>
    <row r="2027" spans="2:13" ht="15.75" hidden="1" x14ac:dyDescent="0.2">
      <c r="B2027" s="10">
        <v>46238</v>
      </c>
      <c r="C2027" s="10" t="s">
        <v>105</v>
      </c>
      <c r="D2027" s="10" t="s">
        <v>192</v>
      </c>
      <c r="F2027" s="944"/>
      <c r="G2027" s="29" t="s">
        <v>17</v>
      </c>
      <c r="H2027" s="29" t="s">
        <v>106</v>
      </c>
      <c r="I2027" s="42">
        <v>98</v>
      </c>
      <c r="J2027" s="42">
        <v>19</v>
      </c>
      <c r="K2027" s="381">
        <v>16</v>
      </c>
      <c r="L2027" s="66">
        <f t="shared" si="503"/>
        <v>133</v>
      </c>
      <c r="M2027" s="42"/>
    </row>
    <row r="2028" spans="2:13" ht="15.75" hidden="1" x14ac:dyDescent="0.2">
      <c r="B2028" s="10">
        <v>46238</v>
      </c>
      <c r="C2028" s="10" t="s">
        <v>105</v>
      </c>
      <c r="D2028" s="10" t="s">
        <v>192</v>
      </c>
      <c r="F2028" s="944"/>
      <c r="G2028" s="29" t="s">
        <v>14</v>
      </c>
      <c r="H2028" s="29" t="s">
        <v>105</v>
      </c>
      <c r="I2028" s="42">
        <v>0</v>
      </c>
      <c r="J2028" s="42">
        <v>0</v>
      </c>
      <c r="K2028" s="381">
        <v>23</v>
      </c>
      <c r="L2028" s="66">
        <f t="shared" si="503"/>
        <v>23</v>
      </c>
      <c r="M2028" s="42"/>
    </row>
    <row r="2029" spans="2:13" ht="15.75" hidden="1" x14ac:dyDescent="0.2">
      <c r="B2029" s="10">
        <v>46238</v>
      </c>
      <c r="C2029" s="10" t="s">
        <v>105</v>
      </c>
      <c r="D2029" s="10" t="s">
        <v>192</v>
      </c>
      <c r="F2029" s="945"/>
      <c r="G2029" s="29" t="s">
        <v>180</v>
      </c>
      <c r="H2029" s="29" t="s">
        <v>106</v>
      </c>
      <c r="I2029" s="42">
        <v>69</v>
      </c>
      <c r="J2029" s="42">
        <v>7</v>
      </c>
      <c r="K2029" s="381">
        <v>0</v>
      </c>
      <c r="L2029" s="66">
        <f t="shared" si="503"/>
        <v>76</v>
      </c>
      <c r="M2029" s="42"/>
    </row>
    <row r="2030" spans="2:13" ht="15.75" hidden="1" x14ac:dyDescent="0.2">
      <c r="B2030" s="10">
        <v>46238</v>
      </c>
      <c r="C2030" s="10" t="s">
        <v>105</v>
      </c>
      <c r="D2030" s="10" t="s">
        <v>192</v>
      </c>
      <c r="F2030" s="937" t="s">
        <v>40</v>
      </c>
      <c r="G2030" s="937"/>
      <c r="H2030" s="937"/>
      <c r="I2030" s="8">
        <f>SUM(I2021:I2029)</f>
        <v>332</v>
      </c>
      <c r="J2030" s="8">
        <f>SUM(J2021:J2029)</f>
        <v>94</v>
      </c>
      <c r="K2030" s="8">
        <f>SUM(K2021:K2029)</f>
        <v>39</v>
      </c>
      <c r="L2030" s="8">
        <f>SUM(L2021:L2029)</f>
        <v>465</v>
      </c>
      <c r="M2030" s="316"/>
    </row>
    <row r="2031" spans="2:13" ht="15.75" hidden="1" x14ac:dyDescent="0.2">
      <c r="B2031" s="10">
        <v>46239</v>
      </c>
      <c r="C2031" s="10" t="s">
        <v>106</v>
      </c>
      <c r="D2031" s="10" t="s">
        <v>13</v>
      </c>
      <c r="F2031" s="942">
        <v>46239</v>
      </c>
      <c r="G2031" s="29" t="s">
        <v>16</v>
      </c>
      <c r="H2031" s="29" t="s">
        <v>112</v>
      </c>
      <c r="I2031" s="42">
        <v>7</v>
      </c>
      <c r="J2031" s="42">
        <v>12</v>
      </c>
      <c r="K2031" s="381">
        <v>0</v>
      </c>
      <c r="L2031" s="66">
        <f>SUM(I2031:K2031)</f>
        <v>19</v>
      </c>
      <c r="M2031" s="42"/>
    </row>
    <row r="2032" spans="2:13" ht="15.75" hidden="1" x14ac:dyDescent="0.2">
      <c r="B2032" s="10">
        <v>46239</v>
      </c>
      <c r="C2032" s="10" t="s">
        <v>106</v>
      </c>
      <c r="D2032" s="10" t="s">
        <v>13</v>
      </c>
      <c r="F2032" s="942"/>
      <c r="G2032" s="29" t="s">
        <v>14</v>
      </c>
      <c r="H2032" s="29" t="s">
        <v>105</v>
      </c>
      <c r="I2032" s="42">
        <v>61</v>
      </c>
      <c r="J2032" s="42">
        <v>14</v>
      </c>
      <c r="K2032" s="381">
        <v>66</v>
      </c>
      <c r="L2032" s="66">
        <f t="shared" ref="L2032:L2037" si="504">SUM(I2032:K2032)</f>
        <v>141</v>
      </c>
      <c r="M2032" s="42"/>
    </row>
    <row r="2033" spans="2:13" ht="15.75" hidden="1" x14ac:dyDescent="0.2">
      <c r="B2033" s="10">
        <v>46239</v>
      </c>
      <c r="C2033" s="10" t="s">
        <v>106</v>
      </c>
      <c r="D2033" s="10" t="s">
        <v>13</v>
      </c>
      <c r="F2033" s="942"/>
      <c r="G2033" s="29" t="s">
        <v>17</v>
      </c>
      <c r="H2033" s="29" t="s">
        <v>106</v>
      </c>
      <c r="I2033" s="42">
        <v>64</v>
      </c>
      <c r="J2033" s="42">
        <v>28</v>
      </c>
      <c r="K2033" s="381">
        <v>0</v>
      </c>
      <c r="L2033" s="66">
        <f t="shared" si="504"/>
        <v>92</v>
      </c>
      <c r="M2033" s="42"/>
    </row>
    <row r="2034" spans="2:13" ht="15.75" hidden="1" x14ac:dyDescent="0.2">
      <c r="B2034" s="10">
        <v>46239</v>
      </c>
      <c r="C2034" s="10" t="s">
        <v>106</v>
      </c>
      <c r="D2034" s="10" t="s">
        <v>13</v>
      </c>
      <c r="F2034" s="942"/>
      <c r="G2034" s="29" t="s">
        <v>118</v>
      </c>
      <c r="H2034" s="29" t="s">
        <v>106</v>
      </c>
      <c r="I2034" s="42">
        <v>4</v>
      </c>
      <c r="J2034" s="42">
        <v>0</v>
      </c>
      <c r="K2034" s="381">
        <v>13</v>
      </c>
      <c r="L2034" s="66">
        <f t="shared" si="504"/>
        <v>17</v>
      </c>
      <c r="M2034" s="42"/>
    </row>
    <row r="2035" spans="2:13" ht="15.75" hidden="1" x14ac:dyDescent="0.2">
      <c r="B2035" s="10">
        <v>46239</v>
      </c>
      <c r="C2035" s="10" t="s">
        <v>106</v>
      </c>
      <c r="D2035" s="10" t="s">
        <v>13</v>
      </c>
      <c r="F2035" s="942"/>
      <c r="G2035" s="29" t="s">
        <v>180</v>
      </c>
      <c r="H2035" s="29" t="s">
        <v>105</v>
      </c>
      <c r="I2035" s="42">
        <v>10</v>
      </c>
      <c r="J2035" s="42">
        <v>0</v>
      </c>
      <c r="K2035" s="381">
        <v>0</v>
      </c>
      <c r="L2035" s="66">
        <f t="shared" si="504"/>
        <v>10</v>
      </c>
      <c r="M2035" s="42"/>
    </row>
    <row r="2036" spans="2:13" ht="15.75" hidden="1" x14ac:dyDescent="0.2">
      <c r="B2036" s="10">
        <v>46239</v>
      </c>
      <c r="C2036" s="10" t="s">
        <v>106</v>
      </c>
      <c r="D2036" s="10" t="s">
        <v>13</v>
      </c>
      <c r="F2036" s="943">
        <v>46240</v>
      </c>
      <c r="G2036" s="29" t="s">
        <v>16</v>
      </c>
      <c r="H2036" s="29" t="s">
        <v>112</v>
      </c>
      <c r="I2036" s="42">
        <v>30</v>
      </c>
      <c r="J2036" s="42">
        <v>23</v>
      </c>
      <c r="K2036" s="381">
        <v>71</v>
      </c>
      <c r="L2036" s="66">
        <f t="shared" si="504"/>
        <v>124</v>
      </c>
      <c r="M2036" s="42"/>
    </row>
    <row r="2037" spans="2:13" ht="15.75" hidden="1" x14ac:dyDescent="0.2">
      <c r="B2037" s="10">
        <v>46239</v>
      </c>
      <c r="C2037" s="10" t="s">
        <v>106</v>
      </c>
      <c r="D2037" s="10" t="s">
        <v>13</v>
      </c>
      <c r="F2037" s="944"/>
      <c r="G2037" s="29" t="s">
        <v>25</v>
      </c>
      <c r="H2037" s="29" t="s">
        <v>106</v>
      </c>
      <c r="I2037" s="42">
        <v>0</v>
      </c>
      <c r="J2037" s="42">
        <v>0</v>
      </c>
      <c r="K2037" s="381">
        <v>0</v>
      </c>
      <c r="L2037" s="66">
        <f t="shared" si="504"/>
        <v>0</v>
      </c>
      <c r="M2037" s="42"/>
    </row>
    <row r="2038" spans="2:13" ht="15.75" hidden="1" x14ac:dyDescent="0.2">
      <c r="B2038" s="10">
        <v>46239</v>
      </c>
      <c r="C2038" s="10" t="s">
        <v>106</v>
      </c>
      <c r="D2038" s="10" t="s">
        <v>13</v>
      </c>
      <c r="F2038" s="937" t="s">
        <v>40</v>
      </c>
      <c r="G2038" s="937"/>
      <c r="H2038" s="937"/>
      <c r="I2038" s="8">
        <f>SUM(I2031:I2037)</f>
        <v>176</v>
      </c>
      <c r="J2038" s="8">
        <f>SUM(J2031:J2037)</f>
        <v>77</v>
      </c>
      <c r="K2038" s="8">
        <f>SUM(K2031:K2037)</f>
        <v>150</v>
      </c>
      <c r="L2038" s="8">
        <f>SUM(L2031:L2037)</f>
        <v>403</v>
      </c>
      <c r="M2038" s="316"/>
    </row>
    <row r="2039" spans="2:13" ht="15.75" hidden="1" x14ac:dyDescent="0.2">
      <c r="B2039" s="10">
        <v>46239</v>
      </c>
      <c r="C2039" s="10" t="s">
        <v>105</v>
      </c>
      <c r="D2039" s="10" t="s">
        <v>192</v>
      </c>
      <c r="F2039" s="942">
        <v>46239</v>
      </c>
      <c r="G2039" s="29" t="s">
        <v>16</v>
      </c>
      <c r="H2039" s="29" t="s">
        <v>112</v>
      </c>
      <c r="I2039" s="42">
        <v>33</v>
      </c>
      <c r="J2039" s="42">
        <v>15</v>
      </c>
      <c r="K2039" s="381">
        <v>0</v>
      </c>
      <c r="L2039" s="66">
        <f>SUM(I2039:K2039)</f>
        <v>48</v>
      </c>
      <c r="M2039" s="42"/>
    </row>
    <row r="2040" spans="2:13" ht="15.75" hidden="1" x14ac:dyDescent="0.2">
      <c r="B2040" s="10">
        <v>46239</v>
      </c>
      <c r="C2040" s="10" t="s">
        <v>105</v>
      </c>
      <c r="D2040" s="10" t="s">
        <v>192</v>
      </c>
      <c r="F2040" s="942"/>
      <c r="G2040" s="29" t="s">
        <v>17</v>
      </c>
      <c r="H2040" s="29" t="s">
        <v>105</v>
      </c>
      <c r="I2040" s="42">
        <v>5</v>
      </c>
      <c r="J2040" s="42">
        <v>0</v>
      </c>
      <c r="K2040" s="381">
        <v>0</v>
      </c>
      <c r="L2040" s="66">
        <f t="shared" ref="L2040:L2046" si="505">SUM(I2040:K2040)</f>
        <v>5</v>
      </c>
      <c r="M2040" s="42"/>
    </row>
    <row r="2041" spans="2:13" ht="15.75" hidden="1" x14ac:dyDescent="0.2">
      <c r="B2041" s="10">
        <v>46239</v>
      </c>
      <c r="C2041" s="10" t="s">
        <v>105</v>
      </c>
      <c r="D2041" s="10" t="s">
        <v>192</v>
      </c>
      <c r="F2041" s="942"/>
      <c r="G2041" s="29" t="s">
        <v>84</v>
      </c>
      <c r="H2041" s="29" t="s">
        <v>105</v>
      </c>
      <c r="I2041" s="42">
        <v>2</v>
      </c>
      <c r="J2041" s="42">
        <v>1</v>
      </c>
      <c r="K2041" s="381">
        <v>0</v>
      </c>
      <c r="L2041" s="66">
        <f t="shared" si="505"/>
        <v>3</v>
      </c>
      <c r="M2041" s="42"/>
    </row>
    <row r="2042" spans="2:13" ht="15.75" hidden="1" x14ac:dyDescent="0.2">
      <c r="B2042" s="10">
        <v>46239</v>
      </c>
      <c r="C2042" s="10" t="s">
        <v>105</v>
      </c>
      <c r="D2042" s="10" t="s">
        <v>192</v>
      </c>
      <c r="F2042" s="942"/>
      <c r="G2042" s="29" t="s">
        <v>14</v>
      </c>
      <c r="H2042" s="29" t="s">
        <v>105</v>
      </c>
      <c r="I2042" s="42">
        <v>71</v>
      </c>
      <c r="J2042" s="42">
        <v>28</v>
      </c>
      <c r="K2042" s="381">
        <v>0</v>
      </c>
      <c r="L2042" s="66">
        <f t="shared" ref="L2042" si="506">SUM(I2042:K2042)</f>
        <v>99</v>
      </c>
      <c r="M2042" s="42"/>
    </row>
    <row r="2043" spans="2:13" ht="15.75" hidden="1" x14ac:dyDescent="0.2">
      <c r="B2043" s="10">
        <v>46239</v>
      </c>
      <c r="C2043" s="10" t="s">
        <v>105</v>
      </c>
      <c r="D2043" s="10" t="s">
        <v>192</v>
      </c>
      <c r="F2043" s="942"/>
      <c r="G2043" s="29" t="s">
        <v>120</v>
      </c>
      <c r="H2043" s="29" t="s">
        <v>105</v>
      </c>
      <c r="I2043" s="42">
        <v>3</v>
      </c>
      <c r="J2043" s="42">
        <v>0</v>
      </c>
      <c r="K2043" s="381">
        <v>0</v>
      </c>
      <c r="L2043" s="66">
        <f t="shared" si="505"/>
        <v>3</v>
      </c>
      <c r="M2043" s="42"/>
    </row>
    <row r="2044" spans="2:13" ht="15.75" hidden="1" x14ac:dyDescent="0.2">
      <c r="B2044" s="10">
        <v>46239</v>
      </c>
      <c r="C2044" s="10" t="s">
        <v>105</v>
      </c>
      <c r="D2044" s="10" t="s">
        <v>192</v>
      </c>
      <c r="F2044" s="943">
        <v>46240</v>
      </c>
      <c r="G2044" s="29" t="s">
        <v>16</v>
      </c>
      <c r="H2044" s="29" t="s">
        <v>112</v>
      </c>
      <c r="I2044" s="42">
        <v>117</v>
      </c>
      <c r="J2044" s="42">
        <v>50</v>
      </c>
      <c r="K2044" s="381">
        <v>0</v>
      </c>
      <c r="L2044" s="66">
        <f t="shared" si="505"/>
        <v>167</v>
      </c>
      <c r="M2044" s="42"/>
    </row>
    <row r="2045" spans="2:13" ht="15.75" hidden="1" x14ac:dyDescent="0.2">
      <c r="B2045" s="10">
        <v>46239</v>
      </c>
      <c r="C2045" s="10" t="s">
        <v>105</v>
      </c>
      <c r="D2045" s="10" t="s">
        <v>192</v>
      </c>
      <c r="F2045" s="944"/>
      <c r="G2045" s="29" t="s">
        <v>25</v>
      </c>
      <c r="H2045" s="29" t="s">
        <v>106</v>
      </c>
      <c r="I2045" s="42">
        <v>84</v>
      </c>
      <c r="J2045" s="42">
        <v>37</v>
      </c>
      <c r="K2045" s="381">
        <v>17</v>
      </c>
      <c r="L2045" s="66">
        <f t="shared" si="505"/>
        <v>138</v>
      </c>
      <c r="M2045" s="42"/>
    </row>
    <row r="2046" spans="2:13" ht="15.75" hidden="1" x14ac:dyDescent="0.2">
      <c r="B2046" s="10">
        <v>46239</v>
      </c>
      <c r="C2046" s="10" t="s">
        <v>105</v>
      </c>
      <c r="D2046" s="10" t="s">
        <v>192</v>
      </c>
      <c r="F2046" s="944"/>
      <c r="G2046" s="29" t="s">
        <v>14</v>
      </c>
      <c r="H2046" s="29" t="s">
        <v>105</v>
      </c>
      <c r="I2046" s="42">
        <v>0</v>
      </c>
      <c r="J2046" s="42">
        <v>0</v>
      </c>
      <c r="K2046" s="381">
        <v>49</v>
      </c>
      <c r="L2046" s="66">
        <f t="shared" si="505"/>
        <v>49</v>
      </c>
      <c r="M2046" s="42"/>
    </row>
    <row r="2047" spans="2:13" ht="15.75" hidden="1" x14ac:dyDescent="0.2">
      <c r="B2047" s="10">
        <v>46239</v>
      </c>
      <c r="C2047" s="10" t="s">
        <v>105</v>
      </c>
      <c r="D2047" s="10" t="s">
        <v>192</v>
      </c>
      <c r="F2047" s="937" t="s">
        <v>40</v>
      </c>
      <c r="G2047" s="937"/>
      <c r="H2047" s="937"/>
      <c r="I2047" s="8">
        <f>SUM(I2039:I2046)</f>
        <v>315</v>
      </c>
      <c r="J2047" s="8">
        <f>SUM(J2039:J2046)</f>
        <v>131</v>
      </c>
      <c r="K2047" s="8">
        <f>SUM(K2039:K2046)</f>
        <v>66</v>
      </c>
      <c r="L2047" s="8">
        <f>SUM(L2039:L2046)</f>
        <v>512</v>
      </c>
      <c r="M2047" s="316"/>
    </row>
    <row r="2048" spans="2:13" ht="15.75" hidden="1" x14ac:dyDescent="0.2">
      <c r="B2048" s="10">
        <v>46240</v>
      </c>
      <c r="C2048" s="10" t="s">
        <v>106</v>
      </c>
      <c r="D2048" s="10" t="s">
        <v>13</v>
      </c>
      <c r="F2048" s="942">
        <v>46240</v>
      </c>
      <c r="G2048" s="29" t="s">
        <v>16</v>
      </c>
      <c r="H2048" s="29" t="s">
        <v>112</v>
      </c>
      <c r="I2048" s="42">
        <v>13</v>
      </c>
      <c r="J2048" s="42">
        <v>25</v>
      </c>
      <c r="K2048" s="381">
        <v>0</v>
      </c>
      <c r="L2048" s="66">
        <f>SUM(I2048:K2048)</f>
        <v>38</v>
      </c>
      <c r="M2048" s="42"/>
    </row>
    <row r="2049" spans="2:13" ht="15.75" hidden="1" x14ac:dyDescent="0.2">
      <c r="B2049" s="10">
        <v>46240</v>
      </c>
      <c r="C2049" s="10" t="s">
        <v>106</v>
      </c>
      <c r="D2049" s="10" t="s">
        <v>13</v>
      </c>
      <c r="F2049" s="942"/>
      <c r="G2049" s="29" t="s">
        <v>17</v>
      </c>
      <c r="H2049" s="29" t="s">
        <v>105</v>
      </c>
      <c r="I2049" s="42">
        <v>60</v>
      </c>
      <c r="J2049" s="42">
        <v>9</v>
      </c>
      <c r="K2049" s="381">
        <v>0</v>
      </c>
      <c r="L2049" s="66">
        <f t="shared" ref="L2049:L2053" si="507">SUM(I2049:K2049)</f>
        <v>69</v>
      </c>
      <c r="M2049" s="42"/>
    </row>
    <row r="2050" spans="2:13" ht="15.75" hidden="1" x14ac:dyDescent="0.2">
      <c r="B2050" s="10">
        <v>46240</v>
      </c>
      <c r="C2050" s="10" t="s">
        <v>106</v>
      </c>
      <c r="D2050" s="10" t="s">
        <v>13</v>
      </c>
      <c r="F2050" s="942"/>
      <c r="G2050" s="29" t="s">
        <v>14</v>
      </c>
      <c r="H2050" s="29" t="s">
        <v>105</v>
      </c>
      <c r="I2050" s="42">
        <v>64</v>
      </c>
      <c r="J2050" s="42">
        <v>38</v>
      </c>
      <c r="K2050" s="381">
        <v>58</v>
      </c>
      <c r="L2050" s="66">
        <f t="shared" si="507"/>
        <v>160</v>
      </c>
      <c r="M2050" s="42"/>
    </row>
    <row r="2051" spans="2:13" ht="15.75" hidden="1" x14ac:dyDescent="0.2">
      <c r="B2051" s="10">
        <v>46240</v>
      </c>
      <c r="C2051" s="10" t="s">
        <v>106</v>
      </c>
      <c r="D2051" s="10" t="s">
        <v>13</v>
      </c>
      <c r="F2051" s="943">
        <v>46241</v>
      </c>
      <c r="G2051" s="29" t="s">
        <v>16</v>
      </c>
      <c r="H2051" s="29" t="s">
        <v>112</v>
      </c>
      <c r="I2051" s="42">
        <v>0</v>
      </c>
      <c r="J2051" s="42">
        <v>0</v>
      </c>
      <c r="K2051" s="381">
        <v>0</v>
      </c>
      <c r="L2051" s="66">
        <f t="shared" si="507"/>
        <v>0</v>
      </c>
      <c r="M2051" s="42"/>
    </row>
    <row r="2052" spans="2:13" ht="15.75" hidden="1" x14ac:dyDescent="0.2">
      <c r="B2052" s="10">
        <v>46240</v>
      </c>
      <c r="C2052" s="10" t="s">
        <v>106</v>
      </c>
      <c r="D2052" s="10" t="s">
        <v>13</v>
      </c>
      <c r="F2052" s="944"/>
      <c r="G2052" s="29" t="s">
        <v>25</v>
      </c>
      <c r="H2052" s="29" t="s">
        <v>106</v>
      </c>
      <c r="I2052" s="42">
        <v>0</v>
      </c>
      <c r="J2052" s="42">
        <v>0</v>
      </c>
      <c r="K2052" s="381">
        <v>0</v>
      </c>
      <c r="L2052" s="66">
        <f t="shared" si="507"/>
        <v>0</v>
      </c>
      <c r="M2052" s="42"/>
    </row>
    <row r="2053" spans="2:13" ht="15.75" hidden="1" x14ac:dyDescent="0.2">
      <c r="B2053" s="10">
        <v>46240</v>
      </c>
      <c r="C2053" s="10" t="s">
        <v>106</v>
      </c>
      <c r="D2053" s="10" t="s">
        <v>13</v>
      </c>
      <c r="F2053" s="944"/>
      <c r="G2053" s="29" t="s">
        <v>118</v>
      </c>
      <c r="H2053" s="29" t="s">
        <v>105</v>
      </c>
      <c r="I2053" s="42">
        <v>2</v>
      </c>
      <c r="J2053" s="42">
        <v>0</v>
      </c>
      <c r="K2053" s="381">
        <v>169</v>
      </c>
      <c r="L2053" s="66">
        <f t="shared" si="507"/>
        <v>171</v>
      </c>
      <c r="M2053" s="42"/>
    </row>
    <row r="2054" spans="2:13" ht="15.75" hidden="1" x14ac:dyDescent="0.2">
      <c r="B2054" s="10">
        <v>46240</v>
      </c>
      <c r="C2054" s="10" t="s">
        <v>106</v>
      </c>
      <c r="D2054" s="10" t="s">
        <v>13</v>
      </c>
      <c r="F2054" s="937" t="s">
        <v>40</v>
      </c>
      <c r="G2054" s="937"/>
      <c r="H2054" s="937"/>
      <c r="I2054" s="8">
        <f>SUM(I2048:I2053)</f>
        <v>139</v>
      </c>
      <c r="J2054" s="8">
        <f>SUM(J2048:J2053)</f>
        <v>72</v>
      </c>
      <c r="K2054" s="8">
        <f>SUM(K2048:K2053)</f>
        <v>227</v>
      </c>
      <c r="L2054" s="8">
        <f>SUM(L2048:L2053)</f>
        <v>438</v>
      </c>
      <c r="M2054" s="316"/>
    </row>
    <row r="2055" spans="2:13" ht="15.75" hidden="1" x14ac:dyDescent="0.2">
      <c r="B2055" s="10">
        <v>46240</v>
      </c>
      <c r="C2055" s="10" t="s">
        <v>105</v>
      </c>
      <c r="D2055" s="10" t="s">
        <v>192</v>
      </c>
      <c r="F2055" s="942">
        <v>46240</v>
      </c>
      <c r="G2055" s="29" t="s">
        <v>16</v>
      </c>
      <c r="H2055" s="29" t="s">
        <v>112</v>
      </c>
      <c r="I2055" s="42">
        <v>11</v>
      </c>
      <c r="J2055" s="42">
        <v>12</v>
      </c>
      <c r="K2055" s="381">
        <v>0</v>
      </c>
      <c r="L2055" s="66">
        <f>SUM(I2055:K2055)</f>
        <v>23</v>
      </c>
      <c r="M2055" s="42"/>
    </row>
    <row r="2056" spans="2:13" ht="15.75" hidden="1" x14ac:dyDescent="0.2">
      <c r="B2056" s="10">
        <v>46240</v>
      </c>
      <c r="C2056" s="10" t="s">
        <v>105</v>
      </c>
      <c r="D2056" s="10" t="s">
        <v>192</v>
      </c>
      <c r="F2056" s="942"/>
      <c r="G2056" s="29" t="s">
        <v>84</v>
      </c>
      <c r="H2056" s="29" t="s">
        <v>105</v>
      </c>
      <c r="I2056" s="42">
        <v>16</v>
      </c>
      <c r="J2056" s="42">
        <v>2</v>
      </c>
      <c r="K2056" s="381">
        <v>0</v>
      </c>
      <c r="L2056" s="66">
        <f t="shared" ref="L2056:L2062" si="508">SUM(I2056:K2056)</f>
        <v>18</v>
      </c>
      <c r="M2056" s="42"/>
    </row>
    <row r="2057" spans="2:13" ht="15.75" hidden="1" x14ac:dyDescent="0.2">
      <c r="B2057" s="10">
        <v>46240</v>
      </c>
      <c r="C2057" s="10" t="s">
        <v>105</v>
      </c>
      <c r="D2057" s="10" t="s">
        <v>192</v>
      </c>
      <c r="F2057" s="942"/>
      <c r="G2057" s="29" t="s">
        <v>32</v>
      </c>
      <c r="H2057" s="29" t="s">
        <v>105</v>
      </c>
      <c r="I2057" s="42">
        <v>5</v>
      </c>
      <c r="J2057" s="42">
        <v>0</v>
      </c>
      <c r="K2057" s="381">
        <v>0</v>
      </c>
      <c r="L2057" s="66">
        <f t="shared" si="508"/>
        <v>5</v>
      </c>
      <c r="M2057" s="42"/>
    </row>
    <row r="2058" spans="2:13" ht="15.75" hidden="1" x14ac:dyDescent="0.2">
      <c r="B2058" s="10">
        <v>46240</v>
      </c>
      <c r="C2058" s="10" t="s">
        <v>105</v>
      </c>
      <c r="D2058" s="10" t="s">
        <v>192</v>
      </c>
      <c r="F2058" s="942"/>
      <c r="G2058" s="29" t="s">
        <v>14</v>
      </c>
      <c r="H2058" s="29" t="s">
        <v>105</v>
      </c>
      <c r="I2058" s="42">
        <v>48</v>
      </c>
      <c r="J2058" s="42">
        <v>36</v>
      </c>
      <c r="K2058" s="381">
        <v>0</v>
      </c>
      <c r="L2058" s="66">
        <f t="shared" si="508"/>
        <v>84</v>
      </c>
      <c r="M2058" s="42"/>
    </row>
    <row r="2059" spans="2:13" ht="15.75" hidden="1" x14ac:dyDescent="0.2">
      <c r="B2059" s="10">
        <v>46240</v>
      </c>
      <c r="C2059" s="10" t="s">
        <v>105</v>
      </c>
      <c r="D2059" s="10" t="s">
        <v>192</v>
      </c>
      <c r="F2059" s="942"/>
      <c r="G2059" s="29" t="s">
        <v>25</v>
      </c>
      <c r="H2059" s="29" t="s">
        <v>105</v>
      </c>
      <c r="I2059" s="42">
        <v>4</v>
      </c>
      <c r="J2059" s="42">
        <v>0</v>
      </c>
      <c r="K2059" s="381">
        <v>0</v>
      </c>
      <c r="L2059" s="66">
        <f t="shared" si="508"/>
        <v>4</v>
      </c>
      <c r="M2059" s="42"/>
    </row>
    <row r="2060" spans="2:13" ht="15.75" hidden="1" x14ac:dyDescent="0.2">
      <c r="B2060" s="10">
        <v>46240</v>
      </c>
      <c r="C2060" s="10" t="s">
        <v>105</v>
      </c>
      <c r="D2060" s="10" t="s">
        <v>192</v>
      </c>
      <c r="F2060" s="943">
        <v>46241</v>
      </c>
      <c r="G2060" s="29" t="s">
        <v>118</v>
      </c>
      <c r="H2060" s="29" t="s">
        <v>106</v>
      </c>
      <c r="I2060" s="42">
        <v>136</v>
      </c>
      <c r="J2060" s="42">
        <v>21</v>
      </c>
      <c r="K2060" s="381">
        <v>0</v>
      </c>
      <c r="L2060" s="66">
        <f t="shared" si="508"/>
        <v>157</v>
      </c>
      <c r="M2060" s="42"/>
    </row>
    <row r="2061" spans="2:13" ht="15.75" hidden="1" x14ac:dyDescent="0.2">
      <c r="B2061" s="10">
        <v>46240</v>
      </c>
      <c r="C2061" s="10" t="s">
        <v>105</v>
      </c>
      <c r="D2061" s="10" t="s">
        <v>192</v>
      </c>
      <c r="F2061" s="944"/>
      <c r="G2061" s="29" t="s">
        <v>16</v>
      </c>
      <c r="H2061" s="29" t="s">
        <v>106</v>
      </c>
      <c r="I2061" s="42">
        <v>23</v>
      </c>
      <c r="J2061" s="42">
        <v>8</v>
      </c>
      <c r="K2061" s="381">
        <v>97</v>
      </c>
      <c r="L2061" s="66">
        <f t="shared" si="508"/>
        <v>128</v>
      </c>
      <c r="M2061" s="42"/>
    </row>
    <row r="2062" spans="2:13" ht="15.75" hidden="1" x14ac:dyDescent="0.2">
      <c r="B2062" s="10">
        <v>46240</v>
      </c>
      <c r="C2062" s="10" t="s">
        <v>105</v>
      </c>
      <c r="D2062" s="10" t="s">
        <v>192</v>
      </c>
      <c r="F2062" s="944"/>
      <c r="G2062" s="29" t="s">
        <v>17</v>
      </c>
      <c r="H2062" s="29" t="s">
        <v>112</v>
      </c>
      <c r="I2062" s="42">
        <v>48</v>
      </c>
      <c r="J2062" s="42">
        <v>24</v>
      </c>
      <c r="K2062" s="381">
        <v>97</v>
      </c>
      <c r="L2062" s="66">
        <f t="shared" si="508"/>
        <v>169</v>
      </c>
      <c r="M2062" s="42"/>
    </row>
    <row r="2063" spans="2:13" ht="15.75" hidden="1" x14ac:dyDescent="0.2">
      <c r="B2063" s="10">
        <v>46240</v>
      </c>
      <c r="C2063" s="10" t="s">
        <v>105</v>
      </c>
      <c r="D2063" s="10" t="s">
        <v>192</v>
      </c>
      <c r="F2063" s="937" t="s">
        <v>40</v>
      </c>
      <c r="G2063" s="937"/>
      <c r="H2063" s="937"/>
      <c r="I2063" s="8">
        <f>SUM(I2055:I2062)</f>
        <v>291</v>
      </c>
      <c r="J2063" s="8">
        <f>SUM(J2055:J2062)</f>
        <v>103</v>
      </c>
      <c r="K2063" s="8">
        <f>SUM(K2055:K2062)</f>
        <v>194</v>
      </c>
      <c r="L2063" s="8">
        <f>SUM(L2055:L2062)</f>
        <v>588</v>
      </c>
      <c r="M2063" s="316"/>
    </row>
    <row r="2064" spans="2:13" ht="15.75" hidden="1" x14ac:dyDescent="0.2">
      <c r="B2064" s="10">
        <v>46241</v>
      </c>
      <c r="C2064" s="10" t="s">
        <v>106</v>
      </c>
      <c r="D2064" s="10" t="s">
        <v>13</v>
      </c>
      <c r="F2064" s="939">
        <v>46241</v>
      </c>
      <c r="G2064" s="29" t="s">
        <v>118</v>
      </c>
      <c r="H2064" s="29" t="s">
        <v>106</v>
      </c>
      <c r="I2064" s="42">
        <v>73</v>
      </c>
      <c r="J2064" s="42">
        <v>13</v>
      </c>
      <c r="K2064" s="381">
        <v>0</v>
      </c>
      <c r="L2064" s="66">
        <f t="shared" ref="L2064:L2067" si="509">SUM(I2064:K2064)</f>
        <v>86</v>
      </c>
      <c r="M2064" s="42"/>
    </row>
    <row r="2065" spans="2:13" ht="15.75" hidden="1" x14ac:dyDescent="0.2">
      <c r="B2065" s="10">
        <v>46241</v>
      </c>
      <c r="C2065" s="10" t="s">
        <v>106</v>
      </c>
      <c r="D2065" s="10" t="s">
        <v>13</v>
      </c>
      <c r="F2065" s="940"/>
      <c r="G2065" s="29" t="s">
        <v>16</v>
      </c>
      <c r="H2065" s="29" t="s">
        <v>106</v>
      </c>
      <c r="I2065" s="42">
        <v>116</v>
      </c>
      <c r="J2065" s="42">
        <v>82</v>
      </c>
      <c r="K2065" s="381">
        <v>0</v>
      </c>
      <c r="L2065" s="66">
        <f t="shared" si="509"/>
        <v>198</v>
      </c>
      <c r="M2065" s="42"/>
    </row>
    <row r="2066" spans="2:13" ht="15.75" hidden="1" x14ac:dyDescent="0.2">
      <c r="B2066" s="10">
        <v>46241</v>
      </c>
      <c r="C2066" s="10" t="s">
        <v>106</v>
      </c>
      <c r="D2066" s="10" t="s">
        <v>13</v>
      </c>
      <c r="F2066" s="940"/>
      <c r="G2066" s="29" t="s">
        <v>180</v>
      </c>
      <c r="H2066" s="29" t="s">
        <v>106</v>
      </c>
      <c r="I2066" s="42">
        <v>17</v>
      </c>
      <c r="J2066" s="42">
        <v>0</v>
      </c>
      <c r="K2066" s="381">
        <v>0</v>
      </c>
      <c r="L2066" s="66">
        <f t="shared" si="509"/>
        <v>17</v>
      </c>
      <c r="M2066" s="42"/>
    </row>
    <row r="2067" spans="2:13" ht="15.75" hidden="1" x14ac:dyDescent="0.2">
      <c r="B2067" s="10">
        <v>46241</v>
      </c>
      <c r="C2067" s="10" t="s">
        <v>106</v>
      </c>
      <c r="D2067" s="10" t="s">
        <v>13</v>
      </c>
      <c r="F2067" s="940"/>
      <c r="G2067" s="29" t="s">
        <v>17</v>
      </c>
      <c r="H2067" s="29" t="s">
        <v>112</v>
      </c>
      <c r="I2067" s="42">
        <v>74</v>
      </c>
      <c r="J2067" s="42">
        <v>39</v>
      </c>
      <c r="K2067" s="381">
        <v>0</v>
      </c>
      <c r="L2067" s="66">
        <f t="shared" si="509"/>
        <v>113</v>
      </c>
      <c r="M2067" s="42"/>
    </row>
    <row r="2068" spans="2:13" ht="15.75" hidden="1" x14ac:dyDescent="0.2">
      <c r="B2068" s="10">
        <v>46241</v>
      </c>
      <c r="C2068" s="10" t="s">
        <v>106</v>
      </c>
      <c r="D2068" s="10" t="s">
        <v>13</v>
      </c>
      <c r="F2068" s="939">
        <v>46242</v>
      </c>
      <c r="G2068" s="29" t="s">
        <v>25</v>
      </c>
      <c r="H2068" s="29" t="s">
        <v>106</v>
      </c>
      <c r="I2068" s="42">
        <v>0</v>
      </c>
      <c r="J2068" s="42">
        <v>0</v>
      </c>
      <c r="K2068" s="381">
        <v>22</v>
      </c>
      <c r="L2068" s="66">
        <f t="shared" ref="L2068:L2070" si="510">SUM(I2068:K2068)</f>
        <v>22</v>
      </c>
      <c r="M2068" s="42"/>
    </row>
    <row r="2069" spans="2:13" ht="15.75" hidden="1" x14ac:dyDescent="0.2">
      <c r="B2069" s="10">
        <v>46241</v>
      </c>
      <c r="C2069" s="10" t="s">
        <v>106</v>
      </c>
      <c r="D2069" s="10" t="s">
        <v>13</v>
      </c>
      <c r="F2069" s="940"/>
      <c r="G2069" s="29" t="s">
        <v>14</v>
      </c>
      <c r="H2069" s="29" t="s">
        <v>105</v>
      </c>
      <c r="I2069" s="42">
        <v>0</v>
      </c>
      <c r="J2069" s="42">
        <v>0</v>
      </c>
      <c r="K2069" s="381">
        <v>26</v>
      </c>
      <c r="L2069" s="66">
        <v>0</v>
      </c>
      <c r="M2069" s="42"/>
    </row>
    <row r="2070" spans="2:13" ht="15.75" hidden="1" x14ac:dyDescent="0.2">
      <c r="B2070" s="10">
        <v>46241</v>
      </c>
      <c r="C2070" s="10" t="s">
        <v>106</v>
      </c>
      <c r="D2070" s="10" t="s">
        <v>13</v>
      </c>
      <c r="F2070" s="940"/>
      <c r="G2070" s="29" t="s">
        <v>180</v>
      </c>
      <c r="H2070" s="29" t="s">
        <v>106</v>
      </c>
      <c r="I2070" s="42">
        <v>0</v>
      </c>
      <c r="J2070" s="42">
        <v>0</v>
      </c>
      <c r="K2070" s="381">
        <v>98</v>
      </c>
      <c r="L2070" s="66">
        <f t="shared" si="510"/>
        <v>98</v>
      </c>
      <c r="M2070" s="42"/>
    </row>
    <row r="2071" spans="2:13" ht="15.75" hidden="1" x14ac:dyDescent="0.2">
      <c r="B2071" s="10">
        <v>46241</v>
      </c>
      <c r="C2071" s="10" t="s">
        <v>106</v>
      </c>
      <c r="D2071" s="10" t="s">
        <v>13</v>
      </c>
      <c r="F2071" s="937" t="s">
        <v>40</v>
      </c>
      <c r="G2071" s="937"/>
      <c r="H2071" s="937"/>
      <c r="I2071" s="8">
        <f>SUM(I2064:I2070)</f>
        <v>280</v>
      </c>
      <c r="J2071" s="8">
        <f t="shared" ref="J2071:L2071" si="511">SUM(J2064:J2070)</f>
        <v>134</v>
      </c>
      <c r="K2071" s="8">
        <f t="shared" si="511"/>
        <v>146</v>
      </c>
      <c r="L2071" s="8">
        <f t="shared" si="511"/>
        <v>534</v>
      </c>
      <c r="M2071" s="316"/>
    </row>
    <row r="2072" spans="2:13" ht="15.75" hidden="1" x14ac:dyDescent="0.2">
      <c r="B2072" s="10">
        <v>46241</v>
      </c>
      <c r="C2072" s="10" t="s">
        <v>105</v>
      </c>
      <c r="D2072" s="10" t="s">
        <v>192</v>
      </c>
      <c r="F2072" s="942">
        <v>46241</v>
      </c>
      <c r="G2072" s="29" t="s">
        <v>16</v>
      </c>
      <c r="H2072" s="29" t="s">
        <v>112</v>
      </c>
      <c r="I2072" s="42">
        <v>40</v>
      </c>
      <c r="J2072" s="42">
        <v>17</v>
      </c>
      <c r="K2072" s="312">
        <v>0</v>
      </c>
      <c r="L2072" s="66">
        <f>SUM(I2072:K2072)</f>
        <v>57</v>
      </c>
      <c r="M2072" s="42"/>
    </row>
    <row r="2073" spans="2:13" ht="15.75" hidden="1" x14ac:dyDescent="0.2">
      <c r="B2073" s="10">
        <v>46241</v>
      </c>
      <c r="C2073" s="10" t="s">
        <v>105</v>
      </c>
      <c r="D2073" s="10" t="s">
        <v>192</v>
      </c>
      <c r="F2073" s="942"/>
      <c r="G2073" s="29" t="s">
        <v>17</v>
      </c>
      <c r="H2073" s="29" t="s">
        <v>105</v>
      </c>
      <c r="I2073" s="42">
        <v>10</v>
      </c>
      <c r="J2073" s="42">
        <v>15</v>
      </c>
      <c r="K2073" s="312">
        <v>0</v>
      </c>
      <c r="L2073" s="66">
        <f t="shared" ref="L2073:L2078" si="512">SUM(I2073:K2073)</f>
        <v>25</v>
      </c>
      <c r="M2073" s="42"/>
    </row>
    <row r="2074" spans="2:13" ht="15.75" hidden="1" x14ac:dyDescent="0.2">
      <c r="B2074" s="10">
        <v>46241</v>
      </c>
      <c r="C2074" s="10" t="s">
        <v>105</v>
      </c>
      <c r="D2074" s="10" t="s">
        <v>192</v>
      </c>
      <c r="F2074" s="942"/>
      <c r="G2074" s="29" t="s">
        <v>84</v>
      </c>
      <c r="H2074" s="29" t="s">
        <v>105</v>
      </c>
      <c r="I2074" s="42">
        <v>9</v>
      </c>
      <c r="J2074" s="42">
        <v>2</v>
      </c>
      <c r="K2074" s="312">
        <v>0</v>
      </c>
      <c r="L2074" s="66">
        <f t="shared" si="512"/>
        <v>11</v>
      </c>
      <c r="M2074" s="42"/>
    </row>
    <row r="2075" spans="2:13" ht="15.75" hidden="1" x14ac:dyDescent="0.2">
      <c r="B2075" s="10">
        <v>46241</v>
      </c>
      <c r="C2075" s="10" t="s">
        <v>105</v>
      </c>
      <c r="D2075" s="10" t="s">
        <v>192</v>
      </c>
      <c r="F2075" s="943">
        <v>46242</v>
      </c>
      <c r="G2075" s="29" t="s">
        <v>75</v>
      </c>
      <c r="H2075" s="29" t="s">
        <v>112</v>
      </c>
      <c r="I2075" s="42">
        <v>84</v>
      </c>
      <c r="J2075" s="42">
        <v>49</v>
      </c>
      <c r="K2075" s="312">
        <v>0</v>
      </c>
      <c r="L2075" s="66">
        <f t="shared" si="512"/>
        <v>133</v>
      </c>
      <c r="M2075" s="42"/>
    </row>
    <row r="2076" spans="2:13" ht="15.75" hidden="1" x14ac:dyDescent="0.2">
      <c r="B2076" s="10">
        <v>46241</v>
      </c>
      <c r="C2076" s="10" t="s">
        <v>105</v>
      </c>
      <c r="D2076" s="10" t="s">
        <v>192</v>
      </c>
      <c r="F2076" s="944"/>
      <c r="G2076" s="29" t="s">
        <v>180</v>
      </c>
      <c r="H2076" s="29" t="s">
        <v>106</v>
      </c>
      <c r="I2076" s="42">
        <v>97</v>
      </c>
      <c r="J2076" s="42">
        <v>9</v>
      </c>
      <c r="K2076" s="312">
        <v>0</v>
      </c>
      <c r="L2076" s="66">
        <f t="shared" si="512"/>
        <v>106</v>
      </c>
      <c r="M2076" s="42"/>
    </row>
    <row r="2077" spans="2:13" ht="15.75" hidden="1" x14ac:dyDescent="0.2">
      <c r="B2077" s="10">
        <v>46241</v>
      </c>
      <c r="C2077" s="10" t="s">
        <v>105</v>
      </c>
      <c r="D2077" s="10" t="s">
        <v>192</v>
      </c>
      <c r="F2077" s="944"/>
      <c r="G2077" s="29" t="s">
        <v>25</v>
      </c>
      <c r="H2077" s="29" t="s">
        <v>106</v>
      </c>
      <c r="I2077" s="42">
        <v>120</v>
      </c>
      <c r="J2077" s="42">
        <v>41</v>
      </c>
      <c r="K2077" s="312">
        <v>16</v>
      </c>
      <c r="L2077" s="66">
        <f t="shared" si="512"/>
        <v>177</v>
      </c>
      <c r="M2077" s="42"/>
    </row>
    <row r="2078" spans="2:13" ht="15.75" hidden="1" x14ac:dyDescent="0.2">
      <c r="B2078" s="10">
        <v>46241</v>
      </c>
      <c r="C2078" s="10" t="s">
        <v>105</v>
      </c>
      <c r="D2078" s="10" t="s">
        <v>192</v>
      </c>
      <c r="F2078" s="944"/>
      <c r="G2078" s="29" t="s">
        <v>14</v>
      </c>
      <c r="H2078" s="29" t="s">
        <v>105</v>
      </c>
      <c r="I2078" s="42">
        <v>1</v>
      </c>
      <c r="J2078" s="42">
        <v>0</v>
      </c>
      <c r="K2078" s="312">
        <f>51-26</f>
        <v>25</v>
      </c>
      <c r="L2078" s="66">
        <f t="shared" si="512"/>
        <v>26</v>
      </c>
      <c r="M2078" s="42"/>
    </row>
    <row r="2079" spans="2:13" ht="15.75" hidden="1" x14ac:dyDescent="0.2">
      <c r="B2079" s="10">
        <v>46241</v>
      </c>
      <c r="C2079" s="10" t="s">
        <v>105</v>
      </c>
      <c r="D2079" s="10" t="s">
        <v>192</v>
      </c>
      <c r="F2079" s="937" t="s">
        <v>40</v>
      </c>
      <c r="G2079" s="937"/>
      <c r="H2079" s="937"/>
      <c r="I2079" s="8">
        <f>SUM(I2072:I2078)</f>
        <v>361</v>
      </c>
      <c r="J2079" s="8">
        <f>SUM(J2072:J2078)</f>
        <v>133</v>
      </c>
      <c r="K2079" s="8">
        <f>SUM(K2072:K2078)</f>
        <v>41</v>
      </c>
      <c r="L2079" s="8">
        <f>SUM(L2072:L2078)</f>
        <v>535</v>
      </c>
      <c r="M2079" s="316"/>
    </row>
    <row r="2080" spans="2:13" ht="15.75" hidden="1" x14ac:dyDescent="0.2">
      <c r="B2080" s="104">
        <v>46242</v>
      </c>
      <c r="C2080" s="10" t="s">
        <v>106</v>
      </c>
      <c r="D2080" s="10" t="s">
        <v>13</v>
      </c>
      <c r="F2080" s="939">
        <v>46242</v>
      </c>
      <c r="G2080" s="29" t="s">
        <v>75</v>
      </c>
      <c r="H2080" s="29" t="s">
        <v>112</v>
      </c>
      <c r="I2080" s="42">
        <v>66</v>
      </c>
      <c r="J2080" s="42">
        <v>42</v>
      </c>
      <c r="K2080" s="312">
        <v>0</v>
      </c>
      <c r="L2080" s="66">
        <f t="shared" ref="L2080:L2084" si="513">SUM(I2080:K2080)</f>
        <v>108</v>
      </c>
      <c r="M2080" s="42"/>
    </row>
    <row r="2081" spans="2:13" ht="15.75" hidden="1" x14ac:dyDescent="0.2">
      <c r="B2081" s="104">
        <v>46242</v>
      </c>
      <c r="C2081" s="10" t="s">
        <v>106</v>
      </c>
      <c r="D2081" s="10" t="s">
        <v>13</v>
      </c>
      <c r="F2081" s="940"/>
      <c r="G2081" s="29" t="s">
        <v>180</v>
      </c>
      <c r="H2081" s="29" t="s">
        <v>106</v>
      </c>
      <c r="I2081" s="42">
        <v>2</v>
      </c>
      <c r="J2081" s="42">
        <v>0</v>
      </c>
      <c r="K2081" s="312">
        <v>0</v>
      </c>
      <c r="L2081" s="66">
        <f t="shared" si="513"/>
        <v>2</v>
      </c>
      <c r="M2081" s="42"/>
    </row>
    <row r="2082" spans="2:13" ht="15.75" hidden="1" x14ac:dyDescent="0.2">
      <c r="B2082" s="104">
        <v>46242</v>
      </c>
      <c r="C2082" s="10" t="s">
        <v>106</v>
      </c>
      <c r="D2082" s="10" t="s">
        <v>13</v>
      </c>
      <c r="F2082" s="940"/>
      <c r="G2082" s="29" t="s">
        <v>25</v>
      </c>
      <c r="H2082" s="29" t="s">
        <v>106</v>
      </c>
      <c r="I2082" s="42">
        <v>59</v>
      </c>
      <c r="J2082" s="42">
        <v>20</v>
      </c>
      <c r="K2082" s="312">
        <v>0</v>
      </c>
      <c r="L2082" s="66">
        <f t="shared" si="513"/>
        <v>79</v>
      </c>
      <c r="M2082" s="42"/>
    </row>
    <row r="2083" spans="2:13" ht="15.75" hidden="1" x14ac:dyDescent="0.2">
      <c r="B2083" s="104">
        <v>46242</v>
      </c>
      <c r="C2083" s="10" t="s">
        <v>106</v>
      </c>
      <c r="D2083" s="10" t="s">
        <v>13</v>
      </c>
      <c r="F2083" s="940"/>
      <c r="G2083" s="29" t="s">
        <v>118</v>
      </c>
      <c r="H2083" s="29" t="s">
        <v>106</v>
      </c>
      <c r="I2083" s="42">
        <v>7</v>
      </c>
      <c r="J2083" s="42">
        <v>2</v>
      </c>
      <c r="K2083" s="312">
        <v>0</v>
      </c>
      <c r="L2083" s="66">
        <f t="shared" si="513"/>
        <v>9</v>
      </c>
      <c r="M2083" s="42"/>
    </row>
    <row r="2084" spans="2:13" ht="15.75" hidden="1" x14ac:dyDescent="0.2">
      <c r="B2084" s="104">
        <v>46242</v>
      </c>
      <c r="C2084" s="10" t="s">
        <v>106</v>
      </c>
      <c r="D2084" s="10" t="s">
        <v>13</v>
      </c>
      <c r="F2084" s="940"/>
      <c r="G2084" s="29" t="s">
        <v>14</v>
      </c>
      <c r="H2084" s="29" t="s">
        <v>105</v>
      </c>
      <c r="I2084" s="42">
        <v>99</v>
      </c>
      <c r="J2084" s="42">
        <v>20</v>
      </c>
      <c r="K2084" s="312">
        <v>12</v>
      </c>
      <c r="L2084" s="66">
        <f t="shared" si="513"/>
        <v>131</v>
      </c>
      <c r="M2084" s="42"/>
    </row>
    <row r="2085" spans="2:13" ht="15.75" hidden="1" x14ac:dyDescent="0.2">
      <c r="B2085" s="104">
        <v>46242</v>
      </c>
      <c r="C2085" s="10" t="s">
        <v>106</v>
      </c>
      <c r="D2085" s="10" t="s">
        <v>13</v>
      </c>
      <c r="F2085" s="939">
        <v>46243</v>
      </c>
      <c r="G2085" s="29" t="s">
        <v>75</v>
      </c>
      <c r="H2085" s="29" t="s">
        <v>106</v>
      </c>
      <c r="I2085" s="42">
        <v>0</v>
      </c>
      <c r="J2085" s="42">
        <v>0</v>
      </c>
      <c r="K2085" s="312">
        <v>0</v>
      </c>
      <c r="L2085" s="66">
        <f t="shared" ref="L2085:L2086" si="514">SUM(I2085:K2085)</f>
        <v>0</v>
      </c>
      <c r="M2085" s="42"/>
    </row>
    <row r="2086" spans="2:13" ht="15.75" hidden="1" x14ac:dyDescent="0.2">
      <c r="B2086" s="104">
        <v>46242</v>
      </c>
      <c r="C2086" s="10" t="s">
        <v>106</v>
      </c>
      <c r="D2086" s="10" t="s">
        <v>13</v>
      </c>
      <c r="F2086" s="940"/>
      <c r="G2086" s="29" t="s">
        <v>25</v>
      </c>
      <c r="H2086" s="29" t="s">
        <v>43</v>
      </c>
      <c r="I2086" s="42">
        <v>0</v>
      </c>
      <c r="J2086" s="42">
        <v>0</v>
      </c>
      <c r="K2086" s="312">
        <v>98</v>
      </c>
      <c r="L2086" s="66">
        <f t="shared" si="514"/>
        <v>98</v>
      </c>
      <c r="M2086" s="42"/>
    </row>
    <row r="2087" spans="2:13" ht="15.75" hidden="1" x14ac:dyDescent="0.2">
      <c r="B2087" s="104">
        <v>46242</v>
      </c>
      <c r="C2087" s="10" t="s">
        <v>106</v>
      </c>
      <c r="D2087" s="10" t="s">
        <v>13</v>
      </c>
      <c r="F2087" s="937" t="s">
        <v>40</v>
      </c>
      <c r="G2087" s="937"/>
      <c r="H2087" s="937"/>
      <c r="I2087" s="8">
        <f>SUM(I2080:I2086)</f>
        <v>233</v>
      </c>
      <c r="J2087" s="8">
        <f t="shared" ref="J2087:L2087" si="515">SUM(J2080:J2086)</f>
        <v>84</v>
      </c>
      <c r="K2087" s="8">
        <f t="shared" si="515"/>
        <v>110</v>
      </c>
      <c r="L2087" s="8">
        <f t="shared" si="515"/>
        <v>427</v>
      </c>
      <c r="M2087" s="316"/>
    </row>
    <row r="2088" spans="2:13" ht="15.75" hidden="1" x14ac:dyDescent="0.2">
      <c r="B2088" s="10">
        <v>46242</v>
      </c>
      <c r="C2088" s="10" t="s">
        <v>105</v>
      </c>
      <c r="D2088" s="10" t="s">
        <v>192</v>
      </c>
      <c r="F2088" s="942">
        <v>46242</v>
      </c>
      <c r="G2088" s="29" t="s">
        <v>112</v>
      </c>
      <c r="H2088" s="29">
        <v>43</v>
      </c>
      <c r="I2088" s="42">
        <v>20</v>
      </c>
      <c r="J2088" s="42">
        <v>19</v>
      </c>
      <c r="K2088" s="312">
        <v>0</v>
      </c>
      <c r="L2088" s="66">
        <f>SUM(I2088:K2088)</f>
        <v>39</v>
      </c>
      <c r="M2088" s="42"/>
    </row>
    <row r="2089" spans="2:13" ht="15.75" hidden="1" x14ac:dyDescent="0.2">
      <c r="B2089" s="10">
        <v>46242</v>
      </c>
      <c r="C2089" s="10" t="s">
        <v>105</v>
      </c>
      <c r="D2089" s="10" t="s">
        <v>192</v>
      </c>
      <c r="F2089" s="942"/>
      <c r="G2089" s="29" t="s">
        <v>105</v>
      </c>
      <c r="H2089" s="29">
        <v>44</v>
      </c>
      <c r="I2089" s="42">
        <v>21</v>
      </c>
      <c r="J2089" s="42">
        <v>14</v>
      </c>
      <c r="K2089" s="312">
        <v>4</v>
      </c>
      <c r="L2089" s="66">
        <f t="shared" ref="L2089:L2095" si="516">SUM(I2089:K2089)</f>
        <v>39</v>
      </c>
      <c r="M2089" s="42"/>
    </row>
    <row r="2090" spans="2:13" ht="15.75" hidden="1" x14ac:dyDescent="0.2">
      <c r="B2090" s="10">
        <v>46242</v>
      </c>
      <c r="C2090" s="10" t="s">
        <v>105</v>
      </c>
      <c r="D2090" s="10" t="s">
        <v>192</v>
      </c>
      <c r="F2090" s="942"/>
      <c r="G2090" s="29" t="s">
        <v>105</v>
      </c>
      <c r="H2090" s="29">
        <v>13</v>
      </c>
      <c r="I2090" s="42">
        <v>13</v>
      </c>
      <c r="J2090" s="42">
        <v>0</v>
      </c>
      <c r="K2090" s="312">
        <v>0</v>
      </c>
      <c r="L2090" s="66">
        <f t="shared" si="516"/>
        <v>13</v>
      </c>
      <c r="M2090" s="42"/>
    </row>
    <row r="2091" spans="2:13" ht="15.75" hidden="1" x14ac:dyDescent="0.2">
      <c r="B2091" s="10">
        <v>46242</v>
      </c>
      <c r="C2091" s="10" t="s">
        <v>105</v>
      </c>
      <c r="D2091" s="10" t="s">
        <v>192</v>
      </c>
      <c r="F2091" s="942"/>
      <c r="G2091" s="29" t="s">
        <v>112</v>
      </c>
      <c r="H2091" s="29">
        <v>2</v>
      </c>
      <c r="I2091" s="42">
        <v>2</v>
      </c>
      <c r="J2091" s="42">
        <v>0</v>
      </c>
      <c r="K2091" s="312">
        <v>0</v>
      </c>
      <c r="L2091" s="66">
        <f t="shared" si="516"/>
        <v>2</v>
      </c>
      <c r="M2091" s="42"/>
    </row>
    <row r="2092" spans="2:13" ht="15.75" hidden="1" x14ac:dyDescent="0.2">
      <c r="B2092" s="10">
        <v>46242</v>
      </c>
      <c r="C2092" s="10" t="s">
        <v>105</v>
      </c>
      <c r="D2092" s="10" t="s">
        <v>192</v>
      </c>
      <c r="F2092" s="942"/>
      <c r="G2092" s="29" t="s">
        <v>106</v>
      </c>
      <c r="H2092" s="29">
        <v>2</v>
      </c>
      <c r="I2092" s="42">
        <v>2</v>
      </c>
      <c r="J2092" s="42">
        <v>0</v>
      </c>
      <c r="K2092" s="312">
        <v>0</v>
      </c>
      <c r="L2092" s="66">
        <f t="shared" si="516"/>
        <v>2</v>
      </c>
      <c r="M2092" s="42"/>
    </row>
    <row r="2093" spans="2:13" ht="15.75" hidden="1" x14ac:dyDescent="0.2">
      <c r="B2093" s="10">
        <v>46242</v>
      </c>
      <c r="C2093" s="10" t="s">
        <v>105</v>
      </c>
      <c r="D2093" s="10" t="s">
        <v>192</v>
      </c>
      <c r="F2093" s="943">
        <v>46243</v>
      </c>
      <c r="G2093" s="29" t="s">
        <v>106</v>
      </c>
      <c r="H2093" s="29">
        <v>236</v>
      </c>
      <c r="I2093" s="42">
        <v>116</v>
      </c>
      <c r="J2093" s="42">
        <v>26</v>
      </c>
      <c r="K2093" s="312">
        <v>0</v>
      </c>
      <c r="L2093" s="66">
        <f t="shared" si="516"/>
        <v>142</v>
      </c>
      <c r="M2093" s="42"/>
    </row>
    <row r="2094" spans="2:13" ht="15.75" hidden="1" x14ac:dyDescent="0.2">
      <c r="B2094" s="10">
        <v>46242</v>
      </c>
      <c r="C2094" s="10" t="s">
        <v>105</v>
      </c>
      <c r="D2094" s="10" t="s">
        <v>192</v>
      </c>
      <c r="F2094" s="945"/>
      <c r="G2094" s="29" t="s">
        <v>105</v>
      </c>
      <c r="H2094" s="29">
        <v>203</v>
      </c>
      <c r="I2094" s="42">
        <v>120</v>
      </c>
      <c r="J2094" s="42">
        <v>23</v>
      </c>
      <c r="K2094" s="312">
        <v>0</v>
      </c>
      <c r="L2094" s="66">
        <f t="shared" si="516"/>
        <v>143</v>
      </c>
      <c r="M2094" s="42"/>
    </row>
    <row r="2095" spans="2:13" ht="15.75" hidden="1" x14ac:dyDescent="0.2">
      <c r="B2095" s="10">
        <v>46242</v>
      </c>
      <c r="C2095" s="10" t="s">
        <v>105</v>
      </c>
      <c r="D2095" s="10" t="s">
        <v>192</v>
      </c>
      <c r="F2095" s="484">
        <v>46244</v>
      </c>
      <c r="G2095" s="29" t="s">
        <v>105</v>
      </c>
      <c r="H2095" s="29">
        <v>316</v>
      </c>
      <c r="I2095" s="42">
        <v>0</v>
      </c>
      <c r="J2095" s="42">
        <v>4</v>
      </c>
      <c r="K2095" s="312">
        <v>0</v>
      </c>
      <c r="L2095" s="66">
        <f t="shared" si="516"/>
        <v>4</v>
      </c>
      <c r="M2095" s="42"/>
    </row>
    <row r="2096" spans="2:13" ht="15.75" hidden="1" x14ac:dyDescent="0.2">
      <c r="B2096" s="10">
        <v>46242</v>
      </c>
      <c r="C2096" s="10" t="s">
        <v>105</v>
      </c>
      <c r="D2096" s="10" t="s">
        <v>192</v>
      </c>
      <c r="F2096" s="937" t="s">
        <v>40</v>
      </c>
      <c r="G2096" s="937"/>
      <c r="H2096" s="937"/>
      <c r="I2096" s="8">
        <f>SUM(I2088:I2095)</f>
        <v>294</v>
      </c>
      <c r="J2096" s="8">
        <f>SUM(J2088:J2095)</f>
        <v>86</v>
      </c>
      <c r="K2096" s="8">
        <f>SUM(K2088:K2095)</f>
        <v>4</v>
      </c>
      <c r="L2096" s="8">
        <f>SUM(L2088:L2095)</f>
        <v>384</v>
      </c>
      <c r="M2096" s="316"/>
    </row>
    <row r="2097" spans="2:13" ht="15.75" hidden="1" x14ac:dyDescent="0.2">
      <c r="B2097" s="10">
        <v>46243</v>
      </c>
      <c r="C2097" s="10" t="s">
        <v>106</v>
      </c>
      <c r="D2097" s="10" t="s">
        <v>13</v>
      </c>
      <c r="F2097" s="942">
        <v>46243</v>
      </c>
      <c r="G2097" s="485" t="s">
        <v>16</v>
      </c>
      <c r="H2097" s="60" t="s">
        <v>112</v>
      </c>
      <c r="I2097" s="42">
        <v>65</v>
      </c>
      <c r="J2097" s="42">
        <v>18</v>
      </c>
      <c r="K2097" s="312">
        <v>0</v>
      </c>
      <c r="L2097" s="66">
        <f>SUM(I2097:K2097)</f>
        <v>83</v>
      </c>
      <c r="M2097" s="42"/>
    </row>
    <row r="2098" spans="2:13" ht="15.75" hidden="1" x14ac:dyDescent="0.2">
      <c r="B2098" s="10">
        <v>46243</v>
      </c>
      <c r="C2098" s="10" t="s">
        <v>106</v>
      </c>
      <c r="D2098" s="10" t="s">
        <v>13</v>
      </c>
      <c r="F2098" s="942"/>
      <c r="G2098" s="485" t="s">
        <v>180</v>
      </c>
      <c r="H2098" s="60" t="s">
        <v>43</v>
      </c>
      <c r="I2098" s="42">
        <v>1</v>
      </c>
      <c r="J2098" s="42">
        <v>0</v>
      </c>
      <c r="K2098" s="312">
        <v>0</v>
      </c>
      <c r="L2098" s="66">
        <f t="shared" ref="L2098:L2101" si="517">SUM(I2098:K2098)</f>
        <v>1</v>
      </c>
      <c r="M2098" s="42"/>
    </row>
    <row r="2099" spans="2:13" ht="15.75" hidden="1" x14ac:dyDescent="0.2">
      <c r="B2099" s="10">
        <v>46243</v>
      </c>
      <c r="C2099" s="10" t="s">
        <v>106</v>
      </c>
      <c r="D2099" s="10" t="s">
        <v>13</v>
      </c>
      <c r="F2099" s="942"/>
      <c r="G2099" s="485" t="s">
        <v>25</v>
      </c>
      <c r="H2099" s="60" t="s">
        <v>43</v>
      </c>
      <c r="I2099" s="42">
        <v>30</v>
      </c>
      <c r="J2099" s="42">
        <v>7</v>
      </c>
      <c r="K2099" s="312">
        <v>0</v>
      </c>
      <c r="L2099" s="66">
        <f t="shared" si="517"/>
        <v>37</v>
      </c>
      <c r="M2099" s="42"/>
    </row>
    <row r="2100" spans="2:13" ht="15.75" hidden="1" x14ac:dyDescent="0.2">
      <c r="B2100" s="10">
        <v>46243</v>
      </c>
      <c r="C2100" s="10" t="s">
        <v>106</v>
      </c>
      <c r="D2100" s="10" t="s">
        <v>13</v>
      </c>
      <c r="F2100" s="943">
        <v>46244</v>
      </c>
      <c r="G2100" s="485" t="s">
        <v>16</v>
      </c>
      <c r="H2100" s="60" t="s">
        <v>112</v>
      </c>
      <c r="I2100" s="42">
        <v>30</v>
      </c>
      <c r="J2100" s="42">
        <v>11</v>
      </c>
      <c r="K2100" s="312">
        <v>90</v>
      </c>
      <c r="L2100" s="66">
        <f t="shared" si="517"/>
        <v>131</v>
      </c>
      <c r="M2100" s="42"/>
    </row>
    <row r="2101" spans="2:13" ht="15.75" hidden="1" x14ac:dyDescent="0.2">
      <c r="B2101" s="10">
        <v>46243</v>
      </c>
      <c r="C2101" s="10" t="s">
        <v>106</v>
      </c>
      <c r="D2101" s="10" t="s">
        <v>13</v>
      </c>
      <c r="F2101" s="944"/>
      <c r="G2101" s="485" t="s">
        <v>14</v>
      </c>
      <c r="H2101" s="60" t="s">
        <v>106</v>
      </c>
      <c r="I2101" s="42">
        <v>50</v>
      </c>
      <c r="J2101" s="42">
        <v>34</v>
      </c>
      <c r="K2101" s="312">
        <v>90</v>
      </c>
      <c r="L2101" s="66">
        <f t="shared" si="517"/>
        <v>174</v>
      </c>
      <c r="M2101" s="42"/>
    </row>
    <row r="2102" spans="2:13" ht="15.75" hidden="1" x14ac:dyDescent="0.2">
      <c r="B2102" s="10">
        <v>46243</v>
      </c>
      <c r="C2102" s="10" t="s">
        <v>106</v>
      </c>
      <c r="D2102" s="10" t="s">
        <v>13</v>
      </c>
      <c r="F2102" s="937" t="s">
        <v>40</v>
      </c>
      <c r="G2102" s="937"/>
      <c r="H2102" s="937"/>
      <c r="I2102" s="8">
        <f>SUM(I2097:I2101)</f>
        <v>176</v>
      </c>
      <c r="J2102" s="8">
        <f t="shared" ref="J2102:L2102" si="518">SUM(J2097:J2101)</f>
        <v>70</v>
      </c>
      <c r="K2102" s="8">
        <f t="shared" si="518"/>
        <v>180</v>
      </c>
      <c r="L2102" s="8">
        <f t="shared" si="518"/>
        <v>426</v>
      </c>
      <c r="M2102" s="316"/>
    </row>
    <row r="2103" spans="2:13" ht="15.75" hidden="1" x14ac:dyDescent="0.2">
      <c r="B2103" s="10">
        <v>46244</v>
      </c>
      <c r="C2103" s="10" t="s">
        <v>106</v>
      </c>
      <c r="D2103" s="10" t="s">
        <v>192</v>
      </c>
      <c r="F2103" s="939">
        <v>46244</v>
      </c>
      <c r="G2103" s="29" t="s">
        <v>16</v>
      </c>
      <c r="H2103" s="29" t="s">
        <v>112</v>
      </c>
      <c r="I2103" s="42">
        <v>122</v>
      </c>
      <c r="J2103" s="42">
        <v>70</v>
      </c>
      <c r="K2103" s="312">
        <v>0</v>
      </c>
      <c r="L2103" s="66">
        <f>SUM(I2103:K2103)</f>
        <v>192</v>
      </c>
      <c r="M2103" s="42"/>
    </row>
    <row r="2104" spans="2:13" ht="15.75" hidden="1" x14ac:dyDescent="0.2">
      <c r="B2104" s="10">
        <v>46244</v>
      </c>
      <c r="C2104" s="10" t="s">
        <v>106</v>
      </c>
      <c r="D2104" s="10" t="s">
        <v>192</v>
      </c>
      <c r="F2104" s="940"/>
      <c r="G2104" s="29" t="s">
        <v>14</v>
      </c>
      <c r="H2104" s="29" t="s">
        <v>106</v>
      </c>
      <c r="I2104" s="42">
        <v>89</v>
      </c>
      <c r="J2104" s="42">
        <v>26</v>
      </c>
      <c r="K2104" s="312">
        <v>0</v>
      </c>
      <c r="L2104" s="66">
        <f t="shared" ref="L2104:L2109" si="519">SUM(I2104:K2104)</f>
        <v>115</v>
      </c>
      <c r="M2104" s="42"/>
    </row>
    <row r="2105" spans="2:13" ht="15.75" hidden="1" x14ac:dyDescent="0.2">
      <c r="B2105" s="10">
        <v>46244</v>
      </c>
      <c r="C2105" s="10" t="s">
        <v>106</v>
      </c>
      <c r="D2105" s="10" t="s">
        <v>192</v>
      </c>
      <c r="F2105" s="940"/>
      <c r="G2105" s="29" t="s">
        <v>120</v>
      </c>
      <c r="H2105" s="29" t="s">
        <v>106</v>
      </c>
      <c r="I2105" s="42">
        <v>40</v>
      </c>
      <c r="J2105" s="42">
        <v>1</v>
      </c>
      <c r="K2105" s="312">
        <v>0</v>
      </c>
      <c r="L2105" s="66">
        <f t="shared" si="519"/>
        <v>41</v>
      </c>
      <c r="M2105" s="42"/>
    </row>
    <row r="2106" spans="2:13" ht="15.75" hidden="1" x14ac:dyDescent="0.2">
      <c r="B2106" s="10">
        <v>46244</v>
      </c>
      <c r="C2106" s="10" t="s">
        <v>106</v>
      </c>
      <c r="D2106" s="10" t="s">
        <v>192</v>
      </c>
      <c r="F2106" s="940"/>
      <c r="G2106" s="29" t="s">
        <v>180</v>
      </c>
      <c r="H2106" s="29" t="s">
        <v>106</v>
      </c>
      <c r="I2106" s="42">
        <v>37</v>
      </c>
      <c r="J2106" s="42">
        <v>4</v>
      </c>
      <c r="K2106" s="312">
        <v>0</v>
      </c>
      <c r="L2106" s="66">
        <f t="shared" si="519"/>
        <v>41</v>
      </c>
      <c r="M2106" s="42"/>
    </row>
    <row r="2107" spans="2:13" ht="15.75" hidden="1" x14ac:dyDescent="0.2">
      <c r="B2107" s="10">
        <v>46244</v>
      </c>
      <c r="C2107" s="10" t="s">
        <v>106</v>
      </c>
      <c r="D2107" s="10" t="s">
        <v>192</v>
      </c>
      <c r="F2107" s="940"/>
      <c r="G2107" s="29" t="s">
        <v>118</v>
      </c>
      <c r="H2107" s="29" t="s">
        <v>106</v>
      </c>
      <c r="I2107" s="42">
        <v>4</v>
      </c>
      <c r="J2107" s="42">
        <v>0</v>
      </c>
      <c r="K2107" s="312">
        <v>0</v>
      </c>
      <c r="L2107" s="66">
        <f t="shared" si="519"/>
        <v>4</v>
      </c>
      <c r="M2107" s="42"/>
    </row>
    <row r="2108" spans="2:13" ht="15.75" hidden="1" x14ac:dyDescent="0.2">
      <c r="B2108" s="10">
        <v>46244</v>
      </c>
      <c r="C2108" s="10" t="s">
        <v>106</v>
      </c>
      <c r="D2108" s="10" t="s">
        <v>192</v>
      </c>
      <c r="F2108" s="940"/>
      <c r="G2108" s="29" t="s">
        <v>25</v>
      </c>
      <c r="H2108" s="29" t="s">
        <v>105</v>
      </c>
      <c r="I2108" s="42">
        <v>84</v>
      </c>
      <c r="J2108" s="42">
        <v>42</v>
      </c>
      <c r="K2108" s="312">
        <v>12</v>
      </c>
      <c r="L2108" s="66">
        <f t="shared" si="519"/>
        <v>138</v>
      </c>
      <c r="M2108" s="42"/>
    </row>
    <row r="2109" spans="2:13" ht="15.75" hidden="1" x14ac:dyDescent="0.2">
      <c r="B2109" s="10">
        <v>46244</v>
      </c>
      <c r="C2109" s="10" t="s">
        <v>106</v>
      </c>
      <c r="D2109" s="10" t="s">
        <v>192</v>
      </c>
      <c r="F2109" s="940"/>
      <c r="G2109" s="29" t="s">
        <v>32</v>
      </c>
      <c r="H2109" s="29" t="s">
        <v>105</v>
      </c>
      <c r="I2109" s="42">
        <v>75</v>
      </c>
      <c r="J2109" s="42">
        <v>13</v>
      </c>
      <c r="K2109" s="312">
        <v>25</v>
      </c>
      <c r="L2109" s="66">
        <f t="shared" si="519"/>
        <v>113</v>
      </c>
      <c r="M2109" s="42"/>
    </row>
    <row r="2110" spans="2:13" ht="15.75" hidden="1" x14ac:dyDescent="0.2">
      <c r="B2110" s="10">
        <v>46244</v>
      </c>
      <c r="C2110" s="10" t="s">
        <v>106</v>
      </c>
      <c r="D2110" s="10" t="s">
        <v>192</v>
      </c>
      <c r="F2110" s="937" t="s">
        <v>40</v>
      </c>
      <c r="G2110" s="937"/>
      <c r="H2110" s="937"/>
      <c r="I2110" s="8">
        <f>SUM(I2103:I2109)</f>
        <v>451</v>
      </c>
      <c r="J2110" s="8">
        <f>SUM(J2103:J2109)</f>
        <v>156</v>
      </c>
      <c r="K2110" s="8">
        <f>SUM(K2103:K2109)</f>
        <v>37</v>
      </c>
      <c r="L2110" s="8">
        <f>SUM(L2103:L2109)</f>
        <v>644</v>
      </c>
      <c r="M2110" s="316"/>
    </row>
    <row r="2111" spans="2:13" ht="15.75" hidden="1" x14ac:dyDescent="0.2">
      <c r="B2111" s="10">
        <v>46244</v>
      </c>
      <c r="C2111" s="10" t="s">
        <v>105</v>
      </c>
      <c r="D2111" s="10" t="s">
        <v>13</v>
      </c>
      <c r="F2111" s="939">
        <v>46244</v>
      </c>
      <c r="G2111" s="29" t="s">
        <v>16</v>
      </c>
      <c r="H2111" s="29" t="s">
        <v>112</v>
      </c>
      <c r="I2111" s="42">
        <v>12</v>
      </c>
      <c r="J2111" s="42">
        <v>1</v>
      </c>
      <c r="K2111" s="312">
        <v>0</v>
      </c>
      <c r="L2111" s="66">
        <f>SUM(I2111:K2111)</f>
        <v>13</v>
      </c>
      <c r="M2111" s="42"/>
    </row>
    <row r="2112" spans="2:13" ht="15.75" hidden="1" x14ac:dyDescent="0.2">
      <c r="B2112" s="10">
        <v>46244</v>
      </c>
      <c r="C2112" s="10" t="s">
        <v>105</v>
      </c>
      <c r="D2112" s="10" t="s">
        <v>13</v>
      </c>
      <c r="F2112" s="940"/>
      <c r="G2112" s="29" t="s">
        <v>25</v>
      </c>
      <c r="H2112" s="29" t="s">
        <v>105</v>
      </c>
      <c r="I2112" s="42">
        <v>38</v>
      </c>
      <c r="J2112" s="42">
        <v>23</v>
      </c>
      <c r="K2112" s="312">
        <v>0</v>
      </c>
      <c r="L2112" s="66">
        <f t="shared" ref="L2112:L2113" si="520">SUM(I2112:K2112)</f>
        <v>61</v>
      </c>
      <c r="M2112" s="42"/>
    </row>
    <row r="2113" spans="2:13" ht="15.75" hidden="1" x14ac:dyDescent="0.2">
      <c r="B2113" s="10">
        <v>46244</v>
      </c>
      <c r="C2113" s="10" t="s">
        <v>105</v>
      </c>
      <c r="D2113" s="10" t="s">
        <v>13</v>
      </c>
      <c r="F2113" s="940"/>
      <c r="G2113" s="29" t="s">
        <v>32</v>
      </c>
      <c r="H2113" s="29" t="s">
        <v>105</v>
      </c>
      <c r="I2113" s="42">
        <v>131</v>
      </c>
      <c r="J2113" s="42">
        <v>38</v>
      </c>
      <c r="K2113" s="312">
        <v>0</v>
      </c>
      <c r="L2113" s="66">
        <f t="shared" si="520"/>
        <v>169</v>
      </c>
      <c r="M2113" s="42"/>
    </row>
    <row r="2114" spans="2:13" ht="15.75" hidden="1" x14ac:dyDescent="0.2">
      <c r="B2114" s="10">
        <v>46244</v>
      </c>
      <c r="C2114" s="10" t="s">
        <v>105</v>
      </c>
      <c r="D2114" s="10" t="s">
        <v>13</v>
      </c>
      <c r="F2114" s="939">
        <v>46245</v>
      </c>
      <c r="G2114" s="29" t="s">
        <v>16</v>
      </c>
      <c r="H2114" s="29" t="s">
        <v>112</v>
      </c>
      <c r="I2114" s="42">
        <v>8</v>
      </c>
      <c r="J2114" s="42">
        <v>4</v>
      </c>
      <c r="K2114" s="312">
        <v>70</v>
      </c>
      <c r="L2114" s="66">
        <f>SUM(I2114:K2114)</f>
        <v>82</v>
      </c>
      <c r="M2114" s="42"/>
    </row>
    <row r="2115" spans="2:13" ht="15.75" hidden="1" x14ac:dyDescent="0.2">
      <c r="B2115" s="10">
        <v>46244</v>
      </c>
      <c r="C2115" s="10" t="s">
        <v>105</v>
      </c>
      <c r="D2115" s="10" t="s">
        <v>13</v>
      </c>
      <c r="F2115" s="940"/>
      <c r="G2115" s="29" t="s">
        <v>14</v>
      </c>
      <c r="H2115" s="29" t="s">
        <v>106</v>
      </c>
      <c r="I2115" s="42">
        <v>66</v>
      </c>
      <c r="J2115" s="42">
        <v>22</v>
      </c>
      <c r="K2115" s="312">
        <v>65</v>
      </c>
      <c r="L2115" s="66">
        <f t="shared" ref="L2115" si="521">SUM(I2115:K2115)</f>
        <v>153</v>
      </c>
      <c r="M2115" s="42"/>
    </row>
    <row r="2116" spans="2:13" ht="15.75" hidden="1" x14ac:dyDescent="0.2">
      <c r="B2116" s="10">
        <v>46244</v>
      </c>
      <c r="C2116" s="10" t="s">
        <v>105</v>
      </c>
      <c r="D2116" s="10" t="s">
        <v>13</v>
      </c>
      <c r="F2116" s="937" t="s">
        <v>40</v>
      </c>
      <c r="G2116" s="937"/>
      <c r="H2116" s="937"/>
      <c r="I2116" s="8">
        <f>SUM(I2111:I2115)</f>
        <v>255</v>
      </c>
      <c r="J2116" s="8">
        <f t="shared" ref="J2116:L2116" si="522">SUM(J2111:J2115)</f>
        <v>88</v>
      </c>
      <c r="K2116" s="8">
        <f t="shared" si="522"/>
        <v>135</v>
      </c>
      <c r="L2116" s="8">
        <f t="shared" si="522"/>
        <v>478</v>
      </c>
      <c r="M2116" s="316"/>
    </row>
    <row r="2117" spans="2:13" ht="15.75" hidden="1" x14ac:dyDescent="0.2">
      <c r="B2117" s="10">
        <v>46245</v>
      </c>
      <c r="C2117" s="10" t="s">
        <v>106</v>
      </c>
      <c r="D2117" s="10" t="s">
        <v>192</v>
      </c>
      <c r="F2117" s="939">
        <v>46245</v>
      </c>
      <c r="G2117" s="29" t="s">
        <v>16</v>
      </c>
      <c r="H2117" s="29" t="s">
        <v>112</v>
      </c>
      <c r="I2117" s="42">
        <v>137</v>
      </c>
      <c r="J2117" s="42">
        <v>60</v>
      </c>
      <c r="K2117" s="312">
        <v>21</v>
      </c>
      <c r="L2117" s="66">
        <f>SUM(I2117:K2117)</f>
        <v>218</v>
      </c>
      <c r="M2117" s="42"/>
    </row>
    <row r="2118" spans="2:13" ht="15.75" hidden="1" x14ac:dyDescent="0.2">
      <c r="B2118" s="10">
        <v>46245</v>
      </c>
      <c r="C2118" s="10" t="s">
        <v>106</v>
      </c>
      <c r="D2118" s="10" t="s">
        <v>192</v>
      </c>
      <c r="F2118" s="940"/>
      <c r="G2118" s="29" t="s">
        <v>14</v>
      </c>
      <c r="H2118" s="29" t="s">
        <v>106</v>
      </c>
      <c r="I2118" s="42">
        <v>96</v>
      </c>
      <c r="J2118" s="42">
        <v>15</v>
      </c>
      <c r="K2118" s="312">
        <v>0</v>
      </c>
      <c r="L2118" s="66">
        <f t="shared" ref="L2118:L2121" si="523">SUM(I2118:K2118)</f>
        <v>111</v>
      </c>
      <c r="M2118" s="42"/>
    </row>
    <row r="2119" spans="2:13" ht="15.75" hidden="1" x14ac:dyDescent="0.2">
      <c r="B2119" s="10">
        <v>46245</v>
      </c>
      <c r="C2119" s="10" t="s">
        <v>106</v>
      </c>
      <c r="D2119" s="10" t="s">
        <v>192</v>
      </c>
      <c r="F2119" s="940"/>
      <c r="G2119" s="29" t="s">
        <v>180</v>
      </c>
      <c r="H2119" s="29" t="s">
        <v>106</v>
      </c>
      <c r="I2119" s="42">
        <v>9</v>
      </c>
      <c r="J2119" s="42">
        <v>0</v>
      </c>
      <c r="K2119" s="312">
        <v>0</v>
      </c>
      <c r="L2119" s="66">
        <f t="shared" si="523"/>
        <v>9</v>
      </c>
      <c r="M2119" s="42"/>
    </row>
    <row r="2120" spans="2:13" ht="15.75" hidden="1" x14ac:dyDescent="0.2">
      <c r="B2120" s="10">
        <v>46245</v>
      </c>
      <c r="C2120" s="10" t="s">
        <v>106</v>
      </c>
      <c r="D2120" s="10" t="s">
        <v>192</v>
      </c>
      <c r="F2120" s="940"/>
      <c r="G2120" s="29" t="s">
        <v>118</v>
      </c>
      <c r="H2120" s="29" t="s">
        <v>105</v>
      </c>
      <c r="I2120" s="42">
        <v>77</v>
      </c>
      <c r="J2120" s="42">
        <v>7</v>
      </c>
      <c r="K2120" s="312">
        <v>47</v>
      </c>
      <c r="L2120" s="66">
        <f t="shared" si="523"/>
        <v>131</v>
      </c>
      <c r="M2120" s="42"/>
    </row>
    <row r="2121" spans="2:13" ht="15.75" hidden="1" x14ac:dyDescent="0.2">
      <c r="B2121" s="10">
        <v>46245</v>
      </c>
      <c r="C2121" s="10" t="s">
        <v>106</v>
      </c>
      <c r="D2121" s="10" t="s">
        <v>192</v>
      </c>
      <c r="F2121" s="940"/>
      <c r="G2121" s="29" t="s">
        <v>17</v>
      </c>
      <c r="H2121" s="29" t="s">
        <v>105</v>
      </c>
      <c r="I2121" s="42">
        <v>12</v>
      </c>
      <c r="J2121" s="42">
        <v>0</v>
      </c>
      <c r="K2121" s="312">
        <v>52</v>
      </c>
      <c r="L2121" s="66">
        <f t="shared" si="523"/>
        <v>64</v>
      </c>
      <c r="M2121" s="42"/>
    </row>
    <row r="2122" spans="2:13" ht="15.75" hidden="1" x14ac:dyDescent="0.2">
      <c r="B2122" s="10">
        <v>46245</v>
      </c>
      <c r="C2122" s="10" t="s">
        <v>106</v>
      </c>
      <c r="D2122" s="10" t="s">
        <v>192</v>
      </c>
      <c r="F2122" s="937" t="s">
        <v>40</v>
      </c>
      <c r="G2122" s="937"/>
      <c r="H2122" s="937"/>
      <c r="I2122" s="8">
        <f>SUM(I2117:I2121)</f>
        <v>331</v>
      </c>
      <c r="J2122" s="8">
        <f>SUM(J2117:J2121)</f>
        <v>82</v>
      </c>
      <c r="K2122" s="8">
        <f>SUM(K2117:K2121)</f>
        <v>120</v>
      </c>
      <c r="L2122" s="8">
        <f>SUM(L2117:L2121)</f>
        <v>533</v>
      </c>
      <c r="M2122" s="316"/>
    </row>
    <row r="2123" spans="2:13" ht="15.75" hidden="1" x14ac:dyDescent="0.2">
      <c r="B2123" s="10">
        <v>46245</v>
      </c>
      <c r="C2123" s="10" t="s">
        <v>193</v>
      </c>
      <c r="D2123" s="10" t="s">
        <v>13</v>
      </c>
      <c r="F2123" s="939">
        <v>46245</v>
      </c>
      <c r="G2123" s="29" t="s">
        <v>16</v>
      </c>
      <c r="H2123" s="29" t="s">
        <v>112</v>
      </c>
      <c r="I2123" s="42">
        <v>22</v>
      </c>
      <c r="J2123" s="42">
        <v>16</v>
      </c>
      <c r="K2123" s="312">
        <v>0</v>
      </c>
      <c r="L2123" s="66">
        <f>SUM(I2123:K2123)</f>
        <v>38</v>
      </c>
      <c r="M2123" s="42"/>
    </row>
    <row r="2124" spans="2:13" ht="15.75" hidden="1" x14ac:dyDescent="0.2">
      <c r="B2124" s="10">
        <v>46245</v>
      </c>
      <c r="C2124" s="10" t="s">
        <v>193</v>
      </c>
      <c r="D2124" s="10" t="s">
        <v>13</v>
      </c>
      <c r="F2124" s="940"/>
      <c r="G2124" s="29" t="s">
        <v>32</v>
      </c>
      <c r="H2124" s="29" t="s">
        <v>105</v>
      </c>
      <c r="I2124" s="42">
        <v>76</v>
      </c>
      <c r="J2124" s="42">
        <v>14</v>
      </c>
      <c r="K2124" s="312">
        <v>0</v>
      </c>
      <c r="L2124" s="66">
        <f t="shared" ref="L2124:L2126" si="524">SUM(I2124:K2124)</f>
        <v>90</v>
      </c>
      <c r="M2124" s="42"/>
    </row>
    <row r="2125" spans="2:13" ht="15.75" hidden="1" x14ac:dyDescent="0.2">
      <c r="B2125" s="10">
        <v>46245</v>
      </c>
      <c r="C2125" s="10" t="s">
        <v>193</v>
      </c>
      <c r="D2125" s="10" t="s">
        <v>13</v>
      </c>
      <c r="F2125" s="940"/>
      <c r="G2125" s="29" t="s">
        <v>118</v>
      </c>
      <c r="H2125" s="29" t="s">
        <v>105</v>
      </c>
      <c r="I2125" s="42">
        <v>87</v>
      </c>
      <c r="J2125" s="42">
        <v>19</v>
      </c>
      <c r="K2125" s="312">
        <v>0</v>
      </c>
      <c r="L2125" s="66">
        <f t="shared" si="524"/>
        <v>106</v>
      </c>
      <c r="M2125" s="42"/>
    </row>
    <row r="2126" spans="2:13" ht="15.75" hidden="1" x14ac:dyDescent="0.2">
      <c r="B2126" s="10">
        <v>46245</v>
      </c>
      <c r="C2126" s="10" t="s">
        <v>193</v>
      </c>
      <c r="D2126" s="10" t="s">
        <v>13</v>
      </c>
      <c r="F2126" s="940"/>
      <c r="G2126" s="29" t="s">
        <v>17</v>
      </c>
      <c r="H2126" s="29" t="s">
        <v>105</v>
      </c>
      <c r="I2126" s="42">
        <v>79</v>
      </c>
      <c r="J2126" s="42">
        <v>10</v>
      </c>
      <c r="K2126" s="312">
        <v>0</v>
      </c>
      <c r="L2126" s="66">
        <f t="shared" si="524"/>
        <v>89</v>
      </c>
      <c r="M2126" s="42"/>
    </row>
    <row r="2127" spans="2:13" ht="15.75" hidden="1" x14ac:dyDescent="0.2">
      <c r="B2127" s="10">
        <v>46245</v>
      </c>
      <c r="C2127" s="10" t="s">
        <v>193</v>
      </c>
      <c r="D2127" s="10" t="s">
        <v>13</v>
      </c>
      <c r="F2127" s="949">
        <v>46246</v>
      </c>
      <c r="G2127" s="29" t="s">
        <v>16</v>
      </c>
      <c r="H2127" s="29" t="s">
        <v>112</v>
      </c>
      <c r="I2127" s="42">
        <v>18</v>
      </c>
      <c r="J2127" s="42">
        <v>10</v>
      </c>
      <c r="K2127" s="312">
        <v>100</v>
      </c>
      <c r="L2127" s="66">
        <f>SUM(I2127:K2127)</f>
        <v>128</v>
      </c>
      <c r="M2127" s="42"/>
    </row>
    <row r="2128" spans="2:13" ht="15.75" hidden="1" x14ac:dyDescent="0.2">
      <c r="B2128" s="10">
        <v>46245</v>
      </c>
      <c r="C2128" s="10" t="s">
        <v>193</v>
      </c>
      <c r="D2128" s="10" t="s">
        <v>13</v>
      </c>
      <c r="F2128" s="950"/>
      <c r="G2128" s="29" t="s">
        <v>14</v>
      </c>
      <c r="H2128" s="29" t="s">
        <v>106</v>
      </c>
      <c r="I2128" s="42">
        <v>41</v>
      </c>
      <c r="J2128" s="42">
        <v>17</v>
      </c>
      <c r="K2128" s="312">
        <v>66</v>
      </c>
      <c r="L2128" s="66">
        <f t="shared" ref="L2128" si="525">SUM(I2128:K2128)</f>
        <v>124</v>
      </c>
      <c r="M2128" s="42"/>
    </row>
    <row r="2129" spans="2:13" ht="15.75" hidden="1" x14ac:dyDescent="0.2">
      <c r="B2129" s="10">
        <v>46245</v>
      </c>
      <c r="C2129" s="10" t="s">
        <v>193</v>
      </c>
      <c r="D2129" s="10" t="s">
        <v>13</v>
      </c>
      <c r="F2129" s="937" t="s">
        <v>40</v>
      </c>
      <c r="G2129" s="937"/>
      <c r="H2129" s="937"/>
      <c r="I2129" s="8">
        <f>SUM(I2123:I2128)</f>
        <v>323</v>
      </c>
      <c r="J2129" s="8">
        <f>SUM(J2123:J2128)</f>
        <v>86</v>
      </c>
      <c r="K2129" s="8">
        <f>SUM(K2123:K2128)</f>
        <v>166</v>
      </c>
      <c r="L2129" s="8">
        <f>SUM(L2123:L2128)</f>
        <v>575</v>
      </c>
      <c r="M2129" s="316"/>
    </row>
    <row r="2130" spans="2:13" ht="15.75" hidden="1" x14ac:dyDescent="0.2">
      <c r="B2130" s="10">
        <v>46246</v>
      </c>
      <c r="C2130" s="10" t="s">
        <v>106</v>
      </c>
      <c r="D2130" s="10" t="s">
        <v>192</v>
      </c>
      <c r="F2130" s="942">
        <v>46246</v>
      </c>
      <c r="G2130" s="29" t="s">
        <v>16</v>
      </c>
      <c r="H2130" s="29" t="s">
        <v>112</v>
      </c>
      <c r="I2130" s="42">
        <v>122</v>
      </c>
      <c r="J2130" s="42">
        <v>80</v>
      </c>
      <c r="K2130" s="312">
        <v>16</v>
      </c>
      <c r="L2130" s="66">
        <f>SUM(I2130:K2130)</f>
        <v>218</v>
      </c>
      <c r="M2130" s="42"/>
    </row>
    <row r="2131" spans="2:13" ht="15.75" hidden="1" x14ac:dyDescent="0.2">
      <c r="B2131" s="10">
        <v>46246</v>
      </c>
      <c r="C2131" s="10" t="s">
        <v>106</v>
      </c>
      <c r="D2131" s="10" t="s">
        <v>192</v>
      </c>
      <c r="F2131" s="942"/>
      <c r="G2131" s="29" t="s">
        <v>14</v>
      </c>
      <c r="H2131" s="29" t="s">
        <v>106</v>
      </c>
      <c r="I2131" s="42">
        <v>125</v>
      </c>
      <c r="J2131" s="42">
        <v>29</v>
      </c>
      <c r="K2131" s="312">
        <v>0</v>
      </c>
      <c r="L2131" s="66">
        <f t="shared" ref="L2131:L2137" si="526">SUM(I2131:K2131)</f>
        <v>154</v>
      </c>
      <c r="M2131" s="42"/>
    </row>
    <row r="2132" spans="2:13" ht="15.75" hidden="1" x14ac:dyDescent="0.2">
      <c r="B2132" s="10">
        <v>46246</v>
      </c>
      <c r="C2132" s="10" t="s">
        <v>106</v>
      </c>
      <c r="D2132" s="10" t="s">
        <v>192</v>
      </c>
      <c r="F2132" s="942"/>
      <c r="G2132" s="29" t="s">
        <v>180</v>
      </c>
      <c r="H2132" s="29" t="s">
        <v>106</v>
      </c>
      <c r="I2132" s="42">
        <v>115</v>
      </c>
      <c r="J2132" s="42">
        <v>3</v>
      </c>
      <c r="K2132" s="312">
        <v>0</v>
      </c>
      <c r="L2132" s="66">
        <f t="shared" si="526"/>
        <v>118</v>
      </c>
      <c r="M2132" s="42"/>
    </row>
    <row r="2133" spans="2:13" ht="15.75" hidden="1" x14ac:dyDescent="0.2">
      <c r="B2133" s="10">
        <v>46246</v>
      </c>
      <c r="C2133" s="10" t="s">
        <v>106</v>
      </c>
      <c r="D2133" s="10" t="s">
        <v>192</v>
      </c>
      <c r="F2133" s="942"/>
      <c r="G2133" s="29" t="s">
        <v>118</v>
      </c>
      <c r="H2133" s="29" t="s">
        <v>106</v>
      </c>
      <c r="I2133" s="42">
        <v>2</v>
      </c>
      <c r="J2133" s="42">
        <v>0</v>
      </c>
      <c r="K2133" s="312">
        <v>0</v>
      </c>
      <c r="L2133" s="66">
        <f t="shared" si="526"/>
        <v>2</v>
      </c>
      <c r="M2133" s="42"/>
    </row>
    <row r="2134" spans="2:13" ht="15.75" hidden="1" x14ac:dyDescent="0.2">
      <c r="B2134" s="10">
        <v>46246</v>
      </c>
      <c r="C2134" s="10" t="s">
        <v>106</v>
      </c>
      <c r="D2134" s="10" t="s">
        <v>192</v>
      </c>
      <c r="F2134" s="942"/>
      <c r="G2134" s="29" t="s">
        <v>32</v>
      </c>
      <c r="H2134" s="29" t="s">
        <v>105</v>
      </c>
      <c r="I2134" s="42">
        <v>2</v>
      </c>
      <c r="J2134" s="42">
        <v>0</v>
      </c>
      <c r="K2134" s="312">
        <v>0</v>
      </c>
      <c r="L2134" s="66">
        <f t="shared" si="526"/>
        <v>2</v>
      </c>
      <c r="M2134" s="42"/>
    </row>
    <row r="2135" spans="2:13" ht="15.75" hidden="1" x14ac:dyDescent="0.2">
      <c r="B2135" s="10">
        <v>46246</v>
      </c>
      <c r="C2135" s="10" t="s">
        <v>106</v>
      </c>
      <c r="D2135" s="10" t="s">
        <v>192</v>
      </c>
      <c r="F2135" s="942"/>
      <c r="G2135" s="29" t="s">
        <v>109</v>
      </c>
      <c r="H2135" s="29" t="s">
        <v>106</v>
      </c>
      <c r="I2135" s="42">
        <v>4</v>
      </c>
      <c r="J2135" s="42">
        <v>0</v>
      </c>
      <c r="K2135" s="312">
        <v>0</v>
      </c>
      <c r="L2135" s="66">
        <f t="shared" si="526"/>
        <v>4</v>
      </c>
      <c r="M2135" s="42"/>
    </row>
    <row r="2136" spans="2:13" ht="15.75" hidden="1" x14ac:dyDescent="0.2">
      <c r="B2136" s="10">
        <v>46246</v>
      </c>
      <c r="C2136" s="10" t="s">
        <v>106</v>
      </c>
      <c r="D2136" s="10" t="s">
        <v>192</v>
      </c>
      <c r="F2136" s="942"/>
      <c r="G2136" s="29" t="s">
        <v>17</v>
      </c>
      <c r="H2136" s="29" t="s">
        <v>105</v>
      </c>
      <c r="I2136" s="42">
        <v>54</v>
      </c>
      <c r="J2136" s="42">
        <v>9</v>
      </c>
      <c r="K2136" s="312">
        <v>37</v>
      </c>
      <c r="L2136" s="66">
        <f t="shared" si="526"/>
        <v>100</v>
      </c>
      <c r="M2136" s="42"/>
    </row>
    <row r="2137" spans="2:13" ht="15.75" hidden="1" x14ac:dyDescent="0.2">
      <c r="B2137" s="10">
        <v>46246</v>
      </c>
      <c r="C2137" s="10" t="s">
        <v>106</v>
      </c>
      <c r="D2137" s="10" t="s">
        <v>192</v>
      </c>
      <c r="F2137" s="492">
        <v>46247</v>
      </c>
      <c r="G2137" s="29" t="s">
        <v>14</v>
      </c>
      <c r="H2137" s="29" t="s">
        <v>22</v>
      </c>
      <c r="I2137" s="42">
        <v>0</v>
      </c>
      <c r="J2137" s="42">
        <v>0</v>
      </c>
      <c r="K2137" s="312">
        <v>33</v>
      </c>
      <c r="L2137" s="66">
        <f t="shared" si="526"/>
        <v>33</v>
      </c>
      <c r="M2137" s="42"/>
    </row>
    <row r="2138" spans="2:13" ht="15.75" hidden="1" x14ac:dyDescent="0.2">
      <c r="B2138" s="10">
        <v>46246</v>
      </c>
      <c r="C2138" s="10" t="s">
        <v>106</v>
      </c>
      <c r="D2138" s="10" t="s">
        <v>192</v>
      </c>
      <c r="F2138" s="937" t="s">
        <v>40</v>
      </c>
      <c r="G2138" s="937"/>
      <c r="H2138" s="937"/>
      <c r="I2138" s="8">
        <f>SUM(I2130:I2137)</f>
        <v>424</v>
      </c>
      <c r="J2138" s="8">
        <f>SUM(J2130:J2137)</f>
        <v>121</v>
      </c>
      <c r="K2138" s="8">
        <f>SUM(K2130:K2137)</f>
        <v>86</v>
      </c>
      <c r="L2138" s="8">
        <f>SUM(L2130:L2137)</f>
        <v>631</v>
      </c>
      <c r="M2138" s="316"/>
    </row>
    <row r="2139" spans="2:13" ht="15.75" hidden="1" x14ac:dyDescent="0.2">
      <c r="B2139" s="10">
        <v>46246</v>
      </c>
      <c r="C2139" s="10" t="s">
        <v>105</v>
      </c>
      <c r="D2139" s="10" t="s">
        <v>13</v>
      </c>
      <c r="F2139" s="939">
        <v>46246</v>
      </c>
      <c r="G2139" s="29" t="s">
        <v>16</v>
      </c>
      <c r="H2139" s="29" t="s">
        <v>112</v>
      </c>
      <c r="I2139" s="42">
        <v>29</v>
      </c>
      <c r="J2139" s="42">
        <v>8</v>
      </c>
      <c r="K2139" s="312">
        <v>0</v>
      </c>
      <c r="L2139" s="66">
        <f>SUM(I2139:K2139)</f>
        <v>37</v>
      </c>
      <c r="M2139" s="42"/>
    </row>
    <row r="2140" spans="2:13" ht="15.75" hidden="1" x14ac:dyDescent="0.2">
      <c r="B2140" s="10">
        <v>46246</v>
      </c>
      <c r="C2140" s="10" t="s">
        <v>105</v>
      </c>
      <c r="D2140" s="10" t="s">
        <v>13</v>
      </c>
      <c r="F2140" s="940"/>
      <c r="G2140" s="29" t="s">
        <v>32</v>
      </c>
      <c r="H2140" s="29" t="s">
        <v>105</v>
      </c>
      <c r="I2140" s="42">
        <v>38</v>
      </c>
      <c r="J2140" s="42">
        <v>11</v>
      </c>
      <c r="K2140" s="312">
        <v>0</v>
      </c>
      <c r="L2140" s="66">
        <f>SUM(I2140:K2140)</f>
        <v>49</v>
      </c>
      <c r="M2140" s="42"/>
    </row>
    <row r="2141" spans="2:13" ht="15.75" hidden="1" x14ac:dyDescent="0.2">
      <c r="B2141" s="10">
        <v>46246</v>
      </c>
      <c r="C2141" s="10" t="s">
        <v>105</v>
      </c>
      <c r="D2141" s="10" t="s">
        <v>13</v>
      </c>
      <c r="F2141" s="940"/>
      <c r="G2141" s="29" t="s">
        <v>118</v>
      </c>
      <c r="H2141" s="29" t="s">
        <v>105</v>
      </c>
      <c r="I2141" s="42">
        <v>1</v>
      </c>
      <c r="J2141" s="42">
        <v>0</v>
      </c>
      <c r="K2141" s="312">
        <v>0</v>
      </c>
      <c r="L2141" s="66">
        <f t="shared" ref="L2141:L2142" si="527">SUM(I2141:K2141)</f>
        <v>1</v>
      </c>
      <c r="M2141" s="42"/>
    </row>
    <row r="2142" spans="2:13" ht="15.75" hidden="1" x14ac:dyDescent="0.2">
      <c r="B2142" s="10">
        <v>46246</v>
      </c>
      <c r="C2142" s="10" t="s">
        <v>105</v>
      </c>
      <c r="D2142" s="10" t="s">
        <v>13</v>
      </c>
      <c r="F2142" s="941"/>
      <c r="G2142" s="29" t="s">
        <v>17</v>
      </c>
      <c r="H2142" s="29" t="s">
        <v>105</v>
      </c>
      <c r="I2142" s="42">
        <v>49</v>
      </c>
      <c r="J2142" s="42">
        <v>34</v>
      </c>
      <c r="K2142" s="312">
        <v>0</v>
      </c>
      <c r="L2142" s="66">
        <f t="shared" si="527"/>
        <v>83</v>
      </c>
      <c r="M2142" s="42"/>
    </row>
    <row r="2143" spans="2:13" ht="15.75" hidden="1" x14ac:dyDescent="0.2">
      <c r="B2143" s="10">
        <v>46246</v>
      </c>
      <c r="C2143" s="10" t="s">
        <v>105</v>
      </c>
      <c r="D2143" s="10" t="s">
        <v>13</v>
      </c>
      <c r="F2143" s="934">
        <v>46247</v>
      </c>
      <c r="G2143" s="29" t="s">
        <v>16</v>
      </c>
      <c r="H2143" s="29" t="s">
        <v>112</v>
      </c>
      <c r="I2143" s="42">
        <v>121</v>
      </c>
      <c r="J2143" s="42">
        <v>63</v>
      </c>
      <c r="K2143" s="312">
        <v>0</v>
      </c>
      <c r="L2143" s="66">
        <f t="shared" ref="L2143:L2145" si="528">SUM(I2143:K2143)</f>
        <v>184</v>
      </c>
      <c r="M2143" s="42"/>
    </row>
    <row r="2144" spans="2:13" ht="15.75" hidden="1" x14ac:dyDescent="0.2">
      <c r="B2144" s="10">
        <v>46246</v>
      </c>
      <c r="C2144" s="10" t="s">
        <v>105</v>
      </c>
      <c r="D2144" s="10" t="s">
        <v>13</v>
      </c>
      <c r="F2144" s="935"/>
      <c r="G2144" s="29" t="s">
        <v>180</v>
      </c>
      <c r="H2144" s="29" t="s">
        <v>106</v>
      </c>
      <c r="I2144" s="42">
        <v>0</v>
      </c>
      <c r="J2144" s="42">
        <v>0</v>
      </c>
      <c r="K2144" s="312">
        <v>23</v>
      </c>
      <c r="L2144" s="66">
        <f t="shared" si="528"/>
        <v>23</v>
      </c>
      <c r="M2144" s="42"/>
    </row>
    <row r="2145" spans="2:13" ht="15.75" hidden="1" x14ac:dyDescent="0.2">
      <c r="B2145" s="10">
        <v>46246</v>
      </c>
      <c r="C2145" s="10" t="s">
        <v>105</v>
      </c>
      <c r="D2145" s="10" t="s">
        <v>13</v>
      </c>
      <c r="F2145" s="935"/>
      <c r="G2145" s="29" t="s">
        <v>14</v>
      </c>
      <c r="H2145" s="29" t="s">
        <v>106</v>
      </c>
      <c r="I2145" s="42">
        <v>76</v>
      </c>
      <c r="J2145" s="42">
        <v>28</v>
      </c>
      <c r="K2145" s="312">
        <v>38</v>
      </c>
      <c r="L2145" s="66">
        <f t="shared" si="528"/>
        <v>142</v>
      </c>
      <c r="M2145" s="42"/>
    </row>
    <row r="2146" spans="2:13" ht="15.75" hidden="1" x14ac:dyDescent="0.2">
      <c r="B2146" s="10">
        <v>46246</v>
      </c>
      <c r="C2146" s="10" t="s">
        <v>105</v>
      </c>
      <c r="D2146" s="10" t="s">
        <v>13</v>
      </c>
      <c r="F2146" s="937" t="s">
        <v>40</v>
      </c>
      <c r="G2146" s="937"/>
      <c r="H2146" s="937"/>
      <c r="I2146" s="8">
        <f>SUM(I2139:I2145)</f>
        <v>314</v>
      </c>
      <c r="J2146" s="8">
        <f t="shared" ref="J2146:L2146" si="529">SUM(J2139:J2145)</f>
        <v>144</v>
      </c>
      <c r="K2146" s="8">
        <f t="shared" si="529"/>
        <v>61</v>
      </c>
      <c r="L2146" s="8">
        <f t="shared" si="529"/>
        <v>519</v>
      </c>
      <c r="M2146" s="316"/>
    </row>
    <row r="2147" spans="2:13" ht="15.75" hidden="1" x14ac:dyDescent="0.2">
      <c r="B2147" s="10">
        <v>46247</v>
      </c>
      <c r="C2147" s="10" t="s">
        <v>106</v>
      </c>
      <c r="D2147" s="10" t="s">
        <v>192</v>
      </c>
      <c r="F2147" s="942">
        <v>46247</v>
      </c>
      <c r="G2147" s="29" t="s">
        <v>16</v>
      </c>
      <c r="H2147" s="29" t="s">
        <v>112</v>
      </c>
      <c r="I2147" s="42">
        <v>47</v>
      </c>
      <c r="J2147" s="42">
        <v>40</v>
      </c>
      <c r="K2147" s="312">
        <v>0</v>
      </c>
      <c r="L2147" s="66">
        <f>SUM(I2147:K2147)</f>
        <v>87</v>
      </c>
      <c r="M2147" s="42"/>
    </row>
    <row r="2148" spans="2:13" ht="15.75" hidden="1" x14ac:dyDescent="0.2">
      <c r="B2148" s="10">
        <v>46247</v>
      </c>
      <c r="C2148" s="10" t="s">
        <v>106</v>
      </c>
      <c r="D2148" s="10" t="s">
        <v>192</v>
      </c>
      <c r="F2148" s="942"/>
      <c r="G2148" s="29" t="s">
        <v>14</v>
      </c>
      <c r="H2148" s="29" t="s">
        <v>106</v>
      </c>
      <c r="I2148" s="42">
        <v>69</v>
      </c>
      <c r="J2148" s="42">
        <v>11</v>
      </c>
      <c r="K2148" s="312">
        <v>0</v>
      </c>
      <c r="L2148" s="66">
        <f t="shared" ref="L2148:L2155" si="530">SUM(I2148:K2148)</f>
        <v>80</v>
      </c>
      <c r="M2148" s="42"/>
    </row>
    <row r="2149" spans="2:13" ht="15.75" hidden="1" x14ac:dyDescent="0.2">
      <c r="B2149" s="10">
        <v>46247</v>
      </c>
      <c r="C2149" s="10" t="s">
        <v>106</v>
      </c>
      <c r="D2149" s="10" t="s">
        <v>192</v>
      </c>
      <c r="F2149" s="942"/>
      <c r="G2149" s="29" t="s">
        <v>180</v>
      </c>
      <c r="H2149" s="29" t="s">
        <v>106</v>
      </c>
      <c r="I2149" s="42">
        <v>42</v>
      </c>
      <c r="J2149" s="42">
        <v>12</v>
      </c>
      <c r="K2149" s="312">
        <v>0</v>
      </c>
      <c r="L2149" s="66">
        <f t="shared" si="530"/>
        <v>54</v>
      </c>
      <c r="M2149" s="42"/>
    </row>
    <row r="2150" spans="2:13" ht="15.75" hidden="1" x14ac:dyDescent="0.2">
      <c r="B2150" s="10">
        <v>46247</v>
      </c>
      <c r="C2150" s="10" t="s">
        <v>106</v>
      </c>
      <c r="D2150" s="10" t="s">
        <v>192</v>
      </c>
      <c r="F2150" s="942"/>
      <c r="G2150" s="29" t="s">
        <v>118</v>
      </c>
      <c r="H2150" s="29" t="s">
        <v>106</v>
      </c>
      <c r="I2150" s="42">
        <v>1</v>
      </c>
      <c r="J2150" s="42">
        <v>0</v>
      </c>
      <c r="K2150" s="312">
        <v>0</v>
      </c>
      <c r="L2150" s="66">
        <f t="shared" si="530"/>
        <v>1</v>
      </c>
      <c r="M2150" s="42"/>
    </row>
    <row r="2151" spans="2:13" ht="15.75" hidden="1" x14ac:dyDescent="0.2">
      <c r="B2151" s="10">
        <v>46247</v>
      </c>
      <c r="C2151" s="10" t="s">
        <v>106</v>
      </c>
      <c r="D2151" s="10" t="s">
        <v>192</v>
      </c>
      <c r="F2151" s="942"/>
      <c r="G2151" s="29" t="s">
        <v>120</v>
      </c>
      <c r="H2151" s="29" t="s">
        <v>106</v>
      </c>
      <c r="I2151" s="42">
        <v>9</v>
      </c>
      <c r="J2151" s="42">
        <v>0</v>
      </c>
      <c r="K2151" s="312">
        <v>0</v>
      </c>
      <c r="L2151" s="66">
        <f t="shared" si="530"/>
        <v>9</v>
      </c>
      <c r="M2151" s="42"/>
    </row>
    <row r="2152" spans="2:13" ht="15.75" hidden="1" x14ac:dyDescent="0.2">
      <c r="B2152" s="10">
        <v>46247</v>
      </c>
      <c r="C2152" s="10" t="s">
        <v>106</v>
      </c>
      <c r="D2152" s="10" t="s">
        <v>192</v>
      </c>
      <c r="F2152" s="942"/>
      <c r="G2152" s="29" t="s">
        <v>32</v>
      </c>
      <c r="H2152" s="29" t="s">
        <v>105</v>
      </c>
      <c r="I2152" s="42">
        <v>0</v>
      </c>
      <c r="J2152" s="42">
        <v>0</v>
      </c>
      <c r="K2152" s="312">
        <v>20</v>
      </c>
      <c r="L2152" s="66">
        <f t="shared" si="530"/>
        <v>20</v>
      </c>
      <c r="M2152" s="42"/>
    </row>
    <row r="2153" spans="2:13" ht="15.75" hidden="1" x14ac:dyDescent="0.2">
      <c r="B2153" s="10">
        <v>46247</v>
      </c>
      <c r="C2153" s="10" t="s">
        <v>106</v>
      </c>
      <c r="D2153" s="10" t="s">
        <v>192</v>
      </c>
      <c r="F2153" s="942"/>
      <c r="G2153" s="29" t="s">
        <v>17</v>
      </c>
      <c r="H2153" s="29" t="s">
        <v>106</v>
      </c>
      <c r="I2153" s="42">
        <v>2</v>
      </c>
      <c r="J2153" s="42">
        <v>0</v>
      </c>
      <c r="K2153" s="312">
        <v>0</v>
      </c>
      <c r="L2153" s="66">
        <f t="shared" si="530"/>
        <v>2</v>
      </c>
      <c r="M2153" s="42"/>
    </row>
    <row r="2154" spans="2:13" ht="15.75" hidden="1" x14ac:dyDescent="0.2">
      <c r="B2154" s="10">
        <v>46247</v>
      </c>
      <c r="C2154" s="10" t="s">
        <v>106</v>
      </c>
      <c r="D2154" s="10" t="s">
        <v>192</v>
      </c>
      <c r="F2154" s="942"/>
      <c r="G2154" s="29" t="s">
        <v>25</v>
      </c>
      <c r="H2154" s="29" t="s">
        <v>105</v>
      </c>
      <c r="I2154" s="42">
        <v>76</v>
      </c>
      <c r="J2154" s="42">
        <v>13</v>
      </c>
      <c r="K2154" s="312">
        <v>36</v>
      </c>
      <c r="L2154" s="66">
        <f t="shared" si="530"/>
        <v>125</v>
      </c>
      <c r="M2154" s="42"/>
    </row>
    <row r="2155" spans="2:13" ht="15.75" hidden="1" x14ac:dyDescent="0.2">
      <c r="B2155" s="10">
        <v>46247</v>
      </c>
      <c r="C2155" s="10" t="s">
        <v>106</v>
      </c>
      <c r="D2155" s="10" t="s">
        <v>192</v>
      </c>
      <c r="F2155" s="493">
        <v>46248</v>
      </c>
      <c r="G2155" s="29" t="s">
        <v>16</v>
      </c>
      <c r="H2155" s="29" t="s">
        <v>106</v>
      </c>
      <c r="I2155" s="42">
        <v>0</v>
      </c>
      <c r="J2155" s="42">
        <v>0</v>
      </c>
      <c r="K2155" s="312">
        <v>59</v>
      </c>
      <c r="L2155" s="66">
        <f t="shared" si="530"/>
        <v>59</v>
      </c>
      <c r="M2155" s="42"/>
    </row>
    <row r="2156" spans="2:13" ht="15.75" hidden="1" x14ac:dyDescent="0.2">
      <c r="B2156" s="10">
        <v>46247</v>
      </c>
      <c r="C2156" s="10" t="s">
        <v>106</v>
      </c>
      <c r="D2156" s="10" t="s">
        <v>192</v>
      </c>
      <c r="F2156" s="937" t="s">
        <v>40</v>
      </c>
      <c r="G2156" s="937"/>
      <c r="H2156" s="937"/>
      <c r="I2156" s="8">
        <f>SUM(I2147:I2155)</f>
        <v>246</v>
      </c>
      <c r="J2156" s="8">
        <f>SUM(J2147:J2155)</f>
        <v>76</v>
      </c>
      <c r="K2156" s="8">
        <f>SUM(K2147:K2155)</f>
        <v>115</v>
      </c>
      <c r="L2156" s="8">
        <f>SUM(L2147:L2155)</f>
        <v>437</v>
      </c>
      <c r="M2156" s="316"/>
    </row>
    <row r="2157" spans="2:13" ht="15.75" hidden="1" x14ac:dyDescent="0.2">
      <c r="B2157" s="10">
        <v>46247</v>
      </c>
      <c r="C2157" s="10" t="s">
        <v>105</v>
      </c>
      <c r="D2157" s="10" t="s">
        <v>13</v>
      </c>
      <c r="F2157" s="942">
        <v>46247</v>
      </c>
      <c r="G2157" s="29" t="s">
        <v>16</v>
      </c>
      <c r="H2157" s="29" t="s">
        <v>112</v>
      </c>
      <c r="I2157" s="42">
        <v>2</v>
      </c>
      <c r="J2157" s="42">
        <v>2</v>
      </c>
      <c r="K2157" s="312">
        <v>0</v>
      </c>
      <c r="L2157" s="66">
        <f>SUM(I2157:K2157)</f>
        <v>4</v>
      </c>
      <c r="M2157" s="42"/>
    </row>
    <row r="2158" spans="2:13" ht="15.75" hidden="1" x14ac:dyDescent="0.2">
      <c r="B2158" s="10">
        <v>46247</v>
      </c>
      <c r="C2158" s="10" t="s">
        <v>105</v>
      </c>
      <c r="D2158" s="10" t="s">
        <v>13</v>
      </c>
      <c r="F2158" s="942"/>
      <c r="G2158" s="29" t="s">
        <v>32</v>
      </c>
      <c r="H2158" s="29" t="s">
        <v>105</v>
      </c>
      <c r="I2158" s="42">
        <v>31</v>
      </c>
      <c r="J2158" s="42">
        <v>7</v>
      </c>
      <c r="K2158" s="312">
        <v>0</v>
      </c>
      <c r="L2158" s="66">
        <f t="shared" ref="L2158:L2162" si="531">SUM(I2158:K2158)</f>
        <v>38</v>
      </c>
      <c r="M2158" s="42"/>
    </row>
    <row r="2159" spans="2:13" ht="15.75" hidden="1" x14ac:dyDescent="0.2">
      <c r="B2159" s="10">
        <v>46247</v>
      </c>
      <c r="C2159" s="10" t="s">
        <v>105</v>
      </c>
      <c r="D2159" s="10" t="s">
        <v>13</v>
      </c>
      <c r="F2159" s="942"/>
      <c r="G2159" s="29" t="s">
        <v>25</v>
      </c>
      <c r="H2159" s="29" t="s">
        <v>18</v>
      </c>
      <c r="I2159" s="42">
        <v>54</v>
      </c>
      <c r="J2159" s="42">
        <v>11</v>
      </c>
      <c r="K2159" s="312">
        <v>0</v>
      </c>
      <c r="L2159" s="66">
        <f t="shared" si="531"/>
        <v>65</v>
      </c>
      <c r="M2159" s="42"/>
    </row>
    <row r="2160" spans="2:13" ht="15.75" hidden="1" x14ac:dyDescent="0.2">
      <c r="B2160" s="10">
        <v>46247</v>
      </c>
      <c r="C2160" s="10" t="s">
        <v>105</v>
      </c>
      <c r="D2160" s="10" t="s">
        <v>13</v>
      </c>
      <c r="F2160" s="54">
        <v>46248</v>
      </c>
      <c r="G2160" s="29" t="s">
        <v>16</v>
      </c>
      <c r="H2160" s="29" t="s">
        <v>112</v>
      </c>
      <c r="I2160" s="42">
        <v>95</v>
      </c>
      <c r="J2160" s="42">
        <v>51</v>
      </c>
      <c r="K2160" s="312">
        <v>44</v>
      </c>
      <c r="L2160" s="66">
        <f t="shared" si="531"/>
        <v>190</v>
      </c>
      <c r="M2160" s="42"/>
    </row>
    <row r="2161" spans="2:13" ht="15.75" hidden="1" x14ac:dyDescent="0.2">
      <c r="B2161" s="10">
        <v>46247</v>
      </c>
      <c r="C2161" s="10" t="s">
        <v>105</v>
      </c>
      <c r="D2161" s="10" t="s">
        <v>13</v>
      </c>
      <c r="F2161" s="943">
        <v>46249</v>
      </c>
      <c r="G2161" s="29" t="s">
        <v>180</v>
      </c>
      <c r="H2161" s="29" t="s">
        <v>106</v>
      </c>
      <c r="I2161" s="42">
        <v>0</v>
      </c>
      <c r="J2161" s="42">
        <v>0</v>
      </c>
      <c r="K2161" s="312">
        <v>23</v>
      </c>
      <c r="L2161" s="66">
        <f t="shared" si="531"/>
        <v>23</v>
      </c>
      <c r="M2161" s="42"/>
    </row>
    <row r="2162" spans="2:13" ht="15.75" hidden="1" x14ac:dyDescent="0.2">
      <c r="B2162" s="10">
        <v>46247</v>
      </c>
      <c r="C2162" s="10" t="s">
        <v>105</v>
      </c>
      <c r="D2162" s="10" t="s">
        <v>13</v>
      </c>
      <c r="F2162" s="944"/>
      <c r="G2162" s="29" t="s">
        <v>14</v>
      </c>
      <c r="H2162" s="29" t="s">
        <v>22</v>
      </c>
      <c r="I2162" s="42">
        <v>116</v>
      </c>
      <c r="J2162" s="42">
        <v>24</v>
      </c>
      <c r="K2162" s="312">
        <v>0</v>
      </c>
      <c r="L2162" s="66">
        <f t="shared" si="531"/>
        <v>140</v>
      </c>
      <c r="M2162" s="42"/>
    </row>
    <row r="2163" spans="2:13" ht="15.75" hidden="1" x14ac:dyDescent="0.2">
      <c r="B2163" s="10">
        <v>46247</v>
      </c>
      <c r="C2163" s="10" t="s">
        <v>105</v>
      </c>
      <c r="D2163" s="10" t="s">
        <v>13</v>
      </c>
      <c r="F2163" s="937" t="s">
        <v>40</v>
      </c>
      <c r="G2163" s="937"/>
      <c r="H2163" s="937"/>
      <c r="I2163" s="8">
        <f>SUM(I2157:I2162)</f>
        <v>298</v>
      </c>
      <c r="J2163" s="8">
        <f>SUM(J2157:J2162)</f>
        <v>95</v>
      </c>
      <c r="K2163" s="8">
        <f>SUM(K2157:K2162)</f>
        <v>67</v>
      </c>
      <c r="L2163" s="8">
        <f>SUM(L2157:L2162)</f>
        <v>460</v>
      </c>
      <c r="M2163" s="316"/>
    </row>
    <row r="2164" spans="2:13" ht="15.75" hidden="1" x14ac:dyDescent="0.2">
      <c r="B2164" s="10">
        <v>46248</v>
      </c>
      <c r="C2164" s="10" t="s">
        <v>106</v>
      </c>
      <c r="D2164" s="10" t="s">
        <v>192</v>
      </c>
      <c r="F2164" s="495">
        <v>46248</v>
      </c>
      <c r="G2164" s="29" t="s">
        <v>16</v>
      </c>
      <c r="H2164" s="29" t="s">
        <v>112</v>
      </c>
      <c r="I2164" s="42">
        <v>33</v>
      </c>
      <c r="J2164" s="42">
        <v>35</v>
      </c>
      <c r="K2164" s="312">
        <v>0</v>
      </c>
      <c r="L2164" s="66">
        <f>SUM(I2164:K2164)</f>
        <v>68</v>
      </c>
      <c r="M2164" s="42"/>
    </row>
    <row r="2165" spans="2:13" ht="15.75" hidden="1" x14ac:dyDescent="0.2">
      <c r="B2165" s="10">
        <v>46248</v>
      </c>
      <c r="C2165" s="10" t="s">
        <v>106</v>
      </c>
      <c r="D2165" s="10" t="s">
        <v>192</v>
      </c>
      <c r="F2165" s="943">
        <v>46249</v>
      </c>
      <c r="G2165" s="29" t="s">
        <v>16</v>
      </c>
      <c r="H2165" s="29" t="s">
        <v>106</v>
      </c>
      <c r="I2165" s="42">
        <v>30</v>
      </c>
      <c r="J2165" s="42">
        <v>29</v>
      </c>
      <c r="K2165" s="312">
        <v>18</v>
      </c>
      <c r="L2165" s="66">
        <f t="shared" ref="L2165:L2168" si="532">SUM(I2165:K2165)</f>
        <v>77</v>
      </c>
      <c r="M2165" s="42"/>
    </row>
    <row r="2166" spans="2:13" ht="15.75" hidden="1" x14ac:dyDescent="0.2">
      <c r="B2166" s="10">
        <v>46248</v>
      </c>
      <c r="C2166" s="10" t="s">
        <v>106</v>
      </c>
      <c r="D2166" s="10" t="s">
        <v>192</v>
      </c>
      <c r="F2166" s="944"/>
      <c r="G2166" s="29" t="s">
        <v>180</v>
      </c>
      <c r="H2166" s="29" t="s">
        <v>106</v>
      </c>
      <c r="I2166" s="42">
        <v>44</v>
      </c>
      <c r="J2166" s="42">
        <v>4</v>
      </c>
      <c r="K2166" s="312">
        <v>0</v>
      </c>
      <c r="L2166" s="66">
        <f t="shared" si="532"/>
        <v>48</v>
      </c>
      <c r="M2166" s="42"/>
    </row>
    <row r="2167" spans="2:13" ht="15.75" hidden="1" x14ac:dyDescent="0.2">
      <c r="B2167" s="10">
        <v>46248</v>
      </c>
      <c r="C2167" s="10" t="s">
        <v>106</v>
      </c>
      <c r="D2167" s="10" t="s">
        <v>192</v>
      </c>
      <c r="F2167" s="944"/>
      <c r="G2167" s="29" t="s">
        <v>17</v>
      </c>
      <c r="H2167" s="29" t="s">
        <v>105</v>
      </c>
      <c r="I2167" s="42">
        <v>0</v>
      </c>
      <c r="J2167" s="42">
        <v>0</v>
      </c>
      <c r="K2167" s="312">
        <v>70</v>
      </c>
      <c r="L2167" s="66">
        <f t="shared" si="532"/>
        <v>70</v>
      </c>
      <c r="M2167" s="42"/>
    </row>
    <row r="2168" spans="2:13" ht="15.75" hidden="1" x14ac:dyDescent="0.2">
      <c r="B2168" s="10">
        <v>46248</v>
      </c>
      <c r="C2168" s="10" t="s">
        <v>106</v>
      </c>
      <c r="D2168" s="10" t="s">
        <v>192</v>
      </c>
      <c r="F2168" s="945"/>
      <c r="G2168" s="29" t="s">
        <v>118</v>
      </c>
      <c r="H2168" s="29" t="s">
        <v>105</v>
      </c>
      <c r="I2168" s="42">
        <v>0</v>
      </c>
      <c r="J2168" s="42">
        <v>0</v>
      </c>
      <c r="K2168" s="312">
        <v>131</v>
      </c>
      <c r="L2168" s="66">
        <f t="shared" si="532"/>
        <v>131</v>
      </c>
      <c r="M2168" s="42"/>
    </row>
    <row r="2169" spans="2:13" ht="15.75" hidden="1" x14ac:dyDescent="0.2">
      <c r="B2169" s="10">
        <v>46248</v>
      </c>
      <c r="C2169" s="10" t="s">
        <v>106</v>
      </c>
      <c r="D2169" s="10" t="s">
        <v>192</v>
      </c>
      <c r="F2169" s="937" t="s">
        <v>40</v>
      </c>
      <c r="G2169" s="937"/>
      <c r="H2169" s="937"/>
      <c r="I2169" s="8">
        <f>SUM(I2164:I2168)</f>
        <v>107</v>
      </c>
      <c r="J2169" s="8">
        <f>SUM(J2164:J2168)</f>
        <v>68</v>
      </c>
      <c r="K2169" s="8">
        <f>SUM(K2164:K2168)</f>
        <v>219</v>
      </c>
      <c r="L2169" s="8">
        <f>SUM(L2164:L2168)</f>
        <v>394</v>
      </c>
      <c r="M2169" s="316"/>
    </row>
    <row r="2170" spans="2:13" ht="15.75" hidden="1" x14ac:dyDescent="0.2">
      <c r="B2170" s="10">
        <v>46248</v>
      </c>
      <c r="C2170" s="10" t="s">
        <v>105</v>
      </c>
      <c r="D2170" s="10" t="s">
        <v>13</v>
      </c>
      <c r="F2170" s="496">
        <v>46248</v>
      </c>
      <c r="G2170" s="29" t="s">
        <v>16</v>
      </c>
      <c r="H2170" s="29" t="s">
        <v>112</v>
      </c>
      <c r="I2170" s="42">
        <v>14</v>
      </c>
      <c r="J2170" s="42">
        <v>16</v>
      </c>
      <c r="K2170" s="312">
        <v>0</v>
      </c>
      <c r="L2170" s="66">
        <f>SUM(I2170:K2170)</f>
        <v>30</v>
      </c>
      <c r="M2170" s="42"/>
    </row>
    <row r="2171" spans="2:13" ht="15.75" hidden="1" x14ac:dyDescent="0.2">
      <c r="B2171" s="10">
        <v>46248</v>
      </c>
      <c r="C2171" s="10" t="s">
        <v>105</v>
      </c>
      <c r="D2171" s="10" t="s">
        <v>13</v>
      </c>
      <c r="F2171" s="934">
        <v>46249</v>
      </c>
      <c r="G2171" s="29" t="s">
        <v>16</v>
      </c>
      <c r="H2171" s="29" t="s">
        <v>112</v>
      </c>
      <c r="I2171" s="42">
        <v>73</v>
      </c>
      <c r="J2171" s="42">
        <v>58</v>
      </c>
      <c r="K2171" s="312">
        <v>20</v>
      </c>
      <c r="L2171" s="66">
        <f t="shared" ref="L2171:L2172" si="533">SUM(I2171:K2171)</f>
        <v>151</v>
      </c>
      <c r="M2171" s="42"/>
    </row>
    <row r="2172" spans="2:13" ht="15.75" hidden="1" x14ac:dyDescent="0.2">
      <c r="B2172" s="10">
        <v>46248</v>
      </c>
      <c r="C2172" s="10" t="s">
        <v>105</v>
      </c>
      <c r="D2172" s="10" t="s">
        <v>13</v>
      </c>
      <c r="F2172" s="935"/>
      <c r="G2172" s="29" t="s">
        <v>180</v>
      </c>
      <c r="H2172" s="29" t="s">
        <v>106</v>
      </c>
      <c r="I2172" s="42">
        <v>0</v>
      </c>
      <c r="J2172" s="42">
        <v>0</v>
      </c>
      <c r="K2172" s="312">
        <v>4</v>
      </c>
      <c r="L2172" s="66">
        <f t="shared" si="533"/>
        <v>4</v>
      </c>
      <c r="M2172" s="42"/>
    </row>
    <row r="2173" spans="2:13" ht="15.75" hidden="1" x14ac:dyDescent="0.2">
      <c r="B2173" s="10">
        <v>46248</v>
      </c>
      <c r="C2173" s="10" t="s">
        <v>105</v>
      </c>
      <c r="D2173" s="10" t="s">
        <v>13</v>
      </c>
      <c r="F2173" s="949">
        <v>46250</v>
      </c>
      <c r="G2173" s="29" t="s">
        <v>16</v>
      </c>
      <c r="H2173" s="29" t="s">
        <v>112</v>
      </c>
      <c r="I2173" s="42">
        <v>0</v>
      </c>
      <c r="J2173" s="42">
        <v>0</v>
      </c>
      <c r="K2173" s="312">
        <v>38</v>
      </c>
      <c r="L2173" s="66">
        <f t="shared" ref="L2173:L2175" si="534">SUM(I2173:K2173)</f>
        <v>38</v>
      </c>
      <c r="M2173" s="42"/>
    </row>
    <row r="2174" spans="2:13" ht="15.75" hidden="1" x14ac:dyDescent="0.2">
      <c r="B2174" s="10">
        <v>46248</v>
      </c>
      <c r="C2174" s="10" t="s">
        <v>105</v>
      </c>
      <c r="D2174" s="10" t="s">
        <v>13</v>
      </c>
      <c r="F2174" s="950"/>
      <c r="G2174" s="29" t="s">
        <v>180</v>
      </c>
      <c r="H2174" s="29" t="s">
        <v>106</v>
      </c>
      <c r="I2174" s="42">
        <v>0</v>
      </c>
      <c r="J2174" s="42">
        <v>0</v>
      </c>
      <c r="K2174" s="312">
        <v>48</v>
      </c>
      <c r="L2174" s="66">
        <f t="shared" si="534"/>
        <v>48</v>
      </c>
      <c r="M2174" s="42"/>
    </row>
    <row r="2175" spans="2:13" ht="15.75" hidden="1" x14ac:dyDescent="0.2">
      <c r="B2175" s="10">
        <v>46248</v>
      </c>
      <c r="C2175" s="10" t="s">
        <v>105</v>
      </c>
      <c r="D2175" s="10" t="s">
        <v>13</v>
      </c>
      <c r="F2175" s="950"/>
      <c r="G2175" s="29" t="s">
        <v>17</v>
      </c>
      <c r="H2175" s="29" t="s">
        <v>106</v>
      </c>
      <c r="I2175" s="42">
        <v>0</v>
      </c>
      <c r="J2175" s="42">
        <v>0</v>
      </c>
      <c r="K2175" s="312">
        <v>81</v>
      </c>
      <c r="L2175" s="66">
        <f t="shared" si="534"/>
        <v>81</v>
      </c>
      <c r="M2175" s="42"/>
    </row>
    <row r="2176" spans="2:13" ht="15.75" hidden="1" x14ac:dyDescent="0.2">
      <c r="B2176" s="10">
        <v>46248</v>
      </c>
      <c r="C2176" s="10" t="s">
        <v>105</v>
      </c>
      <c r="D2176" s="10" t="s">
        <v>13</v>
      </c>
      <c r="F2176" s="937" t="s">
        <v>40</v>
      </c>
      <c r="G2176" s="937"/>
      <c r="H2176" s="937"/>
      <c r="I2176" s="8">
        <f>SUM(I2170:I2175)</f>
        <v>87</v>
      </c>
      <c r="J2176" s="8">
        <f t="shared" ref="J2176:L2176" si="535">SUM(J2170:J2175)</f>
        <v>74</v>
      </c>
      <c r="K2176" s="8">
        <f t="shared" si="535"/>
        <v>191</v>
      </c>
      <c r="L2176" s="8">
        <f t="shared" si="535"/>
        <v>352</v>
      </c>
      <c r="M2176" s="316"/>
    </row>
    <row r="2177" spans="2:13" ht="15.75" hidden="1" x14ac:dyDescent="0.2">
      <c r="B2177" s="10">
        <v>46249</v>
      </c>
      <c r="C2177" s="10" t="s">
        <v>106</v>
      </c>
      <c r="D2177" s="10" t="s">
        <v>192</v>
      </c>
      <c r="F2177" s="942">
        <v>46249</v>
      </c>
      <c r="G2177" s="29" t="s">
        <v>16</v>
      </c>
      <c r="H2177" s="29" t="s">
        <v>112</v>
      </c>
      <c r="I2177" s="42">
        <v>22</v>
      </c>
      <c r="J2177" s="42">
        <v>28</v>
      </c>
      <c r="K2177" s="312">
        <v>0</v>
      </c>
      <c r="L2177" s="66">
        <f>SUM(I2177:K2177)</f>
        <v>50</v>
      </c>
      <c r="M2177" s="42"/>
    </row>
    <row r="2178" spans="2:13" ht="15.75" hidden="1" x14ac:dyDescent="0.2">
      <c r="B2178" s="10">
        <v>46249</v>
      </c>
      <c r="C2178" s="10" t="s">
        <v>106</v>
      </c>
      <c r="D2178" s="10" t="s">
        <v>192</v>
      </c>
      <c r="F2178" s="942"/>
      <c r="G2178" s="29" t="s">
        <v>14</v>
      </c>
      <c r="H2178" s="29" t="s">
        <v>106</v>
      </c>
      <c r="I2178" s="42">
        <v>37</v>
      </c>
      <c r="J2178" s="42">
        <v>5</v>
      </c>
      <c r="K2178" s="312">
        <v>0</v>
      </c>
      <c r="L2178" s="66">
        <f t="shared" ref="L2178:L2186" si="536">SUM(I2178:K2178)</f>
        <v>42</v>
      </c>
      <c r="M2178" s="42"/>
    </row>
    <row r="2179" spans="2:13" ht="15.75" hidden="1" x14ac:dyDescent="0.2">
      <c r="B2179" s="10">
        <v>46249</v>
      </c>
      <c r="C2179" s="10" t="s">
        <v>106</v>
      </c>
      <c r="D2179" s="10" t="s">
        <v>192</v>
      </c>
      <c r="F2179" s="942"/>
      <c r="G2179" s="29" t="s">
        <v>180</v>
      </c>
      <c r="H2179" s="29" t="s">
        <v>106</v>
      </c>
      <c r="I2179" s="42">
        <v>15</v>
      </c>
      <c r="J2179" s="42">
        <v>1</v>
      </c>
      <c r="K2179" s="312">
        <v>0</v>
      </c>
      <c r="L2179" s="66">
        <f t="shared" si="536"/>
        <v>16</v>
      </c>
      <c r="M2179" s="42"/>
    </row>
    <row r="2180" spans="2:13" ht="15.75" hidden="1" x14ac:dyDescent="0.2">
      <c r="B2180" s="10">
        <v>46249</v>
      </c>
      <c r="C2180" s="10" t="s">
        <v>106</v>
      </c>
      <c r="D2180" s="10" t="s">
        <v>192</v>
      </c>
      <c r="F2180" s="942"/>
      <c r="G2180" s="29" t="s">
        <v>118</v>
      </c>
      <c r="H2180" s="29" t="s">
        <v>105</v>
      </c>
      <c r="I2180" s="42">
        <v>98</v>
      </c>
      <c r="J2180" s="42">
        <v>28</v>
      </c>
      <c r="K2180" s="312">
        <v>0</v>
      </c>
      <c r="L2180" s="66">
        <f t="shared" si="536"/>
        <v>126</v>
      </c>
      <c r="M2180" s="42"/>
    </row>
    <row r="2181" spans="2:13" ht="15.75" hidden="1" x14ac:dyDescent="0.2">
      <c r="B2181" s="10">
        <v>46249</v>
      </c>
      <c r="C2181" s="10" t="s">
        <v>106</v>
      </c>
      <c r="D2181" s="10" t="s">
        <v>192</v>
      </c>
      <c r="F2181" s="942"/>
      <c r="G2181" s="29" t="s">
        <v>17</v>
      </c>
      <c r="H2181" s="29" t="s">
        <v>105</v>
      </c>
      <c r="I2181" s="42">
        <v>1</v>
      </c>
      <c r="J2181" s="42">
        <v>0</v>
      </c>
      <c r="K2181" s="312">
        <v>70</v>
      </c>
      <c r="L2181" s="66">
        <f t="shared" si="536"/>
        <v>71</v>
      </c>
      <c r="M2181" s="42"/>
    </row>
    <row r="2182" spans="2:13" ht="15.75" hidden="1" x14ac:dyDescent="0.2">
      <c r="B2182" s="10">
        <v>46249</v>
      </c>
      <c r="C2182" s="10" t="s">
        <v>106</v>
      </c>
      <c r="D2182" s="10" t="s">
        <v>192</v>
      </c>
      <c r="F2182" s="948">
        <v>46250</v>
      </c>
      <c r="G2182" s="29" t="s">
        <v>16</v>
      </c>
      <c r="H2182" s="29" t="s">
        <v>112</v>
      </c>
      <c r="I2182" s="42">
        <v>63</v>
      </c>
      <c r="J2182" s="42">
        <v>45</v>
      </c>
      <c r="K2182" s="312">
        <v>101</v>
      </c>
      <c r="L2182" s="66">
        <f t="shared" si="536"/>
        <v>209</v>
      </c>
      <c r="M2182" s="42"/>
    </row>
    <row r="2183" spans="2:13" ht="15.75" hidden="1" x14ac:dyDescent="0.2">
      <c r="B2183" s="10">
        <v>46249</v>
      </c>
      <c r="C2183" s="10" t="s">
        <v>106</v>
      </c>
      <c r="D2183" s="10" t="s">
        <v>192</v>
      </c>
      <c r="F2183" s="948"/>
      <c r="G2183" s="29" t="s">
        <v>180</v>
      </c>
      <c r="H2183" s="29" t="s">
        <v>106</v>
      </c>
      <c r="I2183" s="42">
        <v>48</v>
      </c>
      <c r="J2183" s="42">
        <v>0</v>
      </c>
      <c r="K2183" s="312">
        <v>0</v>
      </c>
      <c r="L2183" s="66">
        <f t="shared" si="536"/>
        <v>48</v>
      </c>
      <c r="M2183" s="42"/>
    </row>
    <row r="2184" spans="2:13" ht="15.75" hidden="1" x14ac:dyDescent="0.2">
      <c r="B2184" s="10">
        <v>46249</v>
      </c>
      <c r="C2184" s="10" t="s">
        <v>106</v>
      </c>
      <c r="D2184" s="10" t="s">
        <v>192</v>
      </c>
      <c r="F2184" s="948"/>
      <c r="G2184" s="29" t="s">
        <v>17</v>
      </c>
      <c r="H2184" s="29" t="s">
        <v>106</v>
      </c>
      <c r="I2184" s="42">
        <v>0</v>
      </c>
      <c r="J2184" s="42">
        <v>0</v>
      </c>
      <c r="K2184" s="312">
        <v>84</v>
      </c>
      <c r="L2184" s="66">
        <f t="shared" si="536"/>
        <v>84</v>
      </c>
      <c r="M2184" s="42"/>
    </row>
    <row r="2185" spans="2:13" ht="15.75" hidden="1" x14ac:dyDescent="0.2">
      <c r="B2185" s="10">
        <v>46249</v>
      </c>
      <c r="C2185" s="10" t="s">
        <v>106</v>
      </c>
      <c r="D2185" s="10" t="s">
        <v>192</v>
      </c>
      <c r="F2185" s="948"/>
      <c r="G2185" s="29" t="s">
        <v>14</v>
      </c>
      <c r="H2185" s="29" t="s">
        <v>106</v>
      </c>
      <c r="I2185" s="42">
        <v>0</v>
      </c>
      <c r="J2185" s="42">
        <v>0</v>
      </c>
      <c r="K2185" s="312">
        <v>14</v>
      </c>
      <c r="L2185" s="66">
        <f t="shared" si="536"/>
        <v>14</v>
      </c>
      <c r="M2185" s="42"/>
    </row>
    <row r="2186" spans="2:13" ht="15.75" hidden="1" x14ac:dyDescent="0.2">
      <c r="B2186" s="10">
        <v>46249</v>
      </c>
      <c r="C2186" s="10" t="s">
        <v>106</v>
      </c>
      <c r="D2186" s="10" t="s">
        <v>192</v>
      </c>
      <c r="F2186" s="948"/>
      <c r="G2186" s="29" t="s">
        <v>25</v>
      </c>
      <c r="H2186" s="29" t="s">
        <v>105</v>
      </c>
      <c r="I2186" s="42">
        <v>0</v>
      </c>
      <c r="J2186" s="42">
        <v>0</v>
      </c>
      <c r="K2186" s="312">
        <v>16</v>
      </c>
      <c r="L2186" s="66">
        <f t="shared" si="536"/>
        <v>16</v>
      </c>
      <c r="M2186" s="42"/>
    </row>
    <row r="2187" spans="2:13" ht="15.75" hidden="1" x14ac:dyDescent="0.2">
      <c r="B2187" s="10">
        <v>46249</v>
      </c>
      <c r="C2187" s="10" t="s">
        <v>106</v>
      </c>
      <c r="D2187" s="10" t="s">
        <v>192</v>
      </c>
      <c r="F2187" s="937" t="s">
        <v>40</v>
      </c>
      <c r="G2187" s="937"/>
      <c r="H2187" s="937"/>
      <c r="I2187" s="8">
        <f>SUM(I2177:I2186)</f>
        <v>284</v>
      </c>
      <c r="J2187" s="8">
        <f>SUM(J2177:J2186)</f>
        <v>107</v>
      </c>
      <c r="K2187" s="8">
        <f>SUM(K2177:K2186)</f>
        <v>285</v>
      </c>
      <c r="L2187" s="8">
        <f>SUM(L2177:L2186)</f>
        <v>676</v>
      </c>
      <c r="M2187" s="316"/>
    </row>
    <row r="2188" spans="2:13" ht="15.75" hidden="1" x14ac:dyDescent="0.2">
      <c r="B2188" s="10">
        <v>46249</v>
      </c>
      <c r="C2188" s="10" t="s">
        <v>105</v>
      </c>
      <c r="D2188" s="10" t="s">
        <v>13</v>
      </c>
      <c r="F2188" s="986">
        <v>46249</v>
      </c>
      <c r="G2188" s="60" t="s">
        <v>16</v>
      </c>
      <c r="H2188" s="60" t="s">
        <v>112</v>
      </c>
      <c r="I2188" s="62">
        <v>20</v>
      </c>
      <c r="J2188" s="62">
        <v>9</v>
      </c>
      <c r="K2188" s="312">
        <v>0</v>
      </c>
      <c r="L2188" s="497">
        <f>SUM(I2188:K2188)</f>
        <v>29</v>
      </c>
      <c r="M2188" s="62"/>
    </row>
    <row r="2189" spans="2:13" ht="15.75" hidden="1" x14ac:dyDescent="0.2">
      <c r="B2189" s="10">
        <v>46249</v>
      </c>
      <c r="C2189" s="10" t="s">
        <v>105</v>
      </c>
      <c r="D2189" s="10" t="s">
        <v>13</v>
      </c>
      <c r="F2189" s="986"/>
      <c r="G2189" s="60" t="s">
        <v>32</v>
      </c>
      <c r="H2189" s="60" t="s">
        <v>105</v>
      </c>
      <c r="I2189" s="62">
        <v>37</v>
      </c>
      <c r="J2189" s="62">
        <v>9</v>
      </c>
      <c r="K2189" s="312">
        <v>0</v>
      </c>
      <c r="L2189" s="497">
        <f t="shared" ref="L2189:L2197" si="537">SUM(I2189:K2189)</f>
        <v>46</v>
      </c>
      <c r="M2189" s="62"/>
    </row>
    <row r="2190" spans="2:13" ht="15.75" hidden="1" x14ac:dyDescent="0.2">
      <c r="B2190" s="10">
        <v>46249</v>
      </c>
      <c r="C2190" s="10" t="s">
        <v>105</v>
      </c>
      <c r="D2190" s="10" t="s">
        <v>13</v>
      </c>
      <c r="F2190" s="986"/>
      <c r="G2190" s="60" t="s">
        <v>118</v>
      </c>
      <c r="H2190" s="60" t="s">
        <v>105</v>
      </c>
      <c r="I2190" s="62">
        <v>18</v>
      </c>
      <c r="J2190" s="62">
        <v>5</v>
      </c>
      <c r="K2190" s="312">
        <v>0</v>
      </c>
      <c r="L2190" s="497">
        <f t="shared" si="537"/>
        <v>23</v>
      </c>
      <c r="M2190" s="62"/>
    </row>
    <row r="2191" spans="2:13" ht="15.75" hidden="1" x14ac:dyDescent="0.2">
      <c r="B2191" s="10">
        <v>46249</v>
      </c>
      <c r="C2191" s="10" t="s">
        <v>105</v>
      </c>
      <c r="D2191" s="10" t="s">
        <v>13</v>
      </c>
      <c r="F2191" s="986"/>
      <c r="G2191" s="60" t="s">
        <v>17</v>
      </c>
      <c r="H2191" s="60" t="s">
        <v>105</v>
      </c>
      <c r="I2191" s="62">
        <v>68</v>
      </c>
      <c r="J2191" s="62">
        <v>11</v>
      </c>
      <c r="K2191" s="312">
        <v>0</v>
      </c>
      <c r="L2191" s="497">
        <f t="shared" si="537"/>
        <v>79</v>
      </c>
      <c r="M2191" s="62"/>
    </row>
    <row r="2192" spans="2:13" ht="15.75" hidden="1" x14ac:dyDescent="0.2">
      <c r="B2192" s="10">
        <v>46249</v>
      </c>
      <c r="C2192" s="10" t="s">
        <v>105</v>
      </c>
      <c r="D2192" s="10" t="s">
        <v>13</v>
      </c>
      <c r="F2192" s="987">
        <v>46250</v>
      </c>
      <c r="G2192" s="60" t="s">
        <v>16</v>
      </c>
      <c r="H2192" s="60" t="s">
        <v>112</v>
      </c>
      <c r="I2192" s="62">
        <v>55</v>
      </c>
      <c r="J2192" s="62">
        <v>43</v>
      </c>
      <c r="K2192" s="312">
        <v>0</v>
      </c>
      <c r="L2192" s="497">
        <f t="shared" si="537"/>
        <v>98</v>
      </c>
      <c r="M2192" s="62"/>
    </row>
    <row r="2193" spans="2:13" ht="15.75" hidden="1" x14ac:dyDescent="0.2">
      <c r="B2193" s="10">
        <v>46249</v>
      </c>
      <c r="C2193" s="10" t="s">
        <v>105</v>
      </c>
      <c r="D2193" s="10" t="s">
        <v>13</v>
      </c>
      <c r="F2193" s="988"/>
      <c r="G2193" s="60" t="s">
        <v>194</v>
      </c>
      <c r="H2193" s="60" t="s">
        <v>105</v>
      </c>
      <c r="I2193" s="62">
        <v>47</v>
      </c>
      <c r="J2193" s="62">
        <v>0</v>
      </c>
      <c r="K2193" s="312">
        <v>0</v>
      </c>
      <c r="L2193" s="497">
        <f t="shared" si="537"/>
        <v>47</v>
      </c>
      <c r="M2193" s="62"/>
    </row>
    <row r="2194" spans="2:13" ht="15.75" hidden="1" x14ac:dyDescent="0.2">
      <c r="B2194" s="10">
        <v>46249</v>
      </c>
      <c r="C2194" s="10" t="s">
        <v>105</v>
      </c>
      <c r="D2194" s="10" t="s">
        <v>13</v>
      </c>
      <c r="F2194" s="988"/>
      <c r="G2194" s="60" t="s">
        <v>17</v>
      </c>
      <c r="H2194" s="60" t="s">
        <v>106</v>
      </c>
      <c r="I2194" s="62">
        <v>129</v>
      </c>
      <c r="J2194" s="62">
        <v>24</v>
      </c>
      <c r="K2194" s="312">
        <v>0</v>
      </c>
      <c r="L2194" s="497">
        <f t="shared" si="537"/>
        <v>153</v>
      </c>
      <c r="M2194" s="62"/>
    </row>
    <row r="2195" spans="2:13" ht="15.75" hidden="1" x14ac:dyDescent="0.2">
      <c r="B2195" s="10">
        <v>46249</v>
      </c>
      <c r="C2195" s="10" t="s">
        <v>105</v>
      </c>
      <c r="D2195" s="10" t="s">
        <v>13</v>
      </c>
      <c r="F2195" s="988"/>
      <c r="G2195" s="60" t="s">
        <v>25</v>
      </c>
      <c r="H2195" s="60" t="s">
        <v>105</v>
      </c>
      <c r="I2195" s="62">
        <v>9</v>
      </c>
      <c r="J2195" s="62">
        <v>0</v>
      </c>
      <c r="K2195" s="312">
        <v>86</v>
      </c>
      <c r="L2195" s="497">
        <f t="shared" si="537"/>
        <v>95</v>
      </c>
      <c r="M2195" s="62"/>
    </row>
    <row r="2196" spans="2:13" ht="15.75" hidden="1" x14ac:dyDescent="0.2">
      <c r="B2196" s="10">
        <v>46249</v>
      </c>
      <c r="C2196" s="10" t="s">
        <v>105</v>
      </c>
      <c r="D2196" s="10" t="s">
        <v>13</v>
      </c>
      <c r="F2196" s="989"/>
      <c r="G2196" s="60" t="s">
        <v>14</v>
      </c>
      <c r="H2196" s="60" t="s">
        <v>106</v>
      </c>
      <c r="I2196" s="62">
        <v>15</v>
      </c>
      <c r="J2196" s="62">
        <v>3</v>
      </c>
      <c r="K2196" s="312">
        <v>0</v>
      </c>
      <c r="L2196" s="497">
        <f t="shared" ref="L2196" si="538">SUM(I2196:K2196)</f>
        <v>18</v>
      </c>
      <c r="M2196" s="62"/>
    </row>
    <row r="2197" spans="2:13" ht="15.75" hidden="1" x14ac:dyDescent="0.2">
      <c r="B2197" s="10">
        <v>46249</v>
      </c>
      <c r="C2197" s="10" t="s">
        <v>105</v>
      </c>
      <c r="D2197" s="10" t="s">
        <v>13</v>
      </c>
      <c r="F2197" s="498">
        <v>46251</v>
      </c>
      <c r="G2197" s="60" t="s">
        <v>180</v>
      </c>
      <c r="H2197" s="60" t="s">
        <v>106</v>
      </c>
      <c r="I2197" s="62">
        <v>0</v>
      </c>
      <c r="J2197" s="62">
        <v>0</v>
      </c>
      <c r="K2197" s="312">
        <v>12</v>
      </c>
      <c r="L2197" s="497">
        <f t="shared" si="537"/>
        <v>12</v>
      </c>
      <c r="M2197" s="62"/>
    </row>
    <row r="2198" spans="2:13" ht="15.75" hidden="1" x14ac:dyDescent="0.2">
      <c r="B2198" s="10">
        <v>46249</v>
      </c>
      <c r="C2198" s="10" t="s">
        <v>105</v>
      </c>
      <c r="D2198" s="10" t="s">
        <v>13</v>
      </c>
      <c r="F2198" s="890" t="s">
        <v>40</v>
      </c>
      <c r="G2198" s="890"/>
      <c r="H2198" s="890"/>
      <c r="I2198" s="99">
        <f>SUM(I2188:I2197)</f>
        <v>398</v>
      </c>
      <c r="J2198" s="99">
        <f t="shared" ref="J2198:L2198" si="539">SUM(J2188:J2197)</f>
        <v>104</v>
      </c>
      <c r="K2198" s="99">
        <f t="shared" si="539"/>
        <v>98</v>
      </c>
      <c r="L2198" s="99">
        <f t="shared" si="539"/>
        <v>600</v>
      </c>
      <c r="M2198" s="499"/>
    </row>
    <row r="2199" spans="2:13" ht="15.75" hidden="1" x14ac:dyDescent="0.2">
      <c r="B2199" s="10">
        <v>46250</v>
      </c>
      <c r="C2199" s="10" t="s">
        <v>106</v>
      </c>
      <c r="D2199" s="10" t="s">
        <v>192</v>
      </c>
      <c r="F2199" s="939">
        <v>46250</v>
      </c>
      <c r="G2199" s="29" t="s">
        <v>16</v>
      </c>
      <c r="H2199" s="29" t="s">
        <v>112</v>
      </c>
      <c r="I2199" s="42">
        <v>24</v>
      </c>
      <c r="J2199" s="42">
        <v>23</v>
      </c>
      <c r="K2199" s="312">
        <v>0</v>
      </c>
      <c r="L2199" s="66">
        <f>SUM(I2199:K2199)</f>
        <v>47</v>
      </c>
      <c r="M2199" s="42"/>
    </row>
    <row r="2200" spans="2:13" ht="15.75" hidden="1" x14ac:dyDescent="0.2">
      <c r="B2200" s="10">
        <v>46250</v>
      </c>
      <c r="C2200" s="10" t="s">
        <v>106</v>
      </c>
      <c r="D2200" s="10" t="s">
        <v>192</v>
      </c>
      <c r="F2200" s="940"/>
      <c r="G2200" s="29" t="s">
        <v>17</v>
      </c>
      <c r="H2200" s="29" t="s">
        <v>106</v>
      </c>
      <c r="I2200" s="42">
        <v>21</v>
      </c>
      <c r="J2200" s="42">
        <v>6</v>
      </c>
      <c r="K2200" s="312">
        <v>0</v>
      </c>
      <c r="L2200" s="66">
        <f t="shared" ref="L2200:L2204" si="540">SUM(I2200:K2200)</f>
        <v>27</v>
      </c>
      <c r="M2200" s="42"/>
    </row>
    <row r="2201" spans="2:13" ht="15.75" hidden="1" x14ac:dyDescent="0.2">
      <c r="B2201" s="10">
        <v>46250</v>
      </c>
      <c r="C2201" s="10" t="s">
        <v>106</v>
      </c>
      <c r="D2201" s="10" t="s">
        <v>192</v>
      </c>
      <c r="F2201" s="941"/>
      <c r="G2201" s="29" t="s">
        <v>25</v>
      </c>
      <c r="H2201" s="29" t="s">
        <v>106</v>
      </c>
      <c r="I2201" s="42">
        <v>109</v>
      </c>
      <c r="J2201" s="42">
        <v>38</v>
      </c>
      <c r="K2201" s="312">
        <v>0</v>
      </c>
      <c r="L2201" s="66">
        <f t="shared" si="540"/>
        <v>147</v>
      </c>
      <c r="M2201" s="42"/>
    </row>
    <row r="2202" spans="2:13" ht="15.75" hidden="1" x14ac:dyDescent="0.2">
      <c r="B2202" s="10">
        <v>46250</v>
      </c>
      <c r="C2202" s="10" t="s">
        <v>106</v>
      </c>
      <c r="D2202" s="10" t="s">
        <v>192</v>
      </c>
      <c r="F2202" s="943">
        <v>46251</v>
      </c>
      <c r="G2202" s="29" t="s">
        <v>16</v>
      </c>
      <c r="H2202" s="29" t="s">
        <v>105</v>
      </c>
      <c r="I2202" s="42">
        <v>0</v>
      </c>
      <c r="J2202" s="42">
        <v>0</v>
      </c>
      <c r="K2202" s="312">
        <v>14</v>
      </c>
      <c r="L2202" s="66">
        <f t="shared" si="540"/>
        <v>14</v>
      </c>
      <c r="M2202" s="42"/>
    </row>
    <row r="2203" spans="2:13" ht="15.75" hidden="1" x14ac:dyDescent="0.2">
      <c r="B2203" s="10">
        <v>46250</v>
      </c>
      <c r="C2203" s="10" t="s">
        <v>106</v>
      </c>
      <c r="D2203" s="10" t="s">
        <v>192</v>
      </c>
      <c r="F2203" s="944"/>
      <c r="G2203" s="29" t="s">
        <v>180</v>
      </c>
      <c r="H2203" s="29" t="s">
        <v>106</v>
      </c>
      <c r="I2203" s="42">
        <v>0</v>
      </c>
      <c r="J2203" s="42">
        <v>0</v>
      </c>
      <c r="K2203" s="312">
        <v>71</v>
      </c>
      <c r="L2203" s="66">
        <f t="shared" si="540"/>
        <v>71</v>
      </c>
      <c r="M2203" s="42"/>
    </row>
    <row r="2204" spans="2:13" ht="15.75" hidden="1" x14ac:dyDescent="0.2">
      <c r="B2204" s="10">
        <v>46250</v>
      </c>
      <c r="C2204" s="10" t="s">
        <v>106</v>
      </c>
      <c r="D2204" s="10" t="s">
        <v>192</v>
      </c>
      <c r="F2204" s="945"/>
      <c r="G2204" s="29" t="s">
        <v>14</v>
      </c>
      <c r="H2204" s="29" t="s">
        <v>112</v>
      </c>
      <c r="I2204" s="42">
        <v>10</v>
      </c>
      <c r="J2204" s="42">
        <v>0</v>
      </c>
      <c r="K2204" s="312">
        <v>147</v>
      </c>
      <c r="L2204" s="66">
        <f t="shared" si="540"/>
        <v>157</v>
      </c>
      <c r="M2204" s="42"/>
    </row>
    <row r="2205" spans="2:13" ht="15.75" hidden="1" x14ac:dyDescent="0.2">
      <c r="B2205" s="10">
        <v>46250</v>
      </c>
      <c r="C2205" s="10" t="s">
        <v>106</v>
      </c>
      <c r="D2205" s="10" t="s">
        <v>192</v>
      </c>
      <c r="F2205" s="937" t="s">
        <v>40</v>
      </c>
      <c r="G2205" s="937"/>
      <c r="H2205" s="937"/>
      <c r="I2205" s="8">
        <f>SUM(I2199:I2204)</f>
        <v>164</v>
      </c>
      <c r="J2205" s="8">
        <f>SUM(J2199:J2204)</f>
        <v>67</v>
      </c>
      <c r="K2205" s="8">
        <f>SUM(K2199:K2204)</f>
        <v>232</v>
      </c>
      <c r="L2205" s="8">
        <f>SUM(L2199:L2204)</f>
        <v>463</v>
      </c>
      <c r="M2205" s="316"/>
    </row>
    <row r="2206" spans="2:13" ht="15.75" hidden="1" x14ac:dyDescent="0.2">
      <c r="B2206" s="10">
        <v>46250</v>
      </c>
      <c r="C2206" s="10" t="s">
        <v>105</v>
      </c>
      <c r="D2206" s="10" t="s">
        <v>13</v>
      </c>
      <c r="F2206" s="939">
        <v>46250</v>
      </c>
      <c r="G2206" s="29" t="s">
        <v>16</v>
      </c>
      <c r="H2206" s="29" t="s">
        <v>112</v>
      </c>
      <c r="I2206" s="42">
        <v>15</v>
      </c>
      <c r="J2206" s="42">
        <v>15</v>
      </c>
      <c r="K2206" s="312">
        <v>0</v>
      </c>
      <c r="L2206" s="66">
        <f>SUM(I2206:K2206)</f>
        <v>30</v>
      </c>
      <c r="M2206" s="42"/>
    </row>
    <row r="2207" spans="2:13" ht="15.75" hidden="1" x14ac:dyDescent="0.2">
      <c r="B2207" s="10">
        <v>46250</v>
      </c>
      <c r="C2207" s="10" t="s">
        <v>105</v>
      </c>
      <c r="D2207" s="10" t="s">
        <v>13</v>
      </c>
      <c r="F2207" s="940"/>
      <c r="G2207" s="29" t="s">
        <v>17</v>
      </c>
      <c r="H2207" s="29" t="s">
        <v>105</v>
      </c>
      <c r="I2207" s="42">
        <v>8</v>
      </c>
      <c r="J2207" s="42">
        <v>3</v>
      </c>
      <c r="K2207" s="312">
        <v>0</v>
      </c>
      <c r="L2207" s="66">
        <f>SUM(I2207:K2207)</f>
        <v>11</v>
      </c>
      <c r="M2207" s="42"/>
    </row>
    <row r="2208" spans="2:13" ht="15.75" hidden="1" x14ac:dyDescent="0.2">
      <c r="B2208" s="10">
        <v>46250</v>
      </c>
      <c r="C2208" s="10" t="s">
        <v>105</v>
      </c>
      <c r="D2208" s="10" t="s">
        <v>13</v>
      </c>
      <c r="F2208" s="941"/>
      <c r="G2208" s="29" t="s">
        <v>25</v>
      </c>
      <c r="H2208" s="29" t="s">
        <v>105</v>
      </c>
      <c r="I2208" s="42">
        <v>23</v>
      </c>
      <c r="J2208" s="42">
        <v>8</v>
      </c>
      <c r="K2208" s="312">
        <v>0</v>
      </c>
      <c r="L2208" s="66">
        <f t="shared" ref="L2208:L2212" si="541">SUM(I2208:K2208)</f>
        <v>31</v>
      </c>
      <c r="M2208" s="42"/>
    </row>
    <row r="2209" spans="2:13" ht="15.75" hidden="1" x14ac:dyDescent="0.2">
      <c r="B2209" s="10">
        <v>46250</v>
      </c>
      <c r="C2209" s="10" t="s">
        <v>105</v>
      </c>
      <c r="D2209" s="10" t="s">
        <v>13</v>
      </c>
      <c r="F2209" s="949">
        <v>46251</v>
      </c>
      <c r="G2209" s="29" t="s">
        <v>16</v>
      </c>
      <c r="H2209" s="29" t="s">
        <v>112</v>
      </c>
      <c r="I2209" s="42">
        <v>75</v>
      </c>
      <c r="J2209" s="42">
        <v>45</v>
      </c>
      <c r="K2209" s="312">
        <v>0</v>
      </c>
      <c r="L2209" s="66">
        <f t="shared" si="541"/>
        <v>120</v>
      </c>
      <c r="M2209" s="42"/>
    </row>
    <row r="2210" spans="2:13" ht="15.75" hidden="1" x14ac:dyDescent="0.2">
      <c r="B2210" s="10">
        <v>46250</v>
      </c>
      <c r="C2210" s="10" t="s">
        <v>105</v>
      </c>
      <c r="D2210" s="10" t="s">
        <v>13</v>
      </c>
      <c r="F2210" s="950"/>
      <c r="G2210" s="29" t="s">
        <v>180</v>
      </c>
      <c r="H2210" s="29" t="s">
        <v>106</v>
      </c>
      <c r="I2210" s="42">
        <v>0</v>
      </c>
      <c r="J2210" s="42">
        <v>0</v>
      </c>
      <c r="K2210" s="312">
        <v>0</v>
      </c>
      <c r="L2210" s="66">
        <f t="shared" si="541"/>
        <v>0</v>
      </c>
      <c r="M2210" s="42"/>
    </row>
    <row r="2211" spans="2:13" ht="15.75" hidden="1" x14ac:dyDescent="0.2">
      <c r="B2211" s="10">
        <v>46250</v>
      </c>
      <c r="C2211" s="10" t="s">
        <v>105</v>
      </c>
      <c r="D2211" s="10" t="s">
        <v>13</v>
      </c>
      <c r="F2211" s="950"/>
      <c r="G2211" s="29" t="s">
        <v>32</v>
      </c>
      <c r="H2211" s="29" t="s">
        <v>105</v>
      </c>
      <c r="I2211" s="42">
        <v>128</v>
      </c>
      <c r="J2211" s="42">
        <v>33</v>
      </c>
      <c r="K2211" s="312">
        <v>45</v>
      </c>
      <c r="L2211" s="66">
        <f t="shared" ref="L2211" si="542">SUM(I2211:K2211)</f>
        <v>206</v>
      </c>
      <c r="M2211" s="42"/>
    </row>
    <row r="2212" spans="2:13" ht="15.75" hidden="1" x14ac:dyDescent="0.2">
      <c r="B2212" s="10">
        <v>46250</v>
      </c>
      <c r="C2212" s="10" t="s">
        <v>105</v>
      </c>
      <c r="D2212" s="10" t="s">
        <v>13</v>
      </c>
      <c r="F2212" s="973"/>
      <c r="G2212" s="29" t="s">
        <v>14</v>
      </c>
      <c r="H2212" s="29" t="s">
        <v>112</v>
      </c>
      <c r="I2212" s="42">
        <v>105</v>
      </c>
      <c r="J2212" s="42">
        <v>27</v>
      </c>
      <c r="K2212" s="312">
        <v>23</v>
      </c>
      <c r="L2212" s="66">
        <f t="shared" si="541"/>
        <v>155</v>
      </c>
      <c r="M2212" s="42"/>
    </row>
    <row r="2213" spans="2:13" ht="15.75" hidden="1" x14ac:dyDescent="0.2">
      <c r="B2213" s="10">
        <v>46250</v>
      </c>
      <c r="C2213" s="10" t="s">
        <v>105</v>
      </c>
      <c r="D2213" s="10" t="s">
        <v>13</v>
      </c>
      <c r="F2213" s="937" t="s">
        <v>40</v>
      </c>
      <c r="G2213" s="937"/>
      <c r="H2213" s="937"/>
      <c r="I2213" s="8">
        <f>SUM(I2206:I2212)</f>
        <v>354</v>
      </c>
      <c r="J2213" s="8">
        <f>SUM(J2206:J2212)</f>
        <v>131</v>
      </c>
      <c r="K2213" s="8">
        <f>SUM(K2206:K2212)</f>
        <v>68</v>
      </c>
      <c r="L2213" s="8">
        <f>SUM(L2206:L2212)</f>
        <v>553</v>
      </c>
      <c r="M2213" s="316"/>
    </row>
    <row r="2214" spans="2:13" ht="15.75" hidden="1" x14ac:dyDescent="0.2">
      <c r="B2214" s="10">
        <v>46251</v>
      </c>
      <c r="C2214" s="10" t="s">
        <v>106</v>
      </c>
      <c r="D2214" s="10" t="s">
        <v>192</v>
      </c>
      <c r="F2214" s="939">
        <v>46251</v>
      </c>
      <c r="G2214" s="29" t="s">
        <v>16</v>
      </c>
      <c r="H2214" s="29" t="s">
        <v>112</v>
      </c>
      <c r="I2214" s="42">
        <v>26</v>
      </c>
      <c r="J2214" s="42">
        <v>20</v>
      </c>
      <c r="K2214" s="312">
        <v>0</v>
      </c>
      <c r="L2214" s="66">
        <f>SUM(I2214:K2214)</f>
        <v>46</v>
      </c>
      <c r="M2214" s="42"/>
    </row>
    <row r="2215" spans="2:13" ht="15.75" hidden="1" x14ac:dyDescent="0.2">
      <c r="B2215" s="10">
        <v>46251</v>
      </c>
      <c r="C2215" s="10" t="s">
        <v>106</v>
      </c>
      <c r="D2215" s="10" t="s">
        <v>192</v>
      </c>
      <c r="F2215" s="940"/>
      <c r="G2215" s="29" t="s">
        <v>14</v>
      </c>
      <c r="H2215" s="29" t="s">
        <v>106</v>
      </c>
      <c r="I2215" s="42">
        <v>55</v>
      </c>
      <c r="J2215" s="42">
        <v>6</v>
      </c>
      <c r="K2215" s="312">
        <v>0</v>
      </c>
      <c r="L2215" s="66">
        <f t="shared" ref="L2215:L2218" si="543">SUM(I2215:K2215)</f>
        <v>61</v>
      </c>
      <c r="M2215" s="42"/>
    </row>
    <row r="2216" spans="2:13" ht="15.75" hidden="1" x14ac:dyDescent="0.2">
      <c r="B2216" s="10">
        <v>46251</v>
      </c>
      <c r="C2216" s="10" t="s">
        <v>106</v>
      </c>
      <c r="D2216" s="10" t="s">
        <v>192</v>
      </c>
      <c r="F2216" s="940"/>
      <c r="G2216" s="29" t="s">
        <v>180</v>
      </c>
      <c r="H2216" s="29" t="s">
        <v>106</v>
      </c>
      <c r="I2216" s="42">
        <v>79</v>
      </c>
      <c r="J2216" s="42">
        <v>0</v>
      </c>
      <c r="K2216" s="312">
        <v>0</v>
      </c>
      <c r="L2216" s="66">
        <f t="shared" si="543"/>
        <v>79</v>
      </c>
      <c r="M2216" s="42"/>
    </row>
    <row r="2217" spans="2:13" ht="15.75" hidden="1" x14ac:dyDescent="0.2">
      <c r="B2217" s="10">
        <v>46251</v>
      </c>
      <c r="C2217" s="10" t="s">
        <v>106</v>
      </c>
      <c r="D2217" s="10" t="s">
        <v>192</v>
      </c>
      <c r="F2217" s="940"/>
      <c r="G2217" s="29" t="s">
        <v>17</v>
      </c>
      <c r="H2217" s="29" t="s">
        <v>105</v>
      </c>
      <c r="I2217" s="42">
        <v>91</v>
      </c>
      <c r="J2217" s="42">
        <v>32</v>
      </c>
      <c r="K2217" s="312">
        <v>0</v>
      </c>
      <c r="L2217" s="66">
        <f t="shared" si="543"/>
        <v>123</v>
      </c>
      <c r="M2217" s="42"/>
    </row>
    <row r="2218" spans="2:13" ht="15.75" hidden="1" x14ac:dyDescent="0.2">
      <c r="B2218" s="10">
        <v>46251</v>
      </c>
      <c r="C2218" s="10" t="s">
        <v>106</v>
      </c>
      <c r="D2218" s="10" t="s">
        <v>192</v>
      </c>
      <c r="F2218" s="941"/>
      <c r="G2218" s="29" t="s">
        <v>32</v>
      </c>
      <c r="H2218" s="29" t="s">
        <v>106</v>
      </c>
      <c r="I2218" s="42">
        <v>112</v>
      </c>
      <c r="J2218" s="42">
        <v>26</v>
      </c>
      <c r="K2218" s="312">
        <v>7</v>
      </c>
      <c r="L2218" s="66">
        <f t="shared" si="543"/>
        <v>145</v>
      </c>
      <c r="M2218" s="42"/>
    </row>
    <row r="2219" spans="2:13" ht="15.75" hidden="1" x14ac:dyDescent="0.2">
      <c r="B2219" s="10">
        <v>46251</v>
      </c>
      <c r="C2219" s="10" t="s">
        <v>106</v>
      </c>
      <c r="D2219" s="10" t="s">
        <v>192</v>
      </c>
      <c r="F2219" s="937" t="s">
        <v>40</v>
      </c>
      <c r="G2219" s="937"/>
      <c r="H2219" s="937"/>
      <c r="I2219" s="8">
        <f>SUM(I2214:I2218)</f>
        <v>363</v>
      </c>
      <c r="J2219" s="8">
        <f>SUM(J2214:J2218)</f>
        <v>84</v>
      </c>
      <c r="K2219" s="8">
        <f>SUM(K2214:K2218)</f>
        <v>7</v>
      </c>
      <c r="L2219" s="8">
        <f>SUM(L2214:L2218)</f>
        <v>454</v>
      </c>
      <c r="M2219" s="316"/>
    </row>
    <row r="2220" spans="2:13" ht="15.75" hidden="1" x14ac:dyDescent="0.2">
      <c r="B2220" s="10">
        <v>46251</v>
      </c>
      <c r="C2220" s="10" t="s">
        <v>105</v>
      </c>
      <c r="D2220" s="10" t="s">
        <v>13</v>
      </c>
      <c r="F2220" s="939">
        <v>46251</v>
      </c>
      <c r="G2220" s="29" t="s">
        <v>16</v>
      </c>
      <c r="H2220" s="29" t="s">
        <v>112</v>
      </c>
      <c r="I2220" s="42">
        <v>5</v>
      </c>
      <c r="J2220" s="42">
        <v>4</v>
      </c>
      <c r="K2220" s="312">
        <v>0</v>
      </c>
      <c r="L2220" s="66">
        <f>SUM(I2220:K2220)</f>
        <v>9</v>
      </c>
      <c r="M2220" s="42"/>
    </row>
    <row r="2221" spans="2:13" ht="15.75" hidden="1" x14ac:dyDescent="0.2">
      <c r="B2221" s="10">
        <v>46251</v>
      </c>
      <c r="C2221" s="10" t="s">
        <v>105</v>
      </c>
      <c r="D2221" s="10" t="s">
        <v>13</v>
      </c>
      <c r="F2221" s="940"/>
      <c r="G2221" s="29" t="s">
        <v>118</v>
      </c>
      <c r="H2221" s="29" t="s">
        <v>105</v>
      </c>
      <c r="I2221" s="42">
        <v>1</v>
      </c>
      <c r="J2221" s="42">
        <v>2</v>
      </c>
      <c r="K2221" s="312">
        <v>0</v>
      </c>
      <c r="L2221" s="66">
        <f t="shared" ref="L2221:L2222" si="544">SUM(I2221:K2221)</f>
        <v>3</v>
      </c>
      <c r="M2221" s="42"/>
    </row>
    <row r="2222" spans="2:13" ht="15.75" hidden="1" x14ac:dyDescent="0.2">
      <c r="B2222" s="10">
        <v>46251</v>
      </c>
      <c r="C2222" s="10" t="s">
        <v>105</v>
      </c>
      <c r="D2222" s="10" t="s">
        <v>13</v>
      </c>
      <c r="F2222" s="940"/>
      <c r="G2222" s="29" t="s">
        <v>17</v>
      </c>
      <c r="H2222" s="29" t="s">
        <v>105</v>
      </c>
      <c r="I2222" s="42">
        <v>37</v>
      </c>
      <c r="J2222" s="42">
        <v>19</v>
      </c>
      <c r="K2222" s="312">
        <v>0</v>
      </c>
      <c r="L2222" s="66">
        <f t="shared" si="544"/>
        <v>56</v>
      </c>
      <c r="M2222" s="42"/>
    </row>
    <row r="2223" spans="2:13" ht="15.75" hidden="1" x14ac:dyDescent="0.2">
      <c r="B2223" s="10">
        <v>46251</v>
      </c>
      <c r="C2223" s="10" t="s">
        <v>105</v>
      </c>
      <c r="D2223" s="10" t="s">
        <v>13</v>
      </c>
      <c r="F2223" s="939">
        <v>46252</v>
      </c>
      <c r="G2223" s="29" t="s">
        <v>16</v>
      </c>
      <c r="H2223" s="29" t="s">
        <v>112</v>
      </c>
      <c r="I2223" s="42">
        <v>90</v>
      </c>
      <c r="J2223" s="42">
        <v>50</v>
      </c>
      <c r="K2223" s="312">
        <v>21</v>
      </c>
      <c r="L2223" s="66">
        <f>SUM(I2223:K2223)</f>
        <v>161</v>
      </c>
      <c r="M2223" s="42"/>
    </row>
    <row r="2224" spans="2:13" ht="15.75" hidden="1" x14ac:dyDescent="0.2">
      <c r="B2224" s="10">
        <v>46251</v>
      </c>
      <c r="C2224" s="10" t="s">
        <v>105</v>
      </c>
      <c r="D2224" s="10" t="s">
        <v>13</v>
      </c>
      <c r="F2224" s="940"/>
      <c r="G2224" s="29" t="s">
        <v>14</v>
      </c>
      <c r="H2224" s="29" t="s">
        <v>105</v>
      </c>
      <c r="I2224" s="42">
        <v>6</v>
      </c>
      <c r="J2224" s="42">
        <v>6</v>
      </c>
      <c r="K2224" s="312">
        <v>0</v>
      </c>
      <c r="L2224" s="66">
        <f t="shared" ref="L2224:L2226" si="545">SUM(I2224:K2224)</f>
        <v>12</v>
      </c>
      <c r="M2224" s="42"/>
    </row>
    <row r="2225" spans="2:13" ht="15.75" hidden="1" x14ac:dyDescent="0.2">
      <c r="B2225" s="10">
        <v>46251</v>
      </c>
      <c r="C2225" s="10" t="s">
        <v>105</v>
      </c>
      <c r="D2225" s="10" t="s">
        <v>13</v>
      </c>
      <c r="F2225" s="940"/>
      <c r="G2225" s="29" t="s">
        <v>25</v>
      </c>
      <c r="H2225" s="29" t="s">
        <v>106</v>
      </c>
      <c r="I2225" s="42">
        <v>142</v>
      </c>
      <c r="J2225" s="42">
        <v>32</v>
      </c>
      <c r="K2225" s="312">
        <v>0</v>
      </c>
      <c r="L2225" s="66">
        <f t="shared" si="545"/>
        <v>174</v>
      </c>
      <c r="M2225" s="42"/>
    </row>
    <row r="2226" spans="2:13" ht="15.75" hidden="1" x14ac:dyDescent="0.2">
      <c r="B2226" s="10">
        <v>46251</v>
      </c>
      <c r="C2226" s="10" t="s">
        <v>105</v>
      </c>
      <c r="D2226" s="10" t="s">
        <v>13</v>
      </c>
      <c r="F2226" s="941"/>
      <c r="G2226" s="29" t="s">
        <v>32</v>
      </c>
      <c r="H2226" s="29" t="s">
        <v>105</v>
      </c>
      <c r="I2226" s="42">
        <v>15</v>
      </c>
      <c r="J2226" s="42">
        <v>18</v>
      </c>
      <c r="K2226" s="312">
        <v>0</v>
      </c>
      <c r="L2226" s="66">
        <f t="shared" si="545"/>
        <v>33</v>
      </c>
      <c r="M2226" s="42"/>
    </row>
    <row r="2227" spans="2:13" ht="15.75" hidden="1" x14ac:dyDescent="0.2">
      <c r="B2227" s="10">
        <v>46251</v>
      </c>
      <c r="C2227" s="10" t="s">
        <v>105</v>
      </c>
      <c r="D2227" s="10" t="s">
        <v>13</v>
      </c>
      <c r="F2227" s="937" t="s">
        <v>40</v>
      </c>
      <c r="G2227" s="937"/>
      <c r="H2227" s="937"/>
      <c r="I2227" s="8">
        <f>SUM(I2220:I2226)</f>
        <v>296</v>
      </c>
      <c r="J2227" s="8">
        <f t="shared" ref="J2227:L2227" si="546">SUM(J2220:J2226)</f>
        <v>131</v>
      </c>
      <c r="K2227" s="8">
        <f t="shared" si="546"/>
        <v>21</v>
      </c>
      <c r="L2227" s="8">
        <f t="shared" si="546"/>
        <v>448</v>
      </c>
      <c r="M2227" s="316"/>
    </row>
    <row r="2228" spans="2:13" ht="15.75" hidden="1" x14ac:dyDescent="0.2">
      <c r="B2228" s="10">
        <v>46252</v>
      </c>
      <c r="C2228" s="10" t="s">
        <v>106</v>
      </c>
      <c r="D2228" s="10" t="s">
        <v>192</v>
      </c>
      <c r="F2228" s="942">
        <v>46252</v>
      </c>
      <c r="G2228" s="29" t="s">
        <v>16</v>
      </c>
      <c r="H2228" s="29" t="s">
        <v>112</v>
      </c>
      <c r="I2228" s="42">
        <v>54</v>
      </c>
      <c r="J2228" s="42">
        <v>48</v>
      </c>
      <c r="K2228" s="312">
        <v>0</v>
      </c>
      <c r="L2228" s="66">
        <f>SUM(I2228:K2228)</f>
        <v>102</v>
      </c>
      <c r="M2228" s="42"/>
    </row>
    <row r="2229" spans="2:13" ht="15.75" hidden="1" x14ac:dyDescent="0.2">
      <c r="B2229" s="10">
        <v>46252</v>
      </c>
      <c r="C2229" s="10" t="s">
        <v>106</v>
      </c>
      <c r="D2229" s="10" t="s">
        <v>192</v>
      </c>
      <c r="F2229" s="942"/>
      <c r="G2229" s="29" t="s">
        <v>25</v>
      </c>
      <c r="H2229" s="29" t="s">
        <v>106</v>
      </c>
      <c r="I2229" s="42">
        <v>37</v>
      </c>
      <c r="J2229" s="42">
        <v>19</v>
      </c>
      <c r="K2229" s="312">
        <v>0</v>
      </c>
      <c r="L2229" s="66">
        <f t="shared" ref="L2229:L2233" si="547">SUM(I2229:K2229)</f>
        <v>56</v>
      </c>
      <c r="M2229" s="42"/>
    </row>
    <row r="2230" spans="2:13" ht="15.75" hidden="1" x14ac:dyDescent="0.2">
      <c r="B2230" s="10">
        <v>46252</v>
      </c>
      <c r="C2230" s="10" t="s">
        <v>106</v>
      </c>
      <c r="D2230" s="10" t="s">
        <v>192</v>
      </c>
      <c r="F2230" s="942"/>
      <c r="G2230" s="29" t="s">
        <v>14</v>
      </c>
      <c r="H2230" s="29" t="s">
        <v>106</v>
      </c>
      <c r="I2230" s="42">
        <v>3</v>
      </c>
      <c r="J2230" s="42">
        <v>4</v>
      </c>
      <c r="K2230" s="312">
        <v>0</v>
      </c>
      <c r="L2230" s="66">
        <f t="shared" si="547"/>
        <v>7</v>
      </c>
      <c r="M2230" s="42"/>
    </row>
    <row r="2231" spans="2:13" ht="15.75" hidden="1" x14ac:dyDescent="0.2">
      <c r="B2231" s="10">
        <v>46252</v>
      </c>
      <c r="C2231" s="10" t="s">
        <v>106</v>
      </c>
      <c r="D2231" s="10" t="s">
        <v>192</v>
      </c>
      <c r="F2231" s="942"/>
      <c r="G2231" s="29" t="s">
        <v>17</v>
      </c>
      <c r="H2231" s="29" t="s">
        <v>105</v>
      </c>
      <c r="I2231" s="42">
        <v>105</v>
      </c>
      <c r="J2231" s="42">
        <v>31</v>
      </c>
      <c r="K2231" s="312">
        <v>0</v>
      </c>
      <c r="L2231" s="66">
        <f t="shared" si="547"/>
        <v>136</v>
      </c>
      <c r="M2231" s="42"/>
    </row>
    <row r="2232" spans="2:13" ht="15.75" hidden="1" x14ac:dyDescent="0.2">
      <c r="B2232" s="10">
        <v>46252</v>
      </c>
      <c r="C2232" s="10" t="s">
        <v>106</v>
      </c>
      <c r="D2232" s="10" t="s">
        <v>192</v>
      </c>
      <c r="F2232" s="942"/>
      <c r="G2232" s="29" t="s">
        <v>32</v>
      </c>
      <c r="H2232" s="29" t="s">
        <v>105</v>
      </c>
      <c r="I2232" s="42">
        <v>40</v>
      </c>
      <c r="J2232" s="42">
        <v>9</v>
      </c>
      <c r="K2232" s="312">
        <v>0</v>
      </c>
      <c r="L2232" s="66">
        <f t="shared" si="547"/>
        <v>49</v>
      </c>
      <c r="M2232" s="42"/>
    </row>
    <row r="2233" spans="2:13" ht="15.75" hidden="1" x14ac:dyDescent="0.2">
      <c r="B2233" s="10">
        <v>46252</v>
      </c>
      <c r="C2233" s="10" t="s">
        <v>106</v>
      </c>
      <c r="D2233" s="10" t="s">
        <v>192</v>
      </c>
      <c r="F2233" s="500">
        <v>46253</v>
      </c>
      <c r="G2233" s="29" t="s">
        <v>14</v>
      </c>
      <c r="H2233" s="29" t="s">
        <v>106</v>
      </c>
      <c r="I2233" s="42">
        <v>0</v>
      </c>
      <c r="J2233" s="42">
        <v>0</v>
      </c>
      <c r="K2233" s="312">
        <v>81</v>
      </c>
      <c r="L2233" s="66">
        <f t="shared" si="547"/>
        <v>81</v>
      </c>
      <c r="M2233" s="42"/>
    </row>
    <row r="2234" spans="2:13" ht="15.75" hidden="1" x14ac:dyDescent="0.2">
      <c r="B2234" s="10">
        <v>46252</v>
      </c>
      <c r="C2234" s="10" t="s">
        <v>106</v>
      </c>
      <c r="D2234" s="10" t="s">
        <v>192</v>
      </c>
      <c r="F2234" s="937" t="s">
        <v>40</v>
      </c>
      <c r="G2234" s="937"/>
      <c r="H2234" s="937"/>
      <c r="I2234" s="8">
        <f>SUM(I2228:I2233)</f>
        <v>239</v>
      </c>
      <c r="J2234" s="8">
        <f t="shared" ref="J2234:L2234" si="548">SUM(J2228:J2233)</f>
        <v>111</v>
      </c>
      <c r="K2234" s="8">
        <f t="shared" si="548"/>
        <v>81</v>
      </c>
      <c r="L2234" s="8">
        <f t="shared" si="548"/>
        <v>431</v>
      </c>
      <c r="M2234" s="316"/>
    </row>
    <row r="2235" spans="2:13" ht="15.75" hidden="1" x14ac:dyDescent="0.2">
      <c r="B2235" s="10">
        <v>46252</v>
      </c>
      <c r="C2235" s="10" t="s">
        <v>105</v>
      </c>
      <c r="D2235" s="10" t="s">
        <v>13</v>
      </c>
      <c r="F2235" s="942">
        <v>46252</v>
      </c>
      <c r="G2235" s="29" t="s">
        <v>16</v>
      </c>
      <c r="H2235" s="29" t="s">
        <v>112</v>
      </c>
      <c r="I2235" s="42">
        <v>14</v>
      </c>
      <c r="J2235" s="42">
        <v>13</v>
      </c>
      <c r="K2235" s="312">
        <v>0</v>
      </c>
      <c r="L2235" s="66">
        <f>SUM(I2235:K2235)</f>
        <v>27</v>
      </c>
      <c r="M2235" s="42"/>
    </row>
    <row r="2236" spans="2:13" ht="15.75" hidden="1" x14ac:dyDescent="0.2">
      <c r="B2236" s="10">
        <v>46252</v>
      </c>
      <c r="C2236" s="10" t="s">
        <v>105</v>
      </c>
      <c r="D2236" s="10" t="s">
        <v>13</v>
      </c>
      <c r="F2236" s="942"/>
      <c r="G2236" s="29" t="s">
        <v>17</v>
      </c>
      <c r="H2236" s="29" t="s">
        <v>105</v>
      </c>
      <c r="I2236" s="42">
        <v>20</v>
      </c>
      <c r="J2236" s="42">
        <v>15</v>
      </c>
      <c r="K2236" s="312">
        <v>0</v>
      </c>
      <c r="L2236" s="66">
        <f t="shared" ref="L2236:L2240" si="549">SUM(I2236:K2236)</f>
        <v>35</v>
      </c>
      <c r="M2236" s="42"/>
    </row>
    <row r="2237" spans="2:13" ht="15.75" hidden="1" x14ac:dyDescent="0.2">
      <c r="B2237" s="10">
        <v>46252</v>
      </c>
      <c r="C2237" s="10" t="s">
        <v>105</v>
      </c>
      <c r="D2237" s="10" t="s">
        <v>13</v>
      </c>
      <c r="F2237" s="942"/>
      <c r="G2237" s="29" t="s">
        <v>32</v>
      </c>
      <c r="H2237" s="29" t="s">
        <v>105</v>
      </c>
      <c r="I2237" s="42">
        <v>8</v>
      </c>
      <c r="J2237" s="42">
        <v>17</v>
      </c>
      <c r="K2237" s="312">
        <v>0</v>
      </c>
      <c r="L2237" s="66">
        <f t="shared" si="549"/>
        <v>25</v>
      </c>
      <c r="M2237" s="42"/>
    </row>
    <row r="2238" spans="2:13" ht="15.75" hidden="1" x14ac:dyDescent="0.2">
      <c r="B2238" s="10">
        <v>46252</v>
      </c>
      <c r="C2238" s="10" t="s">
        <v>105</v>
      </c>
      <c r="D2238" s="10" t="s">
        <v>13</v>
      </c>
      <c r="F2238" s="943">
        <v>46253</v>
      </c>
      <c r="G2238" s="29" t="s">
        <v>16</v>
      </c>
      <c r="H2238" s="29" t="s">
        <v>112</v>
      </c>
      <c r="I2238" s="42">
        <v>120</v>
      </c>
      <c r="J2238" s="42">
        <v>70</v>
      </c>
      <c r="K2238" s="312">
        <v>19</v>
      </c>
      <c r="L2238" s="66">
        <f t="shared" si="549"/>
        <v>209</v>
      </c>
      <c r="M2238" s="42"/>
    </row>
    <row r="2239" spans="2:13" ht="15.75" hidden="1" x14ac:dyDescent="0.2">
      <c r="B2239" s="10">
        <v>46252</v>
      </c>
      <c r="C2239" s="10" t="s">
        <v>105</v>
      </c>
      <c r="D2239" s="10" t="s">
        <v>13</v>
      </c>
      <c r="F2239" s="944"/>
      <c r="G2239" s="29" t="s">
        <v>118</v>
      </c>
      <c r="H2239" s="29" t="s">
        <v>105</v>
      </c>
      <c r="I2239" s="42">
        <v>7</v>
      </c>
      <c r="J2239" s="42">
        <v>2</v>
      </c>
      <c r="K2239" s="312">
        <v>58</v>
      </c>
      <c r="L2239" s="66">
        <f t="shared" si="549"/>
        <v>67</v>
      </c>
      <c r="M2239" s="42"/>
    </row>
    <row r="2240" spans="2:13" ht="15.75" hidden="1" x14ac:dyDescent="0.2">
      <c r="B2240" s="10">
        <v>46252</v>
      </c>
      <c r="C2240" s="10" t="s">
        <v>105</v>
      </c>
      <c r="D2240" s="10" t="s">
        <v>13</v>
      </c>
      <c r="F2240" s="945"/>
      <c r="G2240" s="29" t="s">
        <v>14</v>
      </c>
      <c r="H2240" s="29" t="s">
        <v>106</v>
      </c>
      <c r="I2240" s="42">
        <v>125</v>
      </c>
      <c r="J2240" s="42">
        <v>39</v>
      </c>
      <c r="K2240" s="312">
        <v>0</v>
      </c>
      <c r="L2240" s="66">
        <f t="shared" si="549"/>
        <v>164</v>
      </c>
      <c r="M2240" s="42"/>
    </row>
    <row r="2241" spans="2:13" ht="15.75" hidden="1" x14ac:dyDescent="0.2">
      <c r="B2241" s="10">
        <v>46252</v>
      </c>
      <c r="C2241" s="10" t="s">
        <v>105</v>
      </c>
      <c r="D2241" s="10" t="s">
        <v>13</v>
      </c>
      <c r="F2241" s="937" t="s">
        <v>40</v>
      </c>
      <c r="G2241" s="937"/>
      <c r="H2241" s="937"/>
      <c r="I2241" s="8">
        <f>SUM(I2235:I2240)</f>
        <v>294</v>
      </c>
      <c r="J2241" s="8">
        <f t="shared" ref="J2241:L2241" si="550">SUM(J2235:J2240)</f>
        <v>156</v>
      </c>
      <c r="K2241" s="8">
        <f t="shared" si="550"/>
        <v>77</v>
      </c>
      <c r="L2241" s="8">
        <f t="shared" si="550"/>
        <v>527</v>
      </c>
      <c r="M2241" s="316"/>
    </row>
    <row r="2242" spans="2:13" ht="15.75" hidden="1" x14ac:dyDescent="0.2">
      <c r="B2242" s="10">
        <v>46253</v>
      </c>
      <c r="C2242" s="10" t="s">
        <v>106</v>
      </c>
      <c r="D2242" s="10" t="s">
        <v>192</v>
      </c>
      <c r="F2242" s="942">
        <v>46253</v>
      </c>
      <c r="G2242" s="29" t="s">
        <v>16</v>
      </c>
      <c r="H2242" s="29" t="s">
        <v>112</v>
      </c>
      <c r="I2242" s="42">
        <v>15</v>
      </c>
      <c r="J2242" s="42">
        <v>34</v>
      </c>
      <c r="K2242" s="312">
        <v>0</v>
      </c>
      <c r="L2242" s="66">
        <f>SUM(I2242:K2242)</f>
        <v>49</v>
      </c>
      <c r="M2242" s="42"/>
    </row>
    <row r="2243" spans="2:13" ht="15.75" hidden="1" x14ac:dyDescent="0.2">
      <c r="B2243" s="10">
        <v>46253</v>
      </c>
      <c r="C2243" s="10" t="s">
        <v>106</v>
      </c>
      <c r="D2243" s="10" t="s">
        <v>192</v>
      </c>
      <c r="F2243" s="942"/>
      <c r="G2243" s="29" t="s">
        <v>14</v>
      </c>
      <c r="H2243" s="29" t="s">
        <v>106</v>
      </c>
      <c r="I2243" s="42">
        <v>21</v>
      </c>
      <c r="J2243" s="42">
        <v>6</v>
      </c>
      <c r="K2243" s="312">
        <v>0</v>
      </c>
      <c r="L2243" s="66">
        <f t="shared" ref="L2243:L2247" si="551">SUM(I2243:K2243)</f>
        <v>27</v>
      </c>
      <c r="M2243" s="42"/>
    </row>
    <row r="2244" spans="2:13" ht="15.75" hidden="1" x14ac:dyDescent="0.2">
      <c r="B2244" s="10">
        <v>46253</v>
      </c>
      <c r="C2244" s="10" t="s">
        <v>106</v>
      </c>
      <c r="D2244" s="10" t="s">
        <v>192</v>
      </c>
      <c r="F2244" s="942"/>
      <c r="G2244" s="29" t="s">
        <v>180</v>
      </c>
      <c r="H2244" s="29" t="s">
        <v>106</v>
      </c>
      <c r="I2244" s="42">
        <v>8</v>
      </c>
      <c r="J2244" s="42">
        <v>0</v>
      </c>
      <c r="K2244" s="312">
        <v>0</v>
      </c>
      <c r="L2244" s="66">
        <f t="shared" si="551"/>
        <v>8</v>
      </c>
      <c r="M2244" s="42"/>
    </row>
    <row r="2245" spans="2:13" ht="15.75" hidden="1" x14ac:dyDescent="0.2">
      <c r="B2245" s="10">
        <v>46253</v>
      </c>
      <c r="C2245" s="10" t="s">
        <v>106</v>
      </c>
      <c r="D2245" s="10" t="s">
        <v>192</v>
      </c>
      <c r="F2245" s="942"/>
      <c r="G2245" s="29" t="s">
        <v>17</v>
      </c>
      <c r="H2245" s="29" t="s">
        <v>105</v>
      </c>
      <c r="I2245" s="42">
        <v>25</v>
      </c>
      <c r="J2245" s="42">
        <v>4</v>
      </c>
      <c r="K2245" s="312">
        <v>108</v>
      </c>
      <c r="L2245" s="66">
        <f t="shared" si="551"/>
        <v>137</v>
      </c>
      <c r="M2245" s="42"/>
    </row>
    <row r="2246" spans="2:13" ht="15.75" hidden="1" x14ac:dyDescent="0.2">
      <c r="B2246" s="10">
        <v>46253</v>
      </c>
      <c r="C2246" s="10" t="s">
        <v>106</v>
      </c>
      <c r="D2246" s="10" t="s">
        <v>192</v>
      </c>
      <c r="F2246" s="942"/>
      <c r="G2246" s="29" t="s">
        <v>118</v>
      </c>
      <c r="H2246" s="29" t="s">
        <v>105</v>
      </c>
      <c r="I2246" s="42">
        <v>149</v>
      </c>
      <c r="J2246" s="42">
        <v>29</v>
      </c>
      <c r="K2246" s="312">
        <v>0</v>
      </c>
      <c r="L2246" s="66">
        <f t="shared" si="551"/>
        <v>178</v>
      </c>
      <c r="M2246" s="42"/>
    </row>
    <row r="2247" spans="2:13" ht="15.75" hidden="1" x14ac:dyDescent="0.2">
      <c r="B2247" s="10">
        <v>46253</v>
      </c>
      <c r="C2247" s="10" t="s">
        <v>106</v>
      </c>
      <c r="D2247" s="10" t="s">
        <v>192</v>
      </c>
      <c r="F2247" s="501">
        <v>46254</v>
      </c>
      <c r="G2247" s="29" t="s">
        <v>16</v>
      </c>
      <c r="H2247" s="29" t="s">
        <v>112</v>
      </c>
      <c r="I2247" s="42">
        <v>0</v>
      </c>
      <c r="J2247" s="42">
        <v>0</v>
      </c>
      <c r="K2247" s="312">
        <v>100</v>
      </c>
      <c r="L2247" s="66">
        <f t="shared" si="551"/>
        <v>100</v>
      </c>
      <c r="M2247" s="42"/>
    </row>
    <row r="2248" spans="2:13" ht="15.75" hidden="1" x14ac:dyDescent="0.2">
      <c r="B2248" s="10">
        <v>46253</v>
      </c>
      <c r="C2248" s="10" t="s">
        <v>106</v>
      </c>
      <c r="D2248" s="10" t="s">
        <v>192</v>
      </c>
      <c r="F2248" s="937" t="s">
        <v>40</v>
      </c>
      <c r="G2248" s="937"/>
      <c r="H2248" s="937"/>
      <c r="I2248" s="8">
        <f>SUM(I2242:I2247)</f>
        <v>218</v>
      </c>
      <c r="J2248" s="8">
        <f>SUM(J2242:J2247)</f>
        <v>73</v>
      </c>
      <c r="K2248" s="8">
        <f>SUM(K2242:K2247)</f>
        <v>208</v>
      </c>
      <c r="L2248" s="8">
        <f>SUM(L2242:L2247)</f>
        <v>499</v>
      </c>
      <c r="M2248" s="316"/>
    </row>
    <row r="2249" spans="2:13" ht="15.75" hidden="1" x14ac:dyDescent="0.2">
      <c r="B2249" s="104">
        <v>46253</v>
      </c>
      <c r="C2249" s="104" t="s">
        <v>105</v>
      </c>
      <c r="D2249" s="104" t="s">
        <v>13</v>
      </c>
      <c r="E2249" s="89"/>
      <c r="F2249" s="986">
        <v>46253</v>
      </c>
      <c r="G2249" s="60" t="s">
        <v>16</v>
      </c>
      <c r="H2249" s="60" t="s">
        <v>112</v>
      </c>
      <c r="I2249" s="62">
        <v>2</v>
      </c>
      <c r="J2249" s="62">
        <v>1</v>
      </c>
      <c r="K2249" s="312">
        <v>0</v>
      </c>
      <c r="L2249" s="497">
        <f>SUM(I2249:K2249)</f>
        <v>3</v>
      </c>
      <c r="M2249" s="62"/>
    </row>
    <row r="2250" spans="2:13" ht="15.75" hidden="1" x14ac:dyDescent="0.2">
      <c r="B2250" s="104">
        <v>46253</v>
      </c>
      <c r="C2250" s="104" t="s">
        <v>105</v>
      </c>
      <c r="D2250" s="104" t="s">
        <v>13</v>
      </c>
      <c r="E2250" s="89"/>
      <c r="F2250" s="986"/>
      <c r="G2250" s="60" t="s">
        <v>32</v>
      </c>
      <c r="H2250" s="60" t="s">
        <v>105</v>
      </c>
      <c r="I2250" s="62">
        <v>1</v>
      </c>
      <c r="J2250" s="62">
        <v>6</v>
      </c>
      <c r="K2250" s="312">
        <v>0</v>
      </c>
      <c r="L2250" s="497">
        <f t="shared" ref="L2250:L2254" si="552">SUM(I2250:K2250)</f>
        <v>7</v>
      </c>
      <c r="M2250" s="62"/>
    </row>
    <row r="2251" spans="2:13" ht="15.75" hidden="1" x14ac:dyDescent="0.2">
      <c r="B2251" s="104">
        <v>46253</v>
      </c>
      <c r="C2251" s="104" t="s">
        <v>105</v>
      </c>
      <c r="D2251" s="104" t="s">
        <v>13</v>
      </c>
      <c r="E2251" s="89"/>
      <c r="F2251" s="986"/>
      <c r="G2251" s="60" t="s">
        <v>17</v>
      </c>
      <c r="H2251" s="60" t="s">
        <v>105</v>
      </c>
      <c r="I2251" s="62">
        <v>80</v>
      </c>
      <c r="J2251" s="62">
        <v>27</v>
      </c>
      <c r="K2251" s="312">
        <v>13</v>
      </c>
      <c r="L2251" s="497">
        <f t="shared" si="552"/>
        <v>120</v>
      </c>
      <c r="M2251" s="62"/>
    </row>
    <row r="2252" spans="2:13" ht="15.75" hidden="1" x14ac:dyDescent="0.2">
      <c r="B2252" s="104">
        <v>46253</v>
      </c>
      <c r="C2252" s="104" t="s">
        <v>105</v>
      </c>
      <c r="D2252" s="104" t="s">
        <v>13</v>
      </c>
      <c r="E2252" s="89"/>
      <c r="F2252" s="986"/>
      <c r="G2252" s="60" t="s">
        <v>118</v>
      </c>
      <c r="H2252" s="60" t="s">
        <v>105</v>
      </c>
      <c r="I2252" s="62">
        <v>27</v>
      </c>
      <c r="J2252" s="62">
        <v>8</v>
      </c>
      <c r="K2252" s="312">
        <v>0</v>
      </c>
      <c r="L2252" s="497">
        <f t="shared" si="552"/>
        <v>35</v>
      </c>
      <c r="M2252" s="62"/>
    </row>
    <row r="2253" spans="2:13" ht="15.75" hidden="1" x14ac:dyDescent="0.2">
      <c r="B2253" s="104">
        <v>46253</v>
      </c>
      <c r="C2253" s="104" t="s">
        <v>105</v>
      </c>
      <c r="D2253" s="104" t="s">
        <v>13</v>
      </c>
      <c r="E2253" s="89"/>
      <c r="F2253" s="946">
        <v>46254</v>
      </c>
      <c r="G2253" s="60" t="s">
        <v>16</v>
      </c>
      <c r="H2253" s="60" t="s">
        <v>112</v>
      </c>
      <c r="I2253" s="62">
        <v>100</v>
      </c>
      <c r="J2253" s="62">
        <v>93</v>
      </c>
      <c r="K2253" s="312">
        <v>12</v>
      </c>
      <c r="L2253" s="497">
        <f t="shared" si="552"/>
        <v>205</v>
      </c>
      <c r="M2253" s="62"/>
    </row>
    <row r="2254" spans="2:13" ht="15.75" hidden="1" x14ac:dyDescent="0.2">
      <c r="B2254" s="104">
        <v>46253</v>
      </c>
      <c r="C2254" s="104" t="s">
        <v>105</v>
      </c>
      <c r="D2254" s="104" t="s">
        <v>13</v>
      </c>
      <c r="E2254" s="89"/>
      <c r="F2254" s="947"/>
      <c r="G2254" s="60" t="s">
        <v>14</v>
      </c>
      <c r="H2254" s="60" t="s">
        <v>106</v>
      </c>
      <c r="I2254" s="62">
        <v>88</v>
      </c>
      <c r="J2254" s="62">
        <v>43</v>
      </c>
      <c r="K2254" s="312">
        <v>46</v>
      </c>
      <c r="L2254" s="497">
        <f t="shared" si="552"/>
        <v>177</v>
      </c>
      <c r="M2254" s="62"/>
    </row>
    <row r="2255" spans="2:13" ht="15.75" hidden="1" x14ac:dyDescent="0.2">
      <c r="B2255" s="104">
        <v>46253</v>
      </c>
      <c r="C2255" s="104" t="s">
        <v>105</v>
      </c>
      <c r="D2255" s="104" t="s">
        <v>13</v>
      </c>
      <c r="E2255" s="89"/>
      <c r="F2255" s="890" t="s">
        <v>40</v>
      </c>
      <c r="G2255" s="890"/>
      <c r="H2255" s="890"/>
      <c r="I2255" s="99">
        <f>SUM(I2249:I2254)</f>
        <v>298</v>
      </c>
      <c r="J2255" s="99">
        <f t="shared" ref="J2255:L2255" si="553">SUM(J2249:J2254)</f>
        <v>178</v>
      </c>
      <c r="K2255" s="99">
        <f t="shared" si="553"/>
        <v>71</v>
      </c>
      <c r="L2255" s="99">
        <f t="shared" si="553"/>
        <v>547</v>
      </c>
      <c r="M2255" s="502"/>
    </row>
    <row r="2256" spans="2:13" ht="15.75" hidden="1" x14ac:dyDescent="0.2">
      <c r="B2256" s="104">
        <v>46254</v>
      </c>
      <c r="C2256" s="10" t="s">
        <v>106</v>
      </c>
      <c r="D2256" s="10" t="s">
        <v>192</v>
      </c>
      <c r="F2256" s="939">
        <v>46254</v>
      </c>
      <c r="G2256" s="29" t="s">
        <v>16</v>
      </c>
      <c r="H2256" s="29" t="s">
        <v>112</v>
      </c>
      <c r="I2256" s="42">
        <v>5</v>
      </c>
      <c r="J2256" s="42">
        <v>19</v>
      </c>
      <c r="K2256" s="312">
        <v>0</v>
      </c>
      <c r="L2256" s="66">
        <f>SUM(I2256:K2256)</f>
        <v>24</v>
      </c>
      <c r="M2256" s="42"/>
    </row>
    <row r="2257" spans="2:13" ht="15.75" hidden="1" x14ac:dyDescent="0.2">
      <c r="B2257" s="104">
        <v>46254</v>
      </c>
      <c r="C2257" s="10" t="s">
        <v>106</v>
      </c>
      <c r="D2257" s="10" t="s">
        <v>192</v>
      </c>
      <c r="F2257" s="940"/>
      <c r="G2257" s="29" t="s">
        <v>14</v>
      </c>
      <c r="H2257" s="29" t="s">
        <v>106</v>
      </c>
      <c r="I2257" s="42">
        <v>65</v>
      </c>
      <c r="J2257" s="42">
        <v>19</v>
      </c>
      <c r="K2257" s="312">
        <v>0</v>
      </c>
      <c r="L2257" s="66">
        <f t="shared" ref="L2257:L2261" si="554">SUM(I2257:K2257)</f>
        <v>84</v>
      </c>
      <c r="M2257" s="42"/>
    </row>
    <row r="2258" spans="2:13" ht="15.75" hidden="1" x14ac:dyDescent="0.2">
      <c r="B2258" s="104">
        <v>46254</v>
      </c>
      <c r="C2258" s="10" t="s">
        <v>106</v>
      </c>
      <c r="D2258" s="10" t="s">
        <v>192</v>
      </c>
      <c r="F2258" s="941"/>
      <c r="G2258" s="29" t="s">
        <v>17</v>
      </c>
      <c r="H2258" s="29" t="s">
        <v>105</v>
      </c>
      <c r="I2258" s="42">
        <v>69</v>
      </c>
      <c r="J2258" s="42">
        <v>37</v>
      </c>
      <c r="K2258" s="312">
        <v>18</v>
      </c>
      <c r="L2258" s="66">
        <f t="shared" si="554"/>
        <v>124</v>
      </c>
      <c r="M2258" s="42"/>
    </row>
    <row r="2259" spans="2:13" ht="15.75" hidden="1" x14ac:dyDescent="0.2">
      <c r="B2259" s="104">
        <v>46254</v>
      </c>
      <c r="C2259" s="10" t="s">
        <v>106</v>
      </c>
      <c r="D2259" s="10" t="s">
        <v>192</v>
      </c>
      <c r="F2259" s="934">
        <v>46255</v>
      </c>
      <c r="G2259" s="29" t="s">
        <v>16</v>
      </c>
      <c r="H2259" s="29" t="s">
        <v>105</v>
      </c>
      <c r="I2259" s="42">
        <v>0</v>
      </c>
      <c r="J2259" s="42">
        <v>0</v>
      </c>
      <c r="K2259" s="312">
        <v>166</v>
      </c>
      <c r="L2259" s="66">
        <f t="shared" si="554"/>
        <v>166</v>
      </c>
      <c r="M2259" s="42"/>
    </row>
    <row r="2260" spans="2:13" ht="15.75" hidden="1" x14ac:dyDescent="0.2">
      <c r="B2260" s="104">
        <v>46254</v>
      </c>
      <c r="C2260" s="10" t="s">
        <v>106</v>
      </c>
      <c r="D2260" s="10" t="s">
        <v>192</v>
      </c>
      <c r="F2260" s="935"/>
      <c r="G2260" s="29" t="s">
        <v>180</v>
      </c>
      <c r="H2260" s="29" t="s">
        <v>105</v>
      </c>
      <c r="I2260" s="42">
        <v>32</v>
      </c>
      <c r="J2260" s="42">
        <v>0</v>
      </c>
      <c r="K2260" s="312">
        <v>0</v>
      </c>
      <c r="L2260" s="66">
        <f t="shared" si="554"/>
        <v>32</v>
      </c>
      <c r="M2260" s="42"/>
    </row>
    <row r="2261" spans="2:13" ht="15.75" hidden="1" x14ac:dyDescent="0.2">
      <c r="B2261" s="104">
        <v>46254</v>
      </c>
      <c r="C2261" s="10" t="s">
        <v>106</v>
      </c>
      <c r="D2261" s="10" t="s">
        <v>192</v>
      </c>
      <c r="F2261" s="936"/>
      <c r="G2261" s="29" t="s">
        <v>14</v>
      </c>
      <c r="H2261" s="29" t="s">
        <v>105</v>
      </c>
      <c r="I2261" s="42">
        <v>0</v>
      </c>
      <c r="J2261" s="42">
        <v>0</v>
      </c>
      <c r="K2261" s="312">
        <v>10</v>
      </c>
      <c r="L2261" s="66">
        <f t="shared" si="554"/>
        <v>10</v>
      </c>
      <c r="M2261" s="42"/>
    </row>
    <row r="2262" spans="2:13" ht="15.75" hidden="1" x14ac:dyDescent="0.2">
      <c r="B2262" s="104">
        <v>46254</v>
      </c>
      <c r="C2262" s="10" t="s">
        <v>106</v>
      </c>
      <c r="D2262" s="10" t="s">
        <v>192</v>
      </c>
      <c r="F2262" s="937" t="s">
        <v>40</v>
      </c>
      <c r="G2262" s="937"/>
      <c r="H2262" s="937"/>
      <c r="I2262" s="8">
        <f>SUM(I2256:I2261)</f>
        <v>171</v>
      </c>
      <c r="J2262" s="8">
        <f>SUM(J2256:J2261)</f>
        <v>75</v>
      </c>
      <c r="K2262" s="8">
        <f>SUM(K2256:K2261)</f>
        <v>194</v>
      </c>
      <c r="L2262" s="8">
        <f>SUM(L2256:L2261)</f>
        <v>440</v>
      </c>
      <c r="M2262" s="316"/>
    </row>
    <row r="2263" spans="2:13" ht="15.75" hidden="1" x14ac:dyDescent="0.2">
      <c r="B2263" s="104">
        <v>46254</v>
      </c>
      <c r="C2263" s="10" t="s">
        <v>105</v>
      </c>
      <c r="D2263" s="10" t="s">
        <v>13</v>
      </c>
      <c r="F2263" s="939">
        <v>46254</v>
      </c>
      <c r="G2263" s="29" t="s">
        <v>16</v>
      </c>
      <c r="H2263" s="29" t="s">
        <v>112</v>
      </c>
      <c r="I2263" s="42">
        <v>19</v>
      </c>
      <c r="J2263" s="42">
        <v>8</v>
      </c>
      <c r="K2263" s="312">
        <v>0</v>
      </c>
      <c r="L2263" s="66">
        <f>SUM(I2263:K2263)</f>
        <v>27</v>
      </c>
      <c r="M2263" s="42"/>
    </row>
    <row r="2264" spans="2:13" ht="15.75" hidden="1" x14ac:dyDescent="0.2">
      <c r="B2264" s="104">
        <v>46254</v>
      </c>
      <c r="C2264" s="10" t="s">
        <v>105</v>
      </c>
      <c r="D2264" s="10" t="s">
        <v>13</v>
      </c>
      <c r="F2264" s="940"/>
      <c r="G2264" s="29" t="s">
        <v>32</v>
      </c>
      <c r="H2264" s="29" t="s">
        <v>169</v>
      </c>
      <c r="I2264" s="42">
        <v>4</v>
      </c>
      <c r="J2264" s="42">
        <v>4</v>
      </c>
      <c r="K2264" s="312">
        <v>0</v>
      </c>
      <c r="L2264" s="66">
        <f t="shared" ref="L2264:L2265" si="555">SUM(I2264:K2264)</f>
        <v>8</v>
      </c>
      <c r="M2264" s="42"/>
    </row>
    <row r="2265" spans="2:13" ht="15.75" hidden="1" x14ac:dyDescent="0.2">
      <c r="B2265" s="104">
        <v>46254</v>
      </c>
      <c r="C2265" s="10" t="s">
        <v>105</v>
      </c>
      <c r="D2265" s="10" t="s">
        <v>13</v>
      </c>
      <c r="F2265" s="940"/>
      <c r="G2265" s="29" t="s">
        <v>118</v>
      </c>
      <c r="H2265" s="29" t="s">
        <v>106</v>
      </c>
      <c r="I2265" s="42">
        <v>4</v>
      </c>
      <c r="J2265" s="42">
        <v>0</v>
      </c>
      <c r="K2265" s="312">
        <v>0</v>
      </c>
      <c r="L2265" s="66">
        <f t="shared" si="555"/>
        <v>4</v>
      </c>
      <c r="M2265" s="42"/>
    </row>
    <row r="2266" spans="2:13" ht="15.75" hidden="1" x14ac:dyDescent="0.2">
      <c r="B2266" s="104">
        <v>46254</v>
      </c>
      <c r="C2266" s="10" t="s">
        <v>105</v>
      </c>
      <c r="D2266" s="10" t="s">
        <v>13</v>
      </c>
      <c r="F2266" s="941"/>
      <c r="G2266" s="29" t="s">
        <v>17</v>
      </c>
      <c r="H2266" s="29" t="s">
        <v>105</v>
      </c>
      <c r="I2266" s="42">
        <v>53</v>
      </c>
      <c r="J2266" s="42">
        <v>26</v>
      </c>
      <c r="K2266" s="312">
        <v>0</v>
      </c>
      <c r="L2266" s="66">
        <f t="shared" ref="L2266:L2269" si="556">SUM(I2266:K2266)</f>
        <v>79</v>
      </c>
      <c r="M2266" s="42"/>
    </row>
    <row r="2267" spans="2:13" ht="15.75" hidden="1" x14ac:dyDescent="0.2">
      <c r="B2267" s="104">
        <v>46254</v>
      </c>
      <c r="C2267" s="10" t="s">
        <v>105</v>
      </c>
      <c r="D2267" s="10" t="s">
        <v>13</v>
      </c>
      <c r="F2267" s="934">
        <v>46255</v>
      </c>
      <c r="G2267" s="29" t="s">
        <v>16</v>
      </c>
      <c r="H2267" s="29" t="s">
        <v>105</v>
      </c>
      <c r="I2267" s="42">
        <v>98</v>
      </c>
      <c r="J2267" s="42">
        <v>116</v>
      </c>
      <c r="K2267" s="312">
        <v>0</v>
      </c>
      <c r="L2267" s="66">
        <f t="shared" si="556"/>
        <v>214</v>
      </c>
      <c r="M2267" s="42"/>
    </row>
    <row r="2268" spans="2:13" ht="15.75" hidden="1" x14ac:dyDescent="0.2">
      <c r="B2268" s="104">
        <v>46254</v>
      </c>
      <c r="C2268" s="10" t="s">
        <v>105</v>
      </c>
      <c r="D2268" s="10" t="s">
        <v>13</v>
      </c>
      <c r="F2268" s="935"/>
      <c r="G2268" s="29" t="s">
        <v>17</v>
      </c>
      <c r="H2268" s="29" t="s">
        <v>105</v>
      </c>
      <c r="I2268" s="42">
        <v>0</v>
      </c>
      <c r="J2268" s="42">
        <v>0</v>
      </c>
      <c r="K2268" s="312">
        <v>80</v>
      </c>
      <c r="L2268" s="66">
        <f t="shared" si="556"/>
        <v>80</v>
      </c>
      <c r="M2268" s="42"/>
    </row>
    <row r="2269" spans="2:13" ht="15.75" hidden="1" x14ac:dyDescent="0.2">
      <c r="B2269" s="104">
        <v>46254</v>
      </c>
      <c r="C2269" s="10" t="s">
        <v>105</v>
      </c>
      <c r="D2269" s="10" t="s">
        <v>13</v>
      </c>
      <c r="F2269" s="936"/>
      <c r="G2269" s="29" t="s">
        <v>14</v>
      </c>
      <c r="H2269" s="29" t="s">
        <v>106</v>
      </c>
      <c r="I2269" s="42">
        <v>122</v>
      </c>
      <c r="J2269" s="42">
        <v>41</v>
      </c>
      <c r="K2269" s="312">
        <v>10</v>
      </c>
      <c r="L2269" s="66">
        <f t="shared" si="556"/>
        <v>173</v>
      </c>
      <c r="M2269" s="42"/>
    </row>
    <row r="2270" spans="2:13" ht="15.75" hidden="1" x14ac:dyDescent="0.2">
      <c r="B2270" s="104">
        <v>46254</v>
      </c>
      <c r="C2270" s="10" t="s">
        <v>105</v>
      </c>
      <c r="D2270" s="10" t="s">
        <v>13</v>
      </c>
      <c r="F2270" s="937" t="s">
        <v>40</v>
      </c>
      <c r="G2270" s="937"/>
      <c r="H2270" s="937"/>
      <c r="I2270" s="8">
        <f>SUM(I2263:I2269)</f>
        <v>300</v>
      </c>
      <c r="J2270" s="8">
        <f t="shared" ref="J2270:L2270" si="557">SUM(J2263:J2269)</f>
        <v>195</v>
      </c>
      <c r="K2270" s="8">
        <f t="shared" si="557"/>
        <v>90</v>
      </c>
      <c r="L2270" s="8">
        <f t="shared" si="557"/>
        <v>585</v>
      </c>
      <c r="M2270" s="316"/>
    </row>
    <row r="2271" spans="2:13" ht="15.75" hidden="1" x14ac:dyDescent="0.2">
      <c r="B2271" s="104">
        <v>46255</v>
      </c>
      <c r="C2271" s="10" t="s">
        <v>106</v>
      </c>
      <c r="D2271" s="10" t="s">
        <v>192</v>
      </c>
      <c r="F2271" s="939">
        <v>46255</v>
      </c>
      <c r="G2271" s="29" t="s">
        <v>16</v>
      </c>
      <c r="H2271" s="29" t="s">
        <v>112</v>
      </c>
      <c r="I2271" s="42">
        <v>8</v>
      </c>
      <c r="J2271" s="42">
        <v>15</v>
      </c>
      <c r="K2271" s="312">
        <v>0</v>
      </c>
      <c r="L2271" s="66">
        <f>SUM(I2271:K2271)</f>
        <v>23</v>
      </c>
      <c r="M2271" s="380"/>
    </row>
    <row r="2272" spans="2:13" ht="15.75" hidden="1" x14ac:dyDescent="0.2">
      <c r="B2272" s="104">
        <v>46255</v>
      </c>
      <c r="C2272" s="10" t="s">
        <v>106</v>
      </c>
      <c r="D2272" s="10" t="s">
        <v>192</v>
      </c>
      <c r="F2272" s="940"/>
      <c r="G2272" s="29" t="s">
        <v>14</v>
      </c>
      <c r="H2272" s="29" t="s">
        <v>106</v>
      </c>
      <c r="I2272" s="42">
        <v>21</v>
      </c>
      <c r="J2272" s="42">
        <v>9</v>
      </c>
      <c r="K2272" s="312">
        <v>0</v>
      </c>
      <c r="L2272" s="66">
        <f t="shared" ref="L2272:L2277" si="558">SUM(I2272:K2272)</f>
        <v>30</v>
      </c>
      <c r="M2272" s="380"/>
    </row>
    <row r="2273" spans="2:13" ht="15.75" hidden="1" x14ac:dyDescent="0.2">
      <c r="B2273" s="104">
        <v>46255</v>
      </c>
      <c r="C2273" s="10" t="s">
        <v>106</v>
      </c>
      <c r="D2273" s="10" t="s">
        <v>192</v>
      </c>
      <c r="F2273" s="940"/>
      <c r="G2273" s="29" t="s">
        <v>17</v>
      </c>
      <c r="H2273" s="29" t="s">
        <v>105</v>
      </c>
      <c r="I2273" s="42">
        <v>100</v>
      </c>
      <c r="J2273" s="42">
        <v>51</v>
      </c>
      <c r="K2273" s="312">
        <v>0</v>
      </c>
      <c r="L2273" s="66">
        <f t="shared" si="558"/>
        <v>151</v>
      </c>
      <c r="M2273" s="380"/>
    </row>
    <row r="2274" spans="2:13" ht="15.75" hidden="1" x14ac:dyDescent="0.2">
      <c r="B2274" s="104">
        <v>46255</v>
      </c>
      <c r="C2274" s="10" t="s">
        <v>106</v>
      </c>
      <c r="D2274" s="10" t="s">
        <v>192</v>
      </c>
      <c r="F2274" s="941"/>
      <c r="G2274" s="29" t="s">
        <v>25</v>
      </c>
      <c r="H2274" s="29" t="s">
        <v>106</v>
      </c>
      <c r="I2274" s="42">
        <v>2</v>
      </c>
      <c r="J2274" s="42">
        <v>5</v>
      </c>
      <c r="K2274" s="312">
        <v>0</v>
      </c>
      <c r="L2274" s="66">
        <f t="shared" si="558"/>
        <v>7</v>
      </c>
      <c r="M2274" s="380"/>
    </row>
    <row r="2275" spans="2:13" ht="15.75" hidden="1" x14ac:dyDescent="0.2">
      <c r="B2275" s="104">
        <v>46255</v>
      </c>
      <c r="C2275" s="10" t="s">
        <v>106</v>
      </c>
      <c r="D2275" s="10" t="s">
        <v>192</v>
      </c>
      <c r="F2275" s="934">
        <v>46256</v>
      </c>
      <c r="G2275" s="29" t="s">
        <v>16</v>
      </c>
      <c r="H2275" s="29" t="s">
        <v>105</v>
      </c>
      <c r="I2275" s="42">
        <v>0</v>
      </c>
      <c r="J2275" s="42">
        <v>0</v>
      </c>
      <c r="K2275" s="312">
        <v>190</v>
      </c>
      <c r="L2275" s="66">
        <f t="shared" si="558"/>
        <v>190</v>
      </c>
      <c r="M2275" s="380"/>
    </row>
    <row r="2276" spans="2:13" ht="15.75" hidden="1" x14ac:dyDescent="0.2">
      <c r="B2276" s="104">
        <v>46255</v>
      </c>
      <c r="C2276" s="10" t="s">
        <v>106</v>
      </c>
      <c r="D2276" s="10" t="s">
        <v>192</v>
      </c>
      <c r="F2276" s="935"/>
      <c r="G2276" s="29" t="s">
        <v>180</v>
      </c>
      <c r="H2276" s="29" t="s">
        <v>105</v>
      </c>
      <c r="I2276" s="42">
        <v>22</v>
      </c>
      <c r="J2276" s="42">
        <v>4</v>
      </c>
      <c r="K2276" s="312">
        <v>0</v>
      </c>
      <c r="L2276" s="66">
        <f t="shared" si="558"/>
        <v>26</v>
      </c>
      <c r="M2276" s="380"/>
    </row>
    <row r="2277" spans="2:13" ht="15.75" hidden="1" x14ac:dyDescent="0.2">
      <c r="B2277" s="104">
        <v>46255</v>
      </c>
      <c r="C2277" s="10" t="s">
        <v>106</v>
      </c>
      <c r="D2277" s="10" t="s">
        <v>192</v>
      </c>
      <c r="F2277" s="936"/>
      <c r="G2277" s="29" t="s">
        <v>25</v>
      </c>
      <c r="H2277" s="29" t="s">
        <v>105</v>
      </c>
      <c r="I2277" s="42">
        <v>0</v>
      </c>
      <c r="J2277" s="42">
        <v>0</v>
      </c>
      <c r="K2277" s="312">
        <v>30</v>
      </c>
      <c r="L2277" s="66">
        <f t="shared" si="558"/>
        <v>30</v>
      </c>
      <c r="M2277" s="380"/>
    </row>
    <row r="2278" spans="2:13" ht="15.75" hidden="1" x14ac:dyDescent="0.2">
      <c r="B2278" s="104">
        <v>46255</v>
      </c>
      <c r="C2278" s="10" t="s">
        <v>106</v>
      </c>
      <c r="D2278" s="10" t="s">
        <v>192</v>
      </c>
      <c r="F2278" s="937" t="s">
        <v>40</v>
      </c>
      <c r="G2278" s="937"/>
      <c r="H2278" s="937"/>
      <c r="I2278" s="8">
        <f>SUM(I2271:I2277)</f>
        <v>153</v>
      </c>
      <c r="J2278" s="8">
        <f>SUM(J2271:J2277)</f>
        <v>84</v>
      </c>
      <c r="K2278" s="8">
        <f>SUM(K2271:K2277)</f>
        <v>220</v>
      </c>
      <c r="L2278" s="8">
        <f>SUM(L2271:L2277)</f>
        <v>457</v>
      </c>
      <c r="M2278" s="504"/>
    </row>
    <row r="2279" spans="2:13" ht="15.75" hidden="1" x14ac:dyDescent="0.2">
      <c r="B2279" s="104">
        <v>46255</v>
      </c>
      <c r="C2279" s="10" t="s">
        <v>105</v>
      </c>
      <c r="D2279" s="10" t="s">
        <v>13</v>
      </c>
      <c r="F2279" s="939">
        <v>46255</v>
      </c>
      <c r="G2279" s="29" t="s">
        <v>16</v>
      </c>
      <c r="H2279" s="29" t="s">
        <v>112</v>
      </c>
      <c r="I2279" s="42">
        <v>2</v>
      </c>
      <c r="J2279" s="42">
        <v>14</v>
      </c>
      <c r="K2279" s="312">
        <v>0</v>
      </c>
      <c r="L2279" s="66">
        <f>SUM(I2279:K2279)</f>
        <v>16</v>
      </c>
      <c r="M2279" s="380"/>
    </row>
    <row r="2280" spans="2:13" ht="15.75" hidden="1" x14ac:dyDescent="0.2">
      <c r="B2280" s="104">
        <v>46255</v>
      </c>
      <c r="C2280" s="10" t="s">
        <v>105</v>
      </c>
      <c r="D2280" s="10" t="s">
        <v>13</v>
      </c>
      <c r="F2280" s="940"/>
      <c r="G2280" s="29" t="s">
        <v>118</v>
      </c>
      <c r="H2280" s="29" t="s">
        <v>105</v>
      </c>
      <c r="I2280" s="42">
        <v>6</v>
      </c>
      <c r="J2280" s="42">
        <v>0</v>
      </c>
      <c r="K2280" s="312">
        <v>0</v>
      </c>
      <c r="L2280" s="66">
        <f t="shared" ref="L2280:L2286" si="559">SUM(I2280:K2280)</f>
        <v>6</v>
      </c>
      <c r="M2280" s="380"/>
    </row>
    <row r="2281" spans="2:13" ht="15.75" hidden="1" x14ac:dyDescent="0.2">
      <c r="B2281" s="104">
        <v>46255</v>
      </c>
      <c r="C2281" s="10" t="s">
        <v>105</v>
      </c>
      <c r="D2281" s="10" t="s">
        <v>13</v>
      </c>
      <c r="F2281" s="940"/>
      <c r="G2281" s="29" t="s">
        <v>17</v>
      </c>
      <c r="H2281" s="29" t="s">
        <v>105</v>
      </c>
      <c r="I2281" s="42">
        <v>27</v>
      </c>
      <c r="J2281" s="42">
        <v>28</v>
      </c>
      <c r="K2281" s="312">
        <v>0</v>
      </c>
      <c r="L2281" s="66">
        <f t="shared" si="559"/>
        <v>55</v>
      </c>
      <c r="M2281" s="380"/>
    </row>
    <row r="2282" spans="2:13" ht="15.75" hidden="1" x14ac:dyDescent="0.2">
      <c r="B2282" s="104">
        <v>46255</v>
      </c>
      <c r="C2282" s="10" t="s">
        <v>105</v>
      </c>
      <c r="D2282" s="10" t="s">
        <v>13</v>
      </c>
      <c r="F2282" s="941"/>
      <c r="G2282" s="29" t="s">
        <v>32</v>
      </c>
      <c r="H2282" s="29" t="s">
        <v>105</v>
      </c>
      <c r="I2282" s="42">
        <v>13</v>
      </c>
      <c r="J2282" s="42">
        <v>7</v>
      </c>
      <c r="K2282" s="312">
        <v>0</v>
      </c>
      <c r="L2282" s="66">
        <f t="shared" si="559"/>
        <v>20</v>
      </c>
      <c r="M2282" s="380"/>
    </row>
    <row r="2283" spans="2:13" ht="15.75" hidden="1" x14ac:dyDescent="0.2">
      <c r="B2283" s="104">
        <v>46255</v>
      </c>
      <c r="C2283" s="10" t="s">
        <v>105</v>
      </c>
      <c r="D2283" s="10" t="s">
        <v>13</v>
      </c>
      <c r="F2283" s="934">
        <v>46256</v>
      </c>
      <c r="G2283" s="29" t="s">
        <v>16</v>
      </c>
      <c r="H2283" s="29" t="s">
        <v>106</v>
      </c>
      <c r="I2283" s="42">
        <v>100</v>
      </c>
      <c r="J2283" s="42">
        <v>103</v>
      </c>
      <c r="K2283" s="312">
        <v>0</v>
      </c>
      <c r="L2283" s="66">
        <f t="shared" si="559"/>
        <v>203</v>
      </c>
      <c r="M2283" s="380"/>
    </row>
    <row r="2284" spans="2:13" ht="15.75" hidden="1" x14ac:dyDescent="0.2">
      <c r="B2284" s="104">
        <v>46255</v>
      </c>
      <c r="C2284" s="10" t="s">
        <v>105</v>
      </c>
      <c r="D2284" s="10" t="s">
        <v>13</v>
      </c>
      <c r="F2284" s="935"/>
      <c r="G2284" s="29" t="s">
        <v>14</v>
      </c>
      <c r="H2284" s="29" t="s">
        <v>106</v>
      </c>
      <c r="I2284" s="42">
        <v>6</v>
      </c>
      <c r="J2284" s="42">
        <v>2</v>
      </c>
      <c r="K2284" s="312">
        <v>0</v>
      </c>
      <c r="L2284" s="66">
        <f t="shared" si="559"/>
        <v>8</v>
      </c>
      <c r="M2284" s="380"/>
    </row>
    <row r="2285" spans="2:13" ht="15.75" hidden="1" x14ac:dyDescent="0.2">
      <c r="B2285" s="104">
        <v>46255</v>
      </c>
      <c r="C2285" s="10" t="s">
        <v>105</v>
      </c>
      <c r="D2285" s="10" t="s">
        <v>13</v>
      </c>
      <c r="F2285" s="935"/>
      <c r="G2285" s="29" t="s">
        <v>17</v>
      </c>
      <c r="H2285" s="29" t="s">
        <v>105</v>
      </c>
      <c r="I2285" s="42">
        <v>0</v>
      </c>
      <c r="J2285" s="42">
        <v>0</v>
      </c>
      <c r="K2285" s="312">
        <v>86</v>
      </c>
      <c r="L2285" s="66">
        <f t="shared" si="559"/>
        <v>86</v>
      </c>
      <c r="M2285" s="380"/>
    </row>
    <row r="2286" spans="2:13" ht="15.75" hidden="1" x14ac:dyDescent="0.2">
      <c r="B2286" s="104">
        <v>46255</v>
      </c>
      <c r="C2286" s="10" t="s">
        <v>105</v>
      </c>
      <c r="D2286" s="10" t="s">
        <v>13</v>
      </c>
      <c r="F2286" s="935"/>
      <c r="G2286" s="29" t="s">
        <v>25</v>
      </c>
      <c r="H2286" s="29" t="s">
        <v>106</v>
      </c>
      <c r="I2286" s="42">
        <v>128</v>
      </c>
      <c r="J2286" s="42">
        <v>32</v>
      </c>
      <c r="K2286" s="312">
        <v>0</v>
      </c>
      <c r="L2286" s="66">
        <f t="shared" si="559"/>
        <v>160</v>
      </c>
      <c r="M2286" s="380"/>
    </row>
    <row r="2287" spans="2:13" ht="15.75" hidden="1" x14ac:dyDescent="0.2">
      <c r="B2287" s="104">
        <v>46255</v>
      </c>
      <c r="C2287" s="10" t="s">
        <v>105</v>
      </c>
      <c r="D2287" s="10" t="s">
        <v>13</v>
      </c>
      <c r="F2287" s="937" t="s">
        <v>40</v>
      </c>
      <c r="G2287" s="937"/>
      <c r="H2287" s="937"/>
      <c r="I2287" s="8">
        <f>SUM(I2279:I2286)</f>
        <v>282</v>
      </c>
      <c r="J2287" s="8">
        <f t="shared" ref="J2287:L2287" si="560">SUM(J2279:J2286)</f>
        <v>186</v>
      </c>
      <c r="K2287" s="8">
        <f t="shared" si="560"/>
        <v>86</v>
      </c>
      <c r="L2287" s="8">
        <f t="shared" si="560"/>
        <v>554</v>
      </c>
      <c r="M2287" s="504"/>
    </row>
    <row r="2288" spans="2:13" ht="15.75" hidden="1" x14ac:dyDescent="0.2">
      <c r="B2288" s="104">
        <v>46256</v>
      </c>
      <c r="C2288" s="10" t="s">
        <v>106</v>
      </c>
      <c r="D2288" s="10" t="s">
        <v>192</v>
      </c>
      <c r="F2288" s="942">
        <v>46256</v>
      </c>
      <c r="G2288" s="29" t="s">
        <v>16</v>
      </c>
      <c r="H2288" s="29" t="s">
        <v>112</v>
      </c>
      <c r="I2288" s="42">
        <v>40</v>
      </c>
      <c r="J2288" s="42">
        <v>32</v>
      </c>
      <c r="K2288" s="312">
        <v>0</v>
      </c>
      <c r="L2288" s="66">
        <f>SUM(I2288:K2288)</f>
        <v>72</v>
      </c>
      <c r="M2288" s="380"/>
    </row>
    <row r="2289" spans="2:13" ht="15.75" hidden="1" x14ac:dyDescent="0.2">
      <c r="B2289" s="104">
        <v>46256</v>
      </c>
      <c r="C2289" s="10" t="s">
        <v>106</v>
      </c>
      <c r="D2289" s="10" t="s">
        <v>192</v>
      </c>
      <c r="F2289" s="942"/>
      <c r="G2289" s="29" t="s">
        <v>25</v>
      </c>
      <c r="H2289" s="29" t="s">
        <v>106</v>
      </c>
      <c r="I2289" s="42">
        <v>28</v>
      </c>
      <c r="J2289" s="42">
        <v>6</v>
      </c>
      <c r="K2289" s="312">
        <v>0</v>
      </c>
      <c r="L2289" s="66">
        <f t="shared" ref="L2289:L2293" si="561">SUM(I2289:K2289)</f>
        <v>34</v>
      </c>
      <c r="M2289" s="380"/>
    </row>
    <row r="2290" spans="2:13" ht="15.75" hidden="1" x14ac:dyDescent="0.2">
      <c r="B2290" s="104">
        <v>46256</v>
      </c>
      <c r="C2290" s="10" t="s">
        <v>106</v>
      </c>
      <c r="D2290" s="10" t="s">
        <v>192</v>
      </c>
      <c r="F2290" s="942"/>
      <c r="G2290" s="29" t="s">
        <v>180</v>
      </c>
      <c r="H2290" s="29" t="s">
        <v>106</v>
      </c>
      <c r="I2290" s="42">
        <v>28</v>
      </c>
      <c r="J2290" s="42">
        <v>0</v>
      </c>
      <c r="K2290" s="312">
        <v>0</v>
      </c>
      <c r="L2290" s="66">
        <f t="shared" si="561"/>
        <v>28</v>
      </c>
      <c r="M2290" s="380"/>
    </row>
    <row r="2291" spans="2:13" ht="15.75" hidden="1" x14ac:dyDescent="0.2">
      <c r="B2291" s="104">
        <v>46256</v>
      </c>
      <c r="C2291" s="10" t="s">
        <v>106</v>
      </c>
      <c r="D2291" s="10" t="s">
        <v>192</v>
      </c>
      <c r="F2291" s="942"/>
      <c r="G2291" s="29" t="s">
        <v>17</v>
      </c>
      <c r="H2291" s="29" t="s">
        <v>105</v>
      </c>
      <c r="I2291" s="42">
        <v>91</v>
      </c>
      <c r="J2291" s="42">
        <v>37</v>
      </c>
      <c r="K2291" s="312">
        <v>15</v>
      </c>
      <c r="L2291" s="66">
        <f t="shared" si="561"/>
        <v>143</v>
      </c>
      <c r="M2291" s="380"/>
    </row>
    <row r="2292" spans="2:13" ht="15.75" hidden="1" x14ac:dyDescent="0.2">
      <c r="B2292" s="104">
        <v>46256</v>
      </c>
      <c r="C2292" s="10" t="s">
        <v>106</v>
      </c>
      <c r="D2292" s="10" t="s">
        <v>192</v>
      </c>
      <c r="F2292" s="505">
        <v>46257</v>
      </c>
      <c r="G2292" s="29" t="s">
        <v>16</v>
      </c>
      <c r="H2292" s="29" t="s">
        <v>106</v>
      </c>
      <c r="I2292" s="42">
        <v>0</v>
      </c>
      <c r="J2292" s="42">
        <v>0</v>
      </c>
      <c r="K2292" s="312">
        <v>165</v>
      </c>
      <c r="L2292" s="66">
        <f t="shared" si="561"/>
        <v>165</v>
      </c>
      <c r="M2292" s="380"/>
    </row>
    <row r="2293" spans="2:13" ht="15.75" hidden="1" x14ac:dyDescent="0.2">
      <c r="B2293" s="104">
        <v>46256</v>
      </c>
      <c r="C2293" s="10" t="s">
        <v>106</v>
      </c>
      <c r="D2293" s="10" t="s">
        <v>192</v>
      </c>
      <c r="F2293" s="501">
        <v>46258</v>
      </c>
      <c r="G2293" s="29" t="s">
        <v>84</v>
      </c>
      <c r="H2293" s="29" t="s">
        <v>106</v>
      </c>
      <c r="I2293" s="42">
        <v>0</v>
      </c>
      <c r="J2293" s="42">
        <v>0</v>
      </c>
      <c r="K2293" s="312">
        <v>15</v>
      </c>
      <c r="L2293" s="66">
        <f t="shared" si="561"/>
        <v>15</v>
      </c>
      <c r="M2293" s="380"/>
    </row>
    <row r="2294" spans="2:13" ht="15.75" hidden="1" x14ac:dyDescent="0.2">
      <c r="B2294" s="104">
        <v>46256</v>
      </c>
      <c r="C2294" s="10" t="s">
        <v>106</v>
      </c>
      <c r="D2294" s="10" t="s">
        <v>192</v>
      </c>
      <c r="F2294" s="937" t="s">
        <v>40</v>
      </c>
      <c r="G2294" s="937"/>
      <c r="H2294" s="937"/>
      <c r="I2294" s="8">
        <f>SUM(I2288:I2293)</f>
        <v>187</v>
      </c>
      <c r="J2294" s="8">
        <f>SUM(J2288:J2293)</f>
        <v>75</v>
      </c>
      <c r="K2294" s="8">
        <f>SUM(K2288:K2293)</f>
        <v>195</v>
      </c>
      <c r="L2294" s="8">
        <f>SUM(L2288:L2293)</f>
        <v>457</v>
      </c>
      <c r="M2294" s="504"/>
    </row>
    <row r="2295" spans="2:13" ht="15.75" hidden="1" x14ac:dyDescent="0.2">
      <c r="B2295" s="104">
        <v>46256</v>
      </c>
      <c r="C2295" s="10" t="s">
        <v>105</v>
      </c>
      <c r="D2295" s="10" t="s">
        <v>13</v>
      </c>
      <c r="F2295" s="942">
        <v>46256</v>
      </c>
      <c r="G2295" s="29" t="s">
        <v>16</v>
      </c>
      <c r="H2295" s="29" t="s">
        <v>112</v>
      </c>
      <c r="I2295" s="42">
        <v>18</v>
      </c>
      <c r="J2295" s="42">
        <v>4</v>
      </c>
      <c r="K2295" s="312">
        <v>0</v>
      </c>
      <c r="L2295" s="66">
        <f>SUM(I2295:K2295)</f>
        <v>22</v>
      </c>
      <c r="M2295" s="380"/>
    </row>
    <row r="2296" spans="2:13" ht="15.75" hidden="1" x14ac:dyDescent="0.2">
      <c r="B2296" s="104">
        <v>46256</v>
      </c>
      <c r="C2296" s="10" t="s">
        <v>105</v>
      </c>
      <c r="D2296" s="10" t="s">
        <v>13</v>
      </c>
      <c r="F2296" s="942"/>
      <c r="G2296" s="29" t="s">
        <v>17</v>
      </c>
      <c r="H2296" s="29" t="s">
        <v>105</v>
      </c>
      <c r="I2296" s="42">
        <v>42</v>
      </c>
      <c r="J2296" s="42">
        <v>24</v>
      </c>
      <c r="K2296" s="312">
        <v>0</v>
      </c>
      <c r="L2296" s="66">
        <f t="shared" ref="L2296:L2301" si="562">SUM(I2296:K2296)</f>
        <v>66</v>
      </c>
      <c r="M2296" s="380"/>
    </row>
    <row r="2297" spans="2:13" ht="15.75" hidden="1" x14ac:dyDescent="0.2">
      <c r="B2297" s="104">
        <v>46256</v>
      </c>
      <c r="C2297" s="10" t="s">
        <v>105</v>
      </c>
      <c r="D2297" s="10" t="s">
        <v>13</v>
      </c>
      <c r="F2297" s="942"/>
      <c r="G2297" s="29" t="s">
        <v>32</v>
      </c>
      <c r="H2297" s="29" t="s">
        <v>105</v>
      </c>
      <c r="I2297" s="42">
        <v>10</v>
      </c>
      <c r="J2297" s="42">
        <v>6</v>
      </c>
      <c r="K2297" s="312">
        <v>0</v>
      </c>
      <c r="L2297" s="66">
        <f t="shared" si="562"/>
        <v>16</v>
      </c>
      <c r="M2297" s="380"/>
    </row>
    <row r="2298" spans="2:13" ht="15.75" hidden="1" x14ac:dyDescent="0.2">
      <c r="B2298" s="104">
        <v>46256</v>
      </c>
      <c r="C2298" s="10" t="s">
        <v>105</v>
      </c>
      <c r="D2298" s="10" t="s">
        <v>13</v>
      </c>
      <c r="F2298" s="942"/>
      <c r="G2298" s="29" t="s">
        <v>118</v>
      </c>
      <c r="H2298" s="29" t="s">
        <v>105</v>
      </c>
      <c r="I2298" s="42">
        <v>2</v>
      </c>
      <c r="J2298" s="42">
        <v>0</v>
      </c>
      <c r="K2298" s="312">
        <v>0</v>
      </c>
      <c r="L2298" s="66">
        <f t="shared" si="562"/>
        <v>2</v>
      </c>
      <c r="M2298" s="380"/>
    </row>
    <row r="2299" spans="2:13" ht="15.75" hidden="1" x14ac:dyDescent="0.2">
      <c r="B2299" s="104">
        <v>46256</v>
      </c>
      <c r="C2299" s="10" t="s">
        <v>105</v>
      </c>
      <c r="D2299" s="10" t="s">
        <v>13</v>
      </c>
      <c r="F2299" s="934">
        <v>46257</v>
      </c>
      <c r="G2299" s="29" t="s">
        <v>25</v>
      </c>
      <c r="H2299" s="29" t="s">
        <v>106</v>
      </c>
      <c r="I2299" s="42">
        <v>147</v>
      </c>
      <c r="J2299" s="42">
        <v>27</v>
      </c>
      <c r="K2299" s="312">
        <v>0</v>
      </c>
      <c r="L2299" s="66">
        <f t="shared" si="562"/>
        <v>174</v>
      </c>
      <c r="M2299" s="380"/>
    </row>
    <row r="2300" spans="2:13" ht="15.75" hidden="1" x14ac:dyDescent="0.2">
      <c r="B2300" s="104">
        <v>46256</v>
      </c>
      <c r="C2300" s="10" t="s">
        <v>105</v>
      </c>
      <c r="D2300" s="10" t="s">
        <v>13</v>
      </c>
      <c r="F2300" s="936"/>
      <c r="G2300" s="29" t="s">
        <v>16</v>
      </c>
      <c r="H2300" s="29" t="s">
        <v>106</v>
      </c>
      <c r="I2300" s="42">
        <v>154</v>
      </c>
      <c r="J2300" s="42">
        <v>41</v>
      </c>
      <c r="K2300" s="312">
        <v>0</v>
      </c>
      <c r="L2300" s="66">
        <f t="shared" si="562"/>
        <v>195</v>
      </c>
      <c r="M2300" s="380"/>
    </row>
    <row r="2301" spans="2:13" ht="15.75" hidden="1" x14ac:dyDescent="0.2">
      <c r="B2301" s="104">
        <v>46256</v>
      </c>
      <c r="C2301" s="10" t="s">
        <v>105</v>
      </c>
      <c r="D2301" s="10" t="s">
        <v>13</v>
      </c>
      <c r="F2301" s="501">
        <v>46258</v>
      </c>
      <c r="G2301" s="29" t="s">
        <v>84</v>
      </c>
      <c r="H2301" s="29" t="s">
        <v>106</v>
      </c>
      <c r="I2301" s="42">
        <v>100</v>
      </c>
      <c r="J2301" s="42">
        <v>34</v>
      </c>
      <c r="K2301" s="312">
        <v>0</v>
      </c>
      <c r="L2301" s="66">
        <f t="shared" si="562"/>
        <v>134</v>
      </c>
      <c r="M2301" s="380"/>
    </row>
    <row r="2302" spans="2:13" ht="15.75" hidden="1" x14ac:dyDescent="0.2">
      <c r="B2302" s="104">
        <v>46256</v>
      </c>
      <c r="C2302" s="10" t="s">
        <v>105</v>
      </c>
      <c r="D2302" s="10" t="s">
        <v>13</v>
      </c>
      <c r="F2302" s="937" t="s">
        <v>40</v>
      </c>
      <c r="G2302" s="937"/>
      <c r="H2302" s="937"/>
      <c r="I2302" s="8">
        <f>SUM(I2295:I2301)</f>
        <v>473</v>
      </c>
      <c r="J2302" s="8">
        <f>SUM(J2295:J2301)</f>
        <v>136</v>
      </c>
      <c r="K2302" s="8">
        <f>SUM(K2295:K2301)</f>
        <v>0</v>
      </c>
      <c r="L2302" s="8">
        <f>SUM(L2295:L2301)</f>
        <v>609</v>
      </c>
      <c r="M2302" s="504"/>
    </row>
    <row r="2303" spans="2:13" ht="15.75" hidden="1" x14ac:dyDescent="0.2">
      <c r="B2303" s="104">
        <v>46257</v>
      </c>
      <c r="C2303" s="10" t="s">
        <v>106</v>
      </c>
      <c r="D2303" s="10" t="s">
        <v>192</v>
      </c>
      <c r="F2303" s="939">
        <v>46257</v>
      </c>
      <c r="G2303" s="29" t="s">
        <v>16</v>
      </c>
      <c r="H2303" s="29" t="s">
        <v>112</v>
      </c>
      <c r="I2303" s="42">
        <v>37</v>
      </c>
      <c r="J2303" s="42">
        <v>14</v>
      </c>
      <c r="K2303" s="312">
        <v>0</v>
      </c>
      <c r="L2303" s="66">
        <f>SUM(I2303:K2303)</f>
        <v>51</v>
      </c>
      <c r="M2303" s="380"/>
    </row>
    <row r="2304" spans="2:13" ht="15.75" hidden="1" x14ac:dyDescent="0.2">
      <c r="B2304" s="104">
        <v>46257</v>
      </c>
      <c r="C2304" s="10" t="s">
        <v>106</v>
      </c>
      <c r="D2304" s="10" t="s">
        <v>192</v>
      </c>
      <c r="F2304" s="941"/>
      <c r="G2304" s="29" t="s">
        <v>25</v>
      </c>
      <c r="H2304" s="29" t="s">
        <v>106</v>
      </c>
      <c r="I2304" s="42">
        <v>12</v>
      </c>
      <c r="J2304" s="42">
        <v>18</v>
      </c>
      <c r="K2304" s="312">
        <v>0</v>
      </c>
      <c r="L2304" s="66">
        <f t="shared" ref="L2304:L2308" si="563">SUM(I2304:K2304)</f>
        <v>30</v>
      </c>
      <c r="M2304" s="380"/>
    </row>
    <row r="2305" spans="2:13" ht="15.75" hidden="1" x14ac:dyDescent="0.2">
      <c r="B2305" s="104">
        <v>46257</v>
      </c>
      <c r="C2305" s="10" t="s">
        <v>106</v>
      </c>
      <c r="D2305" s="10" t="s">
        <v>192</v>
      </c>
      <c r="F2305" s="934">
        <v>46258</v>
      </c>
      <c r="G2305" s="29" t="s">
        <v>16</v>
      </c>
      <c r="H2305" s="29" t="s">
        <v>106</v>
      </c>
      <c r="I2305" s="42">
        <v>106</v>
      </c>
      <c r="J2305" s="42">
        <v>84</v>
      </c>
      <c r="K2305" s="312">
        <v>0</v>
      </c>
      <c r="L2305" s="66">
        <f t="shared" si="563"/>
        <v>190</v>
      </c>
      <c r="M2305" s="380"/>
    </row>
    <row r="2306" spans="2:13" ht="15.75" hidden="1" x14ac:dyDescent="0.2">
      <c r="B2306" s="104">
        <v>46257</v>
      </c>
      <c r="C2306" s="10" t="s">
        <v>106</v>
      </c>
      <c r="D2306" s="10" t="s">
        <v>192</v>
      </c>
      <c r="F2306" s="935"/>
      <c r="G2306" s="29" t="s">
        <v>17</v>
      </c>
      <c r="H2306" s="29" t="s">
        <v>105</v>
      </c>
      <c r="I2306" s="42">
        <v>108</v>
      </c>
      <c r="J2306" s="42">
        <v>17</v>
      </c>
      <c r="K2306" s="312">
        <v>0</v>
      </c>
      <c r="L2306" s="66">
        <f t="shared" si="563"/>
        <v>125</v>
      </c>
      <c r="M2306" s="380"/>
    </row>
    <row r="2307" spans="2:13" ht="15.75" hidden="1" x14ac:dyDescent="0.2">
      <c r="B2307" s="104">
        <v>46257</v>
      </c>
      <c r="C2307" s="10" t="s">
        <v>106</v>
      </c>
      <c r="D2307" s="10" t="s">
        <v>192</v>
      </c>
      <c r="F2307" s="935"/>
      <c r="G2307" s="29" t="s">
        <v>84</v>
      </c>
      <c r="H2307" s="29" t="s">
        <v>106</v>
      </c>
      <c r="I2307" s="42">
        <v>0</v>
      </c>
      <c r="J2307" s="42">
        <v>0</v>
      </c>
      <c r="K2307" s="312">
        <f>54-15</f>
        <v>39</v>
      </c>
      <c r="L2307" s="66">
        <f t="shared" si="563"/>
        <v>39</v>
      </c>
      <c r="M2307" s="380"/>
    </row>
    <row r="2308" spans="2:13" ht="15.75" hidden="1" x14ac:dyDescent="0.2">
      <c r="B2308" s="104">
        <v>46257</v>
      </c>
      <c r="C2308" s="10" t="s">
        <v>106</v>
      </c>
      <c r="D2308" s="10" t="s">
        <v>192</v>
      </c>
      <c r="F2308" s="936"/>
      <c r="G2308" s="29" t="s">
        <v>14</v>
      </c>
      <c r="H2308" s="29" t="s">
        <v>106</v>
      </c>
      <c r="I2308" s="42">
        <v>5</v>
      </c>
      <c r="J2308" s="42">
        <v>2</v>
      </c>
      <c r="K2308" s="312">
        <v>0</v>
      </c>
      <c r="L2308" s="66">
        <f t="shared" si="563"/>
        <v>7</v>
      </c>
      <c r="M2308" s="380"/>
    </row>
    <row r="2309" spans="2:13" ht="15.75" hidden="1" x14ac:dyDescent="0.2">
      <c r="B2309" s="104">
        <v>46257</v>
      </c>
      <c r="C2309" s="10" t="s">
        <v>106</v>
      </c>
      <c r="D2309" s="10" t="s">
        <v>192</v>
      </c>
      <c r="F2309" s="937" t="s">
        <v>40</v>
      </c>
      <c r="G2309" s="937"/>
      <c r="H2309" s="937"/>
      <c r="I2309" s="8">
        <f>SUM(I2303:I2308)</f>
        <v>268</v>
      </c>
      <c r="J2309" s="8">
        <f>SUM(J2303:J2308)</f>
        <v>135</v>
      </c>
      <c r="K2309" s="8">
        <f>SUM(K2303:K2308)</f>
        <v>39</v>
      </c>
      <c r="L2309" s="8">
        <f>SUM(L2303:L2308)</f>
        <v>442</v>
      </c>
      <c r="M2309" s="504"/>
    </row>
    <row r="2310" spans="2:13" ht="15.75" hidden="1" x14ac:dyDescent="0.2">
      <c r="B2310" s="104">
        <v>46258</v>
      </c>
      <c r="C2310" s="10" t="s">
        <v>106</v>
      </c>
      <c r="D2310" s="10" t="s">
        <v>13</v>
      </c>
      <c r="F2310" s="938">
        <v>46258</v>
      </c>
      <c r="G2310" s="29" t="s">
        <v>16</v>
      </c>
      <c r="H2310" s="29" t="s">
        <v>112</v>
      </c>
      <c r="I2310" s="42">
        <v>17</v>
      </c>
      <c r="J2310" s="42">
        <v>18</v>
      </c>
      <c r="K2310" s="312">
        <v>0</v>
      </c>
      <c r="L2310" s="66">
        <f t="shared" ref="L2310:L2312" si="564">SUM(I2310:K2310)</f>
        <v>35</v>
      </c>
      <c r="M2310" s="380"/>
    </row>
    <row r="2311" spans="2:13" ht="15.75" hidden="1" x14ac:dyDescent="0.2">
      <c r="B2311" s="104">
        <v>46258</v>
      </c>
      <c r="C2311" s="10" t="s">
        <v>106</v>
      </c>
      <c r="D2311" s="10" t="s">
        <v>13</v>
      </c>
      <c r="F2311" s="938"/>
      <c r="G2311" s="29" t="s">
        <v>17</v>
      </c>
      <c r="H2311" s="29" t="s">
        <v>105</v>
      </c>
      <c r="I2311" s="42">
        <v>20</v>
      </c>
      <c r="J2311" s="42">
        <v>18</v>
      </c>
      <c r="K2311" s="312">
        <v>0</v>
      </c>
      <c r="L2311" s="66">
        <f t="shared" si="564"/>
        <v>38</v>
      </c>
      <c r="M2311" s="380"/>
    </row>
    <row r="2312" spans="2:13" ht="15.75" hidden="1" x14ac:dyDescent="0.2">
      <c r="B2312" s="104">
        <v>46258</v>
      </c>
      <c r="C2312" s="10" t="s">
        <v>106</v>
      </c>
      <c r="D2312" s="10" t="s">
        <v>13</v>
      </c>
      <c r="F2312" s="938"/>
      <c r="G2312" s="29" t="s">
        <v>84</v>
      </c>
      <c r="H2312" s="29" t="s">
        <v>106</v>
      </c>
      <c r="I2312" s="42">
        <v>38</v>
      </c>
      <c r="J2312" s="42">
        <v>7</v>
      </c>
      <c r="K2312" s="312">
        <f>54-15</f>
        <v>39</v>
      </c>
      <c r="L2312" s="66">
        <f t="shared" si="564"/>
        <v>84</v>
      </c>
      <c r="M2312" s="380"/>
    </row>
    <row r="2313" spans="2:13" ht="15.75" hidden="1" x14ac:dyDescent="0.2">
      <c r="B2313" s="104">
        <v>46258</v>
      </c>
      <c r="C2313" s="10" t="s">
        <v>106</v>
      </c>
      <c r="D2313" s="10" t="s">
        <v>13</v>
      </c>
      <c r="F2313" s="938"/>
      <c r="G2313" s="42" t="s">
        <v>14</v>
      </c>
      <c r="H2313" s="42" t="s">
        <v>106</v>
      </c>
      <c r="I2313" s="42">
        <v>70</v>
      </c>
      <c r="J2313" s="42">
        <v>25</v>
      </c>
      <c r="K2313" s="506">
        <v>43</v>
      </c>
      <c r="L2313" s="82">
        <f>SUM(I2313:K2313)</f>
        <v>138</v>
      </c>
      <c r="M2313" s="380"/>
    </row>
    <row r="2314" spans="2:13" ht="15.75" hidden="1" x14ac:dyDescent="0.2">
      <c r="B2314" s="104">
        <v>46258</v>
      </c>
      <c r="C2314" s="10" t="s">
        <v>106</v>
      </c>
      <c r="D2314" s="10" t="s">
        <v>13</v>
      </c>
      <c r="F2314" s="501">
        <v>46259</v>
      </c>
      <c r="G2314" s="42" t="s">
        <v>118</v>
      </c>
      <c r="H2314" s="42" t="s">
        <v>106</v>
      </c>
      <c r="I2314" s="42">
        <v>0</v>
      </c>
      <c r="J2314" s="42">
        <v>0</v>
      </c>
      <c r="K2314" s="506">
        <v>116</v>
      </c>
      <c r="L2314" s="82">
        <f>SUM(I2314:K2314)</f>
        <v>116</v>
      </c>
      <c r="M2314" s="380"/>
    </row>
    <row r="2315" spans="2:13" ht="15.75" hidden="1" x14ac:dyDescent="0.2">
      <c r="B2315" s="104">
        <v>46258</v>
      </c>
      <c r="C2315" s="10" t="s">
        <v>106</v>
      </c>
      <c r="D2315" s="10" t="s">
        <v>13</v>
      </c>
      <c r="F2315" s="937" t="s">
        <v>40</v>
      </c>
      <c r="G2315" s="937"/>
      <c r="H2315" s="937"/>
      <c r="I2315" s="8">
        <f>SUM(I2310:I2314)</f>
        <v>145</v>
      </c>
      <c r="J2315" s="8">
        <f>SUM(J2310:J2314)</f>
        <v>68</v>
      </c>
      <c r="K2315" s="8">
        <f>SUM(K2310:K2314)</f>
        <v>198</v>
      </c>
      <c r="L2315" s="8">
        <f>SUM(L2310:L2313)</f>
        <v>295</v>
      </c>
      <c r="M2315" s="504"/>
    </row>
    <row r="2316" spans="2:13" ht="15.75" hidden="1" x14ac:dyDescent="0.2">
      <c r="B2316" s="104">
        <v>46258</v>
      </c>
      <c r="C2316" s="10" t="s">
        <v>106</v>
      </c>
      <c r="D2316" s="10" t="s">
        <v>192</v>
      </c>
      <c r="F2316" s="939">
        <v>46258</v>
      </c>
      <c r="G2316" s="29" t="s">
        <v>16</v>
      </c>
      <c r="H2316" s="29" t="s">
        <v>100</v>
      </c>
      <c r="I2316" s="42">
        <v>4</v>
      </c>
      <c r="J2316" s="42">
        <v>20</v>
      </c>
      <c r="K2316" s="312">
        <v>0</v>
      </c>
      <c r="L2316" s="66">
        <f>SUM(I2316:K2316)</f>
        <v>24</v>
      </c>
      <c r="M2316" s="380"/>
    </row>
    <row r="2317" spans="2:13" ht="15.75" hidden="1" x14ac:dyDescent="0.2">
      <c r="B2317" s="104">
        <v>46258</v>
      </c>
      <c r="C2317" s="10" t="s">
        <v>106</v>
      </c>
      <c r="D2317" s="10" t="s">
        <v>192</v>
      </c>
      <c r="F2317" s="940"/>
      <c r="G2317" s="29" t="s">
        <v>14</v>
      </c>
      <c r="H2317" s="29" t="s">
        <v>18</v>
      </c>
      <c r="I2317" s="42">
        <v>41</v>
      </c>
      <c r="J2317" s="42">
        <v>30</v>
      </c>
      <c r="K2317" s="312">
        <v>0</v>
      </c>
      <c r="L2317" s="66">
        <f>SUM(I2317:K2317)</f>
        <v>71</v>
      </c>
      <c r="M2317" s="380"/>
    </row>
    <row r="2318" spans="2:13" ht="15.75" hidden="1" x14ac:dyDescent="0.2">
      <c r="B2318" s="104">
        <v>46258</v>
      </c>
      <c r="C2318" s="10" t="s">
        <v>106</v>
      </c>
      <c r="D2318" s="10" t="s">
        <v>192</v>
      </c>
      <c r="F2318" s="941"/>
      <c r="G2318" s="29" t="s">
        <v>180</v>
      </c>
      <c r="H2318" s="29" t="s">
        <v>105</v>
      </c>
      <c r="I2318" s="42">
        <v>41</v>
      </c>
      <c r="J2318" s="42">
        <v>1</v>
      </c>
      <c r="K2318" s="312">
        <v>0</v>
      </c>
      <c r="L2318" s="66">
        <f t="shared" ref="L2318:L2323" si="565">SUM(I2318:K2318)</f>
        <v>42</v>
      </c>
      <c r="M2318" s="380"/>
    </row>
    <row r="2319" spans="2:13" ht="15.75" hidden="1" x14ac:dyDescent="0.2">
      <c r="B2319" s="104">
        <v>46258</v>
      </c>
      <c r="C2319" s="10" t="s">
        <v>106</v>
      </c>
      <c r="D2319" s="10" t="s">
        <v>192</v>
      </c>
      <c r="F2319" s="934">
        <v>46259</v>
      </c>
      <c r="G2319" s="29" t="s">
        <v>16</v>
      </c>
      <c r="H2319" s="29" t="s">
        <v>112</v>
      </c>
      <c r="I2319" s="42">
        <v>115</v>
      </c>
      <c r="J2319" s="42">
        <v>101</v>
      </c>
      <c r="K2319" s="312">
        <v>0</v>
      </c>
      <c r="L2319" s="66">
        <f t="shared" si="565"/>
        <v>216</v>
      </c>
      <c r="M2319" s="380"/>
    </row>
    <row r="2320" spans="2:13" ht="15.75" hidden="1" x14ac:dyDescent="0.2">
      <c r="B2320" s="104">
        <v>46258</v>
      </c>
      <c r="C2320" s="10" t="s">
        <v>106</v>
      </c>
      <c r="D2320" s="10" t="s">
        <v>192</v>
      </c>
      <c r="F2320" s="935"/>
      <c r="G2320" s="29" t="s">
        <v>17</v>
      </c>
      <c r="H2320" s="29" t="s">
        <v>106</v>
      </c>
      <c r="I2320" s="42">
        <v>10</v>
      </c>
      <c r="J2320" s="42">
        <v>1</v>
      </c>
      <c r="K2320" s="312">
        <v>74</v>
      </c>
      <c r="L2320" s="66">
        <f t="shared" si="565"/>
        <v>85</v>
      </c>
      <c r="M2320" s="380"/>
    </row>
    <row r="2321" spans="2:13" ht="15.75" hidden="1" x14ac:dyDescent="0.2">
      <c r="B2321" s="104">
        <v>46258</v>
      </c>
      <c r="C2321" s="10" t="s">
        <v>106</v>
      </c>
      <c r="D2321" s="10" t="s">
        <v>192</v>
      </c>
      <c r="F2321" s="935"/>
      <c r="G2321" s="29" t="s">
        <v>118</v>
      </c>
      <c r="H2321" s="29" t="s">
        <v>106</v>
      </c>
      <c r="I2321" s="42">
        <v>123</v>
      </c>
      <c r="J2321" s="42">
        <v>1</v>
      </c>
      <c r="K2321" s="312">
        <v>0</v>
      </c>
      <c r="L2321" s="66">
        <f t="shared" si="565"/>
        <v>124</v>
      </c>
      <c r="M2321" s="380"/>
    </row>
    <row r="2322" spans="2:13" ht="15.75" hidden="1" x14ac:dyDescent="0.2">
      <c r="B2322" s="104">
        <v>46258</v>
      </c>
      <c r="C2322" s="10" t="s">
        <v>106</v>
      </c>
      <c r="D2322" s="10" t="s">
        <v>192</v>
      </c>
      <c r="F2322" s="935"/>
      <c r="G2322" s="29" t="s">
        <v>84</v>
      </c>
      <c r="H2322" s="29" t="s">
        <v>106</v>
      </c>
      <c r="I2322" s="42">
        <v>0</v>
      </c>
      <c r="J2322" s="42">
        <v>0</v>
      </c>
      <c r="K2322" s="312">
        <v>9</v>
      </c>
      <c r="L2322" s="66">
        <f t="shared" si="565"/>
        <v>9</v>
      </c>
      <c r="M2322" s="380"/>
    </row>
    <row r="2323" spans="2:13" ht="15.75" hidden="1" x14ac:dyDescent="0.2">
      <c r="B2323" s="104">
        <v>46258</v>
      </c>
      <c r="C2323" s="10" t="s">
        <v>106</v>
      </c>
      <c r="D2323" s="10" t="s">
        <v>192</v>
      </c>
      <c r="F2323" s="936"/>
      <c r="G2323" s="29" t="s">
        <v>14</v>
      </c>
      <c r="H2323" s="29" t="s">
        <v>105</v>
      </c>
      <c r="I2323" s="42">
        <v>0</v>
      </c>
      <c r="J2323" s="42">
        <v>0</v>
      </c>
      <c r="K2323" s="312">
        <v>10</v>
      </c>
      <c r="L2323" s="66">
        <f t="shared" si="565"/>
        <v>10</v>
      </c>
      <c r="M2323" s="380"/>
    </row>
    <row r="2324" spans="2:13" ht="15.75" hidden="1" x14ac:dyDescent="0.2">
      <c r="B2324" s="104">
        <v>46258</v>
      </c>
      <c r="C2324" s="10" t="s">
        <v>106</v>
      </c>
      <c r="D2324" s="10" t="s">
        <v>192</v>
      </c>
      <c r="F2324" s="937" t="s">
        <v>40</v>
      </c>
      <c r="G2324" s="937"/>
      <c r="H2324" s="937"/>
      <c r="I2324" s="8">
        <f>SUM(I2316:I2323)</f>
        <v>334</v>
      </c>
      <c r="J2324" s="8">
        <f>SUM(J2316:J2323)</f>
        <v>154</v>
      </c>
      <c r="K2324" s="8">
        <f>SUM(K2316:K2323)</f>
        <v>93</v>
      </c>
      <c r="L2324" s="8">
        <f>SUM(L2316:L2323)</f>
        <v>581</v>
      </c>
      <c r="M2324" s="504"/>
    </row>
    <row r="2325" spans="2:13" ht="15.75" hidden="1" x14ac:dyDescent="0.2">
      <c r="B2325" s="104">
        <v>46259</v>
      </c>
      <c r="C2325" s="10" t="s">
        <v>106</v>
      </c>
      <c r="D2325" s="10" t="s">
        <v>201</v>
      </c>
      <c r="F2325" s="939">
        <v>46259</v>
      </c>
      <c r="G2325" s="29" t="s">
        <v>16</v>
      </c>
      <c r="H2325" s="29" t="s">
        <v>112</v>
      </c>
      <c r="I2325" s="42">
        <v>0</v>
      </c>
      <c r="J2325" s="42">
        <v>24</v>
      </c>
      <c r="K2325" s="312">
        <v>0</v>
      </c>
      <c r="L2325" s="66">
        <f t="shared" ref="L2325:L2329" si="566">SUM(I2325:K2325)</f>
        <v>24</v>
      </c>
      <c r="M2325" s="380"/>
    </row>
    <row r="2326" spans="2:13" ht="15.75" hidden="1" x14ac:dyDescent="0.2">
      <c r="B2326" s="104">
        <v>46259</v>
      </c>
      <c r="C2326" s="10" t="s">
        <v>106</v>
      </c>
      <c r="D2326" s="10" t="s">
        <v>201</v>
      </c>
      <c r="F2326" s="940"/>
      <c r="G2326" s="29" t="s">
        <v>17</v>
      </c>
      <c r="H2326" s="29" t="s">
        <v>106</v>
      </c>
      <c r="I2326" s="42">
        <v>92</v>
      </c>
      <c r="J2326" s="42">
        <v>18</v>
      </c>
      <c r="K2326" s="312">
        <v>0</v>
      </c>
      <c r="L2326" s="66">
        <f t="shared" si="566"/>
        <v>110</v>
      </c>
      <c r="M2326" s="380"/>
    </row>
    <row r="2327" spans="2:13" ht="15.75" hidden="1" x14ac:dyDescent="0.2">
      <c r="B2327" s="104">
        <v>46259</v>
      </c>
      <c r="C2327" s="10" t="s">
        <v>106</v>
      </c>
      <c r="D2327" s="10" t="s">
        <v>201</v>
      </c>
      <c r="F2327" s="940"/>
      <c r="G2327" s="29" t="s">
        <v>118</v>
      </c>
      <c r="H2327" s="29" t="s">
        <v>106</v>
      </c>
      <c r="I2327" s="42">
        <v>162</v>
      </c>
      <c r="J2327" s="42">
        <v>9</v>
      </c>
      <c r="K2327" s="312">
        <v>0</v>
      </c>
      <c r="L2327" s="66">
        <f t="shared" si="566"/>
        <v>171</v>
      </c>
      <c r="M2327" s="380"/>
    </row>
    <row r="2328" spans="2:13" ht="15.75" hidden="1" x14ac:dyDescent="0.2">
      <c r="B2328" s="104">
        <v>46259</v>
      </c>
      <c r="C2328" s="10" t="s">
        <v>106</v>
      </c>
      <c r="D2328" s="10" t="s">
        <v>201</v>
      </c>
      <c r="F2328" s="940"/>
      <c r="G2328" s="29" t="s">
        <v>84</v>
      </c>
      <c r="H2328" s="29" t="s">
        <v>106</v>
      </c>
      <c r="I2328" s="42">
        <v>45</v>
      </c>
      <c r="J2328" s="42">
        <v>18</v>
      </c>
      <c r="K2328" s="312">
        <v>0</v>
      </c>
      <c r="L2328" s="66">
        <f t="shared" si="566"/>
        <v>63</v>
      </c>
      <c r="M2328" s="380"/>
    </row>
    <row r="2329" spans="2:13" ht="15.75" hidden="1" x14ac:dyDescent="0.2">
      <c r="B2329" s="104">
        <v>46259</v>
      </c>
      <c r="C2329" s="10" t="s">
        <v>106</v>
      </c>
      <c r="D2329" s="10" t="s">
        <v>201</v>
      </c>
      <c r="F2329" s="941"/>
      <c r="G2329" s="29" t="s">
        <v>14</v>
      </c>
      <c r="H2329" s="29" t="s">
        <v>105</v>
      </c>
      <c r="I2329" s="42">
        <v>90</v>
      </c>
      <c r="J2329" s="42">
        <v>35</v>
      </c>
      <c r="K2329" s="312">
        <v>24</v>
      </c>
      <c r="L2329" s="66">
        <f t="shared" si="566"/>
        <v>149</v>
      </c>
      <c r="M2329" s="380"/>
    </row>
    <row r="2330" spans="2:13" ht="15.75" hidden="1" x14ac:dyDescent="0.2">
      <c r="B2330" s="104">
        <v>46259</v>
      </c>
      <c r="C2330" s="10" t="s">
        <v>106</v>
      </c>
      <c r="D2330" s="10" t="s">
        <v>201</v>
      </c>
      <c r="F2330" s="507">
        <v>46260</v>
      </c>
      <c r="G2330" s="29" t="s">
        <v>16</v>
      </c>
      <c r="H2330" s="29" t="s">
        <v>112</v>
      </c>
      <c r="I2330" s="42">
        <v>14</v>
      </c>
      <c r="J2330" s="42">
        <v>10</v>
      </c>
      <c r="K2330" s="312">
        <v>83</v>
      </c>
      <c r="L2330" s="66">
        <f t="shared" ref="L2330" si="567">SUM(I2330:K2330)</f>
        <v>107</v>
      </c>
      <c r="M2330" s="380"/>
    </row>
    <row r="2331" spans="2:13" ht="15.75" hidden="1" x14ac:dyDescent="0.2">
      <c r="B2331" s="104">
        <v>46259</v>
      </c>
      <c r="C2331" s="10" t="s">
        <v>106</v>
      </c>
      <c r="D2331" s="10" t="s">
        <v>201</v>
      </c>
      <c r="F2331" s="937" t="s">
        <v>40</v>
      </c>
      <c r="G2331" s="937"/>
      <c r="H2331" s="937"/>
      <c r="I2331" s="8">
        <f>SUM(I2325:I2330)</f>
        <v>403</v>
      </c>
      <c r="J2331" s="8">
        <f t="shared" ref="J2331:L2331" si="568">SUM(J2325:J2330)</f>
        <v>114</v>
      </c>
      <c r="K2331" s="8">
        <f t="shared" si="568"/>
        <v>107</v>
      </c>
      <c r="L2331" s="8">
        <f t="shared" si="568"/>
        <v>624</v>
      </c>
      <c r="M2331" s="504"/>
    </row>
    <row r="2332" spans="2:13" ht="15.75" hidden="1" x14ac:dyDescent="0.2">
      <c r="B2332" s="104">
        <v>46259</v>
      </c>
      <c r="C2332" s="10" t="s">
        <v>106</v>
      </c>
      <c r="D2332" s="10" t="s">
        <v>192</v>
      </c>
      <c r="F2332" s="939">
        <v>46259</v>
      </c>
      <c r="G2332" s="29" t="s">
        <v>16</v>
      </c>
      <c r="H2332" s="29" t="s">
        <v>112</v>
      </c>
      <c r="I2332" s="42">
        <v>23</v>
      </c>
      <c r="J2332" s="42">
        <v>13</v>
      </c>
      <c r="K2332" s="312">
        <v>0</v>
      </c>
      <c r="L2332" s="66">
        <f>SUM(I2332:K2332)</f>
        <v>36</v>
      </c>
      <c r="M2332" s="380"/>
    </row>
    <row r="2333" spans="2:13" ht="15.75" hidden="1" x14ac:dyDescent="0.2">
      <c r="B2333" s="104">
        <v>46259</v>
      </c>
      <c r="C2333" s="10" t="s">
        <v>106</v>
      </c>
      <c r="D2333" s="10" t="s">
        <v>192</v>
      </c>
      <c r="F2333" s="940"/>
      <c r="G2333" s="29" t="s">
        <v>14</v>
      </c>
      <c r="H2333" s="29" t="s">
        <v>105</v>
      </c>
      <c r="I2333" s="42">
        <v>39</v>
      </c>
      <c r="J2333" s="42">
        <v>14</v>
      </c>
      <c r="K2333" s="312">
        <v>0</v>
      </c>
      <c r="L2333" s="66">
        <f>SUM(I2333:K2333)</f>
        <v>53</v>
      </c>
      <c r="M2333" s="380"/>
    </row>
    <row r="2334" spans="2:13" ht="15.75" hidden="1" x14ac:dyDescent="0.2">
      <c r="B2334" s="104">
        <v>46259</v>
      </c>
      <c r="C2334" s="10" t="s">
        <v>106</v>
      </c>
      <c r="D2334" s="10" t="s">
        <v>192</v>
      </c>
      <c r="F2334" s="941"/>
      <c r="G2334" s="29" t="s">
        <v>180</v>
      </c>
      <c r="H2334" s="29" t="s">
        <v>105</v>
      </c>
      <c r="I2334" s="42">
        <v>9</v>
      </c>
      <c r="J2334" s="42">
        <v>0</v>
      </c>
      <c r="K2334" s="312">
        <v>0</v>
      </c>
      <c r="L2334" s="66">
        <f t="shared" ref="L2334:L2338" si="569">SUM(I2334:K2334)</f>
        <v>9</v>
      </c>
      <c r="M2334" s="380"/>
    </row>
    <row r="2335" spans="2:13" ht="15.75" hidden="1" x14ac:dyDescent="0.2">
      <c r="B2335" s="104">
        <v>46259</v>
      </c>
      <c r="C2335" s="10" t="s">
        <v>106</v>
      </c>
      <c r="D2335" s="10" t="s">
        <v>192</v>
      </c>
      <c r="F2335" s="934">
        <v>46260</v>
      </c>
      <c r="G2335" s="29" t="s">
        <v>16</v>
      </c>
      <c r="H2335" s="29" t="s">
        <v>112</v>
      </c>
      <c r="I2335" s="42">
        <v>104</v>
      </c>
      <c r="J2335" s="42">
        <v>74</v>
      </c>
      <c r="K2335" s="312">
        <v>0</v>
      </c>
      <c r="L2335" s="66">
        <f t="shared" si="569"/>
        <v>178</v>
      </c>
      <c r="M2335" s="380"/>
    </row>
    <row r="2336" spans="2:13" ht="15.75" hidden="1" x14ac:dyDescent="0.2">
      <c r="B2336" s="104">
        <v>46259</v>
      </c>
      <c r="C2336" s="10" t="s">
        <v>106</v>
      </c>
      <c r="D2336" s="10" t="s">
        <v>192</v>
      </c>
      <c r="F2336" s="935"/>
      <c r="G2336" s="29" t="s">
        <v>17</v>
      </c>
      <c r="H2336" s="29" t="s">
        <v>106</v>
      </c>
      <c r="I2336" s="42">
        <v>88</v>
      </c>
      <c r="J2336" s="42">
        <v>27</v>
      </c>
      <c r="K2336" s="312">
        <v>25</v>
      </c>
      <c r="L2336" s="66">
        <f t="shared" si="569"/>
        <v>140</v>
      </c>
      <c r="M2336" s="380"/>
    </row>
    <row r="2337" spans="2:13" ht="15.75" hidden="1" x14ac:dyDescent="0.2">
      <c r="B2337" s="104">
        <v>46259</v>
      </c>
      <c r="C2337" s="10" t="s">
        <v>106</v>
      </c>
      <c r="D2337" s="10" t="s">
        <v>192</v>
      </c>
      <c r="F2337" s="935"/>
      <c r="G2337" s="29" t="s">
        <v>84</v>
      </c>
      <c r="H2337" s="29" t="s">
        <v>106</v>
      </c>
      <c r="I2337" s="42">
        <v>0</v>
      </c>
      <c r="J2337" s="42">
        <v>0</v>
      </c>
      <c r="K2337" s="312">
        <v>14</v>
      </c>
      <c r="L2337" s="66">
        <f t="shared" si="569"/>
        <v>14</v>
      </c>
      <c r="M2337" s="380"/>
    </row>
    <row r="2338" spans="2:13" ht="15.75" hidden="1" x14ac:dyDescent="0.2">
      <c r="B2338" s="104">
        <v>46259</v>
      </c>
      <c r="C2338" s="10" t="s">
        <v>106</v>
      </c>
      <c r="D2338" s="10" t="s">
        <v>192</v>
      </c>
      <c r="F2338" s="935"/>
      <c r="G2338" s="29" t="s">
        <v>25</v>
      </c>
      <c r="H2338" s="29" t="s">
        <v>105</v>
      </c>
      <c r="I2338" s="42">
        <v>1</v>
      </c>
      <c r="J2338" s="42">
        <v>10</v>
      </c>
      <c r="K2338" s="312">
        <v>80</v>
      </c>
      <c r="L2338" s="66">
        <f t="shared" si="569"/>
        <v>91</v>
      </c>
      <c r="M2338" s="380"/>
    </row>
    <row r="2339" spans="2:13" ht="15.75" hidden="1" x14ac:dyDescent="0.2">
      <c r="B2339" s="104">
        <v>46259</v>
      </c>
      <c r="C2339" s="10" t="s">
        <v>106</v>
      </c>
      <c r="D2339" s="10" t="s">
        <v>192</v>
      </c>
      <c r="F2339" s="937" t="s">
        <v>40</v>
      </c>
      <c r="G2339" s="937"/>
      <c r="H2339" s="937"/>
      <c r="I2339" s="8">
        <f>SUM(I2332:I2338)</f>
        <v>264</v>
      </c>
      <c r="J2339" s="8">
        <f>SUM(J2332:J2338)</f>
        <v>138</v>
      </c>
      <c r="K2339" s="8">
        <f>SUM(K2332:K2338)</f>
        <v>119</v>
      </c>
      <c r="L2339" s="8">
        <f>SUM(L2332:L2338)</f>
        <v>521</v>
      </c>
      <c r="M2339" s="504"/>
    </row>
    <row r="2340" spans="2:13" ht="15.75" hidden="1" x14ac:dyDescent="0.2">
      <c r="B2340" s="104">
        <v>46260</v>
      </c>
      <c r="C2340" s="104" t="s">
        <v>106</v>
      </c>
      <c r="D2340" s="104" t="s">
        <v>13</v>
      </c>
      <c r="F2340" s="939">
        <v>46260</v>
      </c>
      <c r="G2340" s="29" t="s">
        <v>16</v>
      </c>
      <c r="H2340" s="29" t="s">
        <v>112</v>
      </c>
      <c r="I2340" s="42">
        <v>35</v>
      </c>
      <c r="J2340" s="42">
        <v>28</v>
      </c>
      <c r="K2340" s="312">
        <v>0</v>
      </c>
      <c r="L2340" s="66">
        <f t="shared" ref="L2340:L2343" si="570">SUM(I2340:K2340)</f>
        <v>63</v>
      </c>
      <c r="M2340" s="380"/>
    </row>
    <row r="2341" spans="2:13" ht="15.75" hidden="1" x14ac:dyDescent="0.2">
      <c r="B2341" s="104">
        <v>46260</v>
      </c>
      <c r="C2341" s="104" t="s">
        <v>106</v>
      </c>
      <c r="D2341" s="104" t="s">
        <v>13</v>
      </c>
      <c r="F2341" s="940"/>
      <c r="G2341" s="29" t="s">
        <v>17</v>
      </c>
      <c r="H2341" s="29" t="s">
        <v>106</v>
      </c>
      <c r="I2341" s="42">
        <v>35</v>
      </c>
      <c r="J2341" s="42">
        <v>36</v>
      </c>
      <c r="K2341" s="312">
        <v>0</v>
      </c>
      <c r="L2341" s="66">
        <f t="shared" si="570"/>
        <v>71</v>
      </c>
      <c r="M2341" s="380"/>
    </row>
    <row r="2342" spans="2:13" ht="15.75" hidden="1" x14ac:dyDescent="0.2">
      <c r="B2342" s="104">
        <v>46260</v>
      </c>
      <c r="C2342" s="104" t="s">
        <v>106</v>
      </c>
      <c r="D2342" s="104" t="s">
        <v>13</v>
      </c>
      <c r="F2342" s="940"/>
      <c r="G2342" s="29" t="s">
        <v>84</v>
      </c>
      <c r="H2342" s="29" t="s">
        <v>106</v>
      </c>
      <c r="I2342" s="42">
        <v>39</v>
      </c>
      <c r="J2342" s="42">
        <v>13</v>
      </c>
      <c r="K2342" s="312">
        <v>0</v>
      </c>
      <c r="L2342" s="66">
        <f t="shared" si="570"/>
        <v>52</v>
      </c>
      <c r="M2342" s="380"/>
    </row>
    <row r="2343" spans="2:13" ht="15.75" hidden="1" x14ac:dyDescent="0.2">
      <c r="B2343" s="104">
        <v>46260</v>
      </c>
      <c r="C2343" s="104" t="s">
        <v>106</v>
      </c>
      <c r="D2343" s="104" t="s">
        <v>13</v>
      </c>
      <c r="F2343" s="940"/>
      <c r="G2343" s="29" t="s">
        <v>25</v>
      </c>
      <c r="H2343" s="29" t="s">
        <v>105</v>
      </c>
      <c r="I2343" s="42">
        <v>122</v>
      </c>
      <c r="J2343" s="42">
        <v>16</v>
      </c>
      <c r="K2343" s="312">
        <v>0</v>
      </c>
      <c r="L2343" s="66">
        <f t="shared" si="570"/>
        <v>138</v>
      </c>
      <c r="M2343" s="380"/>
    </row>
    <row r="2344" spans="2:13" ht="15.75" hidden="1" x14ac:dyDescent="0.2">
      <c r="B2344" s="104">
        <v>46260</v>
      </c>
      <c r="C2344" s="104" t="s">
        <v>106</v>
      </c>
      <c r="D2344" s="104" t="s">
        <v>13</v>
      </c>
      <c r="F2344" s="934">
        <v>46261</v>
      </c>
      <c r="G2344" s="29" t="s">
        <v>16</v>
      </c>
      <c r="H2344" s="29" t="s">
        <v>112</v>
      </c>
      <c r="I2344" s="42">
        <v>5</v>
      </c>
      <c r="J2344" s="42">
        <v>0</v>
      </c>
      <c r="K2344" s="312">
        <v>33</v>
      </c>
      <c r="L2344" s="66">
        <f t="shared" ref="L2344:L2346" si="571">SUM(I2344:K2344)</f>
        <v>38</v>
      </c>
      <c r="M2344" s="380"/>
    </row>
    <row r="2345" spans="2:13" ht="15.75" hidden="1" x14ac:dyDescent="0.2">
      <c r="B2345" s="104">
        <v>46260</v>
      </c>
      <c r="C2345" s="104" t="s">
        <v>106</v>
      </c>
      <c r="D2345" s="104" t="s">
        <v>13</v>
      </c>
      <c r="F2345" s="935"/>
      <c r="G2345" s="29" t="s">
        <v>17</v>
      </c>
      <c r="H2345" s="29" t="s">
        <v>106</v>
      </c>
      <c r="I2345" s="42">
        <v>73</v>
      </c>
      <c r="J2345" s="42">
        <v>10</v>
      </c>
      <c r="K2345" s="312">
        <v>44</v>
      </c>
      <c r="L2345" s="66">
        <f t="shared" si="571"/>
        <v>127</v>
      </c>
      <c r="M2345" s="380"/>
    </row>
    <row r="2346" spans="2:13" ht="15.75" hidden="1" x14ac:dyDescent="0.2">
      <c r="B2346" s="104">
        <v>46260</v>
      </c>
      <c r="C2346" s="104" t="s">
        <v>106</v>
      </c>
      <c r="D2346" s="104" t="s">
        <v>13</v>
      </c>
      <c r="F2346" s="935"/>
      <c r="G2346" s="29" t="s">
        <v>118</v>
      </c>
      <c r="H2346" s="29" t="s">
        <v>106</v>
      </c>
      <c r="I2346" s="42">
        <v>31</v>
      </c>
      <c r="J2346" s="42">
        <v>11</v>
      </c>
      <c r="K2346" s="312">
        <v>16</v>
      </c>
      <c r="L2346" s="66">
        <f t="shared" si="571"/>
        <v>58</v>
      </c>
      <c r="M2346" s="380"/>
    </row>
    <row r="2347" spans="2:13" ht="15.75" hidden="1" x14ac:dyDescent="0.2">
      <c r="B2347" s="104">
        <v>46260</v>
      </c>
      <c r="C2347" s="104" t="s">
        <v>106</v>
      </c>
      <c r="D2347" s="104" t="s">
        <v>13</v>
      </c>
      <c r="F2347" s="937" t="s">
        <v>40</v>
      </c>
      <c r="G2347" s="937"/>
      <c r="H2347" s="937"/>
      <c r="I2347" s="8">
        <f>SUM(I2340:I2346)</f>
        <v>340</v>
      </c>
      <c r="J2347" s="8">
        <f t="shared" ref="J2347:L2347" si="572">SUM(J2340:J2346)</f>
        <v>114</v>
      </c>
      <c r="K2347" s="8">
        <f t="shared" si="572"/>
        <v>93</v>
      </c>
      <c r="L2347" s="8">
        <f t="shared" si="572"/>
        <v>547</v>
      </c>
      <c r="M2347" s="504"/>
    </row>
    <row r="2348" spans="2:13" ht="15.75" hidden="1" x14ac:dyDescent="0.2">
      <c r="B2348" s="104">
        <v>46260</v>
      </c>
      <c r="C2348" s="10" t="s">
        <v>106</v>
      </c>
      <c r="D2348" s="10" t="s">
        <v>192</v>
      </c>
      <c r="F2348" s="939">
        <v>46260</v>
      </c>
      <c r="G2348" s="29" t="s">
        <v>16</v>
      </c>
      <c r="H2348" s="29" t="s">
        <v>112</v>
      </c>
      <c r="I2348" s="42">
        <v>25</v>
      </c>
      <c r="J2348" s="42">
        <v>15</v>
      </c>
      <c r="K2348" s="312">
        <v>0</v>
      </c>
      <c r="L2348" s="66">
        <f>SUM(I2348:K2348)</f>
        <v>40</v>
      </c>
      <c r="M2348" s="380"/>
    </row>
    <row r="2349" spans="2:13" ht="15.75" hidden="1" x14ac:dyDescent="0.2">
      <c r="B2349" s="104">
        <v>46260</v>
      </c>
      <c r="C2349" s="10" t="s">
        <v>106</v>
      </c>
      <c r="D2349" s="10" t="s">
        <v>192</v>
      </c>
      <c r="F2349" s="940"/>
      <c r="G2349" s="29" t="s">
        <v>25</v>
      </c>
      <c r="H2349" s="29" t="s">
        <v>105</v>
      </c>
      <c r="I2349" s="42">
        <v>33</v>
      </c>
      <c r="J2349" s="42">
        <v>8</v>
      </c>
      <c r="K2349" s="312">
        <v>0</v>
      </c>
      <c r="L2349" s="66">
        <f>SUM(I2349:K2349)</f>
        <v>41</v>
      </c>
      <c r="M2349" s="380"/>
    </row>
    <row r="2350" spans="2:13" ht="15.75" hidden="1" x14ac:dyDescent="0.2">
      <c r="B2350" s="104">
        <v>46260</v>
      </c>
      <c r="C2350" s="10" t="s">
        <v>106</v>
      </c>
      <c r="D2350" s="10" t="s">
        <v>192</v>
      </c>
      <c r="F2350" s="941"/>
      <c r="G2350" s="29" t="s">
        <v>180</v>
      </c>
      <c r="H2350" s="29" t="s">
        <v>105</v>
      </c>
      <c r="I2350" s="42">
        <v>6</v>
      </c>
      <c r="J2350" s="42">
        <v>1</v>
      </c>
      <c r="K2350" s="312">
        <v>0</v>
      </c>
      <c r="L2350" s="66">
        <f t="shared" ref="L2350:L2354" si="573">SUM(I2350:K2350)</f>
        <v>7</v>
      </c>
      <c r="M2350" s="380"/>
    </row>
    <row r="2351" spans="2:13" ht="15.75" hidden="1" x14ac:dyDescent="0.2">
      <c r="B2351" s="104">
        <v>46260</v>
      </c>
      <c r="C2351" s="10" t="s">
        <v>106</v>
      </c>
      <c r="D2351" s="10" t="s">
        <v>192</v>
      </c>
      <c r="F2351" s="934">
        <v>46261</v>
      </c>
      <c r="G2351" s="29" t="s">
        <v>16</v>
      </c>
      <c r="H2351" s="29" t="s">
        <v>112</v>
      </c>
      <c r="I2351" s="42">
        <v>95</v>
      </c>
      <c r="J2351" s="42">
        <v>109</v>
      </c>
      <c r="K2351" s="312">
        <v>0</v>
      </c>
      <c r="L2351" s="66">
        <f t="shared" si="573"/>
        <v>204</v>
      </c>
      <c r="M2351" s="380"/>
    </row>
    <row r="2352" spans="2:13" ht="15.75" hidden="1" x14ac:dyDescent="0.2">
      <c r="B2352" s="104">
        <v>46260</v>
      </c>
      <c r="C2352" s="10" t="s">
        <v>106</v>
      </c>
      <c r="D2352" s="10" t="s">
        <v>192</v>
      </c>
      <c r="F2352" s="935"/>
      <c r="G2352" s="29" t="s">
        <v>17</v>
      </c>
      <c r="H2352" s="29" t="s">
        <v>106</v>
      </c>
      <c r="I2352" s="42">
        <v>60</v>
      </c>
      <c r="J2352" s="42">
        <v>12</v>
      </c>
      <c r="K2352" s="312">
        <v>0</v>
      </c>
      <c r="L2352" s="66">
        <f t="shared" si="573"/>
        <v>72</v>
      </c>
      <c r="M2352" s="380"/>
    </row>
    <row r="2353" spans="2:13" ht="15.75" hidden="1" x14ac:dyDescent="0.2">
      <c r="B2353" s="104">
        <v>46260</v>
      </c>
      <c r="C2353" s="10" t="s">
        <v>106</v>
      </c>
      <c r="D2353" s="10" t="s">
        <v>192</v>
      </c>
      <c r="F2353" s="935"/>
      <c r="G2353" s="29" t="s">
        <v>118</v>
      </c>
      <c r="H2353" s="29" t="s">
        <v>106</v>
      </c>
      <c r="I2353" s="42">
        <v>7</v>
      </c>
      <c r="J2353" s="42">
        <v>3</v>
      </c>
      <c r="K2353" s="312">
        <f>104-16</f>
        <v>88</v>
      </c>
      <c r="L2353" s="66">
        <f t="shared" si="573"/>
        <v>98</v>
      </c>
      <c r="M2353" s="380"/>
    </row>
    <row r="2354" spans="2:13" ht="15.75" hidden="1" x14ac:dyDescent="0.2">
      <c r="B2354" s="104">
        <v>46260</v>
      </c>
      <c r="C2354" s="10" t="s">
        <v>106</v>
      </c>
      <c r="D2354" s="10" t="s">
        <v>192</v>
      </c>
      <c r="F2354" s="935"/>
      <c r="G2354" s="29" t="s">
        <v>14</v>
      </c>
      <c r="H2354" s="29" t="s">
        <v>105</v>
      </c>
      <c r="I2354" s="42">
        <v>1</v>
      </c>
      <c r="J2354" s="42">
        <v>0</v>
      </c>
      <c r="K2354" s="312">
        <v>39</v>
      </c>
      <c r="L2354" s="66">
        <f t="shared" si="573"/>
        <v>40</v>
      </c>
      <c r="M2354" s="380"/>
    </row>
    <row r="2355" spans="2:13" ht="15.75" hidden="1" x14ac:dyDescent="0.2">
      <c r="B2355" s="104">
        <v>46260</v>
      </c>
      <c r="C2355" s="10" t="s">
        <v>106</v>
      </c>
      <c r="D2355" s="10" t="s">
        <v>192</v>
      </c>
      <c r="F2355" s="937" t="s">
        <v>40</v>
      </c>
      <c r="G2355" s="937"/>
      <c r="H2355" s="937"/>
      <c r="I2355" s="8">
        <f>SUM(I2348:I2354)</f>
        <v>227</v>
      </c>
      <c r="J2355" s="8">
        <f>SUM(J2348:J2354)</f>
        <v>148</v>
      </c>
      <c r="K2355" s="8">
        <f>SUM(K2348:K2354)</f>
        <v>127</v>
      </c>
      <c r="L2355" s="8">
        <f>SUM(L2348:L2354)</f>
        <v>502</v>
      </c>
      <c r="M2355" s="504"/>
    </row>
    <row r="2356" spans="2:13" ht="15.75" hidden="1" x14ac:dyDescent="0.2">
      <c r="B2356" s="104">
        <v>46261</v>
      </c>
      <c r="C2356" s="10" t="s">
        <v>105</v>
      </c>
      <c r="D2356" s="10" t="s">
        <v>13</v>
      </c>
      <c r="F2356" s="939">
        <v>46260</v>
      </c>
      <c r="G2356" s="29" t="s">
        <v>16</v>
      </c>
      <c r="H2356" s="29" t="s">
        <v>112</v>
      </c>
      <c r="I2356" s="42">
        <v>9</v>
      </c>
      <c r="J2356" s="42">
        <v>22</v>
      </c>
      <c r="K2356" s="312">
        <v>0</v>
      </c>
      <c r="L2356" s="66">
        <f>SUM(I2356:K2356)</f>
        <v>31</v>
      </c>
      <c r="M2356" s="380"/>
    </row>
    <row r="2357" spans="2:13" ht="15.75" hidden="1" x14ac:dyDescent="0.2">
      <c r="B2357" s="104">
        <v>46261</v>
      </c>
      <c r="C2357" s="10" t="s">
        <v>105</v>
      </c>
      <c r="D2357" s="10" t="s">
        <v>13</v>
      </c>
      <c r="F2357" s="940"/>
      <c r="G2357" s="29" t="s">
        <v>17</v>
      </c>
      <c r="H2357" s="29" t="s">
        <v>106</v>
      </c>
      <c r="I2357" s="42">
        <v>21</v>
      </c>
      <c r="J2357" s="42">
        <v>21</v>
      </c>
      <c r="K2357" s="312">
        <v>0</v>
      </c>
      <c r="L2357" s="66">
        <f t="shared" ref="L2357:L2363" si="574">SUM(I2357:K2357)</f>
        <v>42</v>
      </c>
      <c r="M2357" s="380"/>
    </row>
    <row r="2358" spans="2:13" ht="15.75" hidden="1" x14ac:dyDescent="0.2">
      <c r="B2358" s="104">
        <v>46261</v>
      </c>
      <c r="C2358" s="10" t="s">
        <v>105</v>
      </c>
      <c r="D2358" s="10" t="s">
        <v>13</v>
      </c>
      <c r="F2358" s="940"/>
      <c r="G2358" s="29" t="s">
        <v>84</v>
      </c>
      <c r="H2358" s="29" t="s">
        <v>106</v>
      </c>
      <c r="I2358" s="42">
        <v>9</v>
      </c>
      <c r="J2358" s="42">
        <v>6</v>
      </c>
      <c r="K2358" s="312">
        <v>0</v>
      </c>
      <c r="L2358" s="66">
        <f t="shared" si="574"/>
        <v>15</v>
      </c>
      <c r="M2358" s="380"/>
    </row>
    <row r="2359" spans="2:13" ht="15.75" hidden="1" x14ac:dyDescent="0.2">
      <c r="B2359" s="104">
        <v>46261</v>
      </c>
      <c r="C2359" s="10" t="s">
        <v>105</v>
      </c>
      <c r="D2359" s="10" t="s">
        <v>13</v>
      </c>
      <c r="F2359" s="940"/>
      <c r="G2359" s="29" t="s">
        <v>14</v>
      </c>
      <c r="H2359" s="29" t="s">
        <v>105</v>
      </c>
      <c r="I2359" s="42">
        <v>67</v>
      </c>
      <c r="J2359" s="42">
        <v>40</v>
      </c>
      <c r="K2359" s="312">
        <v>25</v>
      </c>
      <c r="L2359" s="66">
        <f t="shared" si="574"/>
        <v>132</v>
      </c>
      <c r="M2359" s="380"/>
    </row>
    <row r="2360" spans="2:13" ht="15.75" hidden="1" x14ac:dyDescent="0.2">
      <c r="B2360" s="104">
        <v>46261</v>
      </c>
      <c r="C2360" s="10" t="s">
        <v>105</v>
      </c>
      <c r="D2360" s="10" t="s">
        <v>13</v>
      </c>
      <c r="F2360" s="940"/>
      <c r="G2360" s="29" t="s">
        <v>25</v>
      </c>
      <c r="H2360" s="29" t="s">
        <v>105</v>
      </c>
      <c r="I2360" s="42">
        <v>1</v>
      </c>
      <c r="J2360" s="42">
        <v>0</v>
      </c>
      <c r="K2360" s="312">
        <v>0</v>
      </c>
      <c r="L2360" s="66">
        <f t="shared" si="574"/>
        <v>1</v>
      </c>
      <c r="M2360" s="380"/>
    </row>
    <row r="2361" spans="2:13" ht="15.75" hidden="1" x14ac:dyDescent="0.2">
      <c r="B2361" s="104">
        <v>46261</v>
      </c>
      <c r="C2361" s="10" t="s">
        <v>105</v>
      </c>
      <c r="D2361" s="10" t="s">
        <v>13</v>
      </c>
      <c r="F2361" s="941"/>
      <c r="G2361" s="29" t="s">
        <v>118</v>
      </c>
      <c r="H2361" s="29" t="s">
        <v>106</v>
      </c>
      <c r="I2361" s="42">
        <v>126</v>
      </c>
      <c r="J2361" s="42">
        <v>29</v>
      </c>
      <c r="K2361" s="312">
        <v>0</v>
      </c>
      <c r="L2361" s="66">
        <f t="shared" si="574"/>
        <v>155</v>
      </c>
      <c r="M2361" s="380"/>
    </row>
    <row r="2362" spans="2:13" ht="15.75" hidden="1" x14ac:dyDescent="0.2">
      <c r="B2362" s="104">
        <v>46261</v>
      </c>
      <c r="C2362" s="10" t="s">
        <v>105</v>
      </c>
      <c r="D2362" s="10" t="s">
        <v>13</v>
      </c>
      <c r="F2362" s="934">
        <v>46261</v>
      </c>
      <c r="G2362" s="29" t="s">
        <v>16</v>
      </c>
      <c r="H2362" s="29" t="s">
        <v>112</v>
      </c>
      <c r="I2362" s="42">
        <v>0</v>
      </c>
      <c r="J2362" s="42">
        <v>0</v>
      </c>
      <c r="K2362" s="312">
        <v>81</v>
      </c>
      <c r="L2362" s="66">
        <f t="shared" si="574"/>
        <v>81</v>
      </c>
      <c r="M2362" s="380"/>
    </row>
    <row r="2363" spans="2:13" ht="15.75" hidden="1" x14ac:dyDescent="0.2">
      <c r="B2363" s="104">
        <v>46261</v>
      </c>
      <c r="C2363" s="10" t="s">
        <v>105</v>
      </c>
      <c r="D2363" s="10" t="s">
        <v>13</v>
      </c>
      <c r="F2363" s="935"/>
      <c r="G2363" s="29" t="s">
        <v>17</v>
      </c>
      <c r="H2363" s="29" t="s">
        <v>106</v>
      </c>
      <c r="I2363" s="42">
        <v>0</v>
      </c>
      <c r="J2363" s="42">
        <v>0</v>
      </c>
      <c r="K2363" s="312">
        <v>116</v>
      </c>
      <c r="L2363" s="66">
        <f t="shared" si="574"/>
        <v>116</v>
      </c>
      <c r="M2363" s="380"/>
    </row>
    <row r="2364" spans="2:13" ht="15.75" hidden="1" x14ac:dyDescent="0.2">
      <c r="B2364" s="104">
        <v>46261</v>
      </c>
      <c r="C2364" s="10" t="s">
        <v>105</v>
      </c>
      <c r="D2364" s="10" t="s">
        <v>13</v>
      </c>
      <c r="F2364" s="937" t="s">
        <v>40</v>
      </c>
      <c r="G2364" s="937"/>
      <c r="H2364" s="937"/>
      <c r="I2364" s="8">
        <f>SUM(I2356:I2363)</f>
        <v>233</v>
      </c>
      <c r="J2364" s="8">
        <f>SUM(J2356:J2363)</f>
        <v>118</v>
      </c>
      <c r="K2364" s="8">
        <f>SUM(K2356:K2363)</f>
        <v>222</v>
      </c>
      <c r="L2364" s="8">
        <f>SUM(L2356:L2363)</f>
        <v>573</v>
      </c>
      <c r="M2364" s="504"/>
    </row>
    <row r="2365" spans="2:13" ht="15.75" hidden="1" x14ac:dyDescent="0.2">
      <c r="B2365" s="104">
        <v>46261</v>
      </c>
      <c r="C2365" s="10" t="s">
        <v>106</v>
      </c>
      <c r="D2365" s="10" t="s">
        <v>192</v>
      </c>
      <c r="F2365" s="939">
        <v>46261</v>
      </c>
      <c r="G2365" s="29" t="s">
        <v>16</v>
      </c>
      <c r="H2365" s="29" t="s">
        <v>112</v>
      </c>
      <c r="I2365" s="42">
        <v>28</v>
      </c>
      <c r="J2365" s="42">
        <v>19</v>
      </c>
      <c r="K2365" s="312">
        <v>0</v>
      </c>
      <c r="L2365" s="66">
        <f>SUM(I2365:K2365)</f>
        <v>47</v>
      </c>
      <c r="M2365" s="380"/>
    </row>
    <row r="2366" spans="2:13" ht="15.75" hidden="1" x14ac:dyDescent="0.2">
      <c r="B2366" s="104">
        <v>46261</v>
      </c>
      <c r="C2366" s="10" t="s">
        <v>106</v>
      </c>
      <c r="D2366" s="10" t="s">
        <v>192</v>
      </c>
      <c r="F2366" s="940"/>
      <c r="G2366" s="29" t="s">
        <v>204</v>
      </c>
      <c r="H2366" s="29" t="s">
        <v>105</v>
      </c>
      <c r="I2366" s="42">
        <v>53</v>
      </c>
      <c r="J2366" s="42">
        <v>15</v>
      </c>
      <c r="K2366" s="312">
        <v>0</v>
      </c>
      <c r="L2366" s="66">
        <f>SUM(I2366:K2366)</f>
        <v>68</v>
      </c>
      <c r="M2366" s="380"/>
    </row>
    <row r="2367" spans="2:13" ht="15.75" hidden="1" x14ac:dyDescent="0.2">
      <c r="B2367" s="104">
        <v>46261</v>
      </c>
      <c r="C2367" s="10" t="s">
        <v>106</v>
      </c>
      <c r="D2367" s="10" t="s">
        <v>192</v>
      </c>
      <c r="F2367" s="941"/>
      <c r="G2367" s="29" t="s">
        <v>180</v>
      </c>
      <c r="H2367" s="29" t="s">
        <v>105</v>
      </c>
      <c r="I2367" s="42">
        <v>11</v>
      </c>
      <c r="J2367" s="42">
        <v>2</v>
      </c>
      <c r="K2367" s="312">
        <v>0</v>
      </c>
      <c r="L2367" s="66">
        <f t="shared" ref="L2367:L2371" si="575">SUM(I2367:K2367)</f>
        <v>13</v>
      </c>
      <c r="M2367" s="380"/>
    </row>
    <row r="2368" spans="2:13" ht="15.75" hidden="1" x14ac:dyDescent="0.2">
      <c r="B2368" s="104">
        <v>46261</v>
      </c>
      <c r="C2368" s="10" t="s">
        <v>106</v>
      </c>
      <c r="D2368" s="10" t="s">
        <v>192</v>
      </c>
      <c r="F2368" s="934">
        <v>46262</v>
      </c>
      <c r="G2368" s="29" t="s">
        <v>16</v>
      </c>
      <c r="H2368" s="29" t="s">
        <v>112</v>
      </c>
      <c r="I2368" s="42">
        <v>121</v>
      </c>
      <c r="J2368" s="42">
        <v>91</v>
      </c>
      <c r="K2368" s="312">
        <v>0</v>
      </c>
      <c r="L2368" s="66">
        <f t="shared" si="575"/>
        <v>212</v>
      </c>
      <c r="M2368" s="380"/>
    </row>
    <row r="2369" spans="2:13" ht="15.75" hidden="1" x14ac:dyDescent="0.2">
      <c r="B2369" s="104">
        <v>46261</v>
      </c>
      <c r="C2369" s="10" t="s">
        <v>106</v>
      </c>
      <c r="D2369" s="10" t="s">
        <v>192</v>
      </c>
      <c r="F2369" s="935"/>
      <c r="G2369" s="29" t="s">
        <v>17</v>
      </c>
      <c r="H2369" s="29" t="s">
        <v>106</v>
      </c>
      <c r="I2369" s="42">
        <v>106</v>
      </c>
      <c r="J2369" s="42">
        <v>23</v>
      </c>
      <c r="K2369" s="312">
        <v>20</v>
      </c>
      <c r="L2369" s="66">
        <f t="shared" si="575"/>
        <v>149</v>
      </c>
      <c r="M2369" s="380"/>
    </row>
    <row r="2370" spans="2:13" ht="15.75" hidden="1" x14ac:dyDescent="0.2">
      <c r="B2370" s="104">
        <v>46261</v>
      </c>
      <c r="C2370" s="10" t="s">
        <v>106</v>
      </c>
      <c r="D2370" s="10" t="s">
        <v>192</v>
      </c>
      <c r="F2370" s="935"/>
      <c r="G2370" s="29" t="s">
        <v>120</v>
      </c>
      <c r="H2370" s="29" t="s">
        <v>106</v>
      </c>
      <c r="I2370" s="42">
        <v>25</v>
      </c>
      <c r="J2370" s="42">
        <v>0</v>
      </c>
      <c r="K2370" s="312">
        <v>0</v>
      </c>
      <c r="L2370" s="66">
        <f t="shared" si="575"/>
        <v>25</v>
      </c>
      <c r="M2370" s="380"/>
    </row>
    <row r="2371" spans="2:13" ht="15.75" hidden="1" x14ac:dyDescent="0.2">
      <c r="B2371" s="104">
        <v>46261</v>
      </c>
      <c r="C2371" s="10" t="s">
        <v>106</v>
      </c>
      <c r="D2371" s="10" t="s">
        <v>192</v>
      </c>
      <c r="F2371" s="935"/>
      <c r="G2371" s="29" t="s">
        <v>25</v>
      </c>
      <c r="H2371" s="29" t="s">
        <v>105</v>
      </c>
      <c r="I2371" s="42">
        <v>3</v>
      </c>
      <c r="J2371" s="42">
        <v>5</v>
      </c>
      <c r="K2371" s="312">
        <v>60</v>
      </c>
      <c r="L2371" s="66">
        <f t="shared" si="575"/>
        <v>68</v>
      </c>
      <c r="M2371" s="380"/>
    </row>
    <row r="2372" spans="2:13" ht="15.75" hidden="1" x14ac:dyDescent="0.2">
      <c r="B2372" s="104">
        <v>46261</v>
      </c>
      <c r="C2372" s="10" t="s">
        <v>106</v>
      </c>
      <c r="D2372" s="10" t="s">
        <v>192</v>
      </c>
      <c r="F2372" s="937" t="s">
        <v>40</v>
      </c>
      <c r="G2372" s="937"/>
      <c r="H2372" s="937"/>
      <c r="I2372" s="8">
        <f>SUM(I2365:I2371)</f>
        <v>347</v>
      </c>
      <c r="J2372" s="8">
        <f>SUM(J2365:J2371)</f>
        <v>155</v>
      </c>
      <c r="K2372" s="8">
        <f>SUM(K2365:K2371)</f>
        <v>80</v>
      </c>
      <c r="L2372" s="8">
        <f>SUM(L2365:L2371)</f>
        <v>582</v>
      </c>
      <c r="M2372" s="504"/>
    </row>
    <row r="2373" spans="2:13" ht="15.75" hidden="1" x14ac:dyDescent="0.2">
      <c r="B2373" s="104">
        <v>46262</v>
      </c>
      <c r="C2373" s="10" t="s">
        <v>106</v>
      </c>
      <c r="D2373" s="10" t="s">
        <v>13</v>
      </c>
      <c r="F2373" s="939">
        <v>46262</v>
      </c>
      <c r="G2373" s="29" t="s">
        <v>16</v>
      </c>
      <c r="H2373" s="29" t="s">
        <v>112</v>
      </c>
      <c r="I2373" s="42">
        <v>48</v>
      </c>
      <c r="J2373" s="42">
        <v>30</v>
      </c>
      <c r="K2373" s="312">
        <v>0</v>
      </c>
      <c r="L2373" s="66">
        <f>SUM(I2373:K2373)</f>
        <v>78</v>
      </c>
      <c r="M2373" s="380"/>
    </row>
    <row r="2374" spans="2:13" ht="15.75" hidden="1" x14ac:dyDescent="0.2">
      <c r="B2374" s="104">
        <v>46262</v>
      </c>
      <c r="C2374" s="10" t="s">
        <v>106</v>
      </c>
      <c r="D2374" s="10" t="s">
        <v>13</v>
      </c>
      <c r="F2374" s="940"/>
      <c r="G2374" s="29" t="s">
        <v>84</v>
      </c>
      <c r="H2374" s="29" t="s">
        <v>106</v>
      </c>
      <c r="I2374" s="42">
        <v>15</v>
      </c>
      <c r="J2374" s="42">
        <v>3</v>
      </c>
      <c r="K2374" s="312">
        <v>0</v>
      </c>
      <c r="L2374" s="66">
        <f t="shared" ref="L2374:L2379" si="576">SUM(I2374:K2374)</f>
        <v>18</v>
      </c>
      <c r="M2374" s="380"/>
    </row>
    <row r="2375" spans="2:13" ht="15.75" hidden="1" x14ac:dyDescent="0.2">
      <c r="B2375" s="104">
        <v>46262</v>
      </c>
      <c r="C2375" s="10" t="s">
        <v>106</v>
      </c>
      <c r="D2375" s="10" t="s">
        <v>13</v>
      </c>
      <c r="F2375" s="940"/>
      <c r="G2375" s="29" t="s">
        <v>17</v>
      </c>
      <c r="H2375" s="29" t="s">
        <v>106</v>
      </c>
      <c r="I2375" s="42">
        <v>38</v>
      </c>
      <c r="J2375" s="42">
        <v>33</v>
      </c>
      <c r="K2375" s="312">
        <v>0</v>
      </c>
      <c r="L2375" s="66">
        <f t="shared" si="576"/>
        <v>71</v>
      </c>
      <c r="M2375" s="380"/>
    </row>
    <row r="2376" spans="2:13" ht="15.75" hidden="1" x14ac:dyDescent="0.2">
      <c r="B2376" s="104">
        <v>46262</v>
      </c>
      <c r="C2376" s="10" t="s">
        <v>106</v>
      </c>
      <c r="D2376" s="10" t="s">
        <v>13</v>
      </c>
      <c r="F2376" s="940"/>
      <c r="G2376" s="29" t="s">
        <v>120</v>
      </c>
      <c r="H2376" s="29" t="s">
        <v>106</v>
      </c>
      <c r="I2376" s="42">
        <v>3</v>
      </c>
      <c r="J2376" s="42">
        <v>0</v>
      </c>
      <c r="K2376" s="312">
        <v>0</v>
      </c>
      <c r="L2376" s="66">
        <f t="shared" si="576"/>
        <v>3</v>
      </c>
      <c r="M2376" s="380"/>
    </row>
    <row r="2377" spans="2:13" ht="15.75" hidden="1" x14ac:dyDescent="0.2">
      <c r="B2377" s="104">
        <v>46262</v>
      </c>
      <c r="C2377" s="10" t="s">
        <v>106</v>
      </c>
      <c r="D2377" s="10" t="s">
        <v>13</v>
      </c>
      <c r="F2377" s="941"/>
      <c r="G2377" s="29" t="s">
        <v>25</v>
      </c>
      <c r="H2377" s="29" t="s">
        <v>105</v>
      </c>
      <c r="I2377" s="42">
        <v>82</v>
      </c>
      <c r="J2377" s="42">
        <v>18</v>
      </c>
      <c r="K2377" s="312">
        <v>46</v>
      </c>
      <c r="L2377" s="66">
        <f t="shared" si="576"/>
        <v>146</v>
      </c>
      <c r="M2377" s="380"/>
    </row>
    <row r="2378" spans="2:13" ht="15.75" hidden="1" x14ac:dyDescent="0.2">
      <c r="B2378" s="104">
        <v>46262</v>
      </c>
      <c r="C2378" s="10" t="s">
        <v>106</v>
      </c>
      <c r="D2378" s="10" t="s">
        <v>13</v>
      </c>
      <c r="F2378" s="934">
        <v>46263</v>
      </c>
      <c r="G2378" s="29" t="s">
        <v>16</v>
      </c>
      <c r="H2378" s="29" t="s">
        <v>112</v>
      </c>
      <c r="I2378" s="42">
        <v>0</v>
      </c>
      <c r="J2378" s="42">
        <v>0</v>
      </c>
      <c r="K2378" s="312">
        <v>165</v>
      </c>
      <c r="L2378" s="66">
        <f t="shared" si="576"/>
        <v>165</v>
      </c>
      <c r="M2378" s="380"/>
    </row>
    <row r="2379" spans="2:13" ht="15.75" hidden="1" x14ac:dyDescent="0.2">
      <c r="B2379" s="104">
        <v>46262</v>
      </c>
      <c r="C2379" s="10" t="s">
        <v>106</v>
      </c>
      <c r="D2379" s="10" t="s">
        <v>13</v>
      </c>
      <c r="F2379" s="935"/>
      <c r="G2379" s="29" t="s">
        <v>120</v>
      </c>
      <c r="H2379" s="29" t="s">
        <v>106</v>
      </c>
      <c r="I2379" s="42">
        <v>0</v>
      </c>
      <c r="J2379" s="42">
        <v>0</v>
      </c>
      <c r="K2379" s="312">
        <v>17</v>
      </c>
      <c r="L2379" s="66">
        <f t="shared" si="576"/>
        <v>17</v>
      </c>
      <c r="M2379" s="380"/>
    </row>
    <row r="2380" spans="2:13" ht="15.75" hidden="1" x14ac:dyDescent="0.2">
      <c r="B2380" s="104">
        <v>46262</v>
      </c>
      <c r="C2380" s="10" t="s">
        <v>106</v>
      </c>
      <c r="D2380" s="10" t="s">
        <v>13</v>
      </c>
      <c r="F2380" s="937" t="s">
        <v>40</v>
      </c>
      <c r="G2380" s="937"/>
      <c r="H2380" s="937"/>
      <c r="I2380" s="8">
        <f>SUM(I2373:I2379)</f>
        <v>186</v>
      </c>
      <c r="J2380" s="8">
        <f>SUM(J2373:J2379)</f>
        <v>84</v>
      </c>
      <c r="K2380" s="8">
        <f>SUM(K2373:K2379)</f>
        <v>228</v>
      </c>
      <c r="L2380" s="8">
        <f>SUM(L2373:L2379)</f>
        <v>498</v>
      </c>
      <c r="M2380" s="504"/>
    </row>
    <row r="2381" spans="2:13" ht="15.75" hidden="1" x14ac:dyDescent="0.2">
      <c r="B2381" s="104">
        <v>46262</v>
      </c>
      <c r="C2381" s="10" t="s">
        <v>105</v>
      </c>
      <c r="D2381" s="10" t="s">
        <v>192</v>
      </c>
      <c r="F2381" s="939">
        <v>46262</v>
      </c>
      <c r="G2381" s="29" t="s">
        <v>16</v>
      </c>
      <c r="H2381" s="29" t="s">
        <v>112</v>
      </c>
      <c r="I2381" s="42">
        <v>5</v>
      </c>
      <c r="J2381" s="42">
        <v>24</v>
      </c>
      <c r="K2381" s="312">
        <v>0</v>
      </c>
      <c r="L2381" s="66">
        <f>SUM(I2381:K2381)</f>
        <v>29</v>
      </c>
      <c r="M2381" s="380"/>
    </row>
    <row r="2382" spans="2:13" ht="15.75" hidden="1" x14ac:dyDescent="0.2">
      <c r="B2382" s="104">
        <v>46262</v>
      </c>
      <c r="C2382" s="10" t="s">
        <v>105</v>
      </c>
      <c r="D2382" s="10" t="s">
        <v>192</v>
      </c>
      <c r="F2382" s="940"/>
      <c r="G2382" s="29" t="s">
        <v>25</v>
      </c>
      <c r="H2382" s="29" t="s">
        <v>105</v>
      </c>
      <c r="I2382" s="42">
        <v>53</v>
      </c>
      <c r="J2382" s="42">
        <v>25</v>
      </c>
      <c r="K2382" s="312">
        <v>0</v>
      </c>
      <c r="L2382" s="66">
        <f>SUM(I2382:K2382)</f>
        <v>78</v>
      </c>
      <c r="M2382" s="380"/>
    </row>
    <row r="2383" spans="2:13" ht="15.75" hidden="1" x14ac:dyDescent="0.2">
      <c r="B2383" s="104">
        <v>46262</v>
      </c>
      <c r="C2383" s="10" t="s">
        <v>105</v>
      </c>
      <c r="D2383" s="10" t="s">
        <v>192</v>
      </c>
      <c r="F2383" s="941"/>
      <c r="G2383" s="29" t="s">
        <v>180</v>
      </c>
      <c r="H2383" s="29" t="s">
        <v>105</v>
      </c>
      <c r="I2383" s="42">
        <v>17</v>
      </c>
      <c r="J2383" s="42">
        <v>1</v>
      </c>
      <c r="K2383" s="312">
        <v>0</v>
      </c>
      <c r="L2383" s="66">
        <f t="shared" ref="L2383:L2387" si="577">SUM(I2383:K2383)</f>
        <v>18</v>
      </c>
      <c r="M2383" s="380"/>
    </row>
    <row r="2384" spans="2:13" ht="15.75" hidden="1" x14ac:dyDescent="0.2">
      <c r="B2384" s="104">
        <v>46262</v>
      </c>
      <c r="C2384" s="10" t="s">
        <v>105</v>
      </c>
      <c r="D2384" s="10" t="s">
        <v>192</v>
      </c>
      <c r="F2384" s="934">
        <v>46263</v>
      </c>
      <c r="G2384" s="29" t="s">
        <v>16</v>
      </c>
      <c r="H2384" s="29" t="s">
        <v>112</v>
      </c>
      <c r="I2384" s="42">
        <v>70</v>
      </c>
      <c r="J2384" s="42">
        <v>93</v>
      </c>
      <c r="K2384" s="312">
        <v>0</v>
      </c>
      <c r="L2384" s="66">
        <f t="shared" si="577"/>
        <v>163</v>
      </c>
      <c r="M2384" s="380"/>
    </row>
    <row r="2385" spans="2:13" ht="15.75" hidden="1" x14ac:dyDescent="0.2">
      <c r="B2385" s="104">
        <v>46262</v>
      </c>
      <c r="C2385" s="10" t="s">
        <v>105</v>
      </c>
      <c r="D2385" s="10" t="s">
        <v>192</v>
      </c>
      <c r="F2385" s="935"/>
      <c r="G2385" s="29" t="s">
        <v>25</v>
      </c>
      <c r="H2385" s="29" t="s">
        <v>106</v>
      </c>
      <c r="I2385" s="42">
        <v>126</v>
      </c>
      <c r="J2385" s="42">
        <v>41</v>
      </c>
      <c r="K2385" s="312">
        <v>14</v>
      </c>
      <c r="L2385" s="66">
        <f t="shared" si="577"/>
        <v>181</v>
      </c>
      <c r="M2385" s="380"/>
    </row>
    <row r="2386" spans="2:13" ht="15.75" hidden="1" x14ac:dyDescent="0.2">
      <c r="B2386" s="104">
        <v>46262</v>
      </c>
      <c r="C2386" s="10" t="s">
        <v>105</v>
      </c>
      <c r="D2386" s="10" t="s">
        <v>192</v>
      </c>
      <c r="F2386" s="935"/>
      <c r="G2386" s="29" t="s">
        <v>120</v>
      </c>
      <c r="H2386" s="29" t="s">
        <v>106</v>
      </c>
      <c r="I2386" s="42">
        <v>17</v>
      </c>
      <c r="J2386" s="42">
        <v>0</v>
      </c>
      <c r="K2386" s="312">
        <v>0</v>
      </c>
      <c r="L2386" s="66">
        <f t="shared" si="577"/>
        <v>17</v>
      </c>
      <c r="M2386" s="380"/>
    </row>
    <row r="2387" spans="2:13" ht="15.75" hidden="1" x14ac:dyDescent="0.2">
      <c r="B2387" s="104">
        <v>46262</v>
      </c>
      <c r="C2387" s="10" t="s">
        <v>105</v>
      </c>
      <c r="D2387" s="10" t="s">
        <v>192</v>
      </c>
      <c r="F2387" s="935"/>
      <c r="G2387" s="29" t="s">
        <v>14</v>
      </c>
      <c r="H2387" s="29" t="s">
        <v>105</v>
      </c>
      <c r="I2387" s="42">
        <v>0</v>
      </c>
      <c r="J2387" s="42">
        <v>0</v>
      </c>
      <c r="K2387" s="312">
        <v>88</v>
      </c>
      <c r="L2387" s="66">
        <f t="shared" si="577"/>
        <v>88</v>
      </c>
      <c r="M2387" s="380"/>
    </row>
    <row r="2388" spans="2:13" ht="15.75" hidden="1" x14ac:dyDescent="0.2">
      <c r="B2388" s="104">
        <v>46262</v>
      </c>
      <c r="C2388" s="10" t="s">
        <v>105</v>
      </c>
      <c r="D2388" s="10" t="s">
        <v>192</v>
      </c>
      <c r="F2388" s="937" t="s">
        <v>40</v>
      </c>
      <c r="G2388" s="937"/>
      <c r="H2388" s="937"/>
      <c r="I2388" s="8">
        <f>SUM(I2381:I2387)</f>
        <v>288</v>
      </c>
      <c r="J2388" s="8">
        <f>SUM(J2381:J2387)</f>
        <v>184</v>
      </c>
      <c r="K2388" s="8">
        <f>SUM(K2381:K2387)</f>
        <v>102</v>
      </c>
      <c r="L2388" s="8">
        <f>SUM(L2381:L2387)</f>
        <v>574</v>
      </c>
      <c r="M2388" s="504"/>
    </row>
    <row r="2389" spans="2:13" ht="15.75" hidden="1" x14ac:dyDescent="0.2">
      <c r="B2389" s="104">
        <v>46263</v>
      </c>
      <c r="C2389" s="10" t="s">
        <v>106</v>
      </c>
      <c r="D2389" s="10" t="s">
        <v>13</v>
      </c>
      <c r="F2389" s="939">
        <v>46263</v>
      </c>
      <c r="G2389" s="29" t="s">
        <v>16</v>
      </c>
      <c r="H2389" s="29" t="s">
        <v>112</v>
      </c>
      <c r="I2389" s="42">
        <v>29</v>
      </c>
      <c r="J2389" s="42">
        <v>49</v>
      </c>
      <c r="K2389" s="312">
        <v>0</v>
      </c>
      <c r="L2389" s="66">
        <f>SUM(I2389:K2389)</f>
        <v>78</v>
      </c>
      <c r="M2389" s="380"/>
    </row>
    <row r="2390" spans="2:13" ht="15.75" hidden="1" x14ac:dyDescent="0.2">
      <c r="B2390" s="104">
        <v>46263</v>
      </c>
      <c r="C2390" s="10" t="s">
        <v>106</v>
      </c>
      <c r="D2390" s="10" t="s">
        <v>13</v>
      </c>
      <c r="F2390" s="940"/>
      <c r="G2390" s="29" t="s">
        <v>25</v>
      </c>
      <c r="H2390" s="29" t="s">
        <v>106</v>
      </c>
      <c r="I2390" s="42">
        <v>45</v>
      </c>
      <c r="J2390" s="42">
        <v>30</v>
      </c>
      <c r="K2390" s="312">
        <v>0</v>
      </c>
      <c r="L2390" s="66">
        <f t="shared" ref="L2390:L2393" si="578">SUM(I2390:K2390)</f>
        <v>75</v>
      </c>
      <c r="M2390" s="380"/>
    </row>
    <row r="2391" spans="2:13" ht="15.75" hidden="1" x14ac:dyDescent="0.2">
      <c r="B2391" s="104">
        <v>46263</v>
      </c>
      <c r="C2391" s="10" t="s">
        <v>106</v>
      </c>
      <c r="D2391" s="10" t="s">
        <v>13</v>
      </c>
      <c r="F2391" s="940"/>
      <c r="G2391" s="29" t="s">
        <v>118</v>
      </c>
      <c r="H2391" s="29" t="s">
        <v>106</v>
      </c>
      <c r="I2391" s="42">
        <v>25</v>
      </c>
      <c r="J2391" s="42">
        <v>3</v>
      </c>
      <c r="K2391" s="312">
        <v>0</v>
      </c>
      <c r="L2391" s="66">
        <f t="shared" si="578"/>
        <v>28</v>
      </c>
      <c r="M2391" s="380"/>
    </row>
    <row r="2392" spans="2:13" ht="15.75" hidden="1" x14ac:dyDescent="0.2">
      <c r="B2392" s="104">
        <v>46263</v>
      </c>
      <c r="C2392" s="10" t="s">
        <v>106</v>
      </c>
      <c r="D2392" s="10" t="s">
        <v>13</v>
      </c>
      <c r="F2392" s="940"/>
      <c r="G2392" s="29" t="s">
        <v>180</v>
      </c>
      <c r="H2392" s="29" t="s">
        <v>105</v>
      </c>
      <c r="I2392" s="42">
        <v>20</v>
      </c>
      <c r="J2392" s="42">
        <v>0</v>
      </c>
      <c r="K2392" s="312">
        <v>0</v>
      </c>
      <c r="L2392" s="66">
        <f t="shared" si="578"/>
        <v>20</v>
      </c>
      <c r="M2392" s="380"/>
    </row>
    <row r="2393" spans="2:13" ht="15.75" hidden="1" x14ac:dyDescent="0.2">
      <c r="B2393" s="104">
        <v>46263</v>
      </c>
      <c r="C2393" s="10" t="s">
        <v>106</v>
      </c>
      <c r="D2393" s="10" t="s">
        <v>13</v>
      </c>
      <c r="F2393" s="940"/>
      <c r="G2393" s="29" t="s">
        <v>14</v>
      </c>
      <c r="H2393" s="29" t="s">
        <v>105</v>
      </c>
      <c r="I2393" s="42">
        <v>67</v>
      </c>
      <c r="J2393" s="42">
        <v>36</v>
      </c>
      <c r="K2393" s="312">
        <v>45</v>
      </c>
      <c r="L2393" s="66">
        <f t="shared" si="578"/>
        <v>148</v>
      </c>
      <c r="M2393" s="380"/>
    </row>
    <row r="2394" spans="2:13" ht="15.75" hidden="1" x14ac:dyDescent="0.2">
      <c r="B2394" s="104">
        <v>46263</v>
      </c>
      <c r="C2394" s="10" t="s">
        <v>106</v>
      </c>
      <c r="D2394" s="10" t="s">
        <v>13</v>
      </c>
      <c r="F2394" s="934">
        <v>46264</v>
      </c>
      <c r="G2394" s="29" t="s">
        <v>16</v>
      </c>
      <c r="H2394" s="29" t="s">
        <v>112</v>
      </c>
      <c r="I2394" s="42">
        <v>0</v>
      </c>
      <c r="J2394" s="42">
        <v>0</v>
      </c>
      <c r="K2394" s="312">
        <v>0</v>
      </c>
      <c r="L2394" s="66">
        <f t="shared" ref="L2394:L2397" si="579">SUM(I2394:K2394)</f>
        <v>0</v>
      </c>
      <c r="M2394" s="380"/>
    </row>
    <row r="2395" spans="2:13" ht="15.75" hidden="1" x14ac:dyDescent="0.2">
      <c r="B2395" s="104">
        <v>46263</v>
      </c>
      <c r="C2395" s="10" t="s">
        <v>106</v>
      </c>
      <c r="D2395" s="10" t="s">
        <v>13</v>
      </c>
      <c r="F2395" s="935"/>
      <c r="G2395" s="29" t="s">
        <v>17</v>
      </c>
      <c r="H2395" s="29" t="s">
        <v>106</v>
      </c>
      <c r="I2395" s="42">
        <v>4</v>
      </c>
      <c r="J2395" s="42">
        <v>2</v>
      </c>
      <c r="K2395" s="312">
        <v>49</v>
      </c>
      <c r="L2395" s="66">
        <f t="shared" si="579"/>
        <v>55</v>
      </c>
      <c r="M2395" s="380"/>
    </row>
    <row r="2396" spans="2:13" ht="15.75" hidden="1" x14ac:dyDescent="0.2">
      <c r="B2396" s="104">
        <v>46263</v>
      </c>
      <c r="C2396" s="10" t="s">
        <v>106</v>
      </c>
      <c r="D2396" s="10" t="s">
        <v>13</v>
      </c>
      <c r="F2396" s="935"/>
      <c r="G2396" s="29" t="s">
        <v>120</v>
      </c>
      <c r="H2396" s="29" t="s">
        <v>106</v>
      </c>
      <c r="I2396" s="42">
        <v>38</v>
      </c>
      <c r="J2396" s="42">
        <v>0</v>
      </c>
      <c r="K2396" s="312">
        <v>0</v>
      </c>
      <c r="L2396" s="66">
        <f t="shared" si="579"/>
        <v>38</v>
      </c>
      <c r="M2396" s="380"/>
    </row>
    <row r="2397" spans="2:13" ht="15.75" hidden="1" x14ac:dyDescent="0.2">
      <c r="B2397" s="104">
        <v>46263</v>
      </c>
      <c r="C2397" s="10" t="s">
        <v>106</v>
      </c>
      <c r="D2397" s="10" t="s">
        <v>13</v>
      </c>
      <c r="F2397" s="935"/>
      <c r="G2397" s="29" t="s">
        <v>84</v>
      </c>
      <c r="H2397" s="29" t="s">
        <v>106</v>
      </c>
      <c r="I2397" s="42">
        <v>121</v>
      </c>
      <c r="J2397" s="42">
        <v>21</v>
      </c>
      <c r="K2397" s="312">
        <v>28</v>
      </c>
      <c r="L2397" s="66">
        <f t="shared" si="579"/>
        <v>170</v>
      </c>
      <c r="M2397" s="380"/>
    </row>
    <row r="2398" spans="2:13" ht="15.75" hidden="1" x14ac:dyDescent="0.2">
      <c r="B2398" s="104">
        <v>46263</v>
      </c>
      <c r="C2398" s="10" t="s">
        <v>106</v>
      </c>
      <c r="D2398" s="10" t="s">
        <v>13</v>
      </c>
      <c r="F2398" s="937" t="s">
        <v>40</v>
      </c>
      <c r="G2398" s="937"/>
      <c r="H2398" s="937"/>
      <c r="I2398" s="8">
        <f>SUM(I2389:I2397)</f>
        <v>349</v>
      </c>
      <c r="J2398" s="8">
        <f>SUM(J2389:J2397)</f>
        <v>141</v>
      </c>
      <c r="K2398" s="8">
        <f>SUM(K2389:K2397)</f>
        <v>122</v>
      </c>
      <c r="L2398" s="8">
        <f>SUM(L2389:L2397)</f>
        <v>612</v>
      </c>
      <c r="M2398" s="504"/>
    </row>
    <row r="2399" spans="2:13" ht="15.75" hidden="1" x14ac:dyDescent="0.2">
      <c r="B2399" s="104">
        <v>46263</v>
      </c>
      <c r="C2399" s="10" t="s">
        <v>105</v>
      </c>
      <c r="D2399" s="10" t="s">
        <v>192</v>
      </c>
      <c r="F2399" s="942">
        <v>46263</v>
      </c>
      <c r="G2399" s="29" t="s">
        <v>16</v>
      </c>
      <c r="H2399" s="29" t="s">
        <v>112</v>
      </c>
      <c r="I2399" s="42">
        <v>7</v>
      </c>
      <c r="J2399" s="42">
        <v>25</v>
      </c>
      <c r="K2399" s="312">
        <v>0</v>
      </c>
      <c r="L2399" s="66">
        <f>SUM(I2399:K2399)</f>
        <v>32</v>
      </c>
      <c r="M2399" s="380"/>
    </row>
    <row r="2400" spans="2:13" ht="15.75" hidden="1" x14ac:dyDescent="0.2">
      <c r="B2400" s="104">
        <v>46263</v>
      </c>
      <c r="C2400" s="10" t="s">
        <v>105</v>
      </c>
      <c r="D2400" s="10" t="s">
        <v>192</v>
      </c>
      <c r="F2400" s="942"/>
      <c r="G2400" s="29" t="s">
        <v>14</v>
      </c>
      <c r="H2400" s="29" t="s">
        <v>105</v>
      </c>
      <c r="I2400" s="42">
        <v>84</v>
      </c>
      <c r="J2400" s="42">
        <v>16</v>
      </c>
      <c r="K2400" s="312">
        <v>0</v>
      </c>
      <c r="L2400" s="66">
        <f>SUM(I2400:K2400)</f>
        <v>100</v>
      </c>
      <c r="M2400" s="380"/>
    </row>
    <row r="2401" spans="2:13" ht="15.75" hidden="1" x14ac:dyDescent="0.2">
      <c r="B2401" s="104">
        <v>46263</v>
      </c>
      <c r="C2401" s="10" t="s">
        <v>105</v>
      </c>
      <c r="D2401" s="10" t="s">
        <v>192</v>
      </c>
      <c r="F2401" s="938">
        <v>46264</v>
      </c>
      <c r="G2401" s="29" t="s">
        <v>16</v>
      </c>
      <c r="H2401" s="29" t="s">
        <v>112</v>
      </c>
      <c r="I2401" s="42">
        <v>101</v>
      </c>
      <c r="J2401" s="42">
        <v>85</v>
      </c>
      <c r="K2401" s="312">
        <v>0</v>
      </c>
      <c r="L2401" s="66">
        <f t="shared" ref="L2401:L2406" si="580">SUM(I2401:K2401)</f>
        <v>186</v>
      </c>
      <c r="M2401" s="380"/>
    </row>
    <row r="2402" spans="2:13" ht="15.75" hidden="1" x14ac:dyDescent="0.2">
      <c r="B2402" s="104">
        <v>46263</v>
      </c>
      <c r="C2402" s="10" t="s">
        <v>105</v>
      </c>
      <c r="D2402" s="10" t="s">
        <v>192</v>
      </c>
      <c r="F2402" s="938"/>
      <c r="G2402" s="29" t="s">
        <v>180</v>
      </c>
      <c r="H2402" s="29" t="s">
        <v>105</v>
      </c>
      <c r="I2402" s="42">
        <v>6</v>
      </c>
      <c r="J2402" s="42">
        <v>0</v>
      </c>
      <c r="K2402" s="312">
        <v>0</v>
      </c>
      <c r="L2402" s="66">
        <f t="shared" si="580"/>
        <v>6</v>
      </c>
      <c r="M2402" s="380"/>
    </row>
    <row r="2403" spans="2:13" ht="15.75" hidden="1" x14ac:dyDescent="0.2">
      <c r="B2403" s="104">
        <v>46263</v>
      </c>
      <c r="C2403" s="10" t="s">
        <v>105</v>
      </c>
      <c r="D2403" s="10" t="s">
        <v>192</v>
      </c>
      <c r="F2403" s="938"/>
      <c r="G2403" s="29" t="s">
        <v>118</v>
      </c>
      <c r="H2403" s="29" t="s">
        <v>106</v>
      </c>
      <c r="I2403" s="42">
        <v>9</v>
      </c>
      <c r="J2403" s="42">
        <v>0</v>
      </c>
      <c r="K2403" s="312">
        <v>0</v>
      </c>
      <c r="L2403" s="66">
        <f t="shared" si="580"/>
        <v>9</v>
      </c>
      <c r="M2403" s="380"/>
    </row>
    <row r="2404" spans="2:13" ht="15.75" hidden="1" x14ac:dyDescent="0.2">
      <c r="B2404" s="104">
        <v>46263</v>
      </c>
      <c r="C2404" s="10" t="s">
        <v>105</v>
      </c>
      <c r="D2404" s="10" t="s">
        <v>192</v>
      </c>
      <c r="F2404" s="938"/>
      <c r="G2404" s="29" t="s">
        <v>17</v>
      </c>
      <c r="H2404" s="29" t="s">
        <v>106</v>
      </c>
      <c r="I2404" s="42">
        <v>116</v>
      </c>
      <c r="J2404" s="42">
        <v>37</v>
      </c>
      <c r="K2404" s="312">
        <v>17</v>
      </c>
      <c r="L2404" s="66">
        <f t="shared" si="580"/>
        <v>170</v>
      </c>
      <c r="M2404" s="380"/>
    </row>
    <row r="2405" spans="2:13" ht="15.75" hidden="1" x14ac:dyDescent="0.2">
      <c r="B2405" s="104">
        <v>46263</v>
      </c>
      <c r="C2405" s="10" t="s">
        <v>105</v>
      </c>
      <c r="D2405" s="10" t="s">
        <v>192</v>
      </c>
      <c r="F2405" s="938"/>
      <c r="G2405" s="29" t="s">
        <v>25</v>
      </c>
      <c r="H2405" s="29" t="s">
        <v>105</v>
      </c>
      <c r="I2405" s="42">
        <v>10</v>
      </c>
      <c r="J2405" s="42">
        <v>0</v>
      </c>
      <c r="K2405" s="312">
        <v>62</v>
      </c>
      <c r="L2405" s="66">
        <f t="shared" ref="L2405" si="581">SUM(I2405:K2405)</f>
        <v>72</v>
      </c>
      <c r="M2405" s="380"/>
    </row>
    <row r="2406" spans="2:13" ht="15.75" hidden="1" x14ac:dyDescent="0.2">
      <c r="B2406" s="104">
        <v>46263</v>
      </c>
      <c r="C2406" s="10" t="s">
        <v>105</v>
      </c>
      <c r="D2406" s="10" t="s">
        <v>192</v>
      </c>
      <c r="F2406" s="509">
        <v>46268</v>
      </c>
      <c r="G2406" s="29" t="s">
        <v>118</v>
      </c>
      <c r="H2406" s="29" t="s">
        <v>106</v>
      </c>
      <c r="I2406" s="42">
        <v>0</v>
      </c>
      <c r="J2406" s="42">
        <v>0</v>
      </c>
      <c r="K2406" s="312">
        <v>15</v>
      </c>
      <c r="L2406" s="66">
        <f t="shared" si="580"/>
        <v>15</v>
      </c>
      <c r="M2406" s="380"/>
    </row>
    <row r="2407" spans="2:13" ht="15.75" hidden="1" x14ac:dyDescent="0.2">
      <c r="B2407" s="104">
        <v>46263</v>
      </c>
      <c r="C2407" s="10" t="s">
        <v>105</v>
      </c>
      <c r="D2407" s="10" t="s">
        <v>192</v>
      </c>
      <c r="F2407" s="937" t="s">
        <v>40</v>
      </c>
      <c r="G2407" s="937"/>
      <c r="H2407" s="937"/>
      <c r="I2407" s="8">
        <f>SUM(I2399:I2406)</f>
        <v>333</v>
      </c>
      <c r="J2407" s="8">
        <f>SUM(J2399:J2406)</f>
        <v>163</v>
      </c>
      <c r="K2407" s="8">
        <f>SUM(K2399:K2406)</f>
        <v>94</v>
      </c>
      <c r="L2407" s="8">
        <f>SUM(L2399:L2406)</f>
        <v>590</v>
      </c>
      <c r="M2407" s="504"/>
    </row>
    <row r="2408" spans="2:13" ht="15.75" hidden="1" x14ac:dyDescent="0.25">
      <c r="B2408" s="104">
        <v>46264</v>
      </c>
      <c r="C2408" s="104" t="s">
        <v>106</v>
      </c>
      <c r="D2408" s="104" t="s">
        <v>13</v>
      </c>
      <c r="F2408" s="899">
        <v>46264</v>
      </c>
      <c r="G2408" s="60" t="s">
        <v>16</v>
      </c>
      <c r="H2408" s="60" t="s">
        <v>112</v>
      </c>
      <c r="I2408" s="62">
        <v>13</v>
      </c>
      <c r="J2408" s="62">
        <v>21</v>
      </c>
      <c r="K2408" s="312">
        <v>0</v>
      </c>
      <c r="L2408" s="497">
        <f t="shared" ref="L2408:L2416" si="582">SUM(I2408:K2408)</f>
        <v>34</v>
      </c>
      <c r="M2408" s="61"/>
    </row>
    <row r="2409" spans="2:13" ht="15.75" hidden="1" x14ac:dyDescent="0.25">
      <c r="B2409" s="104">
        <v>46264</v>
      </c>
      <c r="C2409" s="104" t="s">
        <v>106</v>
      </c>
      <c r="D2409" s="104" t="s">
        <v>13</v>
      </c>
      <c r="F2409" s="899"/>
      <c r="G2409" s="60" t="s">
        <v>180</v>
      </c>
      <c r="H2409" s="60" t="s">
        <v>105</v>
      </c>
      <c r="I2409" s="62">
        <v>2</v>
      </c>
      <c r="J2409" s="62">
        <v>0</v>
      </c>
      <c r="K2409" s="312">
        <v>23</v>
      </c>
      <c r="L2409" s="497">
        <f t="shared" si="582"/>
        <v>25</v>
      </c>
      <c r="M2409" s="61"/>
    </row>
    <row r="2410" spans="2:13" ht="15.75" hidden="1" x14ac:dyDescent="0.25">
      <c r="B2410" s="104">
        <v>46264</v>
      </c>
      <c r="C2410" s="104" t="s">
        <v>106</v>
      </c>
      <c r="D2410" s="104" t="s">
        <v>13</v>
      </c>
      <c r="F2410" s="899"/>
      <c r="G2410" s="60" t="s">
        <v>84</v>
      </c>
      <c r="H2410" s="60" t="s">
        <v>106</v>
      </c>
      <c r="I2410" s="62">
        <v>43</v>
      </c>
      <c r="J2410" s="62">
        <v>9</v>
      </c>
      <c r="K2410" s="312">
        <v>0</v>
      </c>
      <c r="L2410" s="497">
        <f t="shared" si="582"/>
        <v>52</v>
      </c>
      <c r="M2410" s="61"/>
    </row>
    <row r="2411" spans="2:13" ht="15.75" hidden="1" x14ac:dyDescent="0.25">
      <c r="B2411" s="104">
        <v>46264</v>
      </c>
      <c r="C2411" s="104" t="s">
        <v>106</v>
      </c>
      <c r="D2411" s="104" t="s">
        <v>13</v>
      </c>
      <c r="F2411" s="899"/>
      <c r="G2411" s="60" t="s">
        <v>17</v>
      </c>
      <c r="H2411" s="60" t="s">
        <v>106</v>
      </c>
      <c r="I2411" s="62">
        <v>31</v>
      </c>
      <c r="J2411" s="62">
        <v>11</v>
      </c>
      <c r="K2411" s="312">
        <v>0</v>
      </c>
      <c r="L2411" s="497">
        <f t="shared" si="582"/>
        <v>42</v>
      </c>
      <c r="M2411" s="61"/>
    </row>
    <row r="2412" spans="2:13" ht="15.75" hidden="1" x14ac:dyDescent="0.25">
      <c r="B2412" s="104">
        <v>46264</v>
      </c>
      <c r="C2412" s="104" t="s">
        <v>106</v>
      </c>
      <c r="D2412" s="104" t="s">
        <v>13</v>
      </c>
      <c r="F2412" s="899"/>
      <c r="G2412" s="60" t="s">
        <v>205</v>
      </c>
      <c r="H2412" s="60" t="s">
        <v>125</v>
      </c>
      <c r="I2412" s="62">
        <v>0</v>
      </c>
      <c r="J2412" s="62">
        <v>0</v>
      </c>
      <c r="K2412" s="312">
        <v>50</v>
      </c>
      <c r="L2412" s="497">
        <f t="shared" si="582"/>
        <v>50</v>
      </c>
      <c r="M2412" s="61"/>
    </row>
    <row r="2413" spans="2:13" ht="15.75" hidden="1" x14ac:dyDescent="0.25">
      <c r="B2413" s="104">
        <v>46264</v>
      </c>
      <c r="C2413" s="104" t="s">
        <v>106</v>
      </c>
      <c r="D2413" s="104" t="s">
        <v>13</v>
      </c>
      <c r="F2413" s="899"/>
      <c r="G2413" s="60" t="s">
        <v>25</v>
      </c>
      <c r="H2413" s="60" t="s">
        <v>105</v>
      </c>
      <c r="I2413" s="62">
        <v>114</v>
      </c>
      <c r="J2413" s="62">
        <v>14</v>
      </c>
      <c r="K2413" s="312">
        <v>0</v>
      </c>
      <c r="L2413" s="497">
        <f t="shared" si="582"/>
        <v>128</v>
      </c>
      <c r="M2413" s="61"/>
    </row>
    <row r="2414" spans="2:13" ht="15.75" hidden="1" x14ac:dyDescent="0.25">
      <c r="B2414" s="104">
        <v>46264</v>
      </c>
      <c r="C2414" s="104" t="s">
        <v>106</v>
      </c>
      <c r="D2414" s="104" t="s">
        <v>13</v>
      </c>
      <c r="F2414" s="866">
        <v>46268</v>
      </c>
      <c r="G2414" s="60" t="s">
        <v>16</v>
      </c>
      <c r="H2414" s="60" t="s">
        <v>112</v>
      </c>
      <c r="I2414" s="62">
        <v>0</v>
      </c>
      <c r="J2414" s="62">
        <v>0</v>
      </c>
      <c r="K2414" s="312">
        <v>14</v>
      </c>
      <c r="L2414" s="497">
        <f t="shared" si="582"/>
        <v>14</v>
      </c>
      <c r="M2414" s="61"/>
    </row>
    <row r="2415" spans="2:13" ht="15.75" hidden="1" x14ac:dyDescent="0.25">
      <c r="B2415" s="104">
        <v>46264</v>
      </c>
      <c r="C2415" s="104" t="s">
        <v>106</v>
      </c>
      <c r="D2415" s="104" t="s">
        <v>13</v>
      </c>
      <c r="F2415" s="867"/>
      <c r="G2415" s="60" t="s">
        <v>14</v>
      </c>
      <c r="H2415" s="60" t="s">
        <v>105</v>
      </c>
      <c r="I2415" s="62">
        <v>0</v>
      </c>
      <c r="J2415" s="62">
        <v>0</v>
      </c>
      <c r="K2415" s="312">
        <v>13</v>
      </c>
      <c r="L2415" s="497">
        <f t="shared" si="582"/>
        <v>13</v>
      </c>
      <c r="M2415" s="61"/>
    </row>
    <row r="2416" spans="2:13" ht="15.75" hidden="1" x14ac:dyDescent="0.25">
      <c r="B2416" s="104">
        <v>46264</v>
      </c>
      <c r="C2416" s="104" t="s">
        <v>106</v>
      </c>
      <c r="D2416" s="104" t="s">
        <v>13</v>
      </c>
      <c r="F2416" s="868"/>
      <c r="G2416" s="60" t="s">
        <v>118</v>
      </c>
      <c r="H2416" s="60" t="s">
        <v>106</v>
      </c>
      <c r="I2416" s="62">
        <v>26</v>
      </c>
      <c r="J2416" s="62">
        <v>7</v>
      </c>
      <c r="K2416" s="312">
        <v>117</v>
      </c>
      <c r="L2416" s="497">
        <f t="shared" si="582"/>
        <v>150</v>
      </c>
      <c r="M2416" s="61"/>
    </row>
    <row r="2417" spans="2:13" ht="15.75" hidden="1" x14ac:dyDescent="0.25">
      <c r="B2417" s="104">
        <v>46264</v>
      </c>
      <c r="C2417" s="104" t="s">
        <v>106</v>
      </c>
      <c r="D2417" s="104" t="s">
        <v>13</v>
      </c>
      <c r="F2417" s="890" t="s">
        <v>40</v>
      </c>
      <c r="G2417" s="890"/>
      <c r="H2417" s="890"/>
      <c r="I2417" s="99">
        <f>SUM(I2408:I2416)</f>
        <v>229</v>
      </c>
      <c r="J2417" s="99">
        <f t="shared" ref="J2417:L2417" si="583">SUM(J2408:J2416)</f>
        <v>62</v>
      </c>
      <c r="K2417" s="99">
        <f t="shared" si="583"/>
        <v>217</v>
      </c>
      <c r="L2417" s="99">
        <f t="shared" si="583"/>
        <v>508</v>
      </c>
      <c r="M2417" s="512"/>
    </row>
    <row r="2418" spans="2:13" ht="15.75" hidden="1" x14ac:dyDescent="0.25">
      <c r="B2418" s="104">
        <v>46264</v>
      </c>
      <c r="C2418" s="104" t="s">
        <v>105</v>
      </c>
      <c r="D2418" s="104" t="s">
        <v>189</v>
      </c>
      <c r="F2418" s="899">
        <v>46264</v>
      </c>
      <c r="G2418" s="60" t="s">
        <v>16</v>
      </c>
      <c r="H2418" s="60" t="s">
        <v>112</v>
      </c>
      <c r="I2418" s="62">
        <v>10</v>
      </c>
      <c r="J2418" s="62">
        <v>8</v>
      </c>
      <c r="K2418" s="312">
        <v>0</v>
      </c>
      <c r="L2418" s="497">
        <f t="shared" ref="L2418:L2424" si="584">SUM(I2418:K2418)</f>
        <v>18</v>
      </c>
      <c r="M2418" s="61"/>
    </row>
    <row r="2419" spans="2:13" ht="15.75" hidden="1" x14ac:dyDescent="0.25">
      <c r="B2419" s="104">
        <v>46264</v>
      </c>
      <c r="C2419" s="104" t="s">
        <v>105</v>
      </c>
      <c r="D2419" s="104" t="s">
        <v>189</v>
      </c>
      <c r="F2419" s="899"/>
      <c r="G2419" s="60" t="s">
        <v>17</v>
      </c>
      <c r="H2419" s="60" t="s">
        <v>105</v>
      </c>
      <c r="I2419" s="62">
        <v>18</v>
      </c>
      <c r="J2419" s="62">
        <v>2</v>
      </c>
      <c r="K2419" s="312">
        <v>0</v>
      </c>
      <c r="L2419" s="497">
        <f t="shared" si="584"/>
        <v>20</v>
      </c>
      <c r="M2419" s="61"/>
    </row>
    <row r="2420" spans="2:13" ht="15.75" hidden="1" x14ac:dyDescent="0.25">
      <c r="B2420" s="104">
        <v>46264</v>
      </c>
      <c r="C2420" s="104" t="s">
        <v>105</v>
      </c>
      <c r="D2420" s="104" t="s">
        <v>189</v>
      </c>
      <c r="F2420" s="866">
        <v>46268</v>
      </c>
      <c r="G2420" s="60" t="s">
        <v>16</v>
      </c>
      <c r="H2420" s="60" t="s">
        <v>112</v>
      </c>
      <c r="I2420" s="62">
        <v>48</v>
      </c>
      <c r="J2420" s="62">
        <f>73-2</f>
        <v>71</v>
      </c>
      <c r="K2420" s="312">
        <v>29</v>
      </c>
      <c r="L2420" s="497">
        <f t="shared" si="584"/>
        <v>148</v>
      </c>
      <c r="M2420" s="61"/>
    </row>
    <row r="2421" spans="2:13" ht="15.75" hidden="1" x14ac:dyDescent="0.25">
      <c r="B2421" s="104">
        <v>46264</v>
      </c>
      <c r="C2421" s="104" t="s">
        <v>105</v>
      </c>
      <c r="D2421" s="104" t="s">
        <v>189</v>
      </c>
      <c r="F2421" s="867"/>
      <c r="G2421" s="60" t="s">
        <v>17</v>
      </c>
      <c r="H2421" s="60" t="s">
        <v>106</v>
      </c>
      <c r="I2421" s="62">
        <v>113</v>
      </c>
      <c r="J2421" s="62">
        <v>17</v>
      </c>
      <c r="K2421" s="312">
        <v>17</v>
      </c>
      <c r="L2421" s="497">
        <f t="shared" si="584"/>
        <v>147</v>
      </c>
      <c r="M2421" s="61"/>
    </row>
    <row r="2422" spans="2:13" ht="15.75" hidden="1" x14ac:dyDescent="0.25">
      <c r="B2422" s="104">
        <v>46264</v>
      </c>
      <c r="C2422" s="104" t="s">
        <v>105</v>
      </c>
      <c r="D2422" s="104" t="s">
        <v>189</v>
      </c>
      <c r="F2422" s="867"/>
      <c r="G2422" s="60" t="s">
        <v>14</v>
      </c>
      <c r="H2422" s="60" t="s">
        <v>105</v>
      </c>
      <c r="I2422" s="62">
        <v>3</v>
      </c>
      <c r="J2422" s="62">
        <v>3</v>
      </c>
      <c r="K2422" s="312">
        <v>119</v>
      </c>
      <c r="L2422" s="497">
        <f t="shared" si="584"/>
        <v>125</v>
      </c>
      <c r="M2422" s="61"/>
    </row>
    <row r="2423" spans="2:13" ht="15.75" hidden="1" x14ac:dyDescent="0.25">
      <c r="B2423" s="104">
        <v>46264</v>
      </c>
      <c r="C2423" s="104" t="s">
        <v>105</v>
      </c>
      <c r="D2423" s="104" t="s">
        <v>189</v>
      </c>
      <c r="F2423" s="867"/>
      <c r="G2423" s="60" t="s">
        <v>180</v>
      </c>
      <c r="H2423" s="60" t="s">
        <v>106</v>
      </c>
      <c r="I2423" s="62">
        <v>19</v>
      </c>
      <c r="J2423" s="62">
        <v>5</v>
      </c>
      <c r="K2423" s="312">
        <v>0</v>
      </c>
      <c r="L2423" s="497">
        <f t="shared" ref="L2423" si="585">SUM(I2423:K2423)</f>
        <v>24</v>
      </c>
      <c r="M2423" s="61"/>
    </row>
    <row r="2424" spans="2:13" ht="15.75" hidden="1" x14ac:dyDescent="0.25">
      <c r="B2424" s="104">
        <v>46264</v>
      </c>
      <c r="C2424" s="104" t="s">
        <v>105</v>
      </c>
      <c r="D2424" s="104" t="s">
        <v>189</v>
      </c>
      <c r="F2424" s="868"/>
      <c r="G2424" s="60" t="s">
        <v>118</v>
      </c>
      <c r="H2424" s="60" t="s">
        <v>106</v>
      </c>
      <c r="I2424" s="62">
        <v>85</v>
      </c>
      <c r="J2424" s="62">
        <v>29</v>
      </c>
      <c r="K2424" s="312">
        <v>0</v>
      </c>
      <c r="L2424" s="497">
        <f t="shared" si="584"/>
        <v>114</v>
      </c>
      <c r="M2424" s="61"/>
    </row>
    <row r="2425" spans="2:13" ht="15.75" hidden="1" x14ac:dyDescent="0.25">
      <c r="B2425" s="104">
        <v>46264</v>
      </c>
      <c r="C2425" s="104" t="s">
        <v>105</v>
      </c>
      <c r="D2425" s="104" t="s">
        <v>189</v>
      </c>
      <c r="F2425" s="890" t="s">
        <v>40</v>
      </c>
      <c r="G2425" s="890"/>
      <c r="H2425" s="890"/>
      <c r="I2425" s="99">
        <f>SUM(I2418:I2424)</f>
        <v>296</v>
      </c>
      <c r="J2425" s="99">
        <f>SUM(J2418:J2424)</f>
        <v>135</v>
      </c>
      <c r="K2425" s="99">
        <f>SUM(K2418:K2424)</f>
        <v>165</v>
      </c>
      <c r="L2425" s="99">
        <f>SUM(L2418:L2424)</f>
        <v>596</v>
      </c>
      <c r="M2425" s="512"/>
    </row>
    <row r="2426" spans="2:13" ht="15.75" hidden="1" x14ac:dyDescent="0.25">
      <c r="B2426" s="104">
        <v>46268</v>
      </c>
      <c r="C2426" s="104" t="s">
        <v>106</v>
      </c>
      <c r="D2426" s="104" t="s">
        <v>189</v>
      </c>
      <c r="F2426" s="899">
        <v>46268</v>
      </c>
      <c r="G2426" s="60" t="s">
        <v>16</v>
      </c>
      <c r="H2426" s="60" t="s">
        <v>112</v>
      </c>
      <c r="I2426" s="62">
        <v>39</v>
      </c>
      <c r="J2426" s="62">
        <v>41</v>
      </c>
      <c r="K2426" s="312">
        <v>14</v>
      </c>
      <c r="L2426" s="497">
        <f t="shared" ref="L2426:L2433" si="586">SUM(I2426:K2426)</f>
        <v>94</v>
      </c>
      <c r="M2426" s="61"/>
    </row>
    <row r="2427" spans="2:13" ht="15.75" hidden="1" x14ac:dyDescent="0.25">
      <c r="B2427" s="104">
        <v>46268</v>
      </c>
      <c r="C2427" s="104" t="s">
        <v>106</v>
      </c>
      <c r="D2427" s="104" t="s">
        <v>189</v>
      </c>
      <c r="F2427" s="899"/>
      <c r="G2427" s="60" t="s">
        <v>17</v>
      </c>
      <c r="H2427" s="60" t="s">
        <v>106</v>
      </c>
      <c r="I2427" s="62">
        <v>21</v>
      </c>
      <c r="J2427" s="62">
        <v>17</v>
      </c>
      <c r="K2427" s="312">
        <v>0</v>
      </c>
      <c r="L2427" s="497">
        <f t="shared" si="586"/>
        <v>38</v>
      </c>
      <c r="M2427" s="61"/>
    </row>
    <row r="2428" spans="2:13" ht="15.75" hidden="1" x14ac:dyDescent="0.25">
      <c r="B2428" s="104">
        <v>46268</v>
      </c>
      <c r="C2428" s="104" t="s">
        <v>106</v>
      </c>
      <c r="D2428" s="104" t="s">
        <v>189</v>
      </c>
      <c r="F2428" s="899"/>
      <c r="G2428" s="60" t="s">
        <v>118</v>
      </c>
      <c r="H2428" s="60" t="s">
        <v>106</v>
      </c>
      <c r="I2428" s="62">
        <v>27</v>
      </c>
      <c r="J2428" s="62">
        <v>12</v>
      </c>
      <c r="K2428" s="312">
        <v>0</v>
      </c>
      <c r="L2428" s="497">
        <f t="shared" si="586"/>
        <v>39</v>
      </c>
      <c r="M2428" s="61"/>
    </row>
    <row r="2429" spans="2:13" ht="15.75" hidden="1" x14ac:dyDescent="0.25">
      <c r="B2429" s="104">
        <v>46268</v>
      </c>
      <c r="C2429" s="104" t="s">
        <v>106</v>
      </c>
      <c r="D2429" s="104" t="s">
        <v>189</v>
      </c>
      <c r="F2429" s="899"/>
      <c r="G2429" s="60" t="s">
        <v>180</v>
      </c>
      <c r="H2429" s="60" t="s">
        <v>106</v>
      </c>
      <c r="I2429" s="62">
        <v>27</v>
      </c>
      <c r="J2429" s="62">
        <v>0</v>
      </c>
      <c r="K2429" s="312">
        <v>0</v>
      </c>
      <c r="L2429" s="497">
        <f t="shared" si="586"/>
        <v>27</v>
      </c>
      <c r="M2429" s="61"/>
    </row>
    <row r="2430" spans="2:13" ht="15.75" hidden="1" x14ac:dyDescent="0.25">
      <c r="B2430" s="104">
        <v>46268</v>
      </c>
      <c r="C2430" s="104" t="s">
        <v>106</v>
      </c>
      <c r="D2430" s="104" t="s">
        <v>189</v>
      </c>
      <c r="F2430" s="899"/>
      <c r="G2430" s="60" t="s">
        <v>14</v>
      </c>
      <c r="H2430" s="60" t="s">
        <v>105</v>
      </c>
      <c r="I2430" s="62">
        <v>87</v>
      </c>
      <c r="J2430" s="62">
        <v>46</v>
      </c>
      <c r="K2430" s="312">
        <v>0</v>
      </c>
      <c r="L2430" s="497">
        <f t="shared" si="586"/>
        <v>133</v>
      </c>
      <c r="M2430" s="61"/>
    </row>
    <row r="2431" spans="2:13" ht="15.75" hidden="1" x14ac:dyDescent="0.25">
      <c r="B2431" s="104">
        <v>46268</v>
      </c>
      <c r="C2431" s="104" t="s">
        <v>106</v>
      </c>
      <c r="D2431" s="104" t="s">
        <v>189</v>
      </c>
      <c r="F2431" s="899"/>
      <c r="G2431" s="60" t="s">
        <v>84</v>
      </c>
      <c r="H2431" s="60" t="s">
        <v>105</v>
      </c>
      <c r="I2431" s="62">
        <v>0</v>
      </c>
      <c r="J2431" s="62">
        <v>0</v>
      </c>
      <c r="K2431" s="312">
        <v>6</v>
      </c>
      <c r="L2431" s="497">
        <f t="shared" si="586"/>
        <v>6</v>
      </c>
      <c r="M2431" s="61"/>
    </row>
    <row r="2432" spans="2:13" ht="15.75" hidden="1" x14ac:dyDescent="0.25">
      <c r="B2432" s="104">
        <v>46268</v>
      </c>
      <c r="C2432" s="104" t="s">
        <v>106</v>
      </c>
      <c r="D2432" s="104" t="s">
        <v>189</v>
      </c>
      <c r="F2432" s="866">
        <v>46269</v>
      </c>
      <c r="G2432" s="60" t="s">
        <v>17</v>
      </c>
      <c r="H2432" s="60" t="s">
        <v>106</v>
      </c>
      <c r="I2432" s="62">
        <v>0</v>
      </c>
      <c r="J2432" s="62">
        <v>0</v>
      </c>
      <c r="K2432" s="312">
        <v>50</v>
      </c>
      <c r="L2432" s="497">
        <f t="shared" si="586"/>
        <v>50</v>
      </c>
      <c r="M2432" s="61"/>
    </row>
    <row r="2433" spans="2:13" ht="15.75" hidden="1" x14ac:dyDescent="0.25">
      <c r="B2433" s="104">
        <v>46268</v>
      </c>
      <c r="C2433" s="104" t="s">
        <v>106</v>
      </c>
      <c r="D2433" s="104" t="s">
        <v>189</v>
      </c>
      <c r="F2433" s="868"/>
      <c r="G2433" s="60" t="s">
        <v>16</v>
      </c>
      <c r="H2433" s="60" t="s">
        <v>112</v>
      </c>
      <c r="I2433" s="62">
        <v>26</v>
      </c>
      <c r="J2433" s="62">
        <v>21</v>
      </c>
      <c r="K2433" s="312">
        <v>144</v>
      </c>
      <c r="L2433" s="497">
        <f t="shared" si="586"/>
        <v>191</v>
      </c>
      <c r="M2433" s="61"/>
    </row>
    <row r="2434" spans="2:13" ht="15.75" hidden="1" x14ac:dyDescent="0.25">
      <c r="B2434" s="104">
        <v>46268</v>
      </c>
      <c r="C2434" s="104" t="s">
        <v>106</v>
      </c>
      <c r="D2434" s="104" t="s">
        <v>189</v>
      </c>
      <c r="F2434" s="890" t="s">
        <v>40</v>
      </c>
      <c r="G2434" s="890"/>
      <c r="H2434" s="890"/>
      <c r="I2434" s="99">
        <f>SUM(I2426:I2433)</f>
        <v>227</v>
      </c>
      <c r="J2434" s="99">
        <f>SUM(J2426:J2433)</f>
        <v>137</v>
      </c>
      <c r="K2434" s="99">
        <f>SUM(K2426:K2433)</f>
        <v>214</v>
      </c>
      <c r="L2434" s="99">
        <f>SUM(L2426:L2433)</f>
        <v>578</v>
      </c>
      <c r="M2434" s="512"/>
    </row>
    <row r="2435" spans="2:13" ht="15.75" hidden="1" x14ac:dyDescent="0.25">
      <c r="B2435" s="104">
        <v>46268</v>
      </c>
      <c r="C2435" s="104" t="s">
        <v>105</v>
      </c>
      <c r="D2435" s="104" t="s">
        <v>13</v>
      </c>
      <c r="F2435" s="899">
        <v>46268</v>
      </c>
      <c r="G2435" s="60" t="s">
        <v>16</v>
      </c>
      <c r="H2435" s="60" t="s">
        <v>112</v>
      </c>
      <c r="I2435" s="62">
        <v>25</v>
      </c>
      <c r="J2435" s="62">
        <v>2</v>
      </c>
      <c r="K2435" s="312">
        <v>0</v>
      </c>
      <c r="L2435" s="497">
        <f t="shared" ref="L2435:L2442" si="587">SUM(I2435:K2435)</f>
        <v>27</v>
      </c>
      <c r="M2435" s="61"/>
    </row>
    <row r="2436" spans="2:13" ht="15.75" hidden="1" x14ac:dyDescent="0.25">
      <c r="B2436" s="104">
        <v>46268</v>
      </c>
      <c r="C2436" s="104" t="s">
        <v>105</v>
      </c>
      <c r="D2436" s="104" t="s">
        <v>13</v>
      </c>
      <c r="F2436" s="899"/>
      <c r="G2436" s="60" t="s">
        <v>14</v>
      </c>
      <c r="H2436" s="60" t="s">
        <v>105</v>
      </c>
      <c r="I2436" s="62">
        <v>23</v>
      </c>
      <c r="J2436" s="62">
        <v>7</v>
      </c>
      <c r="K2436" s="312">
        <v>0</v>
      </c>
      <c r="L2436" s="497">
        <f t="shared" si="587"/>
        <v>30</v>
      </c>
      <c r="M2436" s="61"/>
    </row>
    <row r="2437" spans="2:13" ht="15.75" hidden="1" x14ac:dyDescent="0.25">
      <c r="B2437" s="104">
        <v>46268</v>
      </c>
      <c r="C2437" s="104" t="s">
        <v>105</v>
      </c>
      <c r="D2437" s="104" t="s">
        <v>13</v>
      </c>
      <c r="F2437" s="899"/>
      <c r="G2437" s="60" t="s">
        <v>84</v>
      </c>
      <c r="H2437" s="60" t="s">
        <v>105</v>
      </c>
      <c r="I2437" s="62">
        <v>28</v>
      </c>
      <c r="J2437" s="62">
        <v>7</v>
      </c>
      <c r="K2437" s="312">
        <v>0</v>
      </c>
      <c r="L2437" s="497">
        <f t="shared" si="587"/>
        <v>35</v>
      </c>
      <c r="M2437" s="61"/>
    </row>
    <row r="2438" spans="2:13" ht="15.75" hidden="1" x14ac:dyDescent="0.25">
      <c r="B2438" s="104">
        <v>46268</v>
      </c>
      <c r="C2438" s="104" t="s">
        <v>105</v>
      </c>
      <c r="D2438" s="104" t="s">
        <v>13</v>
      </c>
      <c r="F2438" s="866">
        <v>46269</v>
      </c>
      <c r="G2438" s="60" t="s">
        <v>180</v>
      </c>
      <c r="H2438" s="60" t="s">
        <v>106</v>
      </c>
      <c r="I2438" s="62">
        <v>0</v>
      </c>
      <c r="J2438" s="62">
        <v>0</v>
      </c>
      <c r="K2438" s="312">
        <v>64</v>
      </c>
      <c r="L2438" s="497">
        <f>SUM(I2438:K2438)</f>
        <v>64</v>
      </c>
      <c r="M2438" s="61"/>
    </row>
    <row r="2439" spans="2:13" ht="15.75" hidden="1" x14ac:dyDescent="0.25">
      <c r="B2439" s="104">
        <v>46268</v>
      </c>
      <c r="C2439" s="104" t="s">
        <v>105</v>
      </c>
      <c r="D2439" s="104" t="s">
        <v>13</v>
      </c>
      <c r="F2439" s="867"/>
      <c r="G2439" s="60" t="s">
        <v>84</v>
      </c>
      <c r="H2439" s="60" t="s">
        <v>105</v>
      </c>
      <c r="I2439" s="62">
        <v>22</v>
      </c>
      <c r="J2439" s="62">
        <v>4</v>
      </c>
      <c r="K2439" s="312">
        <v>0</v>
      </c>
      <c r="L2439" s="497">
        <f t="shared" si="587"/>
        <v>26</v>
      </c>
      <c r="M2439" s="61"/>
    </row>
    <row r="2440" spans="2:13" ht="15.75" hidden="1" x14ac:dyDescent="0.25">
      <c r="B2440" s="104">
        <v>46268</v>
      </c>
      <c r="C2440" s="104" t="s">
        <v>105</v>
      </c>
      <c r="D2440" s="104" t="s">
        <v>13</v>
      </c>
      <c r="F2440" s="867"/>
      <c r="G2440" s="60" t="s">
        <v>14</v>
      </c>
      <c r="H2440" s="60" t="s">
        <v>105</v>
      </c>
      <c r="I2440" s="62">
        <v>5</v>
      </c>
      <c r="J2440" s="62">
        <v>0</v>
      </c>
      <c r="K2440" s="312">
        <v>116</v>
      </c>
      <c r="L2440" s="497">
        <f t="shared" si="587"/>
        <v>121</v>
      </c>
      <c r="M2440" s="61"/>
    </row>
    <row r="2441" spans="2:13" ht="15.75" hidden="1" x14ac:dyDescent="0.25">
      <c r="B2441" s="104">
        <v>46268</v>
      </c>
      <c r="C2441" s="104" t="s">
        <v>105</v>
      </c>
      <c r="D2441" s="104" t="s">
        <v>13</v>
      </c>
      <c r="F2441" s="867"/>
      <c r="G2441" s="60" t="s">
        <v>17</v>
      </c>
      <c r="H2441" s="60" t="s">
        <v>106</v>
      </c>
      <c r="I2441" s="62">
        <v>94</v>
      </c>
      <c r="J2441" s="62">
        <v>39</v>
      </c>
      <c r="K2441" s="312">
        <v>0</v>
      </c>
      <c r="L2441" s="497">
        <f t="shared" si="587"/>
        <v>133</v>
      </c>
      <c r="M2441" s="61"/>
    </row>
    <row r="2442" spans="2:13" ht="15.75" hidden="1" x14ac:dyDescent="0.25">
      <c r="B2442" s="104">
        <v>46268</v>
      </c>
      <c r="C2442" s="104" t="s">
        <v>105</v>
      </c>
      <c r="D2442" s="104" t="s">
        <v>13</v>
      </c>
      <c r="F2442" s="868"/>
      <c r="G2442" s="60" t="s">
        <v>16</v>
      </c>
      <c r="H2442" s="60" t="s">
        <v>112</v>
      </c>
      <c r="I2442" s="62">
        <v>88</v>
      </c>
      <c r="J2442" s="62">
        <v>66</v>
      </c>
      <c r="K2442" s="312">
        <v>0</v>
      </c>
      <c r="L2442" s="497">
        <f t="shared" si="587"/>
        <v>154</v>
      </c>
      <c r="M2442" s="61"/>
    </row>
    <row r="2443" spans="2:13" ht="15.75" hidden="1" x14ac:dyDescent="0.25">
      <c r="B2443" s="104">
        <v>46268</v>
      </c>
      <c r="C2443" s="104" t="s">
        <v>105</v>
      </c>
      <c r="D2443" s="104" t="s">
        <v>13</v>
      </c>
      <c r="F2443" s="890" t="s">
        <v>40</v>
      </c>
      <c r="G2443" s="890"/>
      <c r="H2443" s="890"/>
      <c r="I2443" s="99">
        <f>SUM(I2435:I2442)</f>
        <v>285</v>
      </c>
      <c r="J2443" s="99">
        <f>SUM(J2435:J2442)</f>
        <v>125</v>
      </c>
      <c r="K2443" s="99">
        <f>SUM(K2435:K2442)</f>
        <v>180</v>
      </c>
      <c r="L2443" s="99">
        <f>SUM(L2435:L2442)</f>
        <v>590</v>
      </c>
      <c r="M2443" s="512"/>
    </row>
    <row r="2444" spans="2:13" ht="15.75" hidden="1" x14ac:dyDescent="0.25">
      <c r="B2444" s="104">
        <v>46269</v>
      </c>
      <c r="C2444" s="104" t="s">
        <v>106</v>
      </c>
      <c r="D2444" s="104" t="s">
        <v>189</v>
      </c>
      <c r="F2444" s="899">
        <v>46269</v>
      </c>
      <c r="G2444" s="60" t="s">
        <v>16</v>
      </c>
      <c r="H2444" s="60" t="s">
        <v>112</v>
      </c>
      <c r="I2444" s="62">
        <v>22</v>
      </c>
      <c r="J2444" s="62">
        <v>29</v>
      </c>
      <c r="K2444" s="312">
        <v>3</v>
      </c>
      <c r="L2444" s="497">
        <f t="shared" ref="L2444:L2451" si="588">SUM(I2444:K2444)</f>
        <v>54</v>
      </c>
      <c r="M2444" s="61"/>
    </row>
    <row r="2445" spans="2:13" ht="15.75" hidden="1" x14ac:dyDescent="0.25">
      <c r="B2445" s="104">
        <v>46269</v>
      </c>
      <c r="C2445" s="104" t="s">
        <v>106</v>
      </c>
      <c r="D2445" s="104" t="s">
        <v>189</v>
      </c>
      <c r="F2445" s="899"/>
      <c r="G2445" s="60" t="s">
        <v>17</v>
      </c>
      <c r="H2445" s="60" t="s">
        <v>106</v>
      </c>
      <c r="I2445" s="62">
        <v>41</v>
      </c>
      <c r="J2445" s="62">
        <v>18</v>
      </c>
      <c r="K2445" s="312">
        <v>0</v>
      </c>
      <c r="L2445" s="497">
        <f t="shared" si="588"/>
        <v>59</v>
      </c>
      <c r="M2445" s="61"/>
    </row>
    <row r="2446" spans="2:13" ht="15.75" hidden="1" x14ac:dyDescent="0.25">
      <c r="B2446" s="104">
        <v>46269</v>
      </c>
      <c r="C2446" s="104" t="s">
        <v>106</v>
      </c>
      <c r="D2446" s="104" t="s">
        <v>189</v>
      </c>
      <c r="F2446" s="899"/>
      <c r="G2446" s="60" t="s">
        <v>118</v>
      </c>
      <c r="H2446" s="60" t="s">
        <v>106</v>
      </c>
      <c r="I2446" s="62">
        <v>2</v>
      </c>
      <c r="J2446" s="62">
        <v>0</v>
      </c>
      <c r="K2446" s="312">
        <v>0</v>
      </c>
      <c r="L2446" s="497">
        <f t="shared" si="588"/>
        <v>2</v>
      </c>
      <c r="M2446" s="61"/>
    </row>
    <row r="2447" spans="2:13" ht="15.75" hidden="1" x14ac:dyDescent="0.25">
      <c r="B2447" s="104">
        <v>46269</v>
      </c>
      <c r="C2447" s="104" t="s">
        <v>106</v>
      </c>
      <c r="D2447" s="104" t="s">
        <v>189</v>
      </c>
      <c r="F2447" s="899"/>
      <c r="G2447" s="60" t="s">
        <v>180</v>
      </c>
      <c r="H2447" s="60" t="s">
        <v>106</v>
      </c>
      <c r="I2447" s="62">
        <v>64</v>
      </c>
      <c r="J2447" s="62">
        <v>0</v>
      </c>
      <c r="K2447" s="312">
        <v>0</v>
      </c>
      <c r="L2447" s="497">
        <f t="shared" si="588"/>
        <v>64</v>
      </c>
      <c r="M2447" s="61"/>
    </row>
    <row r="2448" spans="2:13" ht="15.75" hidden="1" x14ac:dyDescent="0.25">
      <c r="B2448" s="104">
        <v>46269</v>
      </c>
      <c r="C2448" s="104" t="s">
        <v>106</v>
      </c>
      <c r="D2448" s="104" t="s">
        <v>189</v>
      </c>
      <c r="F2448" s="899"/>
      <c r="G2448" s="60" t="s">
        <v>25</v>
      </c>
      <c r="H2448" s="60" t="s">
        <v>106</v>
      </c>
      <c r="I2448" s="62">
        <v>7</v>
      </c>
      <c r="J2448" s="62">
        <v>6</v>
      </c>
      <c r="K2448" s="312">
        <v>0</v>
      </c>
      <c r="L2448" s="497">
        <f t="shared" si="588"/>
        <v>13</v>
      </c>
      <c r="M2448" s="61"/>
    </row>
    <row r="2449" spans="2:13" ht="15.75" hidden="1" x14ac:dyDescent="0.25">
      <c r="B2449" s="104">
        <v>46269</v>
      </c>
      <c r="C2449" s="104" t="s">
        <v>106</v>
      </c>
      <c r="D2449" s="104" t="s">
        <v>189</v>
      </c>
      <c r="F2449" s="899"/>
      <c r="G2449" s="60" t="s">
        <v>14</v>
      </c>
      <c r="H2449" s="60" t="s">
        <v>105</v>
      </c>
      <c r="I2449" s="62">
        <v>123</v>
      </c>
      <c r="J2449" s="62">
        <v>24</v>
      </c>
      <c r="K2449" s="312">
        <v>0</v>
      </c>
      <c r="L2449" s="497">
        <f t="shared" si="588"/>
        <v>147</v>
      </c>
      <c r="M2449" s="61"/>
    </row>
    <row r="2450" spans="2:13" ht="15.75" hidden="1" x14ac:dyDescent="0.25">
      <c r="B2450" s="104">
        <v>46269</v>
      </c>
      <c r="C2450" s="104" t="s">
        <v>106</v>
      </c>
      <c r="D2450" s="104" t="s">
        <v>189</v>
      </c>
      <c r="F2450" s="866">
        <v>46270</v>
      </c>
      <c r="G2450" s="60" t="s">
        <v>25</v>
      </c>
      <c r="H2450" s="60" t="s">
        <v>106</v>
      </c>
      <c r="I2450" s="62">
        <v>0</v>
      </c>
      <c r="J2450" s="62">
        <v>0</v>
      </c>
      <c r="K2450" s="312">
        <v>105</v>
      </c>
      <c r="L2450" s="497">
        <f t="shared" si="588"/>
        <v>105</v>
      </c>
      <c r="M2450" s="61"/>
    </row>
    <row r="2451" spans="2:13" ht="15.75" hidden="1" x14ac:dyDescent="0.25">
      <c r="B2451" s="104">
        <v>46269</v>
      </c>
      <c r="C2451" s="104" t="s">
        <v>106</v>
      </c>
      <c r="D2451" s="104" t="s">
        <v>189</v>
      </c>
      <c r="F2451" s="868"/>
      <c r="G2451" s="60" t="s">
        <v>16</v>
      </c>
      <c r="H2451" s="60" t="s">
        <v>112</v>
      </c>
      <c r="I2451" s="62">
        <v>0</v>
      </c>
      <c r="J2451" s="62">
        <v>0</v>
      </c>
      <c r="K2451" s="312">
        <v>101</v>
      </c>
      <c r="L2451" s="497">
        <f t="shared" si="588"/>
        <v>101</v>
      </c>
      <c r="M2451" s="61"/>
    </row>
    <row r="2452" spans="2:13" ht="15.75" hidden="1" x14ac:dyDescent="0.25">
      <c r="B2452" s="104">
        <v>46269</v>
      </c>
      <c r="C2452" s="104" t="s">
        <v>106</v>
      </c>
      <c r="D2452" s="104" t="s">
        <v>189</v>
      </c>
      <c r="F2452" s="890" t="s">
        <v>40</v>
      </c>
      <c r="G2452" s="890"/>
      <c r="H2452" s="890"/>
      <c r="I2452" s="99">
        <f>SUM(I2444:I2451)</f>
        <v>259</v>
      </c>
      <c r="J2452" s="99">
        <f>SUM(J2444:J2451)</f>
        <v>77</v>
      </c>
      <c r="K2452" s="99">
        <f>SUM(K2444:K2451)</f>
        <v>209</v>
      </c>
      <c r="L2452" s="99">
        <f>SUM(L2444:L2451)</f>
        <v>545</v>
      </c>
      <c r="M2452" s="512"/>
    </row>
    <row r="2453" spans="2:13" ht="15.75" hidden="1" x14ac:dyDescent="0.25">
      <c r="B2453" s="104">
        <v>46269</v>
      </c>
      <c r="C2453" s="104" t="s">
        <v>105</v>
      </c>
      <c r="D2453" s="104" t="s">
        <v>13</v>
      </c>
      <c r="F2453" s="899">
        <v>46269</v>
      </c>
      <c r="G2453" s="60" t="s">
        <v>16</v>
      </c>
      <c r="H2453" s="60" t="s">
        <v>112</v>
      </c>
      <c r="I2453" s="62">
        <v>17</v>
      </c>
      <c r="J2453" s="62">
        <v>5</v>
      </c>
      <c r="K2453" s="312">
        <v>0</v>
      </c>
      <c r="L2453" s="497">
        <f t="shared" ref="L2453:L2461" si="589">SUM(I2453:K2453)</f>
        <v>22</v>
      </c>
      <c r="M2453" s="61"/>
    </row>
    <row r="2454" spans="2:13" ht="15.75" hidden="1" x14ac:dyDescent="0.25">
      <c r="B2454" s="104">
        <v>46269</v>
      </c>
      <c r="C2454" s="104" t="s">
        <v>105</v>
      </c>
      <c r="D2454" s="104" t="s">
        <v>13</v>
      </c>
      <c r="F2454" s="899"/>
      <c r="G2454" s="60" t="s">
        <v>17</v>
      </c>
      <c r="H2454" s="60" t="s">
        <v>106</v>
      </c>
      <c r="I2454" s="62">
        <v>4</v>
      </c>
      <c r="J2454" s="62">
        <v>1</v>
      </c>
      <c r="K2454" s="312">
        <v>0</v>
      </c>
      <c r="L2454" s="497">
        <f t="shared" si="589"/>
        <v>5</v>
      </c>
      <c r="M2454" s="61"/>
    </row>
    <row r="2455" spans="2:13" ht="15.75" hidden="1" x14ac:dyDescent="0.25">
      <c r="B2455" s="104">
        <v>46269</v>
      </c>
      <c r="C2455" s="104" t="s">
        <v>105</v>
      </c>
      <c r="D2455" s="104" t="s">
        <v>13</v>
      </c>
      <c r="F2455" s="899"/>
      <c r="G2455" s="60" t="s">
        <v>84</v>
      </c>
      <c r="H2455" s="60" t="s">
        <v>105</v>
      </c>
      <c r="I2455" s="62">
        <v>26</v>
      </c>
      <c r="J2455" s="62">
        <v>5</v>
      </c>
      <c r="K2455" s="312">
        <v>0</v>
      </c>
      <c r="L2455" s="497">
        <f>SUM(I2455:K2455)</f>
        <v>31</v>
      </c>
      <c r="M2455" s="61"/>
    </row>
    <row r="2456" spans="2:13" ht="15.75" hidden="1" x14ac:dyDescent="0.25">
      <c r="B2456" s="104">
        <v>46269</v>
      </c>
      <c r="C2456" s="104" t="s">
        <v>105</v>
      </c>
      <c r="D2456" s="104" t="s">
        <v>13</v>
      </c>
      <c r="F2456" s="899"/>
      <c r="G2456" s="60" t="s">
        <v>14</v>
      </c>
      <c r="H2456" s="60" t="s">
        <v>105</v>
      </c>
      <c r="I2456" s="62">
        <v>18</v>
      </c>
      <c r="J2456" s="62">
        <v>2</v>
      </c>
      <c r="K2456" s="312">
        <v>0</v>
      </c>
      <c r="L2456" s="497">
        <f t="shared" si="589"/>
        <v>20</v>
      </c>
      <c r="M2456" s="61"/>
    </row>
    <row r="2457" spans="2:13" ht="15.75" hidden="1" x14ac:dyDescent="0.25">
      <c r="B2457" s="104">
        <v>46269</v>
      </c>
      <c r="C2457" s="104" t="s">
        <v>105</v>
      </c>
      <c r="D2457" s="104" t="s">
        <v>13</v>
      </c>
      <c r="F2457" s="866">
        <v>46270</v>
      </c>
      <c r="G2457" s="60" t="s">
        <v>25</v>
      </c>
      <c r="H2457" s="60" t="s">
        <v>106</v>
      </c>
      <c r="I2457" s="62">
        <v>140</v>
      </c>
      <c r="J2457" s="62">
        <v>42</v>
      </c>
      <c r="K2457" s="312">
        <v>0</v>
      </c>
      <c r="L2457" s="497">
        <f t="shared" si="589"/>
        <v>182</v>
      </c>
      <c r="M2457" s="61"/>
    </row>
    <row r="2458" spans="2:13" ht="15.75" hidden="1" x14ac:dyDescent="0.25">
      <c r="B2458" s="104">
        <v>46269</v>
      </c>
      <c r="C2458" s="104" t="s">
        <v>105</v>
      </c>
      <c r="D2458" s="104" t="s">
        <v>13</v>
      </c>
      <c r="F2458" s="867"/>
      <c r="G2458" s="60" t="s">
        <v>118</v>
      </c>
      <c r="H2458" s="60" t="s">
        <v>106</v>
      </c>
      <c r="I2458" s="62">
        <v>47</v>
      </c>
      <c r="J2458" s="62">
        <v>0</v>
      </c>
      <c r="K2458" s="312">
        <v>0</v>
      </c>
      <c r="L2458" s="497">
        <f t="shared" si="589"/>
        <v>47</v>
      </c>
      <c r="M2458" s="61"/>
    </row>
    <row r="2459" spans="2:13" ht="17.25" hidden="1" customHeight="1" x14ac:dyDescent="0.25">
      <c r="B2459" s="104">
        <v>46269</v>
      </c>
      <c r="C2459" s="104" t="s">
        <v>105</v>
      </c>
      <c r="D2459" s="104" t="s">
        <v>13</v>
      </c>
      <c r="F2459" s="867"/>
      <c r="G2459" s="60" t="s">
        <v>14</v>
      </c>
      <c r="H2459" s="60" t="s">
        <v>105</v>
      </c>
      <c r="I2459" s="62">
        <v>5</v>
      </c>
      <c r="J2459" s="62">
        <v>0</v>
      </c>
      <c r="K2459" s="312">
        <v>14</v>
      </c>
      <c r="L2459" s="497">
        <f t="shared" si="589"/>
        <v>19</v>
      </c>
      <c r="M2459" s="61"/>
    </row>
    <row r="2460" spans="2:13" ht="17.25" hidden="1" customHeight="1" x14ac:dyDescent="0.25">
      <c r="B2460" s="104">
        <v>46269</v>
      </c>
      <c r="C2460" s="104" t="s">
        <v>105</v>
      </c>
      <c r="D2460" s="104" t="s">
        <v>13</v>
      </c>
      <c r="F2460" s="867"/>
      <c r="G2460" s="60" t="s">
        <v>180</v>
      </c>
      <c r="H2460" s="60" t="s">
        <v>106</v>
      </c>
      <c r="I2460" s="62">
        <v>0</v>
      </c>
      <c r="J2460" s="62">
        <v>0</v>
      </c>
      <c r="K2460" s="312">
        <v>77</v>
      </c>
      <c r="L2460" s="497">
        <f t="shared" si="589"/>
        <v>77</v>
      </c>
      <c r="M2460" s="61"/>
    </row>
    <row r="2461" spans="2:13" ht="15.75" hidden="1" x14ac:dyDescent="0.25">
      <c r="B2461" s="104">
        <v>46269</v>
      </c>
      <c r="C2461" s="104" t="s">
        <v>105</v>
      </c>
      <c r="D2461" s="104" t="s">
        <v>13</v>
      </c>
      <c r="F2461" s="868"/>
      <c r="G2461" s="60" t="s">
        <v>16</v>
      </c>
      <c r="H2461" s="60" t="s">
        <v>112</v>
      </c>
      <c r="I2461" s="62">
        <v>91</v>
      </c>
      <c r="J2461" s="62">
        <v>89</v>
      </c>
      <c r="K2461" s="312">
        <v>26</v>
      </c>
      <c r="L2461" s="497">
        <f t="shared" si="589"/>
        <v>206</v>
      </c>
      <c r="M2461" s="61"/>
    </row>
    <row r="2462" spans="2:13" ht="15.75" hidden="1" x14ac:dyDescent="0.25">
      <c r="B2462" s="104">
        <v>46269</v>
      </c>
      <c r="C2462" s="104" t="s">
        <v>105</v>
      </c>
      <c r="D2462" s="104" t="s">
        <v>13</v>
      </c>
      <c r="F2462" s="890" t="s">
        <v>40</v>
      </c>
      <c r="G2462" s="890"/>
      <c r="H2462" s="890"/>
      <c r="I2462" s="99">
        <f>SUM(I2453:I2461)</f>
        <v>348</v>
      </c>
      <c r="J2462" s="99">
        <f>SUM(J2453:J2461)</f>
        <v>144</v>
      </c>
      <c r="K2462" s="99">
        <f>SUM(K2453:K2461)</f>
        <v>117</v>
      </c>
      <c r="L2462" s="99">
        <f>SUM(L2453:L2461)</f>
        <v>609</v>
      </c>
      <c r="M2462" s="512"/>
    </row>
    <row r="2463" spans="2:13" ht="15.75" hidden="1" x14ac:dyDescent="0.25">
      <c r="B2463" s="104">
        <v>46270</v>
      </c>
      <c r="C2463" s="104" t="s">
        <v>106</v>
      </c>
      <c r="D2463" s="104" t="s">
        <v>189</v>
      </c>
      <c r="F2463" s="899">
        <v>46270</v>
      </c>
      <c r="G2463" s="60" t="s">
        <v>16</v>
      </c>
      <c r="H2463" s="60" t="s">
        <v>112</v>
      </c>
      <c r="I2463" s="62">
        <v>24</v>
      </c>
      <c r="J2463" s="62">
        <v>30</v>
      </c>
      <c r="K2463" s="312">
        <v>0</v>
      </c>
      <c r="L2463" s="497">
        <f t="shared" ref="L2463:L2470" si="590">SUM(I2463:K2463)</f>
        <v>54</v>
      </c>
      <c r="M2463" s="61"/>
    </row>
    <row r="2464" spans="2:13" ht="15.75" hidden="1" x14ac:dyDescent="0.25">
      <c r="B2464" s="104">
        <v>46270</v>
      </c>
      <c r="C2464" s="104" t="s">
        <v>106</v>
      </c>
      <c r="D2464" s="104" t="s">
        <v>189</v>
      </c>
      <c r="F2464" s="899"/>
      <c r="G2464" s="60" t="s">
        <v>25</v>
      </c>
      <c r="H2464" s="60" t="s">
        <v>106</v>
      </c>
      <c r="I2464" s="62">
        <v>27</v>
      </c>
      <c r="J2464" s="62">
        <v>16</v>
      </c>
      <c r="K2464" s="312">
        <v>0</v>
      </c>
      <c r="L2464" s="497">
        <f t="shared" si="590"/>
        <v>43</v>
      </c>
      <c r="M2464" s="61"/>
    </row>
    <row r="2465" spans="2:13" ht="15.75" hidden="1" x14ac:dyDescent="0.25">
      <c r="B2465" s="104">
        <v>46270</v>
      </c>
      <c r="C2465" s="104" t="s">
        <v>106</v>
      </c>
      <c r="D2465" s="104" t="s">
        <v>189</v>
      </c>
      <c r="F2465" s="899"/>
      <c r="G2465" s="60" t="s">
        <v>118</v>
      </c>
      <c r="H2465" s="60" t="s">
        <v>106</v>
      </c>
      <c r="I2465" s="62">
        <v>2</v>
      </c>
      <c r="J2465" s="62">
        <v>0</v>
      </c>
      <c r="K2465" s="312">
        <v>0</v>
      </c>
      <c r="L2465" s="497">
        <f t="shared" si="590"/>
        <v>2</v>
      </c>
      <c r="M2465" s="61"/>
    </row>
    <row r="2466" spans="2:13" ht="15.75" hidden="1" x14ac:dyDescent="0.25">
      <c r="B2466" s="104">
        <v>46270</v>
      </c>
      <c r="C2466" s="104" t="s">
        <v>106</v>
      </c>
      <c r="D2466" s="104" t="s">
        <v>189</v>
      </c>
      <c r="F2466" s="899"/>
      <c r="G2466" s="60" t="s">
        <v>17</v>
      </c>
      <c r="H2466" s="60" t="s">
        <v>106</v>
      </c>
      <c r="I2466" s="62">
        <v>2</v>
      </c>
      <c r="J2466" s="62">
        <v>1</v>
      </c>
      <c r="K2466" s="312">
        <v>0</v>
      </c>
      <c r="L2466" s="497">
        <f t="shared" si="590"/>
        <v>3</v>
      </c>
      <c r="M2466" s="61"/>
    </row>
    <row r="2467" spans="2:13" ht="15.75" hidden="1" x14ac:dyDescent="0.25">
      <c r="B2467" s="104">
        <v>46270</v>
      </c>
      <c r="C2467" s="104" t="s">
        <v>106</v>
      </c>
      <c r="D2467" s="104" t="s">
        <v>189</v>
      </c>
      <c r="F2467" s="899"/>
      <c r="G2467" s="60" t="s">
        <v>14</v>
      </c>
      <c r="H2467" s="60" t="s">
        <v>105</v>
      </c>
      <c r="I2467" s="62">
        <v>105</v>
      </c>
      <c r="J2467" s="62">
        <v>33</v>
      </c>
      <c r="K2467" s="312">
        <v>2</v>
      </c>
      <c r="L2467" s="497">
        <f t="shared" si="590"/>
        <v>140</v>
      </c>
      <c r="M2467" s="61"/>
    </row>
    <row r="2468" spans="2:13" ht="15.75" hidden="1" x14ac:dyDescent="0.25">
      <c r="B2468" s="104">
        <v>46270</v>
      </c>
      <c r="C2468" s="104" t="s">
        <v>106</v>
      </c>
      <c r="D2468" s="104" t="s">
        <v>189</v>
      </c>
      <c r="F2468" s="914">
        <v>46271</v>
      </c>
      <c r="G2468" s="60" t="s">
        <v>17</v>
      </c>
      <c r="H2468" s="60" t="s">
        <v>106</v>
      </c>
      <c r="I2468" s="62">
        <v>10</v>
      </c>
      <c r="J2468" s="62">
        <v>1</v>
      </c>
      <c r="K2468" s="312">
        <v>136</v>
      </c>
      <c r="L2468" s="497">
        <f t="shared" si="590"/>
        <v>147</v>
      </c>
      <c r="M2468" s="61"/>
    </row>
    <row r="2469" spans="2:13" ht="15.75" hidden="1" x14ac:dyDescent="0.25">
      <c r="B2469" s="104">
        <v>46270</v>
      </c>
      <c r="C2469" s="104" t="s">
        <v>106</v>
      </c>
      <c r="D2469" s="104" t="s">
        <v>189</v>
      </c>
      <c r="F2469" s="914"/>
      <c r="G2469" s="60" t="s">
        <v>180</v>
      </c>
      <c r="H2469" s="60" t="s">
        <v>106</v>
      </c>
      <c r="I2469" s="62">
        <v>89</v>
      </c>
      <c r="J2469" s="62">
        <v>3</v>
      </c>
      <c r="K2469" s="312">
        <v>0</v>
      </c>
      <c r="L2469" s="497">
        <f t="shared" si="590"/>
        <v>92</v>
      </c>
      <c r="M2469" s="61"/>
    </row>
    <row r="2470" spans="2:13" ht="15.75" hidden="1" x14ac:dyDescent="0.25">
      <c r="B2470" s="104">
        <v>46270</v>
      </c>
      <c r="C2470" s="104" t="s">
        <v>106</v>
      </c>
      <c r="D2470" s="104" t="s">
        <v>189</v>
      </c>
      <c r="F2470" s="519">
        <v>46272</v>
      </c>
      <c r="G2470" s="60" t="s">
        <v>16</v>
      </c>
      <c r="H2470" s="60" t="s">
        <v>112</v>
      </c>
      <c r="I2470" s="62">
        <v>0</v>
      </c>
      <c r="J2470" s="62">
        <v>0</v>
      </c>
      <c r="K2470" s="312">
        <v>29</v>
      </c>
      <c r="L2470" s="497">
        <f t="shared" si="590"/>
        <v>29</v>
      </c>
      <c r="M2470" s="61"/>
    </row>
    <row r="2471" spans="2:13" ht="15.75" hidden="1" x14ac:dyDescent="0.25">
      <c r="B2471" s="104">
        <v>46270</v>
      </c>
      <c r="C2471" s="104" t="s">
        <v>106</v>
      </c>
      <c r="D2471" s="104" t="s">
        <v>189</v>
      </c>
      <c r="F2471" s="890" t="s">
        <v>40</v>
      </c>
      <c r="G2471" s="890"/>
      <c r="H2471" s="890"/>
      <c r="I2471" s="99">
        <f>SUM(I2463:I2470)</f>
        <v>259</v>
      </c>
      <c r="J2471" s="99">
        <f>SUM(J2463:J2470)</f>
        <v>84</v>
      </c>
      <c r="K2471" s="99">
        <f>SUM(K2463:K2470)</f>
        <v>167</v>
      </c>
      <c r="L2471" s="99">
        <f>SUM(L2463:L2470)</f>
        <v>510</v>
      </c>
      <c r="M2471" s="512"/>
    </row>
    <row r="2472" spans="2:13" ht="15.75" hidden="1" x14ac:dyDescent="0.25">
      <c r="B2472" s="104">
        <v>46270</v>
      </c>
      <c r="C2472" s="104" t="s">
        <v>105</v>
      </c>
      <c r="D2472" s="104" t="s">
        <v>13</v>
      </c>
      <c r="F2472" s="899">
        <v>46270</v>
      </c>
      <c r="G2472" s="60" t="s">
        <v>16</v>
      </c>
      <c r="H2472" s="60" t="s">
        <v>112</v>
      </c>
      <c r="I2472" s="62">
        <v>15</v>
      </c>
      <c r="J2472" s="62">
        <v>6</v>
      </c>
      <c r="K2472" s="312">
        <v>0</v>
      </c>
      <c r="L2472" s="497">
        <f t="shared" ref="L2472:L2478" si="591">SUM(I2472:K2472)</f>
        <v>21</v>
      </c>
      <c r="M2472" s="61"/>
    </row>
    <row r="2473" spans="2:13" ht="15.75" hidden="1" x14ac:dyDescent="0.25">
      <c r="B2473" s="104">
        <v>46270</v>
      </c>
      <c r="C2473" s="104" t="s">
        <v>105</v>
      </c>
      <c r="D2473" s="104" t="s">
        <v>13</v>
      </c>
      <c r="F2473" s="899"/>
      <c r="G2473" s="60" t="s">
        <v>84</v>
      </c>
      <c r="H2473" s="60" t="s">
        <v>105</v>
      </c>
      <c r="I2473" s="62">
        <v>6</v>
      </c>
      <c r="J2473" s="62">
        <v>1</v>
      </c>
      <c r="K2473" s="312">
        <v>0</v>
      </c>
      <c r="L2473" s="497">
        <f t="shared" si="591"/>
        <v>7</v>
      </c>
      <c r="M2473" s="61"/>
    </row>
    <row r="2474" spans="2:13" ht="15.75" hidden="1" x14ac:dyDescent="0.25">
      <c r="B2474" s="104">
        <v>46270</v>
      </c>
      <c r="C2474" s="104" t="s">
        <v>105</v>
      </c>
      <c r="D2474" s="104" t="s">
        <v>13</v>
      </c>
      <c r="F2474" s="899"/>
      <c r="G2474" s="60" t="s">
        <v>208</v>
      </c>
      <c r="H2474" s="60" t="s">
        <v>105</v>
      </c>
      <c r="I2474" s="62">
        <v>1</v>
      </c>
      <c r="J2474" s="62">
        <v>1</v>
      </c>
      <c r="K2474" s="312">
        <v>0</v>
      </c>
      <c r="L2474" s="497">
        <f t="shared" si="591"/>
        <v>2</v>
      </c>
      <c r="M2474" s="61"/>
    </row>
    <row r="2475" spans="2:13" ht="15.75" hidden="1" x14ac:dyDescent="0.25">
      <c r="B2475" s="104">
        <v>46270</v>
      </c>
      <c r="C2475" s="104" t="s">
        <v>105</v>
      </c>
      <c r="D2475" s="104" t="s">
        <v>13</v>
      </c>
      <c r="F2475" s="899"/>
      <c r="G2475" s="60" t="s">
        <v>14</v>
      </c>
      <c r="H2475" s="60" t="s">
        <v>105</v>
      </c>
      <c r="I2475" s="62">
        <v>26</v>
      </c>
      <c r="J2475" s="62">
        <v>7</v>
      </c>
      <c r="K2475" s="312">
        <v>0</v>
      </c>
      <c r="L2475" s="497">
        <f t="shared" si="591"/>
        <v>33</v>
      </c>
      <c r="M2475" s="61"/>
    </row>
    <row r="2476" spans="2:13" ht="15.75" hidden="1" x14ac:dyDescent="0.25">
      <c r="B2476" s="104">
        <v>46270</v>
      </c>
      <c r="C2476" s="104" t="s">
        <v>105</v>
      </c>
      <c r="D2476" s="104" t="s">
        <v>13</v>
      </c>
      <c r="F2476" s="520">
        <v>46271</v>
      </c>
      <c r="G2476" s="60" t="s">
        <v>17</v>
      </c>
      <c r="H2476" s="60" t="s">
        <v>106</v>
      </c>
      <c r="I2476" s="62">
        <v>106</v>
      </c>
      <c r="J2476" s="62">
        <v>39</v>
      </c>
      <c r="K2476" s="312">
        <v>0</v>
      </c>
      <c r="L2476" s="497">
        <f t="shared" si="591"/>
        <v>145</v>
      </c>
      <c r="M2476" s="61"/>
    </row>
    <row r="2477" spans="2:13" ht="15.75" hidden="1" x14ac:dyDescent="0.25">
      <c r="B2477" s="104">
        <v>46270</v>
      </c>
      <c r="C2477" s="104" t="s">
        <v>105</v>
      </c>
      <c r="D2477" s="104" t="s">
        <v>13</v>
      </c>
      <c r="F2477" s="866">
        <v>46272</v>
      </c>
      <c r="G2477" s="60" t="s">
        <v>16</v>
      </c>
      <c r="H2477" s="60" t="s">
        <v>112</v>
      </c>
      <c r="I2477" s="62">
        <v>131</v>
      </c>
      <c r="J2477" s="62">
        <v>95</v>
      </c>
      <c r="K2477" s="312">
        <v>0</v>
      </c>
      <c r="L2477" s="497">
        <f t="shared" si="591"/>
        <v>226</v>
      </c>
      <c r="M2477" s="61"/>
    </row>
    <row r="2478" spans="2:13" ht="15.75" hidden="1" x14ac:dyDescent="0.25">
      <c r="B2478" s="104">
        <v>46270</v>
      </c>
      <c r="C2478" s="104" t="s">
        <v>105</v>
      </c>
      <c r="D2478" s="104" t="s">
        <v>13</v>
      </c>
      <c r="F2478" s="868"/>
      <c r="G2478" s="60" t="s">
        <v>32</v>
      </c>
      <c r="H2478" s="60" t="s">
        <v>105</v>
      </c>
      <c r="I2478" s="62">
        <v>93</v>
      </c>
      <c r="J2478" s="62">
        <v>29</v>
      </c>
      <c r="K2478" s="312">
        <v>0</v>
      </c>
      <c r="L2478" s="497">
        <f t="shared" si="591"/>
        <v>122</v>
      </c>
      <c r="M2478" s="61"/>
    </row>
    <row r="2479" spans="2:13" ht="15.75" hidden="1" x14ac:dyDescent="0.25">
      <c r="B2479" s="104">
        <v>46270</v>
      </c>
      <c r="C2479" s="104" t="s">
        <v>105</v>
      </c>
      <c r="D2479" s="104" t="s">
        <v>13</v>
      </c>
      <c r="F2479" s="890" t="s">
        <v>40</v>
      </c>
      <c r="G2479" s="890"/>
      <c r="H2479" s="890"/>
      <c r="I2479" s="99">
        <f>SUM(I2472:I2478)</f>
        <v>378</v>
      </c>
      <c r="J2479" s="99">
        <f t="shared" ref="J2479:L2479" si="592">SUM(J2472:J2478)</f>
        <v>178</v>
      </c>
      <c r="K2479" s="99">
        <f t="shared" si="592"/>
        <v>0</v>
      </c>
      <c r="L2479" s="99">
        <f t="shared" si="592"/>
        <v>556</v>
      </c>
      <c r="M2479" s="512"/>
    </row>
    <row r="2480" spans="2:13" ht="15.75" hidden="1" x14ac:dyDescent="0.25">
      <c r="B2480" s="104">
        <v>46271</v>
      </c>
      <c r="C2480" s="104" t="s">
        <v>106</v>
      </c>
      <c r="D2480" s="104" t="s">
        <v>189</v>
      </c>
      <c r="F2480" s="833">
        <v>46271</v>
      </c>
      <c r="G2480" s="60" t="s">
        <v>17</v>
      </c>
      <c r="H2480" s="60" t="s">
        <v>112</v>
      </c>
      <c r="I2480" s="62">
        <v>27</v>
      </c>
      <c r="J2480" s="62">
        <v>14</v>
      </c>
      <c r="K2480" s="312">
        <v>0</v>
      </c>
      <c r="L2480" s="497">
        <f t="shared" ref="L2480:L2485" si="593">SUM(I2480:K2480)</f>
        <v>41</v>
      </c>
      <c r="M2480" s="61"/>
    </row>
    <row r="2481" spans="2:13" ht="15.75" hidden="1" x14ac:dyDescent="0.25">
      <c r="B2481" s="104">
        <v>46271</v>
      </c>
      <c r="C2481" s="104" t="s">
        <v>106</v>
      </c>
      <c r="D2481" s="104" t="s">
        <v>189</v>
      </c>
      <c r="F2481" s="835"/>
      <c r="G2481" s="60" t="s">
        <v>118</v>
      </c>
      <c r="H2481" s="60" t="s">
        <v>106</v>
      </c>
      <c r="I2481" s="62">
        <v>21</v>
      </c>
      <c r="J2481" s="62">
        <v>1</v>
      </c>
      <c r="K2481" s="312">
        <v>0</v>
      </c>
      <c r="L2481" s="497">
        <f t="shared" si="593"/>
        <v>22</v>
      </c>
      <c r="M2481" s="61"/>
    </row>
    <row r="2482" spans="2:13" ht="15.75" hidden="1" x14ac:dyDescent="0.25">
      <c r="B2482" s="104">
        <v>46271</v>
      </c>
      <c r="C2482" s="104" t="s">
        <v>106</v>
      </c>
      <c r="D2482" s="104" t="s">
        <v>189</v>
      </c>
      <c r="F2482" s="830">
        <v>46272</v>
      </c>
      <c r="G2482" s="60" t="s">
        <v>17</v>
      </c>
      <c r="H2482" s="60" t="s">
        <v>106</v>
      </c>
      <c r="I2482" s="62">
        <v>97</v>
      </c>
      <c r="J2482" s="62">
        <v>51</v>
      </c>
      <c r="K2482" s="312">
        <v>23</v>
      </c>
      <c r="L2482" s="497">
        <f t="shared" si="593"/>
        <v>171</v>
      </c>
      <c r="M2482" s="61"/>
    </row>
    <row r="2483" spans="2:13" ht="15.75" hidden="1" x14ac:dyDescent="0.25">
      <c r="B2483" s="104">
        <v>46271</v>
      </c>
      <c r="C2483" s="104" t="s">
        <v>106</v>
      </c>
      <c r="D2483" s="104" t="s">
        <v>189</v>
      </c>
      <c r="F2483" s="831"/>
      <c r="G2483" s="60" t="s">
        <v>180</v>
      </c>
      <c r="H2483" s="60" t="s">
        <v>106</v>
      </c>
      <c r="I2483" s="62">
        <v>13</v>
      </c>
      <c r="J2483" s="62">
        <v>1</v>
      </c>
      <c r="K2483" s="312">
        <v>0</v>
      </c>
      <c r="L2483" s="497">
        <f t="shared" si="593"/>
        <v>14</v>
      </c>
      <c r="M2483" s="61"/>
    </row>
    <row r="2484" spans="2:13" ht="15.75" hidden="1" x14ac:dyDescent="0.25">
      <c r="B2484" s="104">
        <v>46271</v>
      </c>
      <c r="C2484" s="104" t="s">
        <v>106</v>
      </c>
      <c r="D2484" s="104" t="s">
        <v>189</v>
      </c>
      <c r="F2484" s="831"/>
      <c r="G2484" s="60" t="s">
        <v>118</v>
      </c>
      <c r="H2484" s="60" t="s">
        <v>105</v>
      </c>
      <c r="I2484" s="62">
        <v>2</v>
      </c>
      <c r="J2484" s="62">
        <v>1</v>
      </c>
      <c r="K2484" s="312">
        <v>64</v>
      </c>
      <c r="L2484" s="497">
        <f t="shared" si="593"/>
        <v>67</v>
      </c>
      <c r="M2484" s="61"/>
    </row>
    <row r="2485" spans="2:13" ht="15.75" hidden="1" x14ac:dyDescent="0.25">
      <c r="B2485" s="104">
        <v>46271</v>
      </c>
      <c r="C2485" s="104" t="s">
        <v>106</v>
      </c>
      <c r="D2485" s="104" t="s">
        <v>189</v>
      </c>
      <c r="F2485" s="832"/>
      <c r="G2485" s="60" t="s">
        <v>32</v>
      </c>
      <c r="H2485" s="60" t="s">
        <v>105</v>
      </c>
      <c r="I2485" s="62">
        <v>0</v>
      </c>
      <c r="J2485" s="62">
        <v>0</v>
      </c>
      <c r="K2485" s="312">
        <v>124</v>
      </c>
      <c r="L2485" s="497">
        <f t="shared" si="593"/>
        <v>124</v>
      </c>
      <c r="M2485" s="61"/>
    </row>
    <row r="2486" spans="2:13" ht="15.75" hidden="1" x14ac:dyDescent="0.25">
      <c r="B2486" s="104">
        <v>46271</v>
      </c>
      <c r="C2486" s="104" t="s">
        <v>106</v>
      </c>
      <c r="D2486" s="104" t="s">
        <v>189</v>
      </c>
      <c r="F2486" s="890" t="s">
        <v>40</v>
      </c>
      <c r="G2486" s="890"/>
      <c r="H2486" s="890"/>
      <c r="I2486" s="99">
        <f>SUM(I2480:I2485)</f>
        <v>160</v>
      </c>
      <c r="J2486" s="99">
        <f>SUM(J2480:J2485)</f>
        <v>68</v>
      </c>
      <c r="K2486" s="99">
        <f>SUM(K2480:K2485)</f>
        <v>211</v>
      </c>
      <c r="L2486" s="99">
        <f>SUM(L2480:L2485)</f>
        <v>439</v>
      </c>
      <c r="M2486" s="512"/>
    </row>
    <row r="2487" spans="2:13" ht="15.75" hidden="1" x14ac:dyDescent="0.25">
      <c r="B2487" s="104">
        <v>46272</v>
      </c>
      <c r="C2487" s="104" t="s">
        <v>106</v>
      </c>
      <c r="D2487" s="104" t="s">
        <v>189</v>
      </c>
      <c r="F2487" s="899">
        <v>46272</v>
      </c>
      <c r="G2487" s="60" t="s">
        <v>16</v>
      </c>
      <c r="H2487" s="60" t="s">
        <v>112</v>
      </c>
      <c r="I2487" s="62">
        <v>38</v>
      </c>
      <c r="J2487" s="62">
        <v>36</v>
      </c>
      <c r="K2487" s="312">
        <v>0</v>
      </c>
      <c r="L2487" s="497">
        <f t="shared" ref="L2487:L2495" si="594">SUM(I2487:K2487)</f>
        <v>74</v>
      </c>
      <c r="M2487" s="61"/>
    </row>
    <row r="2488" spans="2:13" ht="15.75" hidden="1" x14ac:dyDescent="0.25">
      <c r="B2488" s="104">
        <v>46272</v>
      </c>
      <c r="C2488" s="104" t="s">
        <v>106</v>
      </c>
      <c r="D2488" s="104" t="s">
        <v>189</v>
      </c>
      <c r="F2488" s="899"/>
      <c r="G2488" s="60" t="s">
        <v>17</v>
      </c>
      <c r="H2488" s="60" t="s">
        <v>106</v>
      </c>
      <c r="I2488" s="62">
        <v>32</v>
      </c>
      <c r="J2488" s="62">
        <v>25</v>
      </c>
      <c r="K2488" s="312">
        <v>0</v>
      </c>
      <c r="L2488" s="497">
        <f t="shared" si="594"/>
        <v>57</v>
      </c>
      <c r="M2488" s="61"/>
    </row>
    <row r="2489" spans="2:13" ht="15.75" hidden="1" x14ac:dyDescent="0.25">
      <c r="B2489" s="104">
        <v>46272</v>
      </c>
      <c r="C2489" s="104" t="s">
        <v>106</v>
      </c>
      <c r="D2489" s="104" t="s">
        <v>189</v>
      </c>
      <c r="F2489" s="899"/>
      <c r="G2489" s="60" t="s">
        <v>120</v>
      </c>
      <c r="H2489" s="60" t="s">
        <v>106</v>
      </c>
      <c r="I2489" s="62">
        <v>3</v>
      </c>
      <c r="J2489" s="62">
        <v>0</v>
      </c>
      <c r="K2489" s="312">
        <v>0</v>
      </c>
      <c r="L2489" s="497">
        <f t="shared" si="594"/>
        <v>3</v>
      </c>
      <c r="M2489" s="61"/>
    </row>
    <row r="2490" spans="2:13" ht="15.75" hidden="1" x14ac:dyDescent="0.25">
      <c r="B2490" s="104">
        <v>46272</v>
      </c>
      <c r="C2490" s="104" t="s">
        <v>106</v>
      </c>
      <c r="D2490" s="104" t="s">
        <v>189</v>
      </c>
      <c r="F2490" s="899"/>
      <c r="G2490" s="60" t="s">
        <v>180</v>
      </c>
      <c r="H2490" s="60" t="s">
        <v>106</v>
      </c>
      <c r="I2490" s="62">
        <v>3</v>
      </c>
      <c r="J2490" s="62">
        <v>0</v>
      </c>
      <c r="K2490" s="312">
        <v>0</v>
      </c>
      <c r="L2490" s="497">
        <f t="shared" si="594"/>
        <v>3</v>
      </c>
      <c r="M2490" s="61"/>
    </row>
    <row r="2491" spans="2:13" ht="15.75" hidden="1" x14ac:dyDescent="0.25">
      <c r="B2491" s="104">
        <v>46272</v>
      </c>
      <c r="C2491" s="104" t="s">
        <v>106</v>
      </c>
      <c r="D2491" s="104" t="s">
        <v>189</v>
      </c>
      <c r="F2491" s="899"/>
      <c r="G2491" s="60" t="s">
        <v>25</v>
      </c>
      <c r="H2491" s="60" t="s">
        <v>106</v>
      </c>
      <c r="I2491" s="62">
        <v>1</v>
      </c>
      <c r="J2491" s="62">
        <v>0</v>
      </c>
      <c r="K2491" s="312">
        <v>0</v>
      </c>
      <c r="L2491" s="497">
        <f t="shared" si="594"/>
        <v>1</v>
      </c>
      <c r="M2491" s="61"/>
    </row>
    <row r="2492" spans="2:13" ht="15.75" hidden="1" x14ac:dyDescent="0.25">
      <c r="B2492" s="104">
        <v>46272</v>
      </c>
      <c r="C2492" s="104" t="s">
        <v>106</v>
      </c>
      <c r="D2492" s="104" t="s">
        <v>189</v>
      </c>
      <c r="F2492" s="899"/>
      <c r="G2492" s="60" t="s">
        <v>118</v>
      </c>
      <c r="H2492" s="60" t="s">
        <v>105</v>
      </c>
      <c r="I2492" s="62">
        <v>157</v>
      </c>
      <c r="J2492" s="62">
        <v>57</v>
      </c>
      <c r="K2492" s="312">
        <v>0</v>
      </c>
      <c r="L2492" s="497">
        <f t="shared" si="594"/>
        <v>214</v>
      </c>
      <c r="M2492" s="61"/>
    </row>
    <row r="2493" spans="2:13" ht="15.75" hidden="1" x14ac:dyDescent="0.25">
      <c r="B2493" s="104">
        <v>46272</v>
      </c>
      <c r="C2493" s="104" t="s">
        <v>106</v>
      </c>
      <c r="D2493" s="104" t="s">
        <v>189</v>
      </c>
      <c r="F2493" s="899"/>
      <c r="G2493" s="60" t="s">
        <v>32</v>
      </c>
      <c r="H2493" s="60" t="s">
        <v>105</v>
      </c>
      <c r="I2493" s="62">
        <v>108</v>
      </c>
      <c r="J2493" s="62">
        <v>45</v>
      </c>
      <c r="K2493" s="312">
        <v>0</v>
      </c>
      <c r="L2493" s="497">
        <f t="shared" si="594"/>
        <v>153</v>
      </c>
      <c r="M2493" s="61"/>
    </row>
    <row r="2494" spans="2:13" ht="15.75" hidden="1" x14ac:dyDescent="0.25">
      <c r="B2494" s="104">
        <v>46272</v>
      </c>
      <c r="C2494" s="104" t="s">
        <v>106</v>
      </c>
      <c r="D2494" s="104" t="s">
        <v>189</v>
      </c>
      <c r="F2494" s="893">
        <v>46273</v>
      </c>
      <c r="G2494" s="60" t="s">
        <v>14</v>
      </c>
      <c r="H2494" s="60" t="s">
        <v>106</v>
      </c>
      <c r="I2494" s="62">
        <v>0</v>
      </c>
      <c r="J2494" s="62">
        <v>0</v>
      </c>
      <c r="K2494" s="312">
        <v>42</v>
      </c>
      <c r="L2494" s="497">
        <f t="shared" si="594"/>
        <v>42</v>
      </c>
      <c r="M2494" s="61"/>
    </row>
    <row r="2495" spans="2:13" ht="15.75" hidden="1" x14ac:dyDescent="0.25">
      <c r="B2495" s="104">
        <v>46272</v>
      </c>
      <c r="C2495" s="104" t="s">
        <v>106</v>
      </c>
      <c r="D2495" s="104" t="s">
        <v>189</v>
      </c>
      <c r="F2495" s="893"/>
      <c r="G2495" s="60" t="s">
        <v>16</v>
      </c>
      <c r="H2495" s="60" t="s">
        <v>100</v>
      </c>
      <c r="I2495" s="62">
        <v>0</v>
      </c>
      <c r="J2495" s="62">
        <v>0</v>
      </c>
      <c r="K2495" s="312">
        <v>69</v>
      </c>
      <c r="L2495" s="497">
        <f t="shared" si="594"/>
        <v>69</v>
      </c>
      <c r="M2495" s="61"/>
    </row>
    <row r="2496" spans="2:13" ht="15.75" hidden="1" x14ac:dyDescent="0.25">
      <c r="B2496" s="104">
        <v>46272</v>
      </c>
      <c r="C2496" s="104" t="s">
        <v>106</v>
      </c>
      <c r="D2496" s="104" t="s">
        <v>189</v>
      </c>
      <c r="F2496" s="890" t="s">
        <v>40</v>
      </c>
      <c r="G2496" s="890"/>
      <c r="H2496" s="890"/>
      <c r="I2496" s="99">
        <f>SUM(I2487:I2495)</f>
        <v>342</v>
      </c>
      <c r="J2496" s="99">
        <f>SUM(J2487:J2495)</f>
        <v>163</v>
      </c>
      <c r="K2496" s="99">
        <f>SUM(K2487:K2495)</f>
        <v>111</v>
      </c>
      <c r="L2496" s="99">
        <f>SUM(L2487:L2495)</f>
        <v>616</v>
      </c>
      <c r="M2496" s="512"/>
    </row>
    <row r="2497" spans="2:13" ht="15.75" hidden="1" x14ac:dyDescent="0.25">
      <c r="B2497" s="104">
        <v>46272</v>
      </c>
      <c r="C2497" s="104" t="s">
        <v>193</v>
      </c>
      <c r="D2497" s="104" t="s">
        <v>13</v>
      </c>
      <c r="F2497" s="899">
        <v>46272</v>
      </c>
      <c r="G2497" s="60" t="s">
        <v>16</v>
      </c>
      <c r="H2497" s="60" t="s">
        <v>112</v>
      </c>
      <c r="I2497" s="62">
        <v>10</v>
      </c>
      <c r="J2497" s="62">
        <v>10</v>
      </c>
      <c r="K2497" s="312">
        <v>0</v>
      </c>
      <c r="L2497" s="497">
        <f t="shared" ref="L2497:L2502" si="595">SUM(I2497:K2497)</f>
        <v>20</v>
      </c>
      <c r="M2497" s="61"/>
    </row>
    <row r="2498" spans="2:13" ht="15.75" hidden="1" x14ac:dyDescent="0.25">
      <c r="B2498" s="104">
        <v>46272</v>
      </c>
      <c r="C2498" s="104" t="s">
        <v>193</v>
      </c>
      <c r="D2498" s="104" t="s">
        <v>13</v>
      </c>
      <c r="F2498" s="899"/>
      <c r="G2498" s="60" t="s">
        <v>17</v>
      </c>
      <c r="H2498" s="60" t="s">
        <v>106</v>
      </c>
      <c r="I2498" s="62">
        <v>27</v>
      </c>
      <c r="J2498" s="62">
        <v>3</v>
      </c>
      <c r="K2498" s="312">
        <v>0</v>
      </c>
      <c r="L2498" s="497">
        <f t="shared" si="595"/>
        <v>30</v>
      </c>
      <c r="M2498" s="61"/>
    </row>
    <row r="2499" spans="2:13" ht="15.75" hidden="1" x14ac:dyDescent="0.25">
      <c r="B2499" s="104">
        <v>46272</v>
      </c>
      <c r="C2499" s="104" t="s">
        <v>193</v>
      </c>
      <c r="D2499" s="104" t="s">
        <v>13</v>
      </c>
      <c r="F2499" s="899"/>
      <c r="G2499" s="60" t="s">
        <v>118</v>
      </c>
      <c r="H2499" s="60" t="s">
        <v>105</v>
      </c>
      <c r="I2499" s="62">
        <v>51</v>
      </c>
      <c r="J2499" s="62">
        <v>7</v>
      </c>
      <c r="K2499" s="312">
        <v>0</v>
      </c>
      <c r="L2499" s="497">
        <f t="shared" si="595"/>
        <v>58</v>
      </c>
      <c r="M2499" s="61"/>
    </row>
    <row r="2500" spans="2:13" ht="15.75" hidden="1" x14ac:dyDescent="0.25">
      <c r="B2500" s="104">
        <v>46272</v>
      </c>
      <c r="C2500" s="104" t="s">
        <v>193</v>
      </c>
      <c r="D2500" s="104" t="s">
        <v>13</v>
      </c>
      <c r="F2500" s="899"/>
      <c r="G2500" s="60" t="s">
        <v>32</v>
      </c>
      <c r="H2500" s="60" t="s">
        <v>105</v>
      </c>
      <c r="I2500" s="62">
        <v>6</v>
      </c>
      <c r="J2500" s="62">
        <v>20</v>
      </c>
      <c r="K2500" s="312">
        <v>0</v>
      </c>
      <c r="L2500" s="497">
        <f t="shared" si="595"/>
        <v>26</v>
      </c>
      <c r="M2500" s="61"/>
    </row>
    <row r="2501" spans="2:13" ht="15.75" hidden="1" x14ac:dyDescent="0.25">
      <c r="B2501" s="104">
        <v>46272</v>
      </c>
      <c r="C2501" s="104" t="s">
        <v>193</v>
      </c>
      <c r="D2501" s="104" t="s">
        <v>13</v>
      </c>
      <c r="F2501" s="916">
        <v>46273</v>
      </c>
      <c r="G2501" s="60" t="s">
        <v>14</v>
      </c>
      <c r="H2501" s="60" t="s">
        <v>106</v>
      </c>
      <c r="I2501" s="62">
        <v>127</v>
      </c>
      <c r="J2501" s="62">
        <v>37</v>
      </c>
      <c r="K2501" s="312">
        <v>0</v>
      </c>
      <c r="L2501" s="497">
        <f t="shared" si="595"/>
        <v>164</v>
      </c>
      <c r="M2501" s="61"/>
    </row>
    <row r="2502" spans="2:13" ht="15.75" hidden="1" x14ac:dyDescent="0.25">
      <c r="B2502" s="104">
        <v>46272</v>
      </c>
      <c r="C2502" s="104" t="s">
        <v>193</v>
      </c>
      <c r="D2502" s="104" t="s">
        <v>13</v>
      </c>
      <c r="F2502" s="916"/>
      <c r="G2502" s="60" t="s">
        <v>16</v>
      </c>
      <c r="H2502" s="60" t="s">
        <v>100</v>
      </c>
      <c r="I2502" s="62">
        <v>110</v>
      </c>
      <c r="J2502" s="62">
        <v>102</v>
      </c>
      <c r="K2502" s="312">
        <v>0</v>
      </c>
      <c r="L2502" s="497">
        <f t="shared" si="595"/>
        <v>212</v>
      </c>
      <c r="M2502" s="61"/>
    </row>
    <row r="2503" spans="2:13" ht="15.75" hidden="1" x14ac:dyDescent="0.25">
      <c r="B2503" s="104">
        <v>46272</v>
      </c>
      <c r="C2503" s="104" t="s">
        <v>193</v>
      </c>
      <c r="D2503" s="104" t="s">
        <v>13</v>
      </c>
      <c r="F2503" s="890" t="s">
        <v>40</v>
      </c>
      <c r="G2503" s="890"/>
      <c r="H2503" s="890"/>
      <c r="I2503" s="99">
        <f>SUM(I2497:I2502)</f>
        <v>331</v>
      </c>
      <c r="J2503" s="99">
        <f>SUM(J2497:J2502)</f>
        <v>179</v>
      </c>
      <c r="K2503" s="99">
        <f>SUM(K2497:K2502)</f>
        <v>0</v>
      </c>
      <c r="L2503" s="99">
        <f>SUM(L2497:L2502)</f>
        <v>510</v>
      </c>
      <c r="M2503" s="512"/>
    </row>
    <row r="2504" spans="2:13" ht="15.75" hidden="1" x14ac:dyDescent="0.25">
      <c r="B2504" s="523">
        <v>46273</v>
      </c>
      <c r="C2504" s="523" t="s">
        <v>106</v>
      </c>
      <c r="D2504" s="523" t="s">
        <v>189</v>
      </c>
      <c r="F2504" s="833">
        <v>46273</v>
      </c>
      <c r="G2504" s="60" t="s">
        <v>16</v>
      </c>
      <c r="H2504" s="60" t="s">
        <v>112</v>
      </c>
      <c r="I2504" s="62">
        <v>8</v>
      </c>
      <c r="J2504" s="62">
        <v>17</v>
      </c>
      <c r="K2504" s="312">
        <v>0</v>
      </c>
      <c r="L2504" s="497">
        <f t="shared" ref="L2504:L2512" si="596">SUM(I2504:K2504)</f>
        <v>25</v>
      </c>
      <c r="M2504" s="61"/>
    </row>
    <row r="2505" spans="2:13" ht="15.75" hidden="1" x14ac:dyDescent="0.25">
      <c r="B2505" s="523">
        <v>46273</v>
      </c>
      <c r="C2505" s="523" t="s">
        <v>106</v>
      </c>
      <c r="D2505" s="523" t="s">
        <v>189</v>
      </c>
      <c r="F2505" s="834"/>
      <c r="G2505" s="60" t="s">
        <v>14</v>
      </c>
      <c r="H2505" s="60" t="s">
        <v>106</v>
      </c>
      <c r="I2505" s="62">
        <v>39</v>
      </c>
      <c r="J2505" s="62">
        <v>6</v>
      </c>
      <c r="K2505" s="312">
        <v>0</v>
      </c>
      <c r="L2505" s="497">
        <f t="shared" si="596"/>
        <v>45</v>
      </c>
      <c r="M2505" s="61"/>
    </row>
    <row r="2506" spans="2:13" ht="15.75" hidden="1" x14ac:dyDescent="0.25">
      <c r="B2506" s="523">
        <v>46273</v>
      </c>
      <c r="C2506" s="523" t="s">
        <v>106</v>
      </c>
      <c r="D2506" s="523" t="s">
        <v>189</v>
      </c>
      <c r="F2506" s="834"/>
      <c r="G2506" s="60" t="s">
        <v>17</v>
      </c>
      <c r="H2506" s="60" t="s">
        <v>106</v>
      </c>
      <c r="I2506" s="62">
        <v>1</v>
      </c>
      <c r="J2506" s="62">
        <v>0</v>
      </c>
      <c r="K2506" s="312">
        <v>0</v>
      </c>
      <c r="L2506" s="497">
        <f t="shared" si="596"/>
        <v>1</v>
      </c>
      <c r="M2506" s="61"/>
    </row>
    <row r="2507" spans="2:13" ht="15.75" hidden="1" x14ac:dyDescent="0.25">
      <c r="B2507" s="523">
        <v>46273</v>
      </c>
      <c r="C2507" s="523" t="s">
        <v>106</v>
      </c>
      <c r="D2507" s="523" t="s">
        <v>189</v>
      </c>
      <c r="F2507" s="834"/>
      <c r="G2507" s="60" t="s">
        <v>25</v>
      </c>
      <c r="H2507" s="60" t="s">
        <v>105</v>
      </c>
      <c r="I2507" s="62">
        <v>103</v>
      </c>
      <c r="J2507" s="62">
        <v>36</v>
      </c>
      <c r="K2507" s="312">
        <v>25</v>
      </c>
      <c r="L2507" s="497">
        <f t="shared" si="596"/>
        <v>164</v>
      </c>
      <c r="M2507" s="61"/>
    </row>
    <row r="2508" spans="2:13" ht="15.75" hidden="1" x14ac:dyDescent="0.25">
      <c r="B2508" s="523">
        <v>46273</v>
      </c>
      <c r="C2508" s="523" t="s">
        <v>106</v>
      </c>
      <c r="D2508" s="523" t="s">
        <v>189</v>
      </c>
      <c r="F2508" s="835"/>
      <c r="G2508" s="60" t="s">
        <v>32</v>
      </c>
      <c r="H2508" s="60" t="s">
        <v>105</v>
      </c>
      <c r="I2508" s="62">
        <v>27</v>
      </c>
      <c r="J2508" s="62">
        <v>7</v>
      </c>
      <c r="K2508" s="312">
        <v>0</v>
      </c>
      <c r="L2508" s="497">
        <f t="shared" si="596"/>
        <v>34</v>
      </c>
      <c r="M2508" s="61"/>
    </row>
    <row r="2509" spans="2:13" ht="15.75" hidden="1" x14ac:dyDescent="0.25">
      <c r="B2509" s="523">
        <v>46273</v>
      </c>
      <c r="C2509" s="523" t="s">
        <v>106</v>
      </c>
      <c r="D2509" s="523" t="s">
        <v>189</v>
      </c>
      <c r="F2509" s="830">
        <v>46274</v>
      </c>
      <c r="G2509" s="60" t="s">
        <v>16</v>
      </c>
      <c r="H2509" s="60" t="s">
        <v>112</v>
      </c>
      <c r="I2509" s="62">
        <v>0</v>
      </c>
      <c r="J2509" s="62">
        <v>0</v>
      </c>
      <c r="K2509" s="312">
        <v>38</v>
      </c>
      <c r="L2509" s="497">
        <f t="shared" si="596"/>
        <v>38</v>
      </c>
      <c r="M2509" s="61"/>
    </row>
    <row r="2510" spans="2:13" ht="15.75" hidden="1" x14ac:dyDescent="0.25">
      <c r="B2510" s="523">
        <v>46273</v>
      </c>
      <c r="C2510" s="523" t="s">
        <v>106</v>
      </c>
      <c r="D2510" s="523" t="s">
        <v>189</v>
      </c>
      <c r="F2510" s="831"/>
      <c r="G2510" s="60" t="s">
        <v>120</v>
      </c>
      <c r="H2510" s="60" t="s">
        <v>106</v>
      </c>
      <c r="I2510" s="62">
        <v>1</v>
      </c>
      <c r="J2510" s="62">
        <v>0</v>
      </c>
      <c r="K2510" s="312">
        <v>64</v>
      </c>
      <c r="L2510" s="497">
        <f t="shared" si="596"/>
        <v>65</v>
      </c>
      <c r="M2510" s="61"/>
    </row>
    <row r="2511" spans="2:13" ht="15.75" hidden="1" x14ac:dyDescent="0.25">
      <c r="B2511" s="523">
        <v>46273</v>
      </c>
      <c r="C2511" s="523" t="s">
        <v>106</v>
      </c>
      <c r="D2511" s="523" t="s">
        <v>189</v>
      </c>
      <c r="F2511" s="831"/>
      <c r="G2511" s="60" t="s">
        <v>180</v>
      </c>
      <c r="H2511" s="60" t="s">
        <v>106</v>
      </c>
      <c r="I2511" s="62">
        <v>29</v>
      </c>
      <c r="J2511" s="62">
        <v>4</v>
      </c>
      <c r="K2511" s="312">
        <v>0</v>
      </c>
      <c r="L2511" s="497">
        <f t="shared" si="596"/>
        <v>33</v>
      </c>
      <c r="M2511" s="61"/>
    </row>
    <row r="2512" spans="2:13" ht="15.75" hidden="1" x14ac:dyDescent="0.25">
      <c r="B2512" s="523">
        <v>46273</v>
      </c>
      <c r="C2512" s="523" t="s">
        <v>106</v>
      </c>
      <c r="D2512" s="523" t="s">
        <v>189</v>
      </c>
      <c r="F2512" s="832"/>
      <c r="G2512" s="60" t="s">
        <v>14</v>
      </c>
      <c r="H2512" s="60" t="s">
        <v>106</v>
      </c>
      <c r="I2512" s="62">
        <v>0</v>
      </c>
      <c r="J2512" s="62">
        <v>0</v>
      </c>
      <c r="K2512" s="312">
        <v>131</v>
      </c>
      <c r="L2512" s="497">
        <f t="shared" si="596"/>
        <v>131</v>
      </c>
      <c r="M2512" s="61"/>
    </row>
    <row r="2513" spans="2:13" ht="15.75" hidden="1" x14ac:dyDescent="0.25">
      <c r="B2513" s="523">
        <v>46273</v>
      </c>
      <c r="C2513" s="523" t="s">
        <v>106</v>
      </c>
      <c r="D2513" s="523" t="s">
        <v>189</v>
      </c>
      <c r="F2513" s="890" t="s">
        <v>40</v>
      </c>
      <c r="G2513" s="890"/>
      <c r="H2513" s="890"/>
      <c r="I2513" s="99">
        <f>SUM(I2504:I2512)</f>
        <v>208</v>
      </c>
      <c r="J2513" s="99">
        <f>SUM(J2504:J2512)</f>
        <v>70</v>
      </c>
      <c r="K2513" s="99">
        <f>SUM(K2504:K2512)</f>
        <v>258</v>
      </c>
      <c r="L2513" s="99">
        <f>SUM(L2504:L2512)</f>
        <v>536</v>
      </c>
      <c r="M2513" s="512"/>
    </row>
    <row r="2514" spans="2:13" ht="15.75" hidden="1" x14ac:dyDescent="0.25">
      <c r="B2514" s="524">
        <v>46273</v>
      </c>
      <c r="C2514" s="524" t="s">
        <v>105</v>
      </c>
      <c r="D2514" s="524" t="s">
        <v>13</v>
      </c>
      <c r="F2514" s="833">
        <v>46274</v>
      </c>
      <c r="G2514" s="60" t="s">
        <v>16</v>
      </c>
      <c r="H2514" s="60" t="s">
        <v>112</v>
      </c>
      <c r="I2514" s="62">
        <v>10</v>
      </c>
      <c r="J2514" s="62">
        <v>24</v>
      </c>
      <c r="K2514" s="312">
        <v>0</v>
      </c>
      <c r="L2514" s="497">
        <f>SUM(I2514:K2514)</f>
        <v>34</v>
      </c>
      <c r="M2514" s="61"/>
    </row>
    <row r="2515" spans="2:13" ht="15.75" hidden="1" x14ac:dyDescent="0.25">
      <c r="B2515" s="524">
        <v>46273</v>
      </c>
      <c r="C2515" s="524" t="s">
        <v>105</v>
      </c>
      <c r="D2515" s="524" t="s">
        <v>13</v>
      </c>
      <c r="F2515" s="834"/>
      <c r="G2515" s="60" t="s">
        <v>17</v>
      </c>
      <c r="H2515" s="60" t="s">
        <v>105</v>
      </c>
      <c r="I2515" s="62">
        <v>2</v>
      </c>
      <c r="J2515" s="62">
        <v>3</v>
      </c>
      <c r="K2515" s="312">
        <v>0</v>
      </c>
      <c r="L2515" s="497">
        <f t="shared" ref="L2515:L2517" si="597">SUM(I2515:K2515)</f>
        <v>5</v>
      </c>
      <c r="M2515" s="61"/>
    </row>
    <row r="2516" spans="2:13" ht="15.75" hidden="1" x14ac:dyDescent="0.25">
      <c r="B2516" s="524">
        <v>46273</v>
      </c>
      <c r="C2516" s="524" t="s">
        <v>105</v>
      </c>
      <c r="D2516" s="524" t="s">
        <v>13</v>
      </c>
      <c r="F2516" s="834"/>
      <c r="G2516" s="60" t="s">
        <v>25</v>
      </c>
      <c r="H2516" s="60" t="s">
        <v>105</v>
      </c>
      <c r="I2516" s="62">
        <v>34</v>
      </c>
      <c r="J2516" s="62">
        <v>26</v>
      </c>
      <c r="K2516" s="312">
        <v>0</v>
      </c>
      <c r="L2516" s="497">
        <f t="shared" si="597"/>
        <v>60</v>
      </c>
      <c r="M2516" s="61"/>
    </row>
    <row r="2517" spans="2:13" ht="15.75" hidden="1" x14ac:dyDescent="0.25">
      <c r="B2517" s="524">
        <v>46273</v>
      </c>
      <c r="C2517" s="524" t="s">
        <v>105</v>
      </c>
      <c r="D2517" s="524" t="s">
        <v>13</v>
      </c>
      <c r="F2517" s="835"/>
      <c r="G2517" s="60" t="s">
        <v>32</v>
      </c>
      <c r="H2517" s="60" t="s">
        <v>105</v>
      </c>
      <c r="I2517" s="62">
        <v>16</v>
      </c>
      <c r="J2517" s="62">
        <v>13</v>
      </c>
      <c r="K2517" s="312">
        <v>0</v>
      </c>
      <c r="L2517" s="497">
        <f t="shared" si="597"/>
        <v>29</v>
      </c>
      <c r="M2517" s="61"/>
    </row>
    <row r="2518" spans="2:13" ht="15.75" hidden="1" x14ac:dyDescent="0.25">
      <c r="B2518" s="524">
        <v>46273</v>
      </c>
      <c r="C2518" s="524" t="s">
        <v>105</v>
      </c>
      <c r="D2518" s="524" t="s">
        <v>13</v>
      </c>
      <c r="F2518" s="897">
        <v>46275</v>
      </c>
      <c r="G2518" s="60" t="s">
        <v>16</v>
      </c>
      <c r="H2518" s="60" t="s">
        <v>112</v>
      </c>
      <c r="I2518" s="62">
        <v>115</v>
      </c>
      <c r="J2518" s="62">
        <v>82</v>
      </c>
      <c r="K2518" s="312">
        <v>0</v>
      </c>
      <c r="L2518" s="497">
        <f t="shared" ref="L2518:L2521" si="598">SUM(I2518:K2518)</f>
        <v>197</v>
      </c>
      <c r="M2518" s="61"/>
    </row>
    <row r="2519" spans="2:13" ht="15.75" hidden="1" x14ac:dyDescent="0.25">
      <c r="B2519" s="524">
        <v>46273</v>
      </c>
      <c r="C2519" s="524" t="s">
        <v>105</v>
      </c>
      <c r="D2519" s="524" t="s">
        <v>13</v>
      </c>
      <c r="F2519" s="898"/>
      <c r="G2519" s="60" t="s">
        <v>32</v>
      </c>
      <c r="H2519" s="60" t="s">
        <v>105</v>
      </c>
      <c r="I2519" s="62">
        <v>45</v>
      </c>
      <c r="J2519" s="62">
        <v>4</v>
      </c>
      <c r="K2519" s="312">
        <v>0</v>
      </c>
      <c r="L2519" s="497">
        <f t="shared" si="598"/>
        <v>49</v>
      </c>
      <c r="M2519" s="61"/>
    </row>
    <row r="2520" spans="2:13" ht="15.75" hidden="1" x14ac:dyDescent="0.25">
      <c r="B2520" s="524">
        <v>46273</v>
      </c>
      <c r="C2520" s="524" t="s">
        <v>105</v>
      </c>
      <c r="D2520" s="524" t="s">
        <v>13</v>
      </c>
      <c r="F2520" s="898"/>
      <c r="G2520" s="60" t="s">
        <v>17</v>
      </c>
      <c r="H2520" s="60" t="s">
        <v>105</v>
      </c>
      <c r="I2520" s="62">
        <v>0</v>
      </c>
      <c r="J2520" s="62">
        <v>0</v>
      </c>
      <c r="K2520" s="312">
        <v>19</v>
      </c>
      <c r="L2520" s="497">
        <f t="shared" si="598"/>
        <v>19</v>
      </c>
      <c r="M2520" s="61"/>
    </row>
    <row r="2521" spans="2:13" ht="15.75" hidden="1" x14ac:dyDescent="0.25">
      <c r="B2521" s="524">
        <v>46273</v>
      </c>
      <c r="C2521" s="524" t="s">
        <v>105</v>
      </c>
      <c r="D2521" s="524" t="s">
        <v>13</v>
      </c>
      <c r="F2521" s="912"/>
      <c r="G2521" s="60" t="s">
        <v>14</v>
      </c>
      <c r="H2521" s="60" t="s">
        <v>106</v>
      </c>
      <c r="I2521" s="62">
        <v>127</v>
      </c>
      <c r="J2521" s="62">
        <v>37</v>
      </c>
      <c r="K2521" s="312">
        <v>10</v>
      </c>
      <c r="L2521" s="497">
        <f t="shared" si="598"/>
        <v>174</v>
      </c>
      <c r="M2521" s="61"/>
    </row>
    <row r="2522" spans="2:13" ht="15.75" hidden="1" x14ac:dyDescent="0.25">
      <c r="B2522" s="524">
        <v>46273</v>
      </c>
      <c r="C2522" s="524" t="s">
        <v>105</v>
      </c>
      <c r="D2522" s="524" t="s">
        <v>13</v>
      </c>
      <c r="F2522" s="890" t="s">
        <v>40</v>
      </c>
      <c r="G2522" s="890"/>
      <c r="H2522" s="890"/>
      <c r="I2522" s="99">
        <f>SUM(I2514:I2521)</f>
        <v>349</v>
      </c>
      <c r="J2522" s="99">
        <f>SUM(J2514:J2521)</f>
        <v>189</v>
      </c>
      <c r="K2522" s="99">
        <f>SUM(K2514:K2521)</f>
        <v>29</v>
      </c>
      <c r="L2522" s="99">
        <f>SUM(L2514:L2521)</f>
        <v>567</v>
      </c>
      <c r="M2522" s="512"/>
    </row>
    <row r="2523" spans="2:13" ht="15.75" hidden="1" x14ac:dyDescent="0.25">
      <c r="B2523" s="525">
        <v>46274</v>
      </c>
      <c r="C2523" s="525" t="s">
        <v>106</v>
      </c>
      <c r="D2523" s="525" t="s">
        <v>189</v>
      </c>
      <c r="F2523" s="833">
        <v>46274</v>
      </c>
      <c r="G2523" s="60" t="s">
        <v>16</v>
      </c>
      <c r="H2523" s="60" t="s">
        <v>112</v>
      </c>
      <c r="I2523" s="62">
        <v>48</v>
      </c>
      <c r="J2523" s="62">
        <v>21</v>
      </c>
      <c r="K2523" s="312">
        <v>0</v>
      </c>
      <c r="L2523" s="497">
        <f t="shared" ref="L2523:L2530" si="599">SUM(I2523:K2523)</f>
        <v>69</v>
      </c>
      <c r="M2523" s="61"/>
    </row>
    <row r="2524" spans="2:13" ht="15.75" hidden="1" x14ac:dyDescent="0.25">
      <c r="B2524" s="525">
        <v>46274</v>
      </c>
      <c r="C2524" s="525" t="s">
        <v>106</v>
      </c>
      <c r="D2524" s="525" t="s">
        <v>189</v>
      </c>
      <c r="F2524" s="834"/>
      <c r="G2524" s="60" t="s">
        <v>14</v>
      </c>
      <c r="H2524" s="60" t="s">
        <v>106</v>
      </c>
      <c r="I2524" s="62">
        <v>43</v>
      </c>
      <c r="J2524" s="62">
        <v>16</v>
      </c>
      <c r="K2524" s="312">
        <v>0</v>
      </c>
      <c r="L2524" s="497">
        <f t="shared" si="599"/>
        <v>59</v>
      </c>
      <c r="M2524" s="61"/>
    </row>
    <row r="2525" spans="2:13" ht="15.75" hidden="1" x14ac:dyDescent="0.25">
      <c r="B2525" s="525">
        <v>46274</v>
      </c>
      <c r="C2525" s="525" t="s">
        <v>106</v>
      </c>
      <c r="D2525" s="525" t="s">
        <v>189</v>
      </c>
      <c r="F2525" s="834"/>
      <c r="G2525" s="60" t="s">
        <v>17</v>
      </c>
      <c r="H2525" s="60" t="s">
        <v>105</v>
      </c>
      <c r="I2525" s="62">
        <v>97</v>
      </c>
      <c r="J2525" s="62">
        <v>15</v>
      </c>
      <c r="K2525" s="312">
        <v>0</v>
      </c>
      <c r="L2525" s="497">
        <f t="shared" si="599"/>
        <v>112</v>
      </c>
      <c r="M2525" s="61"/>
    </row>
    <row r="2526" spans="2:13" ht="15.75" hidden="1" x14ac:dyDescent="0.25">
      <c r="B2526" s="525">
        <v>46274</v>
      </c>
      <c r="C2526" s="525" t="s">
        <v>106</v>
      </c>
      <c r="D2526" s="525" t="s">
        <v>189</v>
      </c>
      <c r="F2526" s="834"/>
      <c r="G2526" s="60" t="s">
        <v>120</v>
      </c>
      <c r="H2526" s="60" t="s">
        <v>106</v>
      </c>
      <c r="I2526" s="62">
        <v>64</v>
      </c>
      <c r="J2526" s="62">
        <v>0</v>
      </c>
      <c r="K2526" s="312">
        <v>0</v>
      </c>
      <c r="L2526" s="497">
        <f t="shared" si="599"/>
        <v>64</v>
      </c>
      <c r="M2526" s="61"/>
    </row>
    <row r="2527" spans="2:13" ht="15.75" hidden="1" x14ac:dyDescent="0.25">
      <c r="B2527" s="525">
        <v>46274</v>
      </c>
      <c r="C2527" s="525" t="s">
        <v>106</v>
      </c>
      <c r="D2527" s="525" t="s">
        <v>189</v>
      </c>
      <c r="F2527" s="834"/>
      <c r="G2527" s="60" t="s">
        <v>25</v>
      </c>
      <c r="H2527" s="60" t="s">
        <v>106</v>
      </c>
      <c r="I2527" s="62">
        <v>3</v>
      </c>
      <c r="J2527" s="62">
        <v>2</v>
      </c>
      <c r="K2527" s="312">
        <v>0</v>
      </c>
      <c r="L2527" s="497">
        <f t="shared" si="599"/>
        <v>5</v>
      </c>
      <c r="M2527" s="61"/>
    </row>
    <row r="2528" spans="2:13" ht="15.75" hidden="1" x14ac:dyDescent="0.25">
      <c r="B2528" s="525">
        <v>46274</v>
      </c>
      <c r="C2528" s="525" t="s">
        <v>106</v>
      </c>
      <c r="D2528" s="525" t="s">
        <v>189</v>
      </c>
      <c r="F2528" s="834"/>
      <c r="G2528" s="60" t="s">
        <v>118</v>
      </c>
      <c r="H2528" s="60" t="s">
        <v>105</v>
      </c>
      <c r="I2528" s="62">
        <v>20</v>
      </c>
      <c r="J2528" s="62">
        <v>1</v>
      </c>
      <c r="K2528" s="312">
        <v>160</v>
      </c>
      <c r="L2528" s="497">
        <f t="shared" si="599"/>
        <v>181</v>
      </c>
      <c r="M2528" s="61"/>
    </row>
    <row r="2529" spans="2:13" ht="15.75" hidden="1" x14ac:dyDescent="0.25">
      <c r="B2529" s="525">
        <v>46274</v>
      </c>
      <c r="C2529" s="525" t="s">
        <v>106</v>
      </c>
      <c r="D2529" s="525" t="s">
        <v>189</v>
      </c>
      <c r="F2529" s="893">
        <v>46275</v>
      </c>
      <c r="G2529" s="60" t="s">
        <v>16</v>
      </c>
      <c r="H2529" s="60" t="s">
        <v>112</v>
      </c>
      <c r="I2529" s="62">
        <v>0</v>
      </c>
      <c r="J2529" s="62">
        <v>0</v>
      </c>
      <c r="K2529" s="312">
        <v>116</v>
      </c>
      <c r="L2529" s="497">
        <f t="shared" si="599"/>
        <v>116</v>
      </c>
      <c r="M2529" s="61"/>
    </row>
    <row r="2530" spans="2:13" ht="15.75" hidden="1" x14ac:dyDescent="0.25">
      <c r="B2530" s="525">
        <v>46274</v>
      </c>
      <c r="C2530" s="525" t="s">
        <v>106</v>
      </c>
      <c r="D2530" s="525" t="s">
        <v>189</v>
      </c>
      <c r="F2530" s="893"/>
      <c r="G2530" s="60" t="s">
        <v>180</v>
      </c>
      <c r="H2530" s="60" t="s">
        <v>106</v>
      </c>
      <c r="I2530" s="62">
        <v>0</v>
      </c>
      <c r="J2530" s="62">
        <v>0</v>
      </c>
      <c r="K2530" s="312">
        <v>51</v>
      </c>
      <c r="L2530" s="497">
        <f t="shared" si="599"/>
        <v>51</v>
      </c>
      <c r="M2530" s="61"/>
    </row>
    <row r="2531" spans="2:13" ht="15.75" hidden="1" x14ac:dyDescent="0.25">
      <c r="B2531" s="525">
        <v>46274</v>
      </c>
      <c r="C2531" s="525" t="s">
        <v>106</v>
      </c>
      <c r="D2531" s="525" t="s">
        <v>189</v>
      </c>
      <c r="F2531" s="890" t="s">
        <v>40</v>
      </c>
      <c r="G2531" s="890"/>
      <c r="H2531" s="890"/>
      <c r="I2531" s="99">
        <f>SUM(I2523:I2530)</f>
        <v>275</v>
      </c>
      <c r="J2531" s="99">
        <f>SUM(J2523:J2530)</f>
        <v>55</v>
      </c>
      <c r="K2531" s="99">
        <f>SUM(K2523:K2530)</f>
        <v>327</v>
      </c>
      <c r="L2531" s="99">
        <f>SUM(L2523:L2530)</f>
        <v>657</v>
      </c>
      <c r="M2531" s="512"/>
    </row>
    <row r="2532" spans="2:13" ht="15.75" hidden="1" x14ac:dyDescent="0.25">
      <c r="B2532" s="526">
        <v>46274</v>
      </c>
      <c r="C2532" s="526" t="s">
        <v>105</v>
      </c>
      <c r="D2532" s="526" t="s">
        <v>13</v>
      </c>
      <c r="F2532" s="833">
        <v>46274</v>
      </c>
      <c r="G2532" s="60" t="s">
        <v>16</v>
      </c>
      <c r="H2532" s="60" t="s">
        <v>112</v>
      </c>
      <c r="I2532" s="62">
        <v>13</v>
      </c>
      <c r="J2532" s="62">
        <v>14</v>
      </c>
      <c r="K2532" s="312">
        <v>0</v>
      </c>
      <c r="L2532" s="497">
        <f t="shared" ref="L2532:L2539" si="600">SUM(I2532:K2532)</f>
        <v>27</v>
      </c>
      <c r="M2532" s="61"/>
    </row>
    <row r="2533" spans="2:13" ht="15.75" hidden="1" x14ac:dyDescent="0.25">
      <c r="B2533" s="526">
        <v>46274</v>
      </c>
      <c r="C2533" s="526" t="s">
        <v>105</v>
      </c>
      <c r="D2533" s="526" t="s">
        <v>13</v>
      </c>
      <c r="F2533" s="834"/>
      <c r="G2533" s="60" t="s">
        <v>17</v>
      </c>
      <c r="H2533" s="60" t="s">
        <v>105</v>
      </c>
      <c r="I2533" s="62">
        <v>20</v>
      </c>
      <c r="J2533" s="62">
        <v>8</v>
      </c>
      <c r="K2533" s="312">
        <v>0</v>
      </c>
      <c r="L2533" s="497">
        <f t="shared" si="600"/>
        <v>28</v>
      </c>
      <c r="M2533" s="61"/>
    </row>
    <row r="2534" spans="2:13" ht="15.75" hidden="1" x14ac:dyDescent="0.25">
      <c r="B2534" s="526">
        <v>46274</v>
      </c>
      <c r="C2534" s="526" t="s">
        <v>105</v>
      </c>
      <c r="D2534" s="526" t="s">
        <v>13</v>
      </c>
      <c r="F2534" s="834"/>
      <c r="G2534" s="60" t="s">
        <v>32</v>
      </c>
      <c r="H2534" s="60" t="s">
        <v>105</v>
      </c>
      <c r="I2534" s="62">
        <v>32</v>
      </c>
      <c r="J2534" s="62">
        <v>20</v>
      </c>
      <c r="K2534" s="312">
        <v>0</v>
      </c>
      <c r="L2534" s="497">
        <f t="shared" si="600"/>
        <v>52</v>
      </c>
      <c r="M2534" s="61"/>
    </row>
    <row r="2535" spans="2:13" ht="15.75" hidden="1" x14ac:dyDescent="0.25">
      <c r="B2535" s="526">
        <v>46274</v>
      </c>
      <c r="C2535" s="526" t="s">
        <v>105</v>
      </c>
      <c r="D2535" s="526" t="s">
        <v>13</v>
      </c>
      <c r="F2535" s="834"/>
      <c r="G2535" s="60" t="s">
        <v>25</v>
      </c>
      <c r="H2535" s="60" t="s">
        <v>105</v>
      </c>
      <c r="I2535" s="62">
        <v>11</v>
      </c>
      <c r="J2535" s="62">
        <v>2</v>
      </c>
      <c r="K2535" s="312">
        <v>0</v>
      </c>
      <c r="L2535" s="497">
        <f t="shared" si="600"/>
        <v>13</v>
      </c>
      <c r="M2535" s="61"/>
    </row>
    <row r="2536" spans="2:13" ht="15.75" hidden="1" x14ac:dyDescent="0.25">
      <c r="B2536" s="526">
        <v>46274</v>
      </c>
      <c r="C2536" s="526" t="s">
        <v>105</v>
      </c>
      <c r="D2536" s="526" t="s">
        <v>13</v>
      </c>
      <c r="F2536" s="834"/>
      <c r="G2536" s="60" t="s">
        <v>118</v>
      </c>
      <c r="H2536" s="60" t="s">
        <v>105</v>
      </c>
      <c r="I2536" s="62">
        <v>175</v>
      </c>
      <c r="J2536" s="62">
        <v>18</v>
      </c>
      <c r="K2536" s="312">
        <v>0</v>
      </c>
      <c r="L2536" s="497">
        <f t="shared" si="600"/>
        <v>193</v>
      </c>
      <c r="M2536" s="61"/>
    </row>
    <row r="2537" spans="2:13" ht="15.75" hidden="1" x14ac:dyDescent="0.25">
      <c r="B2537" s="526">
        <v>46274</v>
      </c>
      <c r="C2537" s="526" t="s">
        <v>105</v>
      </c>
      <c r="D2537" s="526" t="s">
        <v>13</v>
      </c>
      <c r="F2537" s="893">
        <v>46275</v>
      </c>
      <c r="G2537" s="60" t="s">
        <v>16</v>
      </c>
      <c r="H2537" s="60" t="s">
        <v>112</v>
      </c>
      <c r="I2537" s="62">
        <v>103</v>
      </c>
      <c r="J2537" s="62">
        <v>52</v>
      </c>
      <c r="K2537" s="312">
        <v>28</v>
      </c>
      <c r="L2537" s="497">
        <f t="shared" si="600"/>
        <v>183</v>
      </c>
      <c r="M2537" s="61"/>
    </row>
    <row r="2538" spans="2:13" ht="15.75" hidden="1" x14ac:dyDescent="0.25">
      <c r="B2538" s="526">
        <v>46274</v>
      </c>
      <c r="C2538" s="526" t="s">
        <v>105</v>
      </c>
      <c r="D2538" s="526" t="s">
        <v>13</v>
      </c>
      <c r="F2538" s="893"/>
      <c r="G2538" s="60" t="s">
        <v>17</v>
      </c>
      <c r="H2538" s="60" t="s">
        <v>106</v>
      </c>
      <c r="I2538" s="62">
        <v>123</v>
      </c>
      <c r="J2538" s="62">
        <v>26</v>
      </c>
      <c r="K2538" s="312">
        <v>0</v>
      </c>
      <c r="L2538" s="497">
        <f t="shared" si="600"/>
        <v>149</v>
      </c>
      <c r="M2538" s="61"/>
    </row>
    <row r="2539" spans="2:13" ht="15.75" hidden="1" x14ac:dyDescent="0.25">
      <c r="B2539" s="526">
        <v>46274</v>
      </c>
      <c r="C2539" s="526" t="s">
        <v>105</v>
      </c>
      <c r="D2539" s="526" t="s">
        <v>13</v>
      </c>
      <c r="F2539" s="893"/>
      <c r="G2539" s="60" t="s">
        <v>118</v>
      </c>
      <c r="H2539" s="60" t="s">
        <v>105</v>
      </c>
      <c r="I2539" s="62">
        <v>15</v>
      </c>
      <c r="J2539" s="62">
        <v>6</v>
      </c>
      <c r="K2539" s="312">
        <v>46</v>
      </c>
      <c r="L2539" s="497">
        <f t="shared" si="600"/>
        <v>67</v>
      </c>
      <c r="M2539" s="61"/>
    </row>
    <row r="2540" spans="2:13" ht="15.75" hidden="1" x14ac:dyDescent="0.25">
      <c r="B2540" s="526">
        <v>46274</v>
      </c>
      <c r="C2540" s="526" t="s">
        <v>105</v>
      </c>
      <c r="D2540" s="526" t="s">
        <v>13</v>
      </c>
      <c r="F2540" s="890" t="s">
        <v>40</v>
      </c>
      <c r="G2540" s="890"/>
      <c r="H2540" s="890"/>
      <c r="I2540" s="99">
        <f>SUM(I2532:I2539)</f>
        <v>492</v>
      </c>
      <c r="J2540" s="99">
        <f>SUM(J2532:J2539)</f>
        <v>146</v>
      </c>
      <c r="K2540" s="99">
        <f>SUM(K2532:K2539)</f>
        <v>74</v>
      </c>
      <c r="L2540" s="99">
        <f>SUM(L2532:L2539)</f>
        <v>712</v>
      </c>
      <c r="M2540" s="512"/>
    </row>
    <row r="2541" spans="2:13" ht="15.75" hidden="1" x14ac:dyDescent="0.25">
      <c r="B2541" s="527">
        <v>46275</v>
      </c>
      <c r="C2541" s="527" t="s">
        <v>106</v>
      </c>
      <c r="D2541" s="527" t="s">
        <v>189</v>
      </c>
      <c r="F2541" s="899">
        <v>46275</v>
      </c>
      <c r="G2541" s="60" t="s">
        <v>16</v>
      </c>
      <c r="H2541" s="60" t="s">
        <v>100</v>
      </c>
      <c r="I2541" s="62">
        <v>22</v>
      </c>
      <c r="J2541" s="62">
        <v>24</v>
      </c>
      <c r="K2541" s="312">
        <v>3</v>
      </c>
      <c r="L2541" s="497">
        <f t="shared" ref="L2541:L2547" si="601">SUM(I2541:K2541)</f>
        <v>49</v>
      </c>
      <c r="M2541" s="61"/>
    </row>
    <row r="2542" spans="2:13" ht="15.75" hidden="1" x14ac:dyDescent="0.25">
      <c r="B2542" s="527">
        <v>46275</v>
      </c>
      <c r="C2542" s="527" t="s">
        <v>106</v>
      </c>
      <c r="D2542" s="527" t="s">
        <v>189</v>
      </c>
      <c r="F2542" s="899"/>
      <c r="G2542" s="60" t="s">
        <v>17</v>
      </c>
      <c r="H2542" s="60" t="s">
        <v>106</v>
      </c>
      <c r="I2542" s="62">
        <v>15</v>
      </c>
      <c r="J2542" s="62">
        <v>12</v>
      </c>
      <c r="K2542" s="312">
        <v>2</v>
      </c>
      <c r="L2542" s="497">
        <f t="shared" si="601"/>
        <v>29</v>
      </c>
      <c r="M2542" s="61"/>
    </row>
    <row r="2543" spans="2:13" ht="15.75" hidden="1" x14ac:dyDescent="0.25">
      <c r="B2543" s="527">
        <v>46275</v>
      </c>
      <c r="C2543" s="527" t="s">
        <v>106</v>
      </c>
      <c r="D2543" s="527" t="s">
        <v>189</v>
      </c>
      <c r="F2543" s="899"/>
      <c r="G2543" s="60" t="s">
        <v>180</v>
      </c>
      <c r="H2543" s="60" t="s">
        <v>105</v>
      </c>
      <c r="I2543" s="62">
        <v>55</v>
      </c>
      <c r="J2543" s="62">
        <v>1</v>
      </c>
      <c r="K2543" s="312">
        <v>0</v>
      </c>
      <c r="L2543" s="497">
        <f t="shared" si="601"/>
        <v>56</v>
      </c>
      <c r="M2543" s="61"/>
    </row>
    <row r="2544" spans="2:13" ht="15.75" hidden="1" x14ac:dyDescent="0.25">
      <c r="B2544" s="527">
        <v>46275</v>
      </c>
      <c r="C2544" s="527" t="s">
        <v>106</v>
      </c>
      <c r="D2544" s="527" t="s">
        <v>189</v>
      </c>
      <c r="F2544" s="899"/>
      <c r="G2544" s="60" t="s">
        <v>118</v>
      </c>
      <c r="H2544" s="60" t="s">
        <v>105</v>
      </c>
      <c r="I2544" s="62">
        <v>128</v>
      </c>
      <c r="J2544" s="62">
        <v>51</v>
      </c>
      <c r="K2544" s="312">
        <v>0</v>
      </c>
      <c r="L2544" s="497">
        <f t="shared" si="601"/>
        <v>179</v>
      </c>
      <c r="M2544" s="61"/>
    </row>
    <row r="2545" spans="2:13" ht="15.75" hidden="1" x14ac:dyDescent="0.25">
      <c r="B2545" s="527">
        <v>46275</v>
      </c>
      <c r="C2545" s="527" t="s">
        <v>106</v>
      </c>
      <c r="D2545" s="527" t="s">
        <v>189</v>
      </c>
      <c r="F2545" s="899"/>
      <c r="G2545" s="60" t="s">
        <v>32</v>
      </c>
      <c r="H2545" s="60" t="s">
        <v>105</v>
      </c>
      <c r="I2545" s="62">
        <v>6</v>
      </c>
      <c r="J2545" s="62">
        <v>3</v>
      </c>
      <c r="K2545" s="312">
        <v>0</v>
      </c>
      <c r="L2545" s="497">
        <f t="shared" si="601"/>
        <v>9</v>
      </c>
      <c r="M2545" s="61"/>
    </row>
    <row r="2546" spans="2:13" ht="15.75" hidden="1" x14ac:dyDescent="0.25">
      <c r="B2546" s="527">
        <v>46275</v>
      </c>
      <c r="C2546" s="527" t="s">
        <v>106</v>
      </c>
      <c r="D2546" s="527" t="s">
        <v>189</v>
      </c>
      <c r="F2546" s="893">
        <v>46276</v>
      </c>
      <c r="G2546" s="60" t="s">
        <v>16</v>
      </c>
      <c r="H2546" s="60" t="s">
        <v>100</v>
      </c>
      <c r="I2546" s="62">
        <v>0</v>
      </c>
      <c r="J2546" s="62">
        <v>0</v>
      </c>
      <c r="K2546" s="312">
        <v>153</v>
      </c>
      <c r="L2546" s="497">
        <f t="shared" si="601"/>
        <v>153</v>
      </c>
      <c r="M2546" s="61"/>
    </row>
    <row r="2547" spans="2:13" ht="15.75" hidden="1" x14ac:dyDescent="0.25">
      <c r="B2547" s="527">
        <v>46275</v>
      </c>
      <c r="C2547" s="527" t="s">
        <v>106</v>
      </c>
      <c r="D2547" s="527" t="s">
        <v>189</v>
      </c>
      <c r="F2547" s="893"/>
      <c r="G2547" s="60" t="s">
        <v>25</v>
      </c>
      <c r="H2547" s="60" t="s">
        <v>106</v>
      </c>
      <c r="I2547" s="62">
        <v>1</v>
      </c>
      <c r="J2547" s="62">
        <v>3</v>
      </c>
      <c r="K2547" s="312">
        <v>130</v>
      </c>
      <c r="L2547" s="497">
        <f t="shared" si="601"/>
        <v>134</v>
      </c>
      <c r="M2547" s="61"/>
    </row>
    <row r="2548" spans="2:13" ht="15.75" hidden="1" x14ac:dyDescent="0.25">
      <c r="B2548" s="527">
        <v>46275</v>
      </c>
      <c r="C2548" s="527" t="s">
        <v>106</v>
      </c>
      <c r="D2548" s="527" t="s">
        <v>189</v>
      </c>
      <c r="F2548" s="890" t="s">
        <v>40</v>
      </c>
      <c r="G2548" s="890"/>
      <c r="H2548" s="890"/>
      <c r="I2548" s="99">
        <f>SUM(I2541:I2547)</f>
        <v>227</v>
      </c>
      <c r="J2548" s="99">
        <f>SUM(J2541:J2547)</f>
        <v>94</v>
      </c>
      <c r="K2548" s="99">
        <f>SUM(K2541:K2547)</f>
        <v>288</v>
      </c>
      <c r="L2548" s="99">
        <f>SUM(L2541:L2547)</f>
        <v>609</v>
      </c>
      <c r="M2548" s="512"/>
    </row>
    <row r="2549" spans="2:13" ht="15.75" hidden="1" x14ac:dyDescent="0.25">
      <c r="B2549" s="529">
        <v>46275</v>
      </c>
      <c r="C2549" s="529" t="s">
        <v>105</v>
      </c>
      <c r="D2549" s="529" t="s">
        <v>13</v>
      </c>
      <c r="F2549" s="916">
        <v>46275</v>
      </c>
      <c r="G2549" s="60" t="s">
        <v>16</v>
      </c>
      <c r="H2549" s="60" t="s">
        <v>100</v>
      </c>
      <c r="I2549" s="62">
        <v>5</v>
      </c>
      <c r="J2549" s="62">
        <v>5</v>
      </c>
      <c r="K2549" s="312">
        <v>0</v>
      </c>
      <c r="L2549" s="497">
        <f t="shared" ref="L2549:L2555" si="602">SUM(I2549:K2549)</f>
        <v>10</v>
      </c>
      <c r="M2549" s="61"/>
    </row>
    <row r="2550" spans="2:13" ht="15.75" hidden="1" x14ac:dyDescent="0.25">
      <c r="B2550" s="529">
        <v>46275</v>
      </c>
      <c r="C2550" s="529" t="s">
        <v>105</v>
      </c>
      <c r="D2550" s="529" t="s">
        <v>13</v>
      </c>
      <c r="F2550" s="916"/>
      <c r="G2550" s="60" t="s">
        <v>32</v>
      </c>
      <c r="H2550" s="60" t="s">
        <v>105</v>
      </c>
      <c r="I2550" s="62">
        <v>12</v>
      </c>
      <c r="J2550" s="62">
        <v>6</v>
      </c>
      <c r="K2550" s="312">
        <v>0</v>
      </c>
      <c r="L2550" s="497">
        <f t="shared" si="602"/>
        <v>18</v>
      </c>
      <c r="M2550" s="61"/>
    </row>
    <row r="2551" spans="2:13" ht="15.75" hidden="1" x14ac:dyDescent="0.25">
      <c r="B2551" s="529">
        <v>46275</v>
      </c>
      <c r="C2551" s="529" t="s">
        <v>105</v>
      </c>
      <c r="D2551" s="529" t="s">
        <v>13</v>
      </c>
      <c r="F2551" s="916"/>
      <c r="G2551" s="60" t="s">
        <v>118</v>
      </c>
      <c r="H2551" s="60" t="s">
        <v>105</v>
      </c>
      <c r="I2551" s="62">
        <v>21</v>
      </c>
      <c r="J2551" s="62">
        <v>19</v>
      </c>
      <c r="K2551" s="312">
        <v>0</v>
      </c>
      <c r="L2551" s="497">
        <f t="shared" si="602"/>
        <v>40</v>
      </c>
      <c r="M2551" s="61"/>
    </row>
    <row r="2552" spans="2:13" ht="15.75" hidden="1" x14ac:dyDescent="0.25">
      <c r="B2552" s="529">
        <v>46275</v>
      </c>
      <c r="C2552" s="529" t="s">
        <v>105</v>
      </c>
      <c r="D2552" s="529" t="s">
        <v>13</v>
      </c>
      <c r="F2552" s="909">
        <v>46276</v>
      </c>
      <c r="G2552" s="60" t="s">
        <v>16</v>
      </c>
      <c r="H2552" s="60" t="s">
        <v>100</v>
      </c>
      <c r="I2552" s="62">
        <v>139</v>
      </c>
      <c r="J2552" s="62">
        <v>75</v>
      </c>
      <c r="K2552" s="312">
        <v>0</v>
      </c>
      <c r="L2552" s="497">
        <f t="shared" si="602"/>
        <v>214</v>
      </c>
      <c r="M2552" s="61"/>
    </row>
    <row r="2553" spans="2:13" ht="15.75" hidden="1" x14ac:dyDescent="0.25">
      <c r="B2553" s="529">
        <v>46275</v>
      </c>
      <c r="C2553" s="529" t="s">
        <v>105</v>
      </c>
      <c r="D2553" s="529" t="s">
        <v>13</v>
      </c>
      <c r="F2553" s="910"/>
      <c r="G2553" s="60" t="s">
        <v>17</v>
      </c>
      <c r="H2553" s="60" t="s">
        <v>105</v>
      </c>
      <c r="I2553" s="62">
        <v>86</v>
      </c>
      <c r="J2553" s="62">
        <v>34</v>
      </c>
      <c r="K2553" s="312">
        <v>0</v>
      </c>
      <c r="L2553" s="497">
        <f t="shared" si="602"/>
        <v>120</v>
      </c>
      <c r="M2553" s="61"/>
    </row>
    <row r="2554" spans="2:13" ht="15.75" hidden="1" x14ac:dyDescent="0.25">
      <c r="B2554" s="529">
        <v>46275</v>
      </c>
      <c r="C2554" s="529" t="s">
        <v>105</v>
      </c>
      <c r="D2554" s="529" t="s">
        <v>13</v>
      </c>
      <c r="F2554" s="911"/>
      <c r="G2554" s="60" t="s">
        <v>25</v>
      </c>
      <c r="H2554" s="60" t="s">
        <v>106</v>
      </c>
      <c r="I2554" s="62">
        <v>109</v>
      </c>
      <c r="J2554" s="62">
        <v>37</v>
      </c>
      <c r="K2554" s="312">
        <v>0</v>
      </c>
      <c r="L2554" s="497">
        <f t="shared" si="602"/>
        <v>146</v>
      </c>
      <c r="M2554" s="61"/>
    </row>
    <row r="2555" spans="2:13" ht="15.75" hidden="1" x14ac:dyDescent="0.25">
      <c r="B2555" s="529">
        <v>46275</v>
      </c>
      <c r="C2555" s="529" t="s">
        <v>105</v>
      </c>
      <c r="D2555" s="529" t="s">
        <v>13</v>
      </c>
      <c r="F2555" s="528">
        <v>46277</v>
      </c>
      <c r="G2555" s="60" t="s">
        <v>14</v>
      </c>
      <c r="H2555" s="60" t="s">
        <v>106</v>
      </c>
      <c r="I2555" s="62">
        <v>20</v>
      </c>
      <c r="J2555" s="62">
        <v>2</v>
      </c>
      <c r="K2555" s="312">
        <v>98</v>
      </c>
      <c r="L2555" s="497">
        <f t="shared" si="602"/>
        <v>120</v>
      </c>
      <c r="M2555" s="61"/>
    </row>
    <row r="2556" spans="2:13" ht="15.75" hidden="1" x14ac:dyDescent="0.25">
      <c r="B2556" s="529">
        <v>46275</v>
      </c>
      <c r="C2556" s="529" t="s">
        <v>105</v>
      </c>
      <c r="D2556" s="529" t="s">
        <v>13</v>
      </c>
      <c r="F2556" s="890" t="s">
        <v>40</v>
      </c>
      <c r="G2556" s="890"/>
      <c r="H2556" s="890"/>
      <c r="I2556" s="99">
        <f>SUM(I2549:I2555)</f>
        <v>392</v>
      </c>
      <c r="J2556" s="99">
        <f>SUM(J2549:J2555)</f>
        <v>178</v>
      </c>
      <c r="K2556" s="99">
        <f>SUM(K2549:K2555)</f>
        <v>98</v>
      </c>
      <c r="L2556" s="99">
        <f>SUM(L2549:L2555)</f>
        <v>668</v>
      </c>
      <c r="M2556" s="512"/>
    </row>
    <row r="2557" spans="2:13" ht="15.75" hidden="1" x14ac:dyDescent="0.25">
      <c r="B2557" s="530">
        <v>46276</v>
      </c>
      <c r="C2557" s="530" t="s">
        <v>106</v>
      </c>
      <c r="D2557" s="530" t="s">
        <v>189</v>
      </c>
      <c r="F2557" s="899">
        <v>46276</v>
      </c>
      <c r="G2557" s="60" t="s">
        <v>16</v>
      </c>
      <c r="H2557" s="60" t="s">
        <v>100</v>
      </c>
      <c r="I2557" s="62">
        <v>51</v>
      </c>
      <c r="J2557" s="62">
        <v>32</v>
      </c>
      <c r="K2557" s="312">
        <v>15</v>
      </c>
      <c r="L2557" s="497">
        <f t="shared" ref="L2557:L2565" si="603">SUM(I2557:K2557)</f>
        <v>98</v>
      </c>
      <c r="M2557" s="61"/>
    </row>
    <row r="2558" spans="2:13" ht="15.75" hidden="1" x14ac:dyDescent="0.25">
      <c r="B2558" s="530">
        <v>46276</v>
      </c>
      <c r="C2558" s="530" t="s">
        <v>106</v>
      </c>
      <c r="D2558" s="530" t="s">
        <v>189</v>
      </c>
      <c r="F2558" s="899"/>
      <c r="G2558" s="60" t="s">
        <v>25</v>
      </c>
      <c r="H2558" s="60" t="s">
        <v>106</v>
      </c>
      <c r="I2558" s="62">
        <v>53</v>
      </c>
      <c r="J2558" s="62">
        <v>10</v>
      </c>
      <c r="K2558" s="312">
        <v>0</v>
      </c>
      <c r="L2558" s="497">
        <f t="shared" si="603"/>
        <v>63</v>
      </c>
      <c r="M2558" s="61"/>
    </row>
    <row r="2559" spans="2:13" ht="15.75" hidden="1" x14ac:dyDescent="0.25">
      <c r="B2559" s="530">
        <v>46276</v>
      </c>
      <c r="C2559" s="530" t="s">
        <v>106</v>
      </c>
      <c r="D2559" s="530" t="s">
        <v>189</v>
      </c>
      <c r="F2559" s="899"/>
      <c r="G2559" s="60" t="s">
        <v>180</v>
      </c>
      <c r="H2559" s="60" t="s">
        <v>106</v>
      </c>
      <c r="I2559" s="62">
        <v>20</v>
      </c>
      <c r="J2559" s="62">
        <v>0</v>
      </c>
      <c r="K2559" s="312">
        <v>0</v>
      </c>
      <c r="L2559" s="497">
        <f t="shared" si="603"/>
        <v>20</v>
      </c>
      <c r="M2559" s="61"/>
    </row>
    <row r="2560" spans="2:13" ht="15.75" hidden="1" x14ac:dyDescent="0.25">
      <c r="B2560" s="530">
        <v>46276</v>
      </c>
      <c r="C2560" s="530" t="s">
        <v>106</v>
      </c>
      <c r="D2560" s="530" t="s">
        <v>189</v>
      </c>
      <c r="F2560" s="899"/>
      <c r="G2560" s="60" t="s">
        <v>120</v>
      </c>
      <c r="H2560" s="60" t="s">
        <v>106</v>
      </c>
      <c r="I2560" s="62">
        <v>3</v>
      </c>
      <c r="J2560" s="62">
        <v>0</v>
      </c>
      <c r="K2560" s="312">
        <v>0</v>
      </c>
      <c r="L2560" s="497">
        <f t="shared" si="603"/>
        <v>3</v>
      </c>
      <c r="M2560" s="61"/>
    </row>
    <row r="2561" spans="2:13" ht="15.75" hidden="1" x14ac:dyDescent="0.25">
      <c r="B2561" s="530">
        <v>46276</v>
      </c>
      <c r="C2561" s="530" t="s">
        <v>106</v>
      </c>
      <c r="D2561" s="530" t="s">
        <v>189</v>
      </c>
      <c r="F2561" s="899"/>
      <c r="G2561" s="60" t="s">
        <v>17</v>
      </c>
      <c r="H2561" s="60" t="s">
        <v>105</v>
      </c>
      <c r="I2561" s="62">
        <v>21</v>
      </c>
      <c r="J2561" s="62">
        <v>7</v>
      </c>
      <c r="K2561" s="312">
        <v>0</v>
      </c>
      <c r="L2561" s="497">
        <f t="shared" si="603"/>
        <v>28</v>
      </c>
      <c r="M2561" s="61"/>
    </row>
    <row r="2562" spans="2:13" ht="15.75" hidden="1" x14ac:dyDescent="0.25">
      <c r="B2562" s="530">
        <v>46276</v>
      </c>
      <c r="C2562" s="530" t="s">
        <v>106</v>
      </c>
      <c r="D2562" s="530" t="s">
        <v>189</v>
      </c>
      <c r="F2562" s="899"/>
      <c r="G2562" s="60" t="s">
        <v>32</v>
      </c>
      <c r="H2562" s="60" t="s">
        <v>105</v>
      </c>
      <c r="I2562" s="62">
        <v>3</v>
      </c>
      <c r="J2562" s="62">
        <v>0</v>
      </c>
      <c r="K2562" s="312">
        <v>0</v>
      </c>
      <c r="L2562" s="497">
        <f t="shared" si="603"/>
        <v>3</v>
      </c>
      <c r="M2562" s="61"/>
    </row>
    <row r="2563" spans="2:13" ht="15.75" hidden="1" x14ac:dyDescent="0.25">
      <c r="B2563" s="530">
        <v>46276</v>
      </c>
      <c r="C2563" s="530" t="s">
        <v>106</v>
      </c>
      <c r="D2563" s="530" t="s">
        <v>189</v>
      </c>
      <c r="F2563" s="893">
        <v>46277</v>
      </c>
      <c r="G2563" s="60" t="s">
        <v>16</v>
      </c>
      <c r="H2563" s="60" t="s">
        <v>100</v>
      </c>
      <c r="I2563" s="62">
        <v>0</v>
      </c>
      <c r="J2563" s="62">
        <v>0</v>
      </c>
      <c r="K2563" s="312">
        <v>151</v>
      </c>
      <c r="L2563" s="497">
        <f t="shared" si="603"/>
        <v>151</v>
      </c>
      <c r="M2563" s="61"/>
    </row>
    <row r="2564" spans="2:13" ht="15.75" hidden="1" x14ac:dyDescent="0.25">
      <c r="B2564" s="530">
        <v>46276</v>
      </c>
      <c r="C2564" s="530" t="s">
        <v>106</v>
      </c>
      <c r="D2564" s="530" t="s">
        <v>189</v>
      </c>
      <c r="F2564" s="893"/>
      <c r="G2564" s="60" t="s">
        <v>14</v>
      </c>
      <c r="H2564" s="60" t="s">
        <v>106</v>
      </c>
      <c r="I2564" s="62">
        <v>3</v>
      </c>
      <c r="J2564" s="62">
        <v>0</v>
      </c>
      <c r="K2564" s="312">
        <f>159-98</f>
        <v>61</v>
      </c>
      <c r="L2564" s="497">
        <f t="shared" si="603"/>
        <v>64</v>
      </c>
      <c r="M2564" s="61"/>
    </row>
    <row r="2565" spans="2:13" ht="15.75" hidden="1" x14ac:dyDescent="0.25">
      <c r="B2565" s="530">
        <v>46276</v>
      </c>
      <c r="C2565" s="530" t="s">
        <v>106</v>
      </c>
      <c r="D2565" s="530" t="s">
        <v>189</v>
      </c>
      <c r="F2565" s="893"/>
      <c r="G2565" s="60" t="s">
        <v>17</v>
      </c>
      <c r="H2565" s="60" t="s">
        <v>105</v>
      </c>
      <c r="I2565" s="62">
        <v>0</v>
      </c>
      <c r="J2565" s="62">
        <v>0</v>
      </c>
      <c r="K2565" s="312">
        <v>47</v>
      </c>
      <c r="L2565" s="497">
        <f t="shared" si="603"/>
        <v>47</v>
      </c>
      <c r="M2565" s="61"/>
    </row>
    <row r="2566" spans="2:13" ht="15.75" hidden="1" x14ac:dyDescent="0.25">
      <c r="B2566" s="530">
        <v>46276</v>
      </c>
      <c r="C2566" s="530" t="s">
        <v>106</v>
      </c>
      <c r="D2566" s="530" t="s">
        <v>189</v>
      </c>
      <c r="F2566" s="890" t="s">
        <v>40</v>
      </c>
      <c r="G2566" s="890"/>
      <c r="H2566" s="890"/>
      <c r="I2566" s="99">
        <f>SUM(I2557:I2565)</f>
        <v>154</v>
      </c>
      <c r="J2566" s="99">
        <f>SUM(J2557:J2565)</f>
        <v>49</v>
      </c>
      <c r="K2566" s="99">
        <f>SUM(K2557:K2565)</f>
        <v>274</v>
      </c>
      <c r="L2566" s="99">
        <f>SUM(L2557:L2565)</f>
        <v>477</v>
      </c>
      <c r="M2566" s="512"/>
    </row>
    <row r="2567" spans="2:13" ht="15.75" hidden="1" x14ac:dyDescent="0.25">
      <c r="B2567" s="531">
        <v>46276</v>
      </c>
      <c r="C2567" s="531" t="s">
        <v>105</v>
      </c>
      <c r="D2567" s="531" t="s">
        <v>13</v>
      </c>
      <c r="F2567" s="930">
        <v>46276</v>
      </c>
      <c r="G2567" s="60" t="s">
        <v>16</v>
      </c>
      <c r="H2567" s="60" t="s">
        <v>100</v>
      </c>
      <c r="I2567" s="62">
        <v>6</v>
      </c>
      <c r="J2567" s="62">
        <v>12</v>
      </c>
      <c r="K2567" s="312">
        <v>0</v>
      </c>
      <c r="L2567" s="497">
        <f t="shared" ref="L2567:L2572" si="604">SUM(I2567:K2567)</f>
        <v>18</v>
      </c>
      <c r="M2567" s="61"/>
    </row>
    <row r="2568" spans="2:13" ht="15.75" hidden="1" x14ac:dyDescent="0.25">
      <c r="B2568" s="531">
        <v>46276</v>
      </c>
      <c r="C2568" s="531" t="s">
        <v>105</v>
      </c>
      <c r="D2568" s="531" t="s">
        <v>13</v>
      </c>
      <c r="F2568" s="930"/>
      <c r="G2568" s="60" t="s">
        <v>118</v>
      </c>
      <c r="H2568" s="60" t="s">
        <v>105</v>
      </c>
      <c r="I2568" s="62">
        <v>1</v>
      </c>
      <c r="J2568" s="62">
        <v>0</v>
      </c>
      <c r="K2568" s="312">
        <v>0</v>
      </c>
      <c r="L2568" s="497">
        <f t="shared" si="604"/>
        <v>1</v>
      </c>
      <c r="M2568" s="61"/>
    </row>
    <row r="2569" spans="2:13" ht="15.75" hidden="1" x14ac:dyDescent="0.25">
      <c r="B2569" s="531">
        <v>46276</v>
      </c>
      <c r="C2569" s="531" t="s">
        <v>105</v>
      </c>
      <c r="D2569" s="531" t="s">
        <v>13</v>
      </c>
      <c r="F2569" s="930"/>
      <c r="G2569" s="60" t="s">
        <v>17</v>
      </c>
      <c r="H2569" s="60" t="s">
        <v>105</v>
      </c>
      <c r="I2569" s="62">
        <v>10</v>
      </c>
      <c r="J2569" s="62">
        <v>5</v>
      </c>
      <c r="K2569" s="312">
        <v>0</v>
      </c>
      <c r="L2569" s="497">
        <f t="shared" si="604"/>
        <v>15</v>
      </c>
      <c r="M2569" s="61"/>
    </row>
    <row r="2570" spans="2:13" ht="15.75" hidden="1" x14ac:dyDescent="0.25">
      <c r="B2570" s="531">
        <v>46276</v>
      </c>
      <c r="C2570" s="531" t="s">
        <v>105</v>
      </c>
      <c r="D2570" s="531" t="s">
        <v>13</v>
      </c>
      <c r="F2570" s="930"/>
      <c r="G2570" s="60" t="s">
        <v>32</v>
      </c>
      <c r="H2570" s="60" t="s">
        <v>105</v>
      </c>
      <c r="I2570" s="62">
        <v>8</v>
      </c>
      <c r="J2570" s="62">
        <v>6</v>
      </c>
      <c r="K2570" s="312">
        <v>0</v>
      </c>
      <c r="L2570" s="497">
        <f t="shared" si="604"/>
        <v>14</v>
      </c>
      <c r="M2570" s="61"/>
    </row>
    <row r="2571" spans="2:13" ht="15.75" hidden="1" x14ac:dyDescent="0.25">
      <c r="B2571" s="531">
        <v>46276</v>
      </c>
      <c r="C2571" s="531" t="s">
        <v>105</v>
      </c>
      <c r="D2571" s="531" t="s">
        <v>13</v>
      </c>
      <c r="F2571" s="909">
        <v>46277</v>
      </c>
      <c r="G2571" s="60" t="s">
        <v>16</v>
      </c>
      <c r="H2571" s="60" t="s">
        <v>100</v>
      </c>
      <c r="I2571" s="62">
        <v>128</v>
      </c>
      <c r="J2571" s="62">
        <v>70</v>
      </c>
      <c r="K2571" s="312">
        <v>0</v>
      </c>
      <c r="L2571" s="497">
        <f t="shared" si="604"/>
        <v>198</v>
      </c>
      <c r="M2571" s="61"/>
    </row>
    <row r="2572" spans="2:13" ht="15.75" hidden="1" x14ac:dyDescent="0.25">
      <c r="B2572" s="531">
        <v>46276</v>
      </c>
      <c r="C2572" s="531" t="s">
        <v>105</v>
      </c>
      <c r="D2572" s="531" t="s">
        <v>13</v>
      </c>
      <c r="F2572" s="910"/>
      <c r="G2572" s="60" t="s">
        <v>14</v>
      </c>
      <c r="H2572" s="60" t="s">
        <v>106</v>
      </c>
      <c r="I2572" s="62">
        <v>138</v>
      </c>
      <c r="J2572" s="62">
        <v>43</v>
      </c>
      <c r="K2572" s="312">
        <v>0</v>
      </c>
      <c r="L2572" s="497">
        <f t="shared" si="604"/>
        <v>181</v>
      </c>
      <c r="M2572" s="61"/>
    </row>
    <row r="2573" spans="2:13" ht="15.75" hidden="1" x14ac:dyDescent="0.25">
      <c r="B2573" s="531">
        <v>46276</v>
      </c>
      <c r="C2573" s="531" t="s">
        <v>105</v>
      </c>
      <c r="D2573" s="531" t="s">
        <v>13</v>
      </c>
      <c r="F2573" s="911"/>
      <c r="G2573" s="60" t="s">
        <v>17</v>
      </c>
      <c r="H2573" s="60" t="s">
        <v>105</v>
      </c>
      <c r="I2573" s="62">
        <v>80</v>
      </c>
      <c r="J2573" s="62">
        <v>30</v>
      </c>
      <c r="K2573" s="312">
        <v>31</v>
      </c>
      <c r="L2573" s="497">
        <f t="shared" ref="L2573:L2575" si="605">SUM(I2573:K2573)</f>
        <v>141</v>
      </c>
      <c r="M2573" s="61"/>
    </row>
    <row r="2574" spans="2:13" ht="15.75" hidden="1" x14ac:dyDescent="0.25">
      <c r="B2574" s="533">
        <v>46276</v>
      </c>
      <c r="C2574" s="533" t="s">
        <v>105</v>
      </c>
      <c r="D2574" s="533" t="s">
        <v>13</v>
      </c>
      <c r="F2574" s="532">
        <v>46278</v>
      </c>
      <c r="G2574" s="60" t="s">
        <v>25</v>
      </c>
      <c r="H2574" s="60" t="s">
        <v>105</v>
      </c>
      <c r="I2574" s="62">
        <v>4</v>
      </c>
      <c r="J2574" s="62">
        <v>2</v>
      </c>
      <c r="K2574" s="312">
        <v>91</v>
      </c>
      <c r="L2574" s="497">
        <f t="shared" si="605"/>
        <v>97</v>
      </c>
      <c r="M2574" s="61"/>
    </row>
    <row r="2575" spans="2:13" ht="15.75" hidden="1" x14ac:dyDescent="0.25">
      <c r="B2575" s="531">
        <v>46276</v>
      </c>
      <c r="C2575" s="531" t="s">
        <v>105</v>
      </c>
      <c r="D2575" s="531" t="s">
        <v>13</v>
      </c>
      <c r="F2575" s="536">
        <v>46279</v>
      </c>
      <c r="G2575" s="60" t="s">
        <v>120</v>
      </c>
      <c r="H2575" s="60" t="s">
        <v>106</v>
      </c>
      <c r="I2575" s="62">
        <v>0</v>
      </c>
      <c r="J2575" s="62">
        <v>0</v>
      </c>
      <c r="K2575" s="312">
        <v>26</v>
      </c>
      <c r="L2575" s="497">
        <f t="shared" si="605"/>
        <v>26</v>
      </c>
      <c r="M2575" s="61"/>
    </row>
    <row r="2576" spans="2:13" ht="15.75" hidden="1" x14ac:dyDescent="0.25">
      <c r="B2576" s="531">
        <v>46276</v>
      </c>
      <c r="C2576" s="531" t="s">
        <v>105</v>
      </c>
      <c r="D2576" s="531" t="s">
        <v>13</v>
      </c>
      <c r="F2576" s="890" t="s">
        <v>40</v>
      </c>
      <c r="G2576" s="890"/>
      <c r="H2576" s="890"/>
      <c r="I2576" s="99">
        <f>SUM(I2567:I2575)</f>
        <v>375</v>
      </c>
      <c r="J2576" s="99">
        <f>SUM(J2567:J2575)</f>
        <v>168</v>
      </c>
      <c r="K2576" s="99">
        <f>SUM(K2567:K2575)</f>
        <v>148</v>
      </c>
      <c r="L2576" s="99">
        <f>SUM(L2567:L2575)</f>
        <v>691</v>
      </c>
      <c r="M2576" s="512"/>
    </row>
    <row r="2577" spans="2:13" ht="15.75" hidden="1" x14ac:dyDescent="0.25">
      <c r="B2577" s="535">
        <v>46277</v>
      </c>
      <c r="C2577" s="535" t="s">
        <v>106</v>
      </c>
      <c r="D2577" s="535" t="s">
        <v>189</v>
      </c>
      <c r="F2577" s="899">
        <v>46277</v>
      </c>
      <c r="G2577" s="60" t="s">
        <v>16</v>
      </c>
      <c r="H2577" s="60" t="s">
        <v>100</v>
      </c>
      <c r="I2577" s="62">
        <v>38</v>
      </c>
      <c r="J2577" s="62">
        <v>22</v>
      </c>
      <c r="K2577" s="312">
        <v>3</v>
      </c>
      <c r="L2577" s="497">
        <f t="shared" ref="L2577:L2586" si="606">SUM(I2577:K2577)</f>
        <v>63</v>
      </c>
      <c r="M2577" s="61"/>
    </row>
    <row r="2578" spans="2:13" ht="15.75" hidden="1" x14ac:dyDescent="0.25">
      <c r="B2578" s="535">
        <v>46277</v>
      </c>
      <c r="C2578" s="535" t="s">
        <v>106</v>
      </c>
      <c r="D2578" s="535" t="s">
        <v>189</v>
      </c>
      <c r="F2578" s="899"/>
      <c r="G2578" s="60" t="s">
        <v>14</v>
      </c>
      <c r="H2578" s="60" t="s">
        <v>106</v>
      </c>
      <c r="I2578" s="62">
        <v>47</v>
      </c>
      <c r="J2578" s="62">
        <v>5</v>
      </c>
      <c r="K2578" s="312">
        <v>0</v>
      </c>
      <c r="L2578" s="497">
        <f t="shared" si="606"/>
        <v>52</v>
      </c>
      <c r="M2578" s="61"/>
    </row>
    <row r="2579" spans="2:13" ht="15.75" hidden="1" x14ac:dyDescent="0.25">
      <c r="B2579" s="535">
        <v>46277</v>
      </c>
      <c r="C2579" s="535" t="s">
        <v>106</v>
      </c>
      <c r="D2579" s="535" t="s">
        <v>189</v>
      </c>
      <c r="F2579" s="899"/>
      <c r="G2579" s="60" t="s">
        <v>180</v>
      </c>
      <c r="H2579" s="60" t="s">
        <v>106</v>
      </c>
      <c r="I2579" s="62">
        <v>15</v>
      </c>
      <c r="J2579" s="62">
        <v>0</v>
      </c>
      <c r="K2579" s="312">
        <v>0</v>
      </c>
      <c r="L2579" s="497">
        <f t="shared" si="606"/>
        <v>15</v>
      </c>
      <c r="M2579" s="61"/>
    </row>
    <row r="2580" spans="2:13" ht="15.75" hidden="1" x14ac:dyDescent="0.25">
      <c r="B2580" s="535">
        <v>46277</v>
      </c>
      <c r="C2580" s="535" t="s">
        <v>106</v>
      </c>
      <c r="D2580" s="535" t="s">
        <v>189</v>
      </c>
      <c r="F2580" s="899"/>
      <c r="G2580" s="60" t="s">
        <v>120</v>
      </c>
      <c r="H2580" s="60" t="s">
        <v>106</v>
      </c>
      <c r="I2580" s="62">
        <v>37</v>
      </c>
      <c r="J2580" s="62">
        <v>0</v>
      </c>
      <c r="K2580" s="312">
        <v>0</v>
      </c>
      <c r="L2580" s="497">
        <f t="shared" si="606"/>
        <v>37</v>
      </c>
      <c r="M2580" s="61"/>
    </row>
    <row r="2581" spans="2:13" ht="15.75" hidden="1" x14ac:dyDescent="0.25">
      <c r="B2581" s="535">
        <v>46277</v>
      </c>
      <c r="C2581" s="535" t="s">
        <v>106</v>
      </c>
      <c r="D2581" s="535" t="s">
        <v>189</v>
      </c>
      <c r="F2581" s="899"/>
      <c r="G2581" s="60" t="s">
        <v>118</v>
      </c>
      <c r="H2581" s="60" t="s">
        <v>106</v>
      </c>
      <c r="I2581" s="62">
        <v>5</v>
      </c>
      <c r="J2581" s="62">
        <v>0</v>
      </c>
      <c r="K2581" s="312">
        <v>0</v>
      </c>
      <c r="L2581" s="497">
        <f t="shared" si="606"/>
        <v>5</v>
      </c>
      <c r="M2581" s="61"/>
    </row>
    <row r="2582" spans="2:13" ht="15.75" hidden="1" x14ac:dyDescent="0.25">
      <c r="B2582" s="535">
        <v>46277</v>
      </c>
      <c r="C2582" s="535" t="s">
        <v>106</v>
      </c>
      <c r="D2582" s="535" t="s">
        <v>189</v>
      </c>
      <c r="F2582" s="899"/>
      <c r="G2582" s="60" t="s">
        <v>17</v>
      </c>
      <c r="H2582" s="60" t="s">
        <v>105</v>
      </c>
      <c r="I2582" s="62">
        <v>36</v>
      </c>
      <c r="J2582" s="62">
        <v>17</v>
      </c>
      <c r="K2582" s="312">
        <v>0</v>
      </c>
      <c r="L2582" s="497">
        <f t="shared" si="606"/>
        <v>53</v>
      </c>
      <c r="M2582" s="61"/>
    </row>
    <row r="2583" spans="2:13" ht="15.75" hidden="1" x14ac:dyDescent="0.25">
      <c r="B2583" s="535">
        <v>46277</v>
      </c>
      <c r="C2583" s="535" t="s">
        <v>106</v>
      </c>
      <c r="D2583" s="535" t="s">
        <v>189</v>
      </c>
      <c r="F2583" s="899"/>
      <c r="G2583" s="60" t="s">
        <v>25</v>
      </c>
      <c r="H2583" s="60" t="s">
        <v>105</v>
      </c>
      <c r="I2583" s="62">
        <v>10</v>
      </c>
      <c r="J2583" s="62">
        <v>8</v>
      </c>
      <c r="K2583" s="312">
        <v>0</v>
      </c>
      <c r="L2583" s="497">
        <f t="shared" si="606"/>
        <v>18</v>
      </c>
      <c r="M2583" s="61"/>
    </row>
    <row r="2584" spans="2:13" ht="15.75" hidden="1" x14ac:dyDescent="0.25">
      <c r="B2584" s="535">
        <v>46277</v>
      </c>
      <c r="C2584" s="535" t="s">
        <v>106</v>
      </c>
      <c r="D2584" s="535" t="s">
        <v>189</v>
      </c>
      <c r="F2584" s="534">
        <v>46278</v>
      </c>
      <c r="G2584" s="60" t="s">
        <v>25</v>
      </c>
      <c r="H2584" s="60" t="s">
        <v>105</v>
      </c>
      <c r="I2584" s="62">
        <v>0</v>
      </c>
      <c r="J2584" s="62">
        <v>0</v>
      </c>
      <c r="K2584" s="312">
        <f>136-91</f>
        <v>45</v>
      </c>
      <c r="L2584" s="497">
        <f t="shared" si="606"/>
        <v>45</v>
      </c>
      <c r="M2584" s="61"/>
    </row>
    <row r="2585" spans="2:13" ht="15.75" hidden="1" x14ac:dyDescent="0.25">
      <c r="B2585" s="535">
        <v>46277</v>
      </c>
      <c r="C2585" s="535" t="s">
        <v>106</v>
      </c>
      <c r="D2585" s="535" t="s">
        <v>189</v>
      </c>
      <c r="F2585" s="830">
        <v>46279</v>
      </c>
      <c r="G2585" s="60" t="s">
        <v>16</v>
      </c>
      <c r="H2585" s="60" t="s">
        <v>100</v>
      </c>
      <c r="I2585" s="62">
        <v>0</v>
      </c>
      <c r="J2585" s="62">
        <v>0</v>
      </c>
      <c r="K2585" s="312">
        <v>203</v>
      </c>
      <c r="L2585" s="497">
        <f t="shared" si="606"/>
        <v>203</v>
      </c>
      <c r="M2585" s="61"/>
    </row>
    <row r="2586" spans="2:13" ht="15.75" hidden="1" x14ac:dyDescent="0.25">
      <c r="B2586" s="535">
        <v>46277</v>
      </c>
      <c r="C2586" s="535" t="s">
        <v>106</v>
      </c>
      <c r="D2586" s="535" t="s">
        <v>189</v>
      </c>
      <c r="F2586" s="832"/>
      <c r="G2586" s="60" t="s">
        <v>32</v>
      </c>
      <c r="H2586" s="60" t="s">
        <v>105</v>
      </c>
      <c r="I2586" s="62">
        <v>0</v>
      </c>
      <c r="J2586" s="62">
        <v>0</v>
      </c>
      <c r="K2586" s="312">
        <v>46</v>
      </c>
      <c r="L2586" s="497">
        <f t="shared" si="606"/>
        <v>46</v>
      </c>
      <c r="M2586" s="61"/>
    </row>
    <row r="2587" spans="2:13" ht="15.75" hidden="1" x14ac:dyDescent="0.25">
      <c r="B2587" s="535">
        <v>46277</v>
      </c>
      <c r="C2587" s="535" t="s">
        <v>106</v>
      </c>
      <c r="D2587" s="535" t="s">
        <v>189</v>
      </c>
      <c r="F2587" s="890" t="s">
        <v>40</v>
      </c>
      <c r="G2587" s="890"/>
      <c r="H2587" s="890"/>
      <c r="I2587" s="99">
        <f>SUM(I2577:I2586)</f>
        <v>188</v>
      </c>
      <c r="J2587" s="99">
        <f>SUM(J2577:J2586)</f>
        <v>52</v>
      </c>
      <c r="K2587" s="99">
        <f>SUM(K2577:K2586)</f>
        <v>297</v>
      </c>
      <c r="L2587" s="99">
        <f>SUM(L2577:L2586)</f>
        <v>537</v>
      </c>
      <c r="M2587" s="512"/>
    </row>
    <row r="2588" spans="2:13" ht="15.75" hidden="1" x14ac:dyDescent="0.25">
      <c r="B2588" s="537">
        <v>46277</v>
      </c>
      <c r="C2588" s="537" t="s">
        <v>105</v>
      </c>
      <c r="D2588" s="537" t="s">
        <v>13</v>
      </c>
      <c r="F2588" s="916">
        <v>46277</v>
      </c>
      <c r="G2588" s="60" t="s">
        <v>16</v>
      </c>
      <c r="H2588" s="60" t="s">
        <v>100</v>
      </c>
      <c r="I2588" s="62">
        <v>10</v>
      </c>
      <c r="J2588" s="62">
        <v>16</v>
      </c>
      <c r="K2588" s="312">
        <v>0</v>
      </c>
      <c r="L2588" s="497">
        <f t="shared" ref="L2588:L2595" si="607">SUM(I2588:K2588)</f>
        <v>26</v>
      </c>
      <c r="M2588" s="61"/>
    </row>
    <row r="2589" spans="2:13" ht="15.75" hidden="1" x14ac:dyDescent="0.25">
      <c r="B2589" s="537">
        <v>46277</v>
      </c>
      <c r="C2589" s="537" t="s">
        <v>105</v>
      </c>
      <c r="D2589" s="537" t="s">
        <v>13</v>
      </c>
      <c r="F2589" s="916"/>
      <c r="G2589" s="60" t="s">
        <v>17</v>
      </c>
      <c r="H2589" s="60" t="s">
        <v>105</v>
      </c>
      <c r="I2589" s="62">
        <v>18</v>
      </c>
      <c r="J2589" s="62">
        <v>23</v>
      </c>
      <c r="K2589" s="312">
        <v>0</v>
      </c>
      <c r="L2589" s="497">
        <f t="shared" si="607"/>
        <v>41</v>
      </c>
      <c r="M2589" s="61"/>
    </row>
    <row r="2590" spans="2:13" ht="15.75" hidden="1" x14ac:dyDescent="0.25">
      <c r="B2590" s="537">
        <v>46277</v>
      </c>
      <c r="C2590" s="537" t="s">
        <v>105</v>
      </c>
      <c r="D2590" s="537" t="s">
        <v>13</v>
      </c>
      <c r="F2590" s="522">
        <v>46278</v>
      </c>
      <c r="G2590" s="60" t="s">
        <v>25</v>
      </c>
      <c r="H2590" s="60" t="s">
        <v>105</v>
      </c>
      <c r="I2590" s="62">
        <v>124</v>
      </c>
      <c r="J2590" s="62">
        <v>36</v>
      </c>
      <c r="K2590" s="312">
        <v>0</v>
      </c>
      <c r="L2590" s="497">
        <f t="shared" si="607"/>
        <v>160</v>
      </c>
      <c r="M2590" s="61"/>
    </row>
    <row r="2591" spans="2:13" ht="15.75" hidden="1" x14ac:dyDescent="0.25">
      <c r="B2591" s="537">
        <v>46277</v>
      </c>
      <c r="C2591" s="537" t="s">
        <v>105</v>
      </c>
      <c r="D2591" s="537" t="s">
        <v>13</v>
      </c>
      <c r="F2591" s="931">
        <v>46279</v>
      </c>
      <c r="G2591" s="60" t="s">
        <v>16</v>
      </c>
      <c r="H2591" s="60" t="s">
        <v>100</v>
      </c>
      <c r="I2591" s="62">
        <v>124</v>
      </c>
      <c r="J2591" s="62">
        <v>68</v>
      </c>
      <c r="K2591" s="312">
        <v>11</v>
      </c>
      <c r="L2591" s="497">
        <f t="shared" si="607"/>
        <v>203</v>
      </c>
      <c r="M2591" s="61"/>
    </row>
    <row r="2592" spans="2:13" ht="15.75" hidden="1" x14ac:dyDescent="0.25">
      <c r="B2592" s="537">
        <v>46277</v>
      </c>
      <c r="C2592" s="537" t="s">
        <v>105</v>
      </c>
      <c r="D2592" s="537" t="s">
        <v>13</v>
      </c>
      <c r="F2592" s="932"/>
      <c r="G2592" s="60" t="s">
        <v>180</v>
      </c>
      <c r="H2592" s="60" t="s">
        <v>106</v>
      </c>
      <c r="I2592" s="62">
        <v>0</v>
      </c>
      <c r="J2592" s="62">
        <v>0</v>
      </c>
      <c r="K2592" s="312">
        <v>119</v>
      </c>
      <c r="L2592" s="497">
        <f t="shared" si="607"/>
        <v>119</v>
      </c>
      <c r="M2592" s="61"/>
    </row>
    <row r="2593" spans="2:13" ht="15.75" hidden="1" x14ac:dyDescent="0.25">
      <c r="B2593" s="537">
        <v>46277</v>
      </c>
      <c r="C2593" s="537" t="s">
        <v>105</v>
      </c>
      <c r="D2593" s="537" t="s">
        <v>13</v>
      </c>
      <c r="F2593" s="932"/>
      <c r="G2593" s="60" t="s">
        <v>14</v>
      </c>
      <c r="H2593" s="60" t="s">
        <v>106</v>
      </c>
      <c r="I2593" s="62">
        <v>3</v>
      </c>
      <c r="J2593" s="62">
        <v>1</v>
      </c>
      <c r="K2593" s="312">
        <v>112</v>
      </c>
      <c r="L2593" s="497">
        <f t="shared" si="607"/>
        <v>116</v>
      </c>
      <c r="M2593" s="61"/>
    </row>
    <row r="2594" spans="2:13" ht="15.75" hidden="1" x14ac:dyDescent="0.25">
      <c r="B2594" s="537">
        <v>46277</v>
      </c>
      <c r="C2594" s="537" t="s">
        <v>105</v>
      </c>
      <c r="D2594" s="537" t="s">
        <v>13</v>
      </c>
      <c r="F2594" s="932"/>
      <c r="G2594" s="60" t="s">
        <v>32</v>
      </c>
      <c r="H2594" s="60" t="s">
        <v>105</v>
      </c>
      <c r="I2594" s="62">
        <v>142</v>
      </c>
      <c r="J2594" s="62">
        <v>23</v>
      </c>
      <c r="K2594" s="312">
        <v>4</v>
      </c>
      <c r="L2594" s="497">
        <f t="shared" si="607"/>
        <v>169</v>
      </c>
      <c r="M2594" s="61"/>
    </row>
    <row r="2595" spans="2:13" ht="15.75" hidden="1" x14ac:dyDescent="0.25">
      <c r="B2595" s="537">
        <v>46277</v>
      </c>
      <c r="C2595" s="537" t="s">
        <v>105</v>
      </c>
      <c r="D2595" s="537" t="s">
        <v>13</v>
      </c>
      <c r="F2595" s="933"/>
      <c r="G2595" s="60" t="s">
        <v>118</v>
      </c>
      <c r="H2595" s="60" t="s">
        <v>105</v>
      </c>
      <c r="I2595" s="62">
        <v>1</v>
      </c>
      <c r="J2595" s="62">
        <v>2</v>
      </c>
      <c r="K2595" s="312">
        <v>0</v>
      </c>
      <c r="L2595" s="497">
        <f t="shared" si="607"/>
        <v>3</v>
      </c>
      <c r="M2595" s="61"/>
    </row>
    <row r="2596" spans="2:13" ht="15.75" hidden="1" x14ac:dyDescent="0.25">
      <c r="B2596" s="537">
        <v>46277</v>
      </c>
      <c r="C2596" s="537" t="s">
        <v>105</v>
      </c>
      <c r="D2596" s="537" t="s">
        <v>13</v>
      </c>
      <c r="F2596" s="890" t="s">
        <v>40</v>
      </c>
      <c r="G2596" s="890"/>
      <c r="H2596" s="890"/>
      <c r="I2596" s="99">
        <f>SUM(I2588:I2595)</f>
        <v>422</v>
      </c>
      <c r="J2596" s="99">
        <f>SUM(J2588:J2595)</f>
        <v>169</v>
      </c>
      <c r="K2596" s="99">
        <f>SUM(K2588:K2595)</f>
        <v>246</v>
      </c>
      <c r="L2596" s="99">
        <f>SUM(L2588:L2595)</f>
        <v>837</v>
      </c>
      <c r="M2596" s="512"/>
    </row>
    <row r="2597" spans="2:13" ht="15.75" hidden="1" x14ac:dyDescent="0.25">
      <c r="B2597" s="540">
        <v>46278</v>
      </c>
      <c r="C2597" s="540" t="s">
        <v>105</v>
      </c>
      <c r="D2597" s="540" t="s">
        <v>13</v>
      </c>
      <c r="F2597" s="539">
        <v>46278</v>
      </c>
      <c r="G2597" s="60" t="s">
        <v>25</v>
      </c>
      <c r="H2597" s="60" t="s">
        <v>105</v>
      </c>
      <c r="I2597" s="62">
        <v>41</v>
      </c>
      <c r="J2597" s="62">
        <v>9</v>
      </c>
      <c r="K2597" s="312">
        <v>0</v>
      </c>
      <c r="L2597" s="497">
        <f t="shared" ref="L2597:L2602" si="608">SUM(I2597:K2597)</f>
        <v>50</v>
      </c>
      <c r="M2597" s="61"/>
    </row>
    <row r="2598" spans="2:13" ht="15.75" hidden="1" x14ac:dyDescent="0.25">
      <c r="B2598" s="540">
        <v>46278</v>
      </c>
      <c r="C2598" s="540" t="s">
        <v>105</v>
      </c>
      <c r="D2598" s="540" t="s">
        <v>13</v>
      </c>
      <c r="F2598" s="926">
        <v>46279</v>
      </c>
      <c r="G2598" s="60" t="s">
        <v>16</v>
      </c>
      <c r="H2598" s="60" t="s">
        <v>15</v>
      </c>
      <c r="I2598" s="62">
        <v>0</v>
      </c>
      <c r="J2598" s="62">
        <v>0</v>
      </c>
      <c r="K2598" s="312">
        <v>0</v>
      </c>
      <c r="L2598" s="497">
        <f t="shared" si="608"/>
        <v>0</v>
      </c>
      <c r="M2598" s="61"/>
    </row>
    <row r="2599" spans="2:13" ht="15.75" hidden="1" x14ac:dyDescent="0.25">
      <c r="B2599" s="540">
        <v>46278</v>
      </c>
      <c r="C2599" s="540" t="s">
        <v>105</v>
      </c>
      <c r="D2599" s="540" t="s">
        <v>13</v>
      </c>
      <c r="F2599" s="927"/>
      <c r="G2599" s="60" t="s">
        <v>180</v>
      </c>
      <c r="H2599" s="60" t="s">
        <v>106</v>
      </c>
      <c r="I2599" s="62">
        <v>0</v>
      </c>
      <c r="J2599" s="62">
        <v>0</v>
      </c>
      <c r="K2599" s="312">
        <v>121</v>
      </c>
      <c r="L2599" s="497">
        <f t="shared" si="608"/>
        <v>121</v>
      </c>
      <c r="M2599" s="61"/>
    </row>
    <row r="2600" spans="2:13" ht="15.75" hidden="1" x14ac:dyDescent="0.25">
      <c r="B2600" s="540">
        <v>46278</v>
      </c>
      <c r="C2600" s="540" t="s">
        <v>105</v>
      </c>
      <c r="D2600" s="540" t="s">
        <v>13</v>
      </c>
      <c r="F2600" s="927"/>
      <c r="G2600" s="60" t="s">
        <v>14</v>
      </c>
      <c r="H2600" s="60" t="s">
        <v>106</v>
      </c>
      <c r="I2600" s="62">
        <v>139</v>
      </c>
      <c r="J2600" s="62">
        <v>40</v>
      </c>
      <c r="K2600" s="312">
        <v>0</v>
      </c>
      <c r="L2600" s="497">
        <f t="shared" si="608"/>
        <v>179</v>
      </c>
      <c r="M2600" s="61"/>
    </row>
    <row r="2601" spans="2:13" ht="15.75" hidden="1" x14ac:dyDescent="0.25">
      <c r="B2601" s="540">
        <v>46278</v>
      </c>
      <c r="C2601" s="540" t="s">
        <v>105</v>
      </c>
      <c r="D2601" s="540" t="s">
        <v>13</v>
      </c>
      <c r="F2601" s="927"/>
      <c r="G2601" s="60" t="s">
        <v>32</v>
      </c>
      <c r="H2601" s="60" t="s">
        <v>105</v>
      </c>
      <c r="I2601" s="62">
        <v>0</v>
      </c>
      <c r="J2601" s="62">
        <v>0</v>
      </c>
      <c r="K2601" s="312">
        <v>0</v>
      </c>
      <c r="L2601" s="497">
        <f t="shared" si="608"/>
        <v>0</v>
      </c>
      <c r="M2601" s="61"/>
    </row>
    <row r="2602" spans="2:13" ht="15.75" hidden="1" x14ac:dyDescent="0.25">
      <c r="B2602" s="540">
        <v>46278</v>
      </c>
      <c r="C2602" s="540" t="s">
        <v>105</v>
      </c>
      <c r="D2602" s="540" t="s">
        <v>13</v>
      </c>
      <c r="F2602" s="928"/>
      <c r="G2602" s="60" t="s">
        <v>118</v>
      </c>
      <c r="H2602" s="60" t="s">
        <v>105</v>
      </c>
      <c r="I2602" s="62">
        <v>18</v>
      </c>
      <c r="J2602" s="62">
        <v>10</v>
      </c>
      <c r="K2602" s="312">
        <v>93</v>
      </c>
      <c r="L2602" s="497">
        <f t="shared" si="608"/>
        <v>121</v>
      </c>
      <c r="M2602" s="61"/>
    </row>
    <row r="2603" spans="2:13" ht="15.75" hidden="1" x14ac:dyDescent="0.25">
      <c r="B2603" s="540">
        <v>46278</v>
      </c>
      <c r="C2603" s="540" t="s">
        <v>105</v>
      </c>
      <c r="D2603" s="540" t="s">
        <v>13</v>
      </c>
      <c r="F2603" s="890" t="s">
        <v>40</v>
      </c>
      <c r="G2603" s="890"/>
      <c r="H2603" s="890"/>
      <c r="I2603" s="99">
        <f>SUM(I2597:I2602)</f>
        <v>198</v>
      </c>
      <c r="J2603" s="99">
        <f t="shared" ref="J2603:L2603" si="609">SUM(J2597:J2602)</f>
        <v>59</v>
      </c>
      <c r="K2603" s="99">
        <v>0</v>
      </c>
      <c r="L2603" s="99">
        <f t="shared" si="609"/>
        <v>471</v>
      </c>
      <c r="M2603" s="512"/>
    </row>
    <row r="2604" spans="2:13" ht="15.75" hidden="1" x14ac:dyDescent="0.25">
      <c r="B2604" s="541">
        <v>46279</v>
      </c>
      <c r="C2604" s="541" t="s">
        <v>106</v>
      </c>
      <c r="D2604" s="541" t="s">
        <v>189</v>
      </c>
      <c r="F2604" s="833">
        <v>46279</v>
      </c>
      <c r="G2604" s="60" t="s">
        <v>16</v>
      </c>
      <c r="H2604" s="60" t="s">
        <v>15</v>
      </c>
      <c r="I2604" s="62">
        <v>36</v>
      </c>
      <c r="J2604" s="62">
        <v>24</v>
      </c>
      <c r="K2604" s="312">
        <v>0</v>
      </c>
      <c r="L2604" s="497">
        <f t="shared" ref="L2604:L2613" si="610">SUM(I2604:K2604)</f>
        <v>60</v>
      </c>
      <c r="M2604" s="61"/>
    </row>
    <row r="2605" spans="2:13" ht="15.75" hidden="1" x14ac:dyDescent="0.25">
      <c r="B2605" s="541">
        <v>46279</v>
      </c>
      <c r="C2605" s="541" t="s">
        <v>106</v>
      </c>
      <c r="D2605" s="541" t="s">
        <v>189</v>
      </c>
      <c r="F2605" s="834"/>
      <c r="G2605" s="60" t="s">
        <v>14</v>
      </c>
      <c r="H2605" s="60" t="s">
        <v>106</v>
      </c>
      <c r="I2605" s="62">
        <v>26</v>
      </c>
      <c r="J2605" s="62">
        <v>3</v>
      </c>
      <c r="K2605" s="312">
        <v>0</v>
      </c>
      <c r="L2605" s="497">
        <f t="shared" si="610"/>
        <v>29</v>
      </c>
      <c r="M2605" s="61"/>
    </row>
    <row r="2606" spans="2:13" ht="15.75" hidden="1" x14ac:dyDescent="0.25">
      <c r="B2606" s="541">
        <v>46279</v>
      </c>
      <c r="C2606" s="541" t="s">
        <v>106</v>
      </c>
      <c r="D2606" s="541" t="s">
        <v>189</v>
      </c>
      <c r="F2606" s="834"/>
      <c r="G2606" s="60" t="s">
        <v>17</v>
      </c>
      <c r="H2606" s="60" t="s">
        <v>106</v>
      </c>
      <c r="I2606" s="62">
        <v>1</v>
      </c>
      <c r="J2606" s="62">
        <v>0</v>
      </c>
      <c r="K2606" s="312">
        <v>0</v>
      </c>
      <c r="L2606" s="497">
        <f t="shared" si="610"/>
        <v>1</v>
      </c>
      <c r="M2606" s="61"/>
    </row>
    <row r="2607" spans="2:13" ht="15.75" hidden="1" x14ac:dyDescent="0.25">
      <c r="B2607" s="541">
        <v>46279</v>
      </c>
      <c r="C2607" s="541" t="s">
        <v>106</v>
      </c>
      <c r="D2607" s="541" t="s">
        <v>189</v>
      </c>
      <c r="F2607" s="834"/>
      <c r="G2607" s="60" t="s">
        <v>120</v>
      </c>
      <c r="H2607" s="60" t="s">
        <v>106</v>
      </c>
      <c r="I2607" s="62">
        <v>5</v>
      </c>
      <c r="J2607" s="62">
        <v>0</v>
      </c>
      <c r="K2607" s="312">
        <v>0</v>
      </c>
      <c r="L2607" s="497">
        <f t="shared" si="610"/>
        <v>5</v>
      </c>
      <c r="M2607" s="61"/>
    </row>
    <row r="2608" spans="2:13" ht="15.75" hidden="1" x14ac:dyDescent="0.25">
      <c r="B2608" s="541">
        <v>46279</v>
      </c>
      <c r="C2608" s="541" t="s">
        <v>106</v>
      </c>
      <c r="D2608" s="541" t="s">
        <v>189</v>
      </c>
      <c r="F2608" s="834"/>
      <c r="G2608" s="60" t="s">
        <v>25</v>
      </c>
      <c r="H2608" s="60" t="s">
        <v>106</v>
      </c>
      <c r="I2608" s="62">
        <v>29</v>
      </c>
      <c r="J2608" s="62">
        <v>2</v>
      </c>
      <c r="K2608" s="312">
        <v>0</v>
      </c>
      <c r="L2608" s="497">
        <f t="shared" si="610"/>
        <v>31</v>
      </c>
      <c r="M2608" s="61"/>
    </row>
    <row r="2609" spans="2:13" ht="15.75" hidden="1" x14ac:dyDescent="0.25">
      <c r="B2609" s="541">
        <v>46279</v>
      </c>
      <c r="C2609" s="541" t="s">
        <v>106</v>
      </c>
      <c r="D2609" s="541" t="s">
        <v>189</v>
      </c>
      <c r="F2609" s="834"/>
      <c r="G2609" s="60" t="s">
        <v>180</v>
      </c>
      <c r="H2609" s="60" t="s">
        <v>106</v>
      </c>
      <c r="I2609" s="62">
        <v>226</v>
      </c>
      <c r="J2609" s="62">
        <v>24</v>
      </c>
      <c r="K2609" s="312">
        <v>0</v>
      </c>
      <c r="L2609" s="497">
        <f t="shared" si="610"/>
        <v>250</v>
      </c>
      <c r="M2609" s="61"/>
    </row>
    <row r="2610" spans="2:13" ht="15.75" hidden="1" x14ac:dyDescent="0.25">
      <c r="B2610" s="541">
        <v>46279</v>
      </c>
      <c r="C2610" s="541" t="s">
        <v>106</v>
      </c>
      <c r="D2610" s="541" t="s">
        <v>189</v>
      </c>
      <c r="F2610" s="834"/>
      <c r="G2610" s="60" t="s">
        <v>118</v>
      </c>
      <c r="H2610" s="60" t="s">
        <v>105</v>
      </c>
      <c r="I2610" s="62">
        <v>166</v>
      </c>
      <c r="J2610" s="62">
        <v>29</v>
      </c>
      <c r="K2610" s="312">
        <v>0</v>
      </c>
      <c r="L2610" s="497">
        <f t="shared" si="610"/>
        <v>195</v>
      </c>
      <c r="M2610" s="61"/>
    </row>
    <row r="2611" spans="2:13" ht="15.75" hidden="1" x14ac:dyDescent="0.25">
      <c r="B2611" s="541">
        <v>46279</v>
      </c>
      <c r="C2611" s="541" t="s">
        <v>106</v>
      </c>
      <c r="D2611" s="541" t="s">
        <v>189</v>
      </c>
      <c r="F2611" s="835"/>
      <c r="G2611" s="60" t="s">
        <v>32</v>
      </c>
      <c r="H2611" s="60" t="s">
        <v>105</v>
      </c>
      <c r="I2611" s="62">
        <v>12</v>
      </c>
      <c r="J2611" s="62">
        <v>1</v>
      </c>
      <c r="K2611" s="312">
        <v>28</v>
      </c>
      <c r="L2611" s="497">
        <f t="shared" si="610"/>
        <v>41</v>
      </c>
      <c r="M2611" s="61"/>
    </row>
    <row r="2612" spans="2:13" ht="15.75" hidden="1" x14ac:dyDescent="0.25">
      <c r="B2612" s="541">
        <v>46279</v>
      </c>
      <c r="C2612" s="541" t="s">
        <v>106</v>
      </c>
      <c r="D2612" s="541" t="s">
        <v>189</v>
      </c>
      <c r="F2612" s="830">
        <v>46280</v>
      </c>
      <c r="G2612" s="60" t="s">
        <v>16</v>
      </c>
      <c r="H2612" s="60" t="s">
        <v>15</v>
      </c>
      <c r="I2612" s="62">
        <v>21</v>
      </c>
      <c r="J2612" s="62">
        <v>12</v>
      </c>
      <c r="K2612" s="312">
        <v>94</v>
      </c>
      <c r="L2612" s="497">
        <f t="shared" si="610"/>
        <v>127</v>
      </c>
      <c r="M2612" s="61"/>
    </row>
    <row r="2613" spans="2:13" ht="15.75" hidden="1" x14ac:dyDescent="0.25">
      <c r="B2613" s="541">
        <v>46279</v>
      </c>
      <c r="C2613" s="541" t="s">
        <v>106</v>
      </c>
      <c r="D2613" s="541" t="s">
        <v>189</v>
      </c>
      <c r="F2613" s="832"/>
      <c r="G2613" s="60" t="s">
        <v>14</v>
      </c>
      <c r="H2613" s="60" t="s">
        <v>106</v>
      </c>
      <c r="I2613" s="62">
        <v>0</v>
      </c>
      <c r="J2613" s="62">
        <v>0</v>
      </c>
      <c r="K2613" s="312">
        <v>51</v>
      </c>
      <c r="L2613" s="497">
        <f t="shared" si="610"/>
        <v>51</v>
      </c>
      <c r="M2613" s="61"/>
    </row>
    <row r="2614" spans="2:13" ht="15.75" hidden="1" x14ac:dyDescent="0.25">
      <c r="B2614" s="541">
        <v>46279</v>
      </c>
      <c r="C2614" s="541" t="s">
        <v>106</v>
      </c>
      <c r="D2614" s="541" t="s">
        <v>189</v>
      </c>
      <c r="F2614" s="890" t="s">
        <v>40</v>
      </c>
      <c r="G2614" s="890"/>
      <c r="H2614" s="890"/>
      <c r="I2614" s="99">
        <f>SUM(I2604:I2613)</f>
        <v>522</v>
      </c>
      <c r="J2614" s="99">
        <f>SUM(J2604:J2613)</f>
        <v>95</v>
      </c>
      <c r="K2614" s="99">
        <f>SUM(K2604:K2613)</f>
        <v>173</v>
      </c>
      <c r="L2614" s="99">
        <f>SUM(L2604:L2613)</f>
        <v>790</v>
      </c>
      <c r="M2614" s="512"/>
    </row>
    <row r="2615" spans="2:13" ht="15.75" hidden="1" x14ac:dyDescent="0.25">
      <c r="B2615" s="542">
        <v>46279</v>
      </c>
      <c r="C2615" s="542" t="s">
        <v>105</v>
      </c>
      <c r="D2615" s="542" t="s">
        <v>13</v>
      </c>
      <c r="F2615" s="900">
        <v>46279</v>
      </c>
      <c r="G2615" s="60" t="s">
        <v>16</v>
      </c>
      <c r="H2615" s="60" t="s">
        <v>15</v>
      </c>
      <c r="I2615" s="62">
        <v>20</v>
      </c>
      <c r="J2615" s="62">
        <v>6</v>
      </c>
      <c r="K2615" s="312">
        <v>0</v>
      </c>
      <c r="L2615" s="497">
        <f t="shared" ref="L2615:L2633" si="611">SUM(I2615:K2615)</f>
        <v>26</v>
      </c>
      <c r="M2615" s="61"/>
    </row>
    <row r="2616" spans="2:13" ht="15.75" hidden="1" x14ac:dyDescent="0.25">
      <c r="B2616" s="542">
        <v>46279</v>
      </c>
      <c r="C2616" s="542" t="s">
        <v>105</v>
      </c>
      <c r="D2616" s="542" t="s">
        <v>13</v>
      </c>
      <c r="F2616" s="901"/>
      <c r="G2616" s="60" t="s">
        <v>118</v>
      </c>
      <c r="H2616" s="60" t="s">
        <v>105</v>
      </c>
      <c r="I2616" s="62">
        <v>26</v>
      </c>
      <c r="J2616" s="62">
        <v>13</v>
      </c>
      <c r="K2616" s="312">
        <v>0</v>
      </c>
      <c r="L2616" s="497">
        <f t="shared" si="611"/>
        <v>39</v>
      </c>
      <c r="M2616" s="61"/>
    </row>
    <row r="2617" spans="2:13" ht="15.75" hidden="1" x14ac:dyDescent="0.25">
      <c r="B2617" s="542">
        <v>46279</v>
      </c>
      <c r="C2617" s="542" t="s">
        <v>105</v>
      </c>
      <c r="D2617" s="542" t="s">
        <v>13</v>
      </c>
      <c r="F2617" s="929"/>
      <c r="G2617" s="60" t="s">
        <v>32</v>
      </c>
      <c r="H2617" s="60" t="s">
        <v>105</v>
      </c>
      <c r="I2617" s="62">
        <v>52</v>
      </c>
      <c r="J2617" s="62">
        <v>12</v>
      </c>
      <c r="K2617" s="312">
        <v>0</v>
      </c>
      <c r="L2617" s="497">
        <f t="shared" si="611"/>
        <v>64</v>
      </c>
      <c r="M2617" s="61"/>
    </row>
    <row r="2618" spans="2:13" ht="15.75" hidden="1" x14ac:dyDescent="0.25">
      <c r="B2618" s="542">
        <v>46279</v>
      </c>
      <c r="C2618" s="542" t="s">
        <v>105</v>
      </c>
      <c r="D2618" s="542" t="s">
        <v>13</v>
      </c>
      <c r="F2618" s="838">
        <v>46280</v>
      </c>
      <c r="G2618" s="60" t="s">
        <v>16</v>
      </c>
      <c r="H2618" s="60" t="s">
        <v>15</v>
      </c>
      <c r="I2618" s="62">
        <v>113</v>
      </c>
      <c r="J2618" s="62">
        <v>68</v>
      </c>
      <c r="K2618" s="312">
        <v>0</v>
      </c>
      <c r="L2618" s="497">
        <f t="shared" si="611"/>
        <v>181</v>
      </c>
      <c r="M2618" s="61"/>
    </row>
    <row r="2619" spans="2:13" ht="15.75" hidden="1" x14ac:dyDescent="0.25">
      <c r="B2619" s="542">
        <v>46279</v>
      </c>
      <c r="C2619" s="542" t="s">
        <v>105</v>
      </c>
      <c r="D2619" s="542" t="s">
        <v>13</v>
      </c>
      <c r="F2619" s="839"/>
      <c r="G2619" s="60" t="s">
        <v>180</v>
      </c>
      <c r="H2619" s="60" t="s">
        <v>106</v>
      </c>
      <c r="I2619" s="62">
        <v>0</v>
      </c>
      <c r="J2619" s="62">
        <v>0</v>
      </c>
      <c r="K2619" s="312">
        <v>18</v>
      </c>
      <c r="L2619" s="497">
        <f t="shared" si="611"/>
        <v>18</v>
      </c>
      <c r="M2619" s="61"/>
    </row>
    <row r="2620" spans="2:13" ht="15.75" hidden="1" x14ac:dyDescent="0.25">
      <c r="B2620" s="542">
        <v>46279</v>
      </c>
      <c r="C2620" s="542" t="s">
        <v>105</v>
      </c>
      <c r="D2620" s="542" t="s">
        <v>13</v>
      </c>
      <c r="F2620" s="839"/>
      <c r="G2620" s="60" t="s">
        <v>17</v>
      </c>
      <c r="H2620" s="60" t="s">
        <v>105</v>
      </c>
      <c r="I2620" s="62">
        <v>0</v>
      </c>
      <c r="J2620" s="62">
        <v>0</v>
      </c>
      <c r="K2620" s="312">
        <v>80</v>
      </c>
      <c r="L2620" s="497">
        <f t="shared" si="611"/>
        <v>80</v>
      </c>
      <c r="M2620" s="61"/>
    </row>
    <row r="2621" spans="2:13" ht="15.75" hidden="1" x14ac:dyDescent="0.25">
      <c r="B2621" s="542">
        <v>46279</v>
      </c>
      <c r="C2621" s="542" t="s">
        <v>105</v>
      </c>
      <c r="D2621" s="542" t="s">
        <v>13</v>
      </c>
      <c r="F2621" s="839"/>
      <c r="G2621" s="60" t="s">
        <v>84</v>
      </c>
      <c r="H2621" s="60" t="s">
        <v>105</v>
      </c>
      <c r="I2621" s="62">
        <v>33</v>
      </c>
      <c r="J2621" s="62">
        <v>10</v>
      </c>
      <c r="K2621" s="312">
        <v>0</v>
      </c>
      <c r="L2621" s="497">
        <f t="shared" si="611"/>
        <v>43</v>
      </c>
      <c r="M2621" s="61"/>
    </row>
    <row r="2622" spans="2:13" ht="15.75" hidden="1" x14ac:dyDescent="0.25">
      <c r="B2622" s="542">
        <v>46279</v>
      </c>
      <c r="C2622" s="542" t="s">
        <v>105</v>
      </c>
      <c r="D2622" s="542" t="s">
        <v>13</v>
      </c>
      <c r="F2622" s="848"/>
      <c r="G2622" s="60" t="s">
        <v>14</v>
      </c>
      <c r="H2622" s="60" t="s">
        <v>106</v>
      </c>
      <c r="I2622" s="62">
        <v>126</v>
      </c>
      <c r="J2622" s="62">
        <v>61</v>
      </c>
      <c r="K2622" s="312">
        <v>0</v>
      </c>
      <c r="L2622" s="497">
        <f t="shared" si="611"/>
        <v>187</v>
      </c>
      <c r="M2622" s="61"/>
    </row>
    <row r="2623" spans="2:13" ht="15.75" hidden="1" x14ac:dyDescent="0.25">
      <c r="B2623" s="542">
        <v>46279</v>
      </c>
      <c r="C2623" s="542" t="s">
        <v>105</v>
      </c>
      <c r="D2623" s="542" t="s">
        <v>13</v>
      </c>
      <c r="F2623" s="890" t="s">
        <v>40</v>
      </c>
      <c r="G2623" s="890"/>
      <c r="H2623" s="890"/>
      <c r="I2623" s="99">
        <f>SUM(I2615:I2622)</f>
        <v>370</v>
      </c>
      <c r="J2623" s="99">
        <f>SUM(J2615:J2622)</f>
        <v>170</v>
      </c>
      <c r="K2623" s="99">
        <f>SUM(K2615:K2622)</f>
        <v>98</v>
      </c>
      <c r="L2623" s="99">
        <f t="shared" si="611"/>
        <v>638</v>
      </c>
      <c r="M2623" s="512"/>
    </row>
    <row r="2624" spans="2:13" ht="15.75" hidden="1" x14ac:dyDescent="0.25">
      <c r="B2624" s="543">
        <v>46280</v>
      </c>
      <c r="C2624" s="543" t="s">
        <v>106</v>
      </c>
      <c r="D2624" s="543" t="s">
        <v>189</v>
      </c>
      <c r="F2624" s="833">
        <v>46279</v>
      </c>
      <c r="G2624" s="60" t="s">
        <v>16</v>
      </c>
      <c r="H2624" s="60" t="s">
        <v>15</v>
      </c>
      <c r="I2624" s="62">
        <v>24</v>
      </c>
      <c r="J2624" s="62">
        <v>21</v>
      </c>
      <c r="K2624" s="312">
        <v>0</v>
      </c>
      <c r="L2624" s="497">
        <f t="shared" si="611"/>
        <v>45</v>
      </c>
      <c r="M2624" s="61"/>
    </row>
    <row r="2625" spans="2:13" ht="15.75" hidden="1" x14ac:dyDescent="0.25">
      <c r="B2625" s="543">
        <v>46280</v>
      </c>
      <c r="C2625" s="543" t="s">
        <v>106</v>
      </c>
      <c r="D2625" s="543" t="s">
        <v>189</v>
      </c>
      <c r="F2625" s="834"/>
      <c r="G2625" s="60" t="s">
        <v>14</v>
      </c>
      <c r="H2625" s="60" t="s">
        <v>106</v>
      </c>
      <c r="I2625" s="62">
        <v>52</v>
      </c>
      <c r="J2625" s="62">
        <v>6</v>
      </c>
      <c r="K2625" s="312">
        <v>0</v>
      </c>
      <c r="L2625" s="497">
        <f t="shared" si="611"/>
        <v>58</v>
      </c>
      <c r="M2625" s="61"/>
    </row>
    <row r="2626" spans="2:13" ht="15.75" hidden="1" x14ac:dyDescent="0.25">
      <c r="B2626" s="543">
        <v>46280</v>
      </c>
      <c r="C2626" s="543" t="s">
        <v>106</v>
      </c>
      <c r="D2626" s="543" t="s">
        <v>189</v>
      </c>
      <c r="F2626" s="834"/>
      <c r="G2626" s="60" t="s">
        <v>120</v>
      </c>
      <c r="H2626" s="60" t="s">
        <v>106</v>
      </c>
      <c r="I2626" s="62">
        <v>55</v>
      </c>
      <c r="J2626" s="62">
        <v>0</v>
      </c>
      <c r="K2626" s="312">
        <v>0</v>
      </c>
      <c r="L2626" s="497">
        <f t="shared" si="611"/>
        <v>55</v>
      </c>
      <c r="M2626" s="61"/>
    </row>
    <row r="2627" spans="2:13" ht="15.75" hidden="1" x14ac:dyDescent="0.25">
      <c r="B2627" s="543">
        <v>46280</v>
      </c>
      <c r="C2627" s="543" t="s">
        <v>106</v>
      </c>
      <c r="D2627" s="543" t="s">
        <v>189</v>
      </c>
      <c r="F2627" s="834"/>
      <c r="G2627" s="60" t="s">
        <v>180</v>
      </c>
      <c r="H2627" s="60" t="s">
        <v>106</v>
      </c>
      <c r="I2627" s="62">
        <v>18</v>
      </c>
      <c r="J2627" s="62">
        <v>0</v>
      </c>
      <c r="K2627" s="312">
        <v>0</v>
      </c>
      <c r="L2627" s="497">
        <f t="shared" si="611"/>
        <v>18</v>
      </c>
      <c r="M2627" s="61"/>
    </row>
    <row r="2628" spans="2:13" ht="15.75" hidden="1" x14ac:dyDescent="0.25">
      <c r="B2628" s="543">
        <v>46280</v>
      </c>
      <c r="C2628" s="543" t="s">
        <v>106</v>
      </c>
      <c r="D2628" s="543" t="s">
        <v>189</v>
      </c>
      <c r="F2628" s="834"/>
      <c r="G2628" s="60" t="s">
        <v>25</v>
      </c>
      <c r="H2628" s="60" t="s">
        <v>106</v>
      </c>
      <c r="I2628" s="62">
        <v>4</v>
      </c>
      <c r="J2628" s="62">
        <v>3</v>
      </c>
      <c r="K2628" s="312">
        <v>0</v>
      </c>
      <c r="L2628" s="497">
        <f t="shared" si="611"/>
        <v>7</v>
      </c>
      <c r="M2628" s="61"/>
    </row>
    <row r="2629" spans="2:13" ht="15.75" hidden="1" x14ac:dyDescent="0.25">
      <c r="B2629" s="543">
        <v>46280</v>
      </c>
      <c r="C2629" s="543" t="s">
        <v>106</v>
      </c>
      <c r="D2629" s="543" t="s">
        <v>189</v>
      </c>
      <c r="F2629" s="834"/>
      <c r="G2629" s="60" t="s">
        <v>194</v>
      </c>
      <c r="H2629" s="60" t="s">
        <v>105</v>
      </c>
      <c r="I2629" s="62">
        <v>49</v>
      </c>
      <c r="J2629" s="62">
        <v>0</v>
      </c>
      <c r="K2629" s="312">
        <v>0</v>
      </c>
      <c r="L2629" s="497">
        <f t="shared" si="611"/>
        <v>49</v>
      </c>
      <c r="M2629" s="61"/>
    </row>
    <row r="2630" spans="2:13" ht="15.75" hidden="1" x14ac:dyDescent="0.25">
      <c r="B2630" s="543">
        <v>46280</v>
      </c>
      <c r="C2630" s="543" t="s">
        <v>106</v>
      </c>
      <c r="D2630" s="543" t="s">
        <v>189</v>
      </c>
      <c r="F2630" s="834"/>
      <c r="G2630" s="60" t="s">
        <v>17</v>
      </c>
      <c r="H2630" s="60" t="s">
        <v>105</v>
      </c>
      <c r="I2630" s="62">
        <v>98</v>
      </c>
      <c r="J2630" s="62">
        <v>34</v>
      </c>
      <c r="K2630" s="312">
        <v>0</v>
      </c>
      <c r="L2630" s="497">
        <f t="shared" si="611"/>
        <v>132</v>
      </c>
      <c r="M2630" s="61"/>
    </row>
    <row r="2631" spans="2:13" ht="15.75" hidden="1" x14ac:dyDescent="0.25">
      <c r="B2631" s="543">
        <v>46280</v>
      </c>
      <c r="C2631" s="543" t="s">
        <v>106</v>
      </c>
      <c r="D2631" s="543" t="s">
        <v>189</v>
      </c>
      <c r="F2631" s="835"/>
      <c r="G2631" s="60" t="s">
        <v>84</v>
      </c>
      <c r="H2631" s="60" t="s">
        <v>105</v>
      </c>
      <c r="I2631" s="62">
        <v>38</v>
      </c>
      <c r="J2631" s="62">
        <v>6</v>
      </c>
      <c r="K2631" s="312">
        <v>0</v>
      </c>
      <c r="L2631" s="497">
        <f t="shared" si="611"/>
        <v>44</v>
      </c>
      <c r="M2631" s="61"/>
    </row>
    <row r="2632" spans="2:13" ht="15.75" hidden="1" x14ac:dyDescent="0.25">
      <c r="B2632" s="543">
        <v>46280</v>
      </c>
      <c r="C2632" s="543" t="s">
        <v>106</v>
      </c>
      <c r="D2632" s="543" t="s">
        <v>189</v>
      </c>
      <c r="F2632" s="830">
        <v>46280</v>
      </c>
      <c r="G2632" s="60" t="s">
        <v>16</v>
      </c>
      <c r="H2632" s="60" t="s">
        <v>15</v>
      </c>
      <c r="I2632" s="62">
        <v>39</v>
      </c>
      <c r="J2632" s="62">
        <v>23</v>
      </c>
      <c r="K2632" s="312">
        <v>31</v>
      </c>
      <c r="L2632" s="497">
        <f t="shared" si="611"/>
        <v>93</v>
      </c>
      <c r="M2632" s="61"/>
    </row>
    <row r="2633" spans="2:13" ht="15.75" hidden="1" x14ac:dyDescent="0.25">
      <c r="B2633" s="543">
        <v>46280</v>
      </c>
      <c r="C2633" s="543" t="s">
        <v>106</v>
      </c>
      <c r="D2633" s="543" t="s">
        <v>189</v>
      </c>
      <c r="F2633" s="832"/>
      <c r="G2633" s="60" t="s">
        <v>14</v>
      </c>
      <c r="H2633" s="60" t="s">
        <v>106</v>
      </c>
      <c r="I2633" s="62">
        <v>0</v>
      </c>
      <c r="J2633" s="62">
        <v>0</v>
      </c>
      <c r="K2633" s="312">
        <v>13</v>
      </c>
      <c r="L2633" s="497">
        <f t="shared" si="611"/>
        <v>13</v>
      </c>
      <c r="M2633" s="61"/>
    </row>
    <row r="2634" spans="2:13" ht="15.75" hidden="1" x14ac:dyDescent="0.25">
      <c r="B2634" s="543">
        <v>46280</v>
      </c>
      <c r="C2634" s="543" t="s">
        <v>106</v>
      </c>
      <c r="D2634" s="543" t="s">
        <v>189</v>
      </c>
      <c r="F2634" s="890" t="s">
        <v>40</v>
      </c>
      <c r="G2634" s="890"/>
      <c r="H2634" s="890"/>
      <c r="I2634" s="99">
        <f>SUM(I2624:I2633)</f>
        <v>377</v>
      </c>
      <c r="J2634" s="99">
        <f>SUM(J2624:J2633)</f>
        <v>93</v>
      </c>
      <c r="K2634" s="99">
        <f>SUM(K2624:K2633)</f>
        <v>44</v>
      </c>
      <c r="L2634" s="99">
        <f>SUM(L2624:L2633)</f>
        <v>514</v>
      </c>
      <c r="M2634" s="512"/>
    </row>
    <row r="2635" spans="2:13" ht="15.75" hidden="1" x14ac:dyDescent="0.25">
      <c r="B2635" s="544">
        <v>46280</v>
      </c>
      <c r="C2635" s="544" t="s">
        <v>105</v>
      </c>
      <c r="D2635" s="544" t="s">
        <v>13</v>
      </c>
      <c r="F2635" s="833">
        <v>46279</v>
      </c>
      <c r="G2635" s="60" t="s">
        <v>16</v>
      </c>
      <c r="H2635" s="60" t="s">
        <v>15</v>
      </c>
      <c r="I2635" s="62">
        <v>11</v>
      </c>
      <c r="J2635" s="62">
        <v>0</v>
      </c>
      <c r="K2635" s="312">
        <v>0</v>
      </c>
      <c r="L2635" s="497">
        <f t="shared" ref="L2635:L2652" si="612">SUM(I2635:K2635)</f>
        <v>11</v>
      </c>
      <c r="M2635" s="61"/>
    </row>
    <row r="2636" spans="2:13" ht="15.75" hidden="1" x14ac:dyDescent="0.25">
      <c r="B2636" s="545">
        <v>46280</v>
      </c>
      <c r="C2636" s="545" t="s">
        <v>105</v>
      </c>
      <c r="D2636" s="545" t="s">
        <v>13</v>
      </c>
      <c r="F2636" s="834"/>
      <c r="G2636" s="60" t="s">
        <v>118</v>
      </c>
      <c r="H2636" s="60" t="s">
        <v>105</v>
      </c>
      <c r="I2636" s="62">
        <v>2</v>
      </c>
      <c r="J2636" s="62">
        <v>0</v>
      </c>
      <c r="K2636" s="312">
        <v>0</v>
      </c>
      <c r="L2636" s="497">
        <f t="shared" si="612"/>
        <v>2</v>
      </c>
      <c r="M2636" s="61"/>
    </row>
    <row r="2637" spans="2:13" ht="15.75" hidden="1" x14ac:dyDescent="0.25">
      <c r="B2637" s="545">
        <v>46280</v>
      </c>
      <c r="C2637" s="545" t="s">
        <v>105</v>
      </c>
      <c r="D2637" s="545" t="s">
        <v>13</v>
      </c>
      <c r="F2637" s="834"/>
      <c r="G2637" s="60" t="s">
        <v>25</v>
      </c>
      <c r="H2637" s="60" t="s">
        <v>105</v>
      </c>
      <c r="I2637" s="62">
        <v>2</v>
      </c>
      <c r="J2637" s="62">
        <v>2</v>
      </c>
      <c r="K2637" s="312">
        <v>0</v>
      </c>
      <c r="L2637" s="497">
        <f t="shared" si="612"/>
        <v>4</v>
      </c>
      <c r="M2637" s="61"/>
    </row>
    <row r="2638" spans="2:13" ht="15.75" hidden="1" x14ac:dyDescent="0.25">
      <c r="B2638" s="544">
        <v>46280</v>
      </c>
      <c r="C2638" s="544" t="s">
        <v>105</v>
      </c>
      <c r="D2638" s="544" t="s">
        <v>13</v>
      </c>
      <c r="F2638" s="834"/>
      <c r="G2638" s="60" t="s">
        <v>17</v>
      </c>
      <c r="H2638" s="60" t="s">
        <v>105</v>
      </c>
      <c r="I2638" s="62">
        <v>49</v>
      </c>
      <c r="J2638" s="62">
        <v>14</v>
      </c>
      <c r="K2638" s="312">
        <v>0</v>
      </c>
      <c r="L2638" s="497">
        <f t="shared" si="612"/>
        <v>63</v>
      </c>
      <c r="M2638" s="61"/>
    </row>
    <row r="2639" spans="2:13" ht="15.75" hidden="1" x14ac:dyDescent="0.25">
      <c r="B2639" s="544">
        <v>46280</v>
      </c>
      <c r="C2639" s="544" t="s">
        <v>105</v>
      </c>
      <c r="D2639" s="544" t="s">
        <v>13</v>
      </c>
      <c r="F2639" s="835"/>
      <c r="G2639" s="60" t="s">
        <v>32</v>
      </c>
      <c r="H2639" s="60" t="s">
        <v>105</v>
      </c>
      <c r="I2639" s="62">
        <v>17</v>
      </c>
      <c r="J2639" s="62">
        <v>1</v>
      </c>
      <c r="K2639" s="312">
        <v>0</v>
      </c>
      <c r="L2639" s="497">
        <f t="shared" si="612"/>
        <v>18</v>
      </c>
      <c r="M2639" s="61"/>
    </row>
    <row r="2640" spans="2:13" ht="15.75" hidden="1" x14ac:dyDescent="0.25">
      <c r="B2640" s="544">
        <v>46280</v>
      </c>
      <c r="C2640" s="544" t="s">
        <v>105</v>
      </c>
      <c r="D2640" s="544" t="s">
        <v>13</v>
      </c>
      <c r="F2640" s="830">
        <v>46280</v>
      </c>
      <c r="G2640" s="60" t="s">
        <v>16</v>
      </c>
      <c r="H2640" s="60" t="s">
        <v>15</v>
      </c>
      <c r="I2640" s="62">
        <v>43</v>
      </c>
      <c r="J2640" s="62">
        <v>17</v>
      </c>
      <c r="K2640" s="312">
        <v>17</v>
      </c>
      <c r="L2640" s="497">
        <f t="shared" si="612"/>
        <v>77</v>
      </c>
      <c r="M2640" s="61"/>
    </row>
    <row r="2641" spans="2:13" ht="15.75" hidden="1" x14ac:dyDescent="0.25">
      <c r="B2641" s="544">
        <v>46280</v>
      </c>
      <c r="C2641" s="544" t="s">
        <v>105</v>
      </c>
      <c r="D2641" s="544" t="s">
        <v>13</v>
      </c>
      <c r="F2641" s="831"/>
      <c r="G2641" s="60" t="s">
        <v>84</v>
      </c>
      <c r="H2641" s="60" t="s">
        <v>105</v>
      </c>
      <c r="I2641" s="62">
        <v>96</v>
      </c>
      <c r="J2641" s="62">
        <v>26</v>
      </c>
      <c r="K2641" s="312">
        <v>33</v>
      </c>
      <c r="L2641" s="497">
        <f t="shared" si="612"/>
        <v>155</v>
      </c>
      <c r="M2641" s="61"/>
    </row>
    <row r="2642" spans="2:13" ht="15.75" hidden="1" x14ac:dyDescent="0.25">
      <c r="B2642" s="544">
        <v>46280</v>
      </c>
      <c r="C2642" s="544" t="s">
        <v>105</v>
      </c>
      <c r="D2642" s="544" t="s">
        <v>13</v>
      </c>
      <c r="F2642" s="832"/>
      <c r="G2642" s="60" t="s">
        <v>14</v>
      </c>
      <c r="H2642" s="60" t="s">
        <v>106</v>
      </c>
      <c r="I2642" s="62">
        <v>150</v>
      </c>
      <c r="J2642" s="62">
        <v>43</v>
      </c>
      <c r="K2642" s="312">
        <v>0</v>
      </c>
      <c r="L2642" s="497">
        <f t="shared" si="612"/>
        <v>193</v>
      </c>
      <c r="M2642" s="61"/>
    </row>
    <row r="2643" spans="2:13" ht="15.75" hidden="1" x14ac:dyDescent="0.25">
      <c r="B2643" s="544">
        <v>46280</v>
      </c>
      <c r="C2643" s="544" t="s">
        <v>105</v>
      </c>
      <c r="D2643" s="544" t="s">
        <v>13</v>
      </c>
      <c r="F2643" s="890" t="s">
        <v>40</v>
      </c>
      <c r="G2643" s="890"/>
      <c r="H2643" s="890"/>
      <c r="I2643" s="99">
        <f>SUM(I2635:I2642)</f>
        <v>370</v>
      </c>
      <c r="J2643" s="99">
        <f>SUM(J2635:J2642)</f>
        <v>103</v>
      </c>
      <c r="K2643" s="99">
        <f>SUM(K2635:K2642)</f>
        <v>50</v>
      </c>
      <c r="L2643" s="99">
        <f t="shared" si="612"/>
        <v>523</v>
      </c>
      <c r="M2643" s="512"/>
    </row>
    <row r="2644" spans="2:13" ht="15.75" hidden="1" x14ac:dyDescent="0.25">
      <c r="B2644" s="546">
        <v>46281</v>
      </c>
      <c r="C2644" s="546" t="s">
        <v>106</v>
      </c>
      <c r="D2644" s="546" t="s">
        <v>189</v>
      </c>
      <c r="F2644" s="833">
        <v>46281</v>
      </c>
      <c r="G2644" s="60" t="s">
        <v>16</v>
      </c>
      <c r="H2644" s="60" t="s">
        <v>15</v>
      </c>
      <c r="I2644" s="62">
        <v>36</v>
      </c>
      <c r="J2644" s="62">
        <v>21</v>
      </c>
      <c r="K2644" s="312">
        <v>0</v>
      </c>
      <c r="L2644" s="497">
        <f t="shared" si="612"/>
        <v>57</v>
      </c>
      <c r="M2644" s="61"/>
    </row>
    <row r="2645" spans="2:13" ht="15.75" hidden="1" x14ac:dyDescent="0.25">
      <c r="B2645" s="546">
        <v>46281</v>
      </c>
      <c r="C2645" s="546" t="s">
        <v>106</v>
      </c>
      <c r="D2645" s="546" t="s">
        <v>189</v>
      </c>
      <c r="F2645" s="834"/>
      <c r="G2645" s="60" t="s">
        <v>14</v>
      </c>
      <c r="H2645" s="60" t="s">
        <v>106</v>
      </c>
      <c r="I2645" s="62">
        <v>35</v>
      </c>
      <c r="J2645" s="62">
        <v>13</v>
      </c>
      <c r="K2645" s="312">
        <v>0</v>
      </c>
      <c r="L2645" s="497">
        <f t="shared" si="612"/>
        <v>48</v>
      </c>
      <c r="M2645" s="61"/>
    </row>
    <row r="2646" spans="2:13" ht="15.75" hidden="1" x14ac:dyDescent="0.25">
      <c r="B2646" s="546">
        <v>46281</v>
      </c>
      <c r="C2646" s="546" t="s">
        <v>106</v>
      </c>
      <c r="D2646" s="546" t="s">
        <v>189</v>
      </c>
      <c r="F2646" s="834"/>
      <c r="G2646" s="60" t="s">
        <v>120</v>
      </c>
      <c r="H2646" s="60" t="s">
        <v>106</v>
      </c>
      <c r="I2646" s="62">
        <v>8</v>
      </c>
      <c r="J2646" s="62">
        <v>0</v>
      </c>
      <c r="K2646" s="312">
        <v>0</v>
      </c>
      <c r="L2646" s="497">
        <f t="shared" si="612"/>
        <v>8</v>
      </c>
      <c r="M2646" s="61"/>
    </row>
    <row r="2647" spans="2:13" ht="15.75" hidden="1" x14ac:dyDescent="0.25">
      <c r="B2647" s="546">
        <v>46281</v>
      </c>
      <c r="C2647" s="546" t="s">
        <v>106</v>
      </c>
      <c r="D2647" s="546" t="s">
        <v>189</v>
      </c>
      <c r="F2647" s="834"/>
      <c r="G2647" s="60" t="s">
        <v>180</v>
      </c>
      <c r="H2647" s="60" t="s">
        <v>106</v>
      </c>
      <c r="I2647" s="62">
        <v>22</v>
      </c>
      <c r="J2647" s="62">
        <v>1</v>
      </c>
      <c r="K2647" s="312">
        <v>0</v>
      </c>
      <c r="L2647" s="497">
        <f t="shared" si="612"/>
        <v>23</v>
      </c>
      <c r="M2647" s="61"/>
    </row>
    <row r="2648" spans="2:13" ht="15.75" hidden="1" x14ac:dyDescent="0.25">
      <c r="B2648" s="546">
        <v>46281</v>
      </c>
      <c r="C2648" s="546" t="s">
        <v>106</v>
      </c>
      <c r="D2648" s="546" t="s">
        <v>189</v>
      </c>
      <c r="F2648" s="834"/>
      <c r="G2648" s="60" t="s">
        <v>118</v>
      </c>
      <c r="H2648" s="60" t="s">
        <v>106</v>
      </c>
      <c r="I2648" s="62">
        <v>1</v>
      </c>
      <c r="J2648" s="62">
        <v>0</v>
      </c>
      <c r="K2648" s="312">
        <v>0</v>
      </c>
      <c r="L2648" s="497">
        <f t="shared" si="612"/>
        <v>1</v>
      </c>
      <c r="M2648" s="61"/>
    </row>
    <row r="2649" spans="2:13" ht="15.75" hidden="1" x14ac:dyDescent="0.25">
      <c r="B2649" s="546">
        <v>46281</v>
      </c>
      <c r="C2649" s="546" t="s">
        <v>106</v>
      </c>
      <c r="D2649" s="546" t="s">
        <v>189</v>
      </c>
      <c r="F2649" s="834"/>
      <c r="G2649" s="60" t="s">
        <v>25</v>
      </c>
      <c r="H2649" s="60" t="s">
        <v>105</v>
      </c>
      <c r="I2649" s="62">
        <v>97</v>
      </c>
      <c r="J2649" s="62">
        <v>42</v>
      </c>
      <c r="K2649" s="312">
        <v>0</v>
      </c>
      <c r="L2649" s="497">
        <f t="shared" si="612"/>
        <v>139</v>
      </c>
      <c r="M2649" s="61"/>
    </row>
    <row r="2650" spans="2:13" ht="15.75" hidden="1" x14ac:dyDescent="0.25">
      <c r="B2650" s="546">
        <v>46281</v>
      </c>
      <c r="C2650" s="546" t="s">
        <v>106</v>
      </c>
      <c r="D2650" s="546" t="s">
        <v>189</v>
      </c>
      <c r="F2650" s="834"/>
      <c r="G2650" s="60" t="s">
        <v>84</v>
      </c>
      <c r="H2650" s="60" t="s">
        <v>105</v>
      </c>
      <c r="I2650" s="62">
        <v>41</v>
      </c>
      <c r="J2650" s="62">
        <v>9</v>
      </c>
      <c r="K2650" s="312">
        <v>0</v>
      </c>
      <c r="L2650" s="497">
        <f t="shared" si="612"/>
        <v>50</v>
      </c>
      <c r="M2650" s="61"/>
    </row>
    <row r="2651" spans="2:13" ht="15.75" hidden="1" x14ac:dyDescent="0.25">
      <c r="B2651" s="546">
        <v>46281</v>
      </c>
      <c r="C2651" s="546" t="s">
        <v>106</v>
      </c>
      <c r="D2651" s="546" t="s">
        <v>189</v>
      </c>
      <c r="F2651" s="830">
        <v>46282</v>
      </c>
      <c r="G2651" s="60" t="s">
        <v>16</v>
      </c>
      <c r="H2651" s="60" t="s">
        <v>15</v>
      </c>
      <c r="I2651" s="62">
        <v>27</v>
      </c>
      <c r="J2651" s="62">
        <v>21</v>
      </c>
      <c r="K2651" s="312">
        <v>54</v>
      </c>
      <c r="L2651" s="497">
        <f t="shared" si="612"/>
        <v>102</v>
      </c>
      <c r="M2651" s="61"/>
    </row>
    <row r="2652" spans="2:13" ht="15.75" hidden="1" x14ac:dyDescent="0.25">
      <c r="B2652" s="546">
        <v>46281</v>
      </c>
      <c r="C2652" s="546" t="s">
        <v>106</v>
      </c>
      <c r="D2652" s="546" t="s">
        <v>189</v>
      </c>
      <c r="F2652" s="832"/>
      <c r="G2652" s="60" t="s">
        <v>17</v>
      </c>
      <c r="H2652" s="60" t="s">
        <v>105</v>
      </c>
      <c r="I2652" s="62">
        <v>0</v>
      </c>
      <c r="J2652" s="62">
        <v>0</v>
      </c>
      <c r="K2652" s="312">
        <v>15</v>
      </c>
      <c r="L2652" s="497">
        <f t="shared" si="612"/>
        <v>15</v>
      </c>
      <c r="M2652" s="61"/>
    </row>
    <row r="2653" spans="2:13" ht="15.75" hidden="1" x14ac:dyDescent="0.25">
      <c r="B2653" s="546">
        <v>46281</v>
      </c>
      <c r="C2653" s="546" t="s">
        <v>106</v>
      </c>
      <c r="D2653" s="546" t="s">
        <v>189</v>
      </c>
      <c r="F2653" s="890" t="s">
        <v>40</v>
      </c>
      <c r="G2653" s="890"/>
      <c r="H2653" s="890"/>
      <c r="I2653" s="99">
        <f>SUM(I2644:I2652)</f>
        <v>267</v>
      </c>
      <c r="J2653" s="99">
        <f>SUM(J2644:J2652)</f>
        <v>107</v>
      </c>
      <c r="K2653" s="99">
        <f>SUM(K2644:K2652)</f>
        <v>69</v>
      </c>
      <c r="L2653" s="99">
        <f>SUM(L2644:L2652)</f>
        <v>443</v>
      </c>
      <c r="M2653" s="512"/>
    </row>
    <row r="2654" spans="2:13" ht="15.75" hidden="1" x14ac:dyDescent="0.25">
      <c r="B2654" s="547">
        <v>46281</v>
      </c>
      <c r="C2654" s="547" t="s">
        <v>105</v>
      </c>
      <c r="D2654" s="547" t="s">
        <v>13</v>
      </c>
      <c r="F2654" s="833">
        <v>46281</v>
      </c>
      <c r="G2654" s="60" t="s">
        <v>16</v>
      </c>
      <c r="H2654" s="60" t="s">
        <v>15</v>
      </c>
      <c r="I2654" s="62">
        <v>15</v>
      </c>
      <c r="J2654" s="62">
        <v>1</v>
      </c>
      <c r="K2654" s="312">
        <v>0</v>
      </c>
      <c r="L2654" s="497">
        <f t="shared" ref="L2654:L2662" si="613">SUM(I2654:K2654)</f>
        <v>16</v>
      </c>
      <c r="M2654" s="61"/>
    </row>
    <row r="2655" spans="2:13" ht="15.75" hidden="1" x14ac:dyDescent="0.25">
      <c r="B2655" s="547">
        <v>46281</v>
      </c>
      <c r="C2655" s="547" t="s">
        <v>105</v>
      </c>
      <c r="D2655" s="547" t="s">
        <v>13</v>
      </c>
      <c r="F2655" s="834"/>
      <c r="G2655" s="60" t="s">
        <v>25</v>
      </c>
      <c r="H2655" s="60" t="s">
        <v>105</v>
      </c>
      <c r="I2655" s="62">
        <v>48</v>
      </c>
      <c r="J2655" s="62">
        <v>23</v>
      </c>
      <c r="K2655" s="312">
        <v>0</v>
      </c>
      <c r="L2655" s="497">
        <f t="shared" si="613"/>
        <v>71</v>
      </c>
      <c r="M2655" s="61"/>
    </row>
    <row r="2656" spans="2:13" ht="15.75" hidden="1" x14ac:dyDescent="0.25">
      <c r="B2656" s="547">
        <v>46281</v>
      </c>
      <c r="C2656" s="547" t="s">
        <v>105</v>
      </c>
      <c r="D2656" s="547" t="s">
        <v>13</v>
      </c>
      <c r="F2656" s="834"/>
      <c r="G2656" s="60" t="s">
        <v>118</v>
      </c>
      <c r="H2656" s="60" t="s">
        <v>105</v>
      </c>
      <c r="I2656" s="62">
        <v>0</v>
      </c>
      <c r="J2656" s="62">
        <v>2</v>
      </c>
      <c r="K2656" s="312">
        <v>0</v>
      </c>
      <c r="L2656" s="497">
        <f t="shared" si="613"/>
        <v>2</v>
      </c>
      <c r="M2656" s="61"/>
    </row>
    <row r="2657" spans="2:13" ht="15.75" hidden="1" x14ac:dyDescent="0.25">
      <c r="B2657" s="547">
        <v>46281</v>
      </c>
      <c r="C2657" s="547" t="s">
        <v>105</v>
      </c>
      <c r="D2657" s="547" t="s">
        <v>13</v>
      </c>
      <c r="F2657" s="834"/>
      <c r="G2657" s="60" t="s">
        <v>84</v>
      </c>
      <c r="H2657" s="60" t="s">
        <v>105</v>
      </c>
      <c r="I2657" s="62">
        <v>24</v>
      </c>
      <c r="J2657" s="62">
        <v>10</v>
      </c>
      <c r="K2657" s="312">
        <v>0</v>
      </c>
      <c r="L2657" s="497">
        <f t="shared" si="613"/>
        <v>34</v>
      </c>
      <c r="M2657" s="61"/>
    </row>
    <row r="2658" spans="2:13" ht="15.75" hidden="1" x14ac:dyDescent="0.25">
      <c r="B2658" s="547">
        <v>46281</v>
      </c>
      <c r="C2658" s="547" t="s">
        <v>105</v>
      </c>
      <c r="D2658" s="547" t="s">
        <v>13</v>
      </c>
      <c r="F2658" s="830">
        <v>46282</v>
      </c>
      <c r="G2658" s="60" t="s">
        <v>16</v>
      </c>
      <c r="H2658" s="60" t="s">
        <v>15</v>
      </c>
      <c r="I2658" s="62">
        <v>55</v>
      </c>
      <c r="J2658" s="62">
        <v>29</v>
      </c>
      <c r="K2658" s="312">
        <v>40</v>
      </c>
      <c r="L2658" s="497">
        <f t="shared" si="613"/>
        <v>124</v>
      </c>
      <c r="M2658" s="61"/>
    </row>
    <row r="2659" spans="2:13" ht="15.75" hidden="1" x14ac:dyDescent="0.25">
      <c r="B2659" s="547">
        <v>46281</v>
      </c>
      <c r="C2659" s="547" t="s">
        <v>105</v>
      </c>
      <c r="D2659" s="547" t="s">
        <v>13</v>
      </c>
      <c r="F2659" s="831"/>
      <c r="G2659" s="60" t="s">
        <v>25</v>
      </c>
      <c r="H2659" s="60" t="s">
        <v>106</v>
      </c>
      <c r="I2659" s="62">
        <v>162</v>
      </c>
      <c r="J2659" s="62">
        <v>29</v>
      </c>
      <c r="K2659" s="312">
        <v>0</v>
      </c>
      <c r="L2659" s="497">
        <f t="shared" si="613"/>
        <v>191</v>
      </c>
      <c r="M2659" s="61"/>
    </row>
    <row r="2660" spans="2:13" ht="15.75" hidden="1" x14ac:dyDescent="0.25">
      <c r="B2660" s="547">
        <v>46281</v>
      </c>
      <c r="C2660" s="547" t="s">
        <v>105</v>
      </c>
      <c r="D2660" s="547" t="s">
        <v>13</v>
      </c>
      <c r="F2660" s="831"/>
      <c r="G2660" s="60" t="s">
        <v>120</v>
      </c>
      <c r="H2660" s="60" t="s">
        <v>106</v>
      </c>
      <c r="I2660" s="62">
        <v>0</v>
      </c>
      <c r="J2660" s="62">
        <v>0</v>
      </c>
      <c r="K2660" s="312">
        <v>18</v>
      </c>
      <c r="L2660" s="497">
        <f t="shared" si="613"/>
        <v>18</v>
      </c>
      <c r="M2660" s="61"/>
    </row>
    <row r="2661" spans="2:13" ht="15.75" hidden="1" x14ac:dyDescent="0.25">
      <c r="B2661" s="547">
        <v>46281</v>
      </c>
      <c r="C2661" s="547" t="s">
        <v>105</v>
      </c>
      <c r="D2661" s="547" t="s">
        <v>13</v>
      </c>
      <c r="F2661" s="831"/>
      <c r="G2661" s="60" t="s">
        <v>210</v>
      </c>
      <c r="H2661" s="60" t="s">
        <v>106</v>
      </c>
      <c r="I2661" s="62">
        <v>0</v>
      </c>
      <c r="J2661" s="62">
        <v>0</v>
      </c>
      <c r="K2661" s="312">
        <v>79</v>
      </c>
      <c r="L2661" s="497">
        <f t="shared" si="613"/>
        <v>79</v>
      </c>
      <c r="M2661" s="61"/>
    </row>
    <row r="2662" spans="2:13" ht="15.75" hidden="1" x14ac:dyDescent="0.25">
      <c r="B2662" s="547">
        <v>46281</v>
      </c>
      <c r="C2662" s="547" t="s">
        <v>105</v>
      </c>
      <c r="D2662" s="547" t="s">
        <v>13</v>
      </c>
      <c r="F2662" s="831"/>
      <c r="G2662" s="60" t="s">
        <v>84</v>
      </c>
      <c r="H2662" s="60" t="s">
        <v>105</v>
      </c>
      <c r="I2662" s="62">
        <v>42</v>
      </c>
      <c r="J2662" s="62">
        <v>11</v>
      </c>
      <c r="K2662" s="312">
        <v>0</v>
      </c>
      <c r="L2662" s="497">
        <f t="shared" si="613"/>
        <v>53</v>
      </c>
      <c r="M2662" s="61"/>
    </row>
    <row r="2663" spans="2:13" ht="15.75" hidden="1" x14ac:dyDescent="0.25">
      <c r="B2663" s="547">
        <v>46281</v>
      </c>
      <c r="C2663" s="547" t="s">
        <v>105</v>
      </c>
      <c r="D2663" s="547" t="s">
        <v>13</v>
      </c>
      <c r="F2663" s="890" t="s">
        <v>40</v>
      </c>
      <c r="G2663" s="890"/>
      <c r="H2663" s="890"/>
      <c r="I2663" s="99">
        <f>SUM(I2654:I2662)</f>
        <v>346</v>
      </c>
      <c r="J2663" s="99">
        <f>SUM(J2654:J2662)</f>
        <v>105</v>
      </c>
      <c r="K2663" s="99">
        <f>SUM(K2654:K2662)</f>
        <v>137</v>
      </c>
      <c r="L2663" s="99">
        <f>SUM(L2654:L2662)</f>
        <v>588</v>
      </c>
      <c r="M2663" s="512"/>
    </row>
    <row r="2664" spans="2:13" ht="15.75" hidden="1" x14ac:dyDescent="0.25">
      <c r="B2664" s="548">
        <v>46282</v>
      </c>
      <c r="C2664" s="548" t="s">
        <v>106</v>
      </c>
      <c r="D2664" s="548" t="s">
        <v>189</v>
      </c>
      <c r="F2664" s="833">
        <v>46282</v>
      </c>
      <c r="G2664" s="60" t="s">
        <v>16</v>
      </c>
      <c r="H2664" s="60" t="s">
        <v>15</v>
      </c>
      <c r="I2664" s="62">
        <v>58</v>
      </c>
      <c r="J2664" s="62">
        <v>47</v>
      </c>
      <c r="K2664" s="312">
        <v>0</v>
      </c>
      <c r="L2664" s="497">
        <f>SUM(I2664:K2664)</f>
        <v>105</v>
      </c>
      <c r="M2664" s="61"/>
    </row>
    <row r="2665" spans="2:13" ht="15.75" hidden="1" x14ac:dyDescent="0.25">
      <c r="B2665" s="551">
        <v>46282</v>
      </c>
      <c r="C2665" s="548" t="s">
        <v>106</v>
      </c>
      <c r="D2665" s="548" t="s">
        <v>189</v>
      </c>
      <c r="F2665" s="834"/>
      <c r="G2665" s="60" t="s">
        <v>25</v>
      </c>
      <c r="H2665" s="60" t="s">
        <v>106</v>
      </c>
      <c r="I2665" s="62">
        <v>11</v>
      </c>
      <c r="J2665" s="62">
        <v>15</v>
      </c>
      <c r="K2665" s="312">
        <v>0</v>
      </c>
      <c r="L2665" s="497">
        <f t="shared" ref="L2665:L2671" si="614">SUM(I2665:K2665)</f>
        <v>26</v>
      </c>
      <c r="M2665" s="61"/>
    </row>
    <row r="2666" spans="2:13" ht="15.75" hidden="1" x14ac:dyDescent="0.25">
      <c r="B2666" s="551">
        <v>46282</v>
      </c>
      <c r="C2666" s="548" t="s">
        <v>106</v>
      </c>
      <c r="D2666" s="548" t="s">
        <v>189</v>
      </c>
      <c r="F2666" s="834"/>
      <c r="G2666" s="60" t="s">
        <v>120</v>
      </c>
      <c r="H2666" s="60" t="s">
        <v>106</v>
      </c>
      <c r="I2666" s="62">
        <v>23</v>
      </c>
      <c r="J2666" s="62">
        <v>0</v>
      </c>
      <c r="K2666" s="312">
        <v>0</v>
      </c>
      <c r="L2666" s="497">
        <f t="shared" si="614"/>
        <v>23</v>
      </c>
      <c r="M2666" s="61"/>
    </row>
    <row r="2667" spans="2:13" ht="15.75" hidden="1" x14ac:dyDescent="0.25">
      <c r="B2667" s="551">
        <v>46282</v>
      </c>
      <c r="C2667" s="548" t="s">
        <v>106</v>
      </c>
      <c r="D2667" s="548" t="s">
        <v>189</v>
      </c>
      <c r="F2667" s="834"/>
      <c r="G2667" s="60" t="s">
        <v>180</v>
      </c>
      <c r="H2667" s="60" t="s">
        <v>106</v>
      </c>
      <c r="I2667" s="62">
        <v>127</v>
      </c>
      <c r="J2667" s="62">
        <v>8</v>
      </c>
      <c r="K2667" s="312">
        <v>0</v>
      </c>
      <c r="L2667" s="497">
        <f t="shared" si="614"/>
        <v>135</v>
      </c>
      <c r="M2667" s="61"/>
    </row>
    <row r="2668" spans="2:13" ht="15.75" hidden="1" x14ac:dyDescent="0.25">
      <c r="B2668" s="551">
        <v>46282</v>
      </c>
      <c r="C2668" s="548" t="s">
        <v>106</v>
      </c>
      <c r="D2668" s="548" t="s">
        <v>189</v>
      </c>
      <c r="F2668" s="834"/>
      <c r="G2668" s="60" t="s">
        <v>17</v>
      </c>
      <c r="H2668" s="60" t="s">
        <v>105</v>
      </c>
      <c r="I2668" s="62">
        <v>66</v>
      </c>
      <c r="J2668" s="62">
        <v>41</v>
      </c>
      <c r="K2668" s="312">
        <v>0</v>
      </c>
      <c r="L2668" s="497">
        <f t="shared" si="614"/>
        <v>107</v>
      </c>
      <c r="M2668" s="61"/>
    </row>
    <row r="2669" spans="2:13" ht="15.75" hidden="1" x14ac:dyDescent="0.25">
      <c r="B2669" s="551">
        <v>46282</v>
      </c>
      <c r="C2669" s="548" t="s">
        <v>106</v>
      </c>
      <c r="D2669" s="548" t="s">
        <v>189</v>
      </c>
      <c r="F2669" s="834"/>
      <c r="G2669" s="60" t="s">
        <v>84</v>
      </c>
      <c r="H2669" s="60" t="s">
        <v>105</v>
      </c>
      <c r="I2669" s="62">
        <v>44</v>
      </c>
      <c r="J2669" s="62">
        <v>7</v>
      </c>
      <c r="K2669" s="312">
        <v>0</v>
      </c>
      <c r="L2669" s="497">
        <f t="shared" si="614"/>
        <v>51</v>
      </c>
      <c r="M2669" s="61"/>
    </row>
    <row r="2670" spans="2:13" ht="15.75" hidden="1" x14ac:dyDescent="0.25">
      <c r="B2670" s="551">
        <v>46282</v>
      </c>
      <c r="C2670" s="548" t="s">
        <v>106</v>
      </c>
      <c r="D2670" s="548" t="s">
        <v>189</v>
      </c>
      <c r="F2670" s="830">
        <v>46283</v>
      </c>
      <c r="G2670" s="60" t="s">
        <v>16</v>
      </c>
      <c r="H2670" s="60" t="s">
        <v>15</v>
      </c>
      <c r="I2670" s="62">
        <v>0</v>
      </c>
      <c r="J2670" s="62">
        <v>0</v>
      </c>
      <c r="K2670" s="312">
        <v>56</v>
      </c>
      <c r="L2670" s="497">
        <f t="shared" si="614"/>
        <v>56</v>
      </c>
      <c r="M2670" s="61"/>
    </row>
    <row r="2671" spans="2:13" ht="15.75" hidden="1" x14ac:dyDescent="0.25">
      <c r="B2671" s="551">
        <v>46282</v>
      </c>
      <c r="C2671" s="548" t="s">
        <v>106</v>
      </c>
      <c r="D2671" s="548" t="s">
        <v>189</v>
      </c>
      <c r="F2671" s="832"/>
      <c r="G2671" s="60" t="s">
        <v>14</v>
      </c>
      <c r="H2671" s="60" t="s">
        <v>106</v>
      </c>
      <c r="I2671" s="62">
        <v>3</v>
      </c>
      <c r="J2671" s="62">
        <v>1</v>
      </c>
      <c r="K2671" s="312">
        <v>59</v>
      </c>
      <c r="L2671" s="497">
        <f t="shared" si="614"/>
        <v>63</v>
      </c>
      <c r="M2671" s="61"/>
    </row>
    <row r="2672" spans="2:13" ht="15.75" hidden="1" x14ac:dyDescent="0.25">
      <c r="B2672" s="551">
        <v>46282</v>
      </c>
      <c r="C2672" s="548" t="s">
        <v>106</v>
      </c>
      <c r="D2672" s="548" t="s">
        <v>189</v>
      </c>
      <c r="F2672" s="890" t="s">
        <v>40</v>
      </c>
      <c r="G2672" s="890"/>
      <c r="H2672" s="890"/>
      <c r="I2672" s="99">
        <f>SUM(I2664:I2671)</f>
        <v>332</v>
      </c>
      <c r="J2672" s="99">
        <f>SUM(J2664:J2671)</f>
        <v>119</v>
      </c>
      <c r="K2672" s="99">
        <f>SUM(K2664:K2671)</f>
        <v>115</v>
      </c>
      <c r="L2672" s="99">
        <f>SUM(L2664:L2671)</f>
        <v>566</v>
      </c>
      <c r="M2672" s="512"/>
    </row>
    <row r="2673" spans="2:13" ht="15.75" hidden="1" x14ac:dyDescent="0.25">
      <c r="B2673" s="549">
        <v>46282</v>
      </c>
      <c r="C2673" s="549" t="s">
        <v>105</v>
      </c>
      <c r="D2673" s="549" t="s">
        <v>13</v>
      </c>
      <c r="F2673" s="866">
        <v>46282</v>
      </c>
      <c r="G2673" s="60" t="s">
        <v>16</v>
      </c>
      <c r="H2673" s="60" t="s">
        <v>15</v>
      </c>
      <c r="I2673" s="62">
        <v>12</v>
      </c>
      <c r="J2673" s="62">
        <v>7</v>
      </c>
      <c r="K2673" s="312">
        <v>0</v>
      </c>
      <c r="L2673" s="497">
        <f>SUM(I2673:K2673)</f>
        <v>19</v>
      </c>
      <c r="M2673" s="61"/>
    </row>
    <row r="2674" spans="2:13" ht="15.75" hidden="1" x14ac:dyDescent="0.25">
      <c r="B2674" s="550">
        <v>46282</v>
      </c>
      <c r="C2674" s="550" t="s">
        <v>105</v>
      </c>
      <c r="D2674" s="550" t="s">
        <v>13</v>
      </c>
      <c r="F2674" s="867"/>
      <c r="G2674" s="60" t="s">
        <v>25</v>
      </c>
      <c r="H2674" s="60" t="s">
        <v>105</v>
      </c>
      <c r="I2674" s="62">
        <v>6</v>
      </c>
      <c r="J2674" s="62">
        <v>1</v>
      </c>
      <c r="K2674" s="312">
        <v>0</v>
      </c>
      <c r="L2674" s="497">
        <f t="shared" ref="L2674:L2675" si="615">SUM(I2674:K2674)</f>
        <v>7</v>
      </c>
      <c r="M2674" s="61"/>
    </row>
    <row r="2675" spans="2:13" ht="15.75" hidden="1" x14ac:dyDescent="0.25">
      <c r="B2675" s="550">
        <v>46282</v>
      </c>
      <c r="C2675" s="550" t="s">
        <v>105</v>
      </c>
      <c r="D2675" s="550" t="s">
        <v>13</v>
      </c>
      <c r="F2675" s="867"/>
      <c r="G2675" s="60" t="s">
        <v>17</v>
      </c>
      <c r="H2675" s="60" t="s">
        <v>105</v>
      </c>
      <c r="I2675" s="62">
        <v>23</v>
      </c>
      <c r="J2675" s="62">
        <v>17</v>
      </c>
      <c r="K2675" s="312">
        <v>0</v>
      </c>
      <c r="L2675" s="497">
        <f t="shared" si="615"/>
        <v>40</v>
      </c>
      <c r="M2675" s="61"/>
    </row>
    <row r="2676" spans="2:13" ht="15.75" hidden="1" x14ac:dyDescent="0.25">
      <c r="B2676" s="550">
        <v>46282</v>
      </c>
      <c r="C2676" s="550" t="s">
        <v>105</v>
      </c>
      <c r="D2676" s="550" t="s">
        <v>13</v>
      </c>
      <c r="F2676" s="867"/>
      <c r="G2676" s="60" t="s">
        <v>84</v>
      </c>
      <c r="H2676" s="60" t="s">
        <v>105</v>
      </c>
      <c r="I2676" s="62">
        <v>5</v>
      </c>
      <c r="J2676" s="62">
        <v>1</v>
      </c>
      <c r="K2676" s="312">
        <v>0</v>
      </c>
      <c r="L2676" s="497">
        <f t="shared" ref="L2676:L2681" si="616">SUM(I2676:K2676)</f>
        <v>6</v>
      </c>
      <c r="M2676" s="61"/>
    </row>
    <row r="2677" spans="2:13" ht="15.75" hidden="1" x14ac:dyDescent="0.25">
      <c r="B2677" s="550">
        <v>46282</v>
      </c>
      <c r="C2677" s="550" t="s">
        <v>105</v>
      </c>
      <c r="D2677" s="550" t="s">
        <v>13</v>
      </c>
      <c r="F2677" s="897">
        <v>46283</v>
      </c>
      <c r="G2677" s="60" t="s">
        <v>16</v>
      </c>
      <c r="H2677" s="60" t="s">
        <v>15</v>
      </c>
      <c r="I2677" s="62">
        <v>53</v>
      </c>
      <c r="J2677" s="62">
        <v>27</v>
      </c>
      <c r="K2677" s="312">
        <v>29</v>
      </c>
      <c r="L2677" s="497">
        <f t="shared" si="616"/>
        <v>109</v>
      </c>
      <c r="M2677" s="61"/>
    </row>
    <row r="2678" spans="2:13" ht="15.75" hidden="1" x14ac:dyDescent="0.25">
      <c r="B2678" s="549">
        <v>46282</v>
      </c>
      <c r="C2678" s="549" t="s">
        <v>105</v>
      </c>
      <c r="D2678" s="549" t="s">
        <v>13</v>
      </c>
      <c r="F2678" s="898"/>
      <c r="G2678" s="60" t="s">
        <v>14</v>
      </c>
      <c r="H2678" s="60" t="s">
        <v>106</v>
      </c>
      <c r="I2678" s="62">
        <v>116</v>
      </c>
      <c r="J2678" s="62">
        <v>21</v>
      </c>
      <c r="K2678" s="312">
        <v>0</v>
      </c>
      <c r="L2678" s="497">
        <f t="shared" si="616"/>
        <v>137</v>
      </c>
      <c r="M2678" s="61"/>
    </row>
    <row r="2679" spans="2:13" ht="15.75" hidden="1" x14ac:dyDescent="0.25">
      <c r="B2679" s="549">
        <v>46282</v>
      </c>
      <c r="C2679" s="549" t="s">
        <v>105</v>
      </c>
      <c r="D2679" s="549" t="s">
        <v>13</v>
      </c>
      <c r="F2679" s="898"/>
      <c r="G2679" s="60" t="s">
        <v>17</v>
      </c>
      <c r="H2679" s="60" t="s">
        <v>105</v>
      </c>
      <c r="I2679" s="62">
        <v>20</v>
      </c>
      <c r="J2679" s="62">
        <v>0</v>
      </c>
      <c r="K2679" s="312">
        <v>98</v>
      </c>
      <c r="L2679" s="497">
        <f t="shared" si="616"/>
        <v>118</v>
      </c>
      <c r="M2679" s="61"/>
    </row>
    <row r="2680" spans="2:13" ht="15.75" hidden="1" x14ac:dyDescent="0.25">
      <c r="B2680" s="549">
        <v>46282</v>
      </c>
      <c r="C2680" s="549" t="s">
        <v>105</v>
      </c>
      <c r="D2680" s="549" t="s">
        <v>13</v>
      </c>
      <c r="F2680" s="898"/>
      <c r="G2680" s="60" t="s">
        <v>120</v>
      </c>
      <c r="H2680" s="60" t="s">
        <v>106</v>
      </c>
      <c r="I2680" s="62">
        <v>3</v>
      </c>
      <c r="J2680" s="62">
        <v>0</v>
      </c>
      <c r="K2680" s="312">
        <v>102</v>
      </c>
      <c r="L2680" s="497">
        <f t="shared" si="616"/>
        <v>105</v>
      </c>
      <c r="M2680" s="61"/>
    </row>
    <row r="2681" spans="2:13" ht="15.75" hidden="1" x14ac:dyDescent="0.25">
      <c r="B2681" s="549">
        <v>46282</v>
      </c>
      <c r="C2681" s="549" t="s">
        <v>105</v>
      </c>
      <c r="D2681" s="549" t="s">
        <v>13</v>
      </c>
      <c r="F2681" s="898"/>
      <c r="G2681" s="60" t="s">
        <v>84</v>
      </c>
      <c r="H2681" s="60" t="s">
        <v>105</v>
      </c>
      <c r="I2681" s="62">
        <v>2</v>
      </c>
      <c r="J2681" s="62">
        <v>0</v>
      </c>
      <c r="K2681" s="312">
        <v>0</v>
      </c>
      <c r="L2681" s="497">
        <f t="shared" si="616"/>
        <v>2</v>
      </c>
      <c r="M2681" s="61"/>
    </row>
    <row r="2682" spans="2:13" ht="15.75" hidden="1" x14ac:dyDescent="0.25">
      <c r="B2682" s="549">
        <v>46282</v>
      </c>
      <c r="C2682" s="549" t="s">
        <v>105</v>
      </c>
      <c r="D2682" s="549" t="s">
        <v>13</v>
      </c>
      <c r="F2682" s="890" t="s">
        <v>40</v>
      </c>
      <c r="G2682" s="890"/>
      <c r="H2682" s="890"/>
      <c r="I2682" s="99">
        <f>SUM(I2673:I2681)</f>
        <v>240</v>
      </c>
      <c r="J2682" s="99">
        <f>SUM(J2673:J2681)</f>
        <v>74</v>
      </c>
      <c r="K2682" s="99">
        <f>SUM(K2673:K2681)</f>
        <v>229</v>
      </c>
      <c r="L2682" s="99">
        <f>SUM(L2673:L2681)</f>
        <v>543</v>
      </c>
      <c r="M2682" s="512"/>
    </row>
    <row r="2683" spans="2:13" ht="15.75" hidden="1" x14ac:dyDescent="0.25">
      <c r="B2683" s="551">
        <v>46283</v>
      </c>
      <c r="C2683" s="551" t="s">
        <v>106</v>
      </c>
      <c r="D2683" s="551" t="s">
        <v>189</v>
      </c>
      <c r="F2683" s="833">
        <v>46283</v>
      </c>
      <c r="G2683" s="60" t="s">
        <v>16</v>
      </c>
      <c r="H2683" s="60" t="s">
        <v>15</v>
      </c>
      <c r="I2683" s="62">
        <v>32</v>
      </c>
      <c r="J2683" s="62">
        <v>21</v>
      </c>
      <c r="K2683" s="312">
        <v>0</v>
      </c>
      <c r="L2683" s="497">
        <f>SUM(I2683:K2683)</f>
        <v>53</v>
      </c>
      <c r="M2683" s="61"/>
    </row>
    <row r="2684" spans="2:13" ht="15.75" hidden="1" x14ac:dyDescent="0.25">
      <c r="B2684" s="551">
        <v>46283</v>
      </c>
      <c r="C2684" s="551" t="s">
        <v>106</v>
      </c>
      <c r="D2684" s="551" t="s">
        <v>189</v>
      </c>
      <c r="F2684" s="834"/>
      <c r="G2684" s="60" t="s">
        <v>14</v>
      </c>
      <c r="H2684" s="60" t="s">
        <v>106</v>
      </c>
      <c r="I2684" s="62">
        <v>20</v>
      </c>
      <c r="J2684" s="62">
        <v>8</v>
      </c>
      <c r="K2684" s="312">
        <v>0</v>
      </c>
      <c r="L2684" s="497">
        <f t="shared" ref="L2684:L2691" si="617">SUM(I2684:K2684)</f>
        <v>28</v>
      </c>
      <c r="M2684" s="61"/>
    </row>
    <row r="2685" spans="2:13" ht="15.75" hidden="1" x14ac:dyDescent="0.25">
      <c r="B2685" s="551">
        <v>46283</v>
      </c>
      <c r="C2685" s="551" t="s">
        <v>106</v>
      </c>
      <c r="D2685" s="551" t="s">
        <v>189</v>
      </c>
      <c r="F2685" s="834"/>
      <c r="G2685" s="60" t="s">
        <v>120</v>
      </c>
      <c r="H2685" s="60" t="s">
        <v>106</v>
      </c>
      <c r="I2685" s="62">
        <v>100</v>
      </c>
      <c r="J2685" s="62">
        <v>3</v>
      </c>
      <c r="K2685" s="312">
        <v>0</v>
      </c>
      <c r="L2685" s="497">
        <f t="shared" si="617"/>
        <v>103</v>
      </c>
      <c r="M2685" s="61"/>
    </row>
    <row r="2686" spans="2:13" ht="15.75" hidden="1" x14ac:dyDescent="0.25">
      <c r="B2686" s="551">
        <v>46283</v>
      </c>
      <c r="C2686" s="551" t="s">
        <v>106</v>
      </c>
      <c r="D2686" s="551" t="s">
        <v>189</v>
      </c>
      <c r="F2686" s="834"/>
      <c r="G2686" s="60" t="s">
        <v>180</v>
      </c>
      <c r="H2686" s="60" t="s">
        <v>106</v>
      </c>
      <c r="I2686" s="62">
        <v>19</v>
      </c>
      <c r="J2686" s="62">
        <v>1</v>
      </c>
      <c r="K2686" s="312">
        <v>0</v>
      </c>
      <c r="L2686" s="497">
        <f t="shared" si="617"/>
        <v>20</v>
      </c>
      <c r="M2686" s="61"/>
    </row>
    <row r="2687" spans="2:13" ht="15.75" hidden="1" x14ac:dyDescent="0.25">
      <c r="B2687" s="551">
        <v>46283</v>
      </c>
      <c r="C2687" s="551" t="s">
        <v>106</v>
      </c>
      <c r="D2687" s="551" t="s">
        <v>189</v>
      </c>
      <c r="F2687" s="834"/>
      <c r="G2687" s="60" t="s">
        <v>17</v>
      </c>
      <c r="H2687" s="60" t="s">
        <v>105</v>
      </c>
      <c r="I2687" s="62">
        <v>118</v>
      </c>
      <c r="J2687" s="62">
        <v>9</v>
      </c>
      <c r="K2687" s="312">
        <v>0</v>
      </c>
      <c r="L2687" s="497">
        <f t="shared" si="617"/>
        <v>127</v>
      </c>
      <c r="M2687" s="61"/>
    </row>
    <row r="2688" spans="2:13" ht="15.75" hidden="1" x14ac:dyDescent="0.25">
      <c r="B2688" s="551">
        <v>46283</v>
      </c>
      <c r="C2688" s="551" t="s">
        <v>106</v>
      </c>
      <c r="D2688" s="551" t="s">
        <v>189</v>
      </c>
      <c r="F2688" s="834"/>
      <c r="G2688" s="60" t="s">
        <v>118</v>
      </c>
      <c r="H2688" s="60" t="s">
        <v>105</v>
      </c>
      <c r="I2688" s="62">
        <v>0</v>
      </c>
      <c r="J2688" s="62">
        <v>0</v>
      </c>
      <c r="K2688" s="312">
        <v>196</v>
      </c>
      <c r="L2688" s="497">
        <f t="shared" si="617"/>
        <v>196</v>
      </c>
      <c r="M2688" s="61"/>
    </row>
    <row r="2689" spans="2:13" ht="15.75" hidden="1" x14ac:dyDescent="0.25">
      <c r="B2689" s="551">
        <v>46283</v>
      </c>
      <c r="C2689" s="551" t="s">
        <v>106</v>
      </c>
      <c r="D2689" s="551" t="s">
        <v>189</v>
      </c>
      <c r="F2689" s="834"/>
      <c r="G2689" s="60" t="s">
        <v>84</v>
      </c>
      <c r="H2689" s="60" t="s">
        <v>105</v>
      </c>
      <c r="I2689" s="62">
        <v>16</v>
      </c>
      <c r="J2689" s="62">
        <v>2</v>
      </c>
      <c r="K2689" s="312">
        <v>0</v>
      </c>
      <c r="L2689" s="497">
        <f t="shared" si="617"/>
        <v>18</v>
      </c>
      <c r="M2689" s="61"/>
    </row>
    <row r="2690" spans="2:13" ht="15.75" hidden="1" x14ac:dyDescent="0.25">
      <c r="B2690" s="551">
        <v>46283</v>
      </c>
      <c r="C2690" s="551" t="s">
        <v>106</v>
      </c>
      <c r="D2690" s="551" t="s">
        <v>189</v>
      </c>
      <c r="F2690" s="830">
        <v>46284</v>
      </c>
      <c r="G2690" s="60" t="s">
        <v>16</v>
      </c>
      <c r="H2690" s="60" t="s">
        <v>15</v>
      </c>
      <c r="I2690" s="62">
        <v>53</v>
      </c>
      <c r="J2690" s="62">
        <v>24</v>
      </c>
      <c r="K2690" s="312">
        <v>62</v>
      </c>
      <c r="L2690" s="497">
        <f t="shared" si="617"/>
        <v>139</v>
      </c>
      <c r="M2690" s="61"/>
    </row>
    <row r="2691" spans="2:13" ht="15.75" hidden="1" x14ac:dyDescent="0.25">
      <c r="B2691" s="551">
        <v>46283</v>
      </c>
      <c r="C2691" s="551" t="s">
        <v>106</v>
      </c>
      <c r="D2691" s="551" t="s">
        <v>189</v>
      </c>
      <c r="F2691" s="832"/>
      <c r="G2691" s="60" t="s">
        <v>17</v>
      </c>
      <c r="H2691" s="60" t="s">
        <v>106</v>
      </c>
      <c r="I2691" s="62">
        <v>0</v>
      </c>
      <c r="J2691" s="62">
        <v>0</v>
      </c>
      <c r="K2691" s="312">
        <v>55</v>
      </c>
      <c r="L2691" s="497">
        <f t="shared" si="617"/>
        <v>55</v>
      </c>
      <c r="M2691" s="61"/>
    </row>
    <row r="2692" spans="2:13" ht="15.75" hidden="1" x14ac:dyDescent="0.25">
      <c r="B2692" s="551">
        <v>46283</v>
      </c>
      <c r="C2692" s="551" t="s">
        <v>106</v>
      </c>
      <c r="D2692" s="551" t="s">
        <v>189</v>
      </c>
      <c r="F2692" s="890" t="s">
        <v>40</v>
      </c>
      <c r="G2692" s="890"/>
      <c r="H2692" s="890"/>
      <c r="I2692" s="99">
        <f>SUM(I2683:I2691)</f>
        <v>358</v>
      </c>
      <c r="J2692" s="99">
        <f>SUM(J2683:J2691)</f>
        <v>68</v>
      </c>
      <c r="K2692" s="99">
        <f>SUM(K2683:K2691)</f>
        <v>313</v>
      </c>
      <c r="L2692" s="99">
        <f>SUM(L2683:L2691)</f>
        <v>739</v>
      </c>
      <c r="M2692" s="512"/>
    </row>
    <row r="2693" spans="2:13" ht="15.75" hidden="1" x14ac:dyDescent="0.25">
      <c r="B2693" s="552">
        <v>46283</v>
      </c>
      <c r="C2693" s="552" t="s">
        <v>105</v>
      </c>
      <c r="D2693" s="552" t="s">
        <v>13</v>
      </c>
      <c r="F2693" s="897">
        <v>46283</v>
      </c>
      <c r="G2693" s="60" t="s">
        <v>16</v>
      </c>
      <c r="H2693" s="60" t="s">
        <v>15</v>
      </c>
      <c r="I2693" s="62">
        <v>16</v>
      </c>
      <c r="J2693" s="62">
        <v>1</v>
      </c>
      <c r="K2693" s="312">
        <v>0</v>
      </c>
      <c r="L2693" s="497">
        <f>SUM(I2693:K2693)</f>
        <v>17</v>
      </c>
      <c r="M2693" s="61"/>
    </row>
    <row r="2694" spans="2:13" ht="15.75" hidden="1" x14ac:dyDescent="0.25">
      <c r="B2694" s="552">
        <v>46283</v>
      </c>
      <c r="C2694" s="552" t="s">
        <v>105</v>
      </c>
      <c r="D2694" s="552" t="s">
        <v>13</v>
      </c>
      <c r="F2694" s="898"/>
      <c r="G2694" s="60" t="s">
        <v>14</v>
      </c>
      <c r="H2694" s="60" t="s">
        <v>106</v>
      </c>
      <c r="I2694" s="62">
        <v>8</v>
      </c>
      <c r="J2694" s="62">
        <v>2</v>
      </c>
      <c r="K2694" s="312">
        <v>0</v>
      </c>
      <c r="L2694" s="497">
        <f t="shared" ref="L2694:L2701" si="618">SUM(I2694:K2694)</f>
        <v>10</v>
      </c>
      <c r="M2694" s="61"/>
    </row>
    <row r="2695" spans="2:13" ht="15.75" hidden="1" x14ac:dyDescent="0.25">
      <c r="B2695" s="552">
        <v>46283</v>
      </c>
      <c r="C2695" s="552" t="s">
        <v>105</v>
      </c>
      <c r="D2695" s="552" t="s">
        <v>13</v>
      </c>
      <c r="F2695" s="898"/>
      <c r="G2695" s="60" t="s">
        <v>17</v>
      </c>
      <c r="H2695" s="60" t="s">
        <v>105</v>
      </c>
      <c r="I2695" s="62">
        <v>19</v>
      </c>
      <c r="J2695" s="62">
        <v>4</v>
      </c>
      <c r="K2695" s="312">
        <v>0</v>
      </c>
      <c r="L2695" s="497">
        <f t="shared" si="618"/>
        <v>23</v>
      </c>
      <c r="M2695" s="61"/>
    </row>
    <row r="2696" spans="2:13" ht="15.75" hidden="1" x14ac:dyDescent="0.25">
      <c r="B2696" s="552">
        <v>46283</v>
      </c>
      <c r="C2696" s="552" t="s">
        <v>105</v>
      </c>
      <c r="D2696" s="552" t="s">
        <v>13</v>
      </c>
      <c r="F2696" s="898"/>
      <c r="G2696" s="60" t="s">
        <v>118</v>
      </c>
      <c r="H2696" s="60" t="s">
        <v>105</v>
      </c>
      <c r="I2696" s="62">
        <v>194</v>
      </c>
      <c r="J2696" s="62">
        <v>26</v>
      </c>
      <c r="K2696" s="312">
        <v>0</v>
      </c>
      <c r="L2696" s="497">
        <f t="shared" si="618"/>
        <v>220</v>
      </c>
      <c r="M2696" s="61"/>
    </row>
    <row r="2697" spans="2:13" ht="15.75" hidden="1" x14ac:dyDescent="0.25">
      <c r="B2697" s="552">
        <v>46283</v>
      </c>
      <c r="C2697" s="552" t="s">
        <v>105</v>
      </c>
      <c r="D2697" s="552" t="s">
        <v>13</v>
      </c>
      <c r="F2697" s="898"/>
      <c r="G2697" s="60" t="s">
        <v>84</v>
      </c>
      <c r="H2697" s="60" t="s">
        <v>105</v>
      </c>
      <c r="I2697" s="62">
        <v>2</v>
      </c>
      <c r="J2697" s="62">
        <v>4</v>
      </c>
      <c r="K2697" s="312">
        <v>0</v>
      </c>
      <c r="L2697" s="497">
        <f t="shared" si="618"/>
        <v>6</v>
      </c>
      <c r="M2697" s="61"/>
    </row>
    <row r="2698" spans="2:13" ht="15.75" hidden="1" x14ac:dyDescent="0.25">
      <c r="B2698" s="552">
        <v>46283</v>
      </c>
      <c r="C2698" s="552" t="s">
        <v>105</v>
      </c>
      <c r="D2698" s="552" t="s">
        <v>13</v>
      </c>
      <c r="F2698" s="838">
        <v>46284</v>
      </c>
      <c r="G2698" s="60" t="s">
        <v>16</v>
      </c>
      <c r="H2698" s="60" t="s">
        <v>15</v>
      </c>
      <c r="I2698" s="62">
        <v>19</v>
      </c>
      <c r="J2698" s="62">
        <v>6</v>
      </c>
      <c r="K2698" s="312">
        <v>0</v>
      </c>
      <c r="L2698" s="497">
        <f t="shared" si="618"/>
        <v>25</v>
      </c>
      <c r="M2698" s="61"/>
    </row>
    <row r="2699" spans="2:13" ht="15.75" hidden="1" x14ac:dyDescent="0.25">
      <c r="B2699" s="552">
        <v>46283</v>
      </c>
      <c r="C2699" s="552" t="s">
        <v>105</v>
      </c>
      <c r="D2699" s="552" t="s">
        <v>13</v>
      </c>
      <c r="F2699" s="839"/>
      <c r="G2699" s="60" t="s">
        <v>25</v>
      </c>
      <c r="H2699" s="60" t="s">
        <v>105</v>
      </c>
      <c r="I2699" s="62">
        <v>30</v>
      </c>
      <c r="J2699" s="62">
        <v>10</v>
      </c>
      <c r="K2699" s="312">
        <v>93</v>
      </c>
      <c r="L2699" s="497">
        <f t="shared" si="618"/>
        <v>133</v>
      </c>
      <c r="M2699" s="61"/>
    </row>
    <row r="2700" spans="2:13" ht="15.75" hidden="1" x14ac:dyDescent="0.25">
      <c r="B2700" s="552">
        <v>46283</v>
      </c>
      <c r="C2700" s="552" t="s">
        <v>105</v>
      </c>
      <c r="D2700" s="552" t="s">
        <v>13</v>
      </c>
      <c r="F2700" s="839"/>
      <c r="G2700" s="60" t="s">
        <v>211</v>
      </c>
      <c r="H2700" s="60" t="s">
        <v>106</v>
      </c>
      <c r="I2700" s="62">
        <v>0</v>
      </c>
      <c r="J2700" s="62">
        <v>0</v>
      </c>
      <c r="K2700" s="312">
        <v>37</v>
      </c>
      <c r="L2700" s="497">
        <f t="shared" si="618"/>
        <v>37</v>
      </c>
      <c r="M2700" s="61"/>
    </row>
    <row r="2701" spans="2:13" ht="15.75" hidden="1" x14ac:dyDescent="0.25">
      <c r="B2701" s="552">
        <v>46283</v>
      </c>
      <c r="C2701" s="552" t="s">
        <v>105</v>
      </c>
      <c r="D2701" s="552" t="s">
        <v>13</v>
      </c>
      <c r="F2701" s="848"/>
      <c r="G2701" s="60" t="s">
        <v>17</v>
      </c>
      <c r="H2701" s="60" t="s">
        <v>106</v>
      </c>
      <c r="I2701" s="62">
        <v>132</v>
      </c>
      <c r="J2701" s="62">
        <v>27</v>
      </c>
      <c r="K2701" s="312">
        <v>0</v>
      </c>
      <c r="L2701" s="497">
        <f t="shared" si="618"/>
        <v>159</v>
      </c>
      <c r="M2701" s="61"/>
    </row>
    <row r="2702" spans="2:13" ht="15.75" hidden="1" x14ac:dyDescent="0.25">
      <c r="B2702" s="552">
        <v>46283</v>
      </c>
      <c r="C2702" s="552" t="s">
        <v>105</v>
      </c>
      <c r="D2702" s="552" t="s">
        <v>13</v>
      </c>
      <c r="F2702" s="890" t="s">
        <v>40</v>
      </c>
      <c r="G2702" s="890"/>
      <c r="H2702" s="890"/>
      <c r="I2702" s="99">
        <f>SUM(I2693:I2701)</f>
        <v>420</v>
      </c>
      <c r="J2702" s="99">
        <f>SUM(J2693:J2701)</f>
        <v>80</v>
      </c>
      <c r="K2702" s="99">
        <f>SUM(K2693:K2701)</f>
        <v>130</v>
      </c>
      <c r="L2702" s="99">
        <f>SUM(L2693:L2701)</f>
        <v>630</v>
      </c>
      <c r="M2702" s="512"/>
    </row>
    <row r="2703" spans="2:13" ht="15.75" hidden="1" x14ac:dyDescent="0.25">
      <c r="B2703" s="553">
        <v>46284</v>
      </c>
      <c r="C2703" s="553" t="s">
        <v>106</v>
      </c>
      <c r="D2703" s="553" t="s">
        <v>189</v>
      </c>
      <c r="F2703" s="899">
        <v>46284</v>
      </c>
      <c r="G2703" s="60" t="s">
        <v>16</v>
      </c>
      <c r="H2703" s="60" t="s">
        <v>15</v>
      </c>
      <c r="I2703" s="62">
        <v>42</v>
      </c>
      <c r="J2703" s="62">
        <v>34</v>
      </c>
      <c r="K2703" s="312">
        <v>5</v>
      </c>
      <c r="L2703" s="497">
        <f>SUM(I2703:K2703)</f>
        <v>81</v>
      </c>
      <c r="M2703" s="61"/>
    </row>
    <row r="2704" spans="2:13" ht="15.75" hidden="1" x14ac:dyDescent="0.25">
      <c r="B2704" s="553">
        <v>46284</v>
      </c>
      <c r="C2704" s="553" t="s">
        <v>106</v>
      </c>
      <c r="D2704" s="553" t="s">
        <v>189</v>
      </c>
      <c r="F2704" s="899"/>
      <c r="G2704" s="60" t="s">
        <v>14</v>
      </c>
      <c r="H2704" s="60" t="s">
        <v>106</v>
      </c>
      <c r="I2704" s="62">
        <v>3</v>
      </c>
      <c r="J2704" s="62">
        <v>0</v>
      </c>
      <c r="K2704" s="312">
        <v>0</v>
      </c>
      <c r="L2704" s="497">
        <f t="shared" ref="L2704:L2710" si="619">SUM(I2704:K2704)</f>
        <v>3</v>
      </c>
      <c r="M2704" s="61"/>
    </row>
    <row r="2705" spans="2:13" ht="15.75" hidden="1" x14ac:dyDescent="0.25">
      <c r="B2705" s="553">
        <v>46284</v>
      </c>
      <c r="C2705" s="553" t="s">
        <v>106</v>
      </c>
      <c r="D2705" s="553" t="s">
        <v>189</v>
      </c>
      <c r="F2705" s="899"/>
      <c r="G2705" s="60" t="s">
        <v>180</v>
      </c>
      <c r="H2705" s="60" t="s">
        <v>106</v>
      </c>
      <c r="I2705" s="62">
        <v>68</v>
      </c>
      <c r="J2705" s="62">
        <v>2</v>
      </c>
      <c r="K2705" s="312">
        <v>0</v>
      </c>
      <c r="L2705" s="497">
        <f t="shared" si="619"/>
        <v>70</v>
      </c>
      <c r="M2705" s="61"/>
    </row>
    <row r="2706" spans="2:13" ht="15.75" hidden="1" x14ac:dyDescent="0.25">
      <c r="B2706" s="553">
        <v>46284</v>
      </c>
      <c r="C2706" s="553" t="s">
        <v>106</v>
      </c>
      <c r="D2706" s="553" t="s">
        <v>189</v>
      </c>
      <c r="F2706" s="899"/>
      <c r="G2706" s="60" t="s">
        <v>17</v>
      </c>
      <c r="H2706" s="60" t="s">
        <v>106</v>
      </c>
      <c r="I2706" s="62">
        <v>16</v>
      </c>
      <c r="J2706" s="62">
        <v>19</v>
      </c>
      <c r="K2706" s="312">
        <v>0</v>
      </c>
      <c r="L2706" s="497">
        <f t="shared" si="619"/>
        <v>35</v>
      </c>
      <c r="M2706" s="61"/>
    </row>
    <row r="2707" spans="2:13" ht="15.75" hidden="1" x14ac:dyDescent="0.25">
      <c r="B2707" s="553">
        <v>46284</v>
      </c>
      <c r="C2707" s="553" t="s">
        <v>106</v>
      </c>
      <c r="D2707" s="553" t="s">
        <v>189</v>
      </c>
      <c r="F2707" s="899"/>
      <c r="G2707" s="60" t="s">
        <v>25</v>
      </c>
      <c r="H2707" s="60" t="s">
        <v>105</v>
      </c>
      <c r="I2707" s="62">
        <v>83</v>
      </c>
      <c r="J2707" s="62">
        <v>20</v>
      </c>
      <c r="K2707" s="312">
        <v>3</v>
      </c>
      <c r="L2707" s="497">
        <f t="shared" si="619"/>
        <v>106</v>
      </c>
      <c r="M2707" s="61"/>
    </row>
    <row r="2708" spans="2:13" ht="15.75" hidden="1" x14ac:dyDescent="0.25">
      <c r="B2708" s="553">
        <v>46284</v>
      </c>
      <c r="C2708" s="553" t="s">
        <v>106</v>
      </c>
      <c r="D2708" s="553" t="s">
        <v>189</v>
      </c>
      <c r="F2708" s="522">
        <v>46285</v>
      </c>
      <c r="G2708" s="60" t="s">
        <v>25</v>
      </c>
      <c r="H2708" s="60" t="s">
        <v>105</v>
      </c>
      <c r="I2708" s="62">
        <v>0</v>
      </c>
      <c r="J2708" s="62">
        <v>0</v>
      </c>
      <c r="K2708" s="312">
        <v>113</v>
      </c>
      <c r="L2708" s="497">
        <f t="shared" si="619"/>
        <v>113</v>
      </c>
      <c r="M2708" s="61"/>
    </row>
    <row r="2709" spans="2:13" ht="15.75" hidden="1" x14ac:dyDescent="0.25">
      <c r="B2709" s="553">
        <v>46284</v>
      </c>
      <c r="C2709" s="553" t="s">
        <v>106</v>
      </c>
      <c r="D2709" s="553" t="s">
        <v>189</v>
      </c>
      <c r="F2709" s="893">
        <v>46286</v>
      </c>
      <c r="G2709" s="60" t="s">
        <v>16</v>
      </c>
      <c r="H2709" s="60" t="s">
        <v>27</v>
      </c>
      <c r="I2709" s="62">
        <v>35</v>
      </c>
      <c r="J2709" s="62">
        <v>23</v>
      </c>
      <c r="K2709" s="312">
        <v>89</v>
      </c>
      <c r="L2709" s="497">
        <f t="shared" si="619"/>
        <v>147</v>
      </c>
      <c r="M2709" s="61"/>
    </row>
    <row r="2710" spans="2:13" ht="15.75" hidden="1" x14ac:dyDescent="0.25">
      <c r="B2710" s="553">
        <v>46284</v>
      </c>
      <c r="C2710" s="553" t="s">
        <v>106</v>
      </c>
      <c r="D2710" s="553" t="s">
        <v>189</v>
      </c>
      <c r="F2710" s="893"/>
      <c r="G2710" s="60" t="s">
        <v>84</v>
      </c>
      <c r="H2710" s="60" t="s">
        <v>15</v>
      </c>
      <c r="I2710" s="62">
        <v>23</v>
      </c>
      <c r="J2710" s="62">
        <v>3</v>
      </c>
      <c r="K2710" s="312">
        <v>42</v>
      </c>
      <c r="L2710" s="497">
        <f t="shared" si="619"/>
        <v>68</v>
      </c>
      <c r="M2710" s="61"/>
    </row>
    <row r="2711" spans="2:13" ht="15.75" hidden="1" x14ac:dyDescent="0.25">
      <c r="B2711" s="553">
        <v>46284</v>
      </c>
      <c r="C2711" s="553" t="s">
        <v>106</v>
      </c>
      <c r="D2711" s="553" t="s">
        <v>189</v>
      </c>
      <c r="F2711" s="890" t="s">
        <v>40</v>
      </c>
      <c r="G2711" s="890"/>
      <c r="H2711" s="890"/>
      <c r="I2711" s="99">
        <f>SUM(I2703:I2710)</f>
        <v>270</v>
      </c>
      <c r="J2711" s="99">
        <f>SUM(J2703:J2710)</f>
        <v>101</v>
      </c>
      <c r="K2711" s="99">
        <f>SUM(K2703:K2710)</f>
        <v>252</v>
      </c>
      <c r="L2711" s="99">
        <f>SUM(L2703:L2710)</f>
        <v>623</v>
      </c>
      <c r="M2711" s="512"/>
    </row>
    <row r="2712" spans="2:13" ht="15.75" hidden="1" x14ac:dyDescent="0.25">
      <c r="B2712" s="554">
        <v>46284</v>
      </c>
      <c r="C2712" s="554" t="s">
        <v>105</v>
      </c>
      <c r="D2712" s="554" t="s">
        <v>13</v>
      </c>
      <c r="F2712" s="908">
        <v>46284</v>
      </c>
      <c r="G2712" s="60" t="s">
        <v>16</v>
      </c>
      <c r="H2712" s="60" t="s">
        <v>15</v>
      </c>
      <c r="I2712" s="62">
        <v>9</v>
      </c>
      <c r="J2712" s="62">
        <v>2</v>
      </c>
      <c r="K2712" s="312">
        <v>0</v>
      </c>
      <c r="L2712" s="497">
        <f>SUM(I2712:K2712)</f>
        <v>11</v>
      </c>
      <c r="M2712" s="61"/>
    </row>
    <row r="2713" spans="2:13" ht="15.75" hidden="1" x14ac:dyDescent="0.25">
      <c r="B2713" s="554">
        <v>46284</v>
      </c>
      <c r="C2713" s="554" t="s">
        <v>105</v>
      </c>
      <c r="D2713" s="554" t="s">
        <v>13</v>
      </c>
      <c r="F2713" s="908"/>
      <c r="G2713" s="60" t="s">
        <v>14</v>
      </c>
      <c r="H2713" s="60" t="s">
        <v>105</v>
      </c>
      <c r="I2713" s="62">
        <v>1</v>
      </c>
      <c r="J2713" s="62">
        <v>0</v>
      </c>
      <c r="K2713" s="312">
        <v>0</v>
      </c>
      <c r="L2713" s="497">
        <f t="shared" ref="L2713:L2719" si="620">SUM(I2713:K2713)</f>
        <v>1</v>
      </c>
      <c r="M2713" s="61"/>
    </row>
    <row r="2714" spans="2:13" ht="15.75" hidden="1" x14ac:dyDescent="0.25">
      <c r="B2714" s="554">
        <v>46284</v>
      </c>
      <c r="C2714" s="554" t="s">
        <v>105</v>
      </c>
      <c r="D2714" s="554" t="s">
        <v>13</v>
      </c>
      <c r="F2714" s="908"/>
      <c r="G2714" s="60" t="s">
        <v>84</v>
      </c>
      <c r="H2714" s="60" t="s">
        <v>105</v>
      </c>
      <c r="I2714" s="62">
        <v>3</v>
      </c>
      <c r="J2714" s="62">
        <v>2</v>
      </c>
      <c r="K2714" s="312">
        <v>0</v>
      </c>
      <c r="L2714" s="497">
        <f t="shared" si="620"/>
        <v>5</v>
      </c>
      <c r="M2714" s="61"/>
    </row>
    <row r="2715" spans="2:13" ht="15.75" hidden="1" x14ac:dyDescent="0.25">
      <c r="B2715" s="554">
        <v>46284</v>
      </c>
      <c r="C2715" s="554" t="s">
        <v>105</v>
      </c>
      <c r="D2715" s="554" t="s">
        <v>13</v>
      </c>
      <c r="F2715" s="908"/>
      <c r="G2715" s="60" t="s">
        <v>25</v>
      </c>
      <c r="H2715" s="60" t="s">
        <v>105</v>
      </c>
      <c r="I2715" s="62">
        <v>26</v>
      </c>
      <c r="J2715" s="62">
        <v>14</v>
      </c>
      <c r="K2715" s="312">
        <v>0</v>
      </c>
      <c r="L2715" s="497">
        <f t="shared" si="620"/>
        <v>40</v>
      </c>
      <c r="M2715" s="61"/>
    </row>
    <row r="2716" spans="2:13" ht="21" hidden="1" customHeight="1" x14ac:dyDescent="0.25">
      <c r="B2716" s="554">
        <v>46284</v>
      </c>
      <c r="C2716" s="554" t="s">
        <v>105</v>
      </c>
      <c r="D2716" s="554" t="s">
        <v>13</v>
      </c>
      <c r="F2716" s="522">
        <v>46285</v>
      </c>
      <c r="G2716" s="60" t="s">
        <v>25</v>
      </c>
      <c r="H2716" s="60" t="s">
        <v>105</v>
      </c>
      <c r="I2716" s="62">
        <v>124</v>
      </c>
      <c r="J2716" s="62">
        <v>35</v>
      </c>
      <c r="K2716" s="312">
        <v>0</v>
      </c>
      <c r="L2716" s="497">
        <f t="shared" si="620"/>
        <v>159</v>
      </c>
      <c r="M2716" s="61"/>
    </row>
    <row r="2717" spans="2:13" ht="15.75" hidden="1" x14ac:dyDescent="0.25">
      <c r="B2717" s="554">
        <v>46284</v>
      </c>
      <c r="C2717" s="554" t="s">
        <v>105</v>
      </c>
      <c r="D2717" s="554" t="s">
        <v>13</v>
      </c>
      <c r="F2717" s="894">
        <v>46286</v>
      </c>
      <c r="G2717" s="60" t="s">
        <v>16</v>
      </c>
      <c r="H2717" s="60" t="s">
        <v>27</v>
      </c>
      <c r="I2717" s="62">
        <v>69</v>
      </c>
      <c r="J2717" s="62">
        <v>18</v>
      </c>
      <c r="K2717" s="312">
        <v>0</v>
      </c>
      <c r="L2717" s="497">
        <f t="shared" si="620"/>
        <v>87</v>
      </c>
      <c r="M2717" s="61"/>
    </row>
    <row r="2718" spans="2:13" ht="15.75" hidden="1" x14ac:dyDescent="0.25">
      <c r="B2718" s="554">
        <v>46284</v>
      </c>
      <c r="C2718" s="554" t="s">
        <v>105</v>
      </c>
      <c r="D2718" s="554" t="s">
        <v>13</v>
      </c>
      <c r="F2718" s="894"/>
      <c r="G2718" s="60" t="s">
        <v>17</v>
      </c>
      <c r="H2718" s="60" t="s">
        <v>106</v>
      </c>
      <c r="I2718" s="62">
        <v>6</v>
      </c>
      <c r="J2718" s="62">
        <v>0</v>
      </c>
      <c r="K2718" s="312">
        <v>27</v>
      </c>
      <c r="L2718" s="497">
        <f t="shared" si="620"/>
        <v>33</v>
      </c>
      <c r="M2718" s="61"/>
    </row>
    <row r="2719" spans="2:13" ht="15.75" hidden="1" x14ac:dyDescent="0.25">
      <c r="B2719" s="554">
        <v>46284</v>
      </c>
      <c r="C2719" s="554" t="s">
        <v>105</v>
      </c>
      <c r="D2719" s="554" t="s">
        <v>13</v>
      </c>
      <c r="F2719" s="894"/>
      <c r="G2719" s="60" t="s">
        <v>84</v>
      </c>
      <c r="H2719" s="60" t="s">
        <v>15</v>
      </c>
      <c r="I2719" s="62">
        <v>160</v>
      </c>
      <c r="J2719" s="62">
        <v>43</v>
      </c>
      <c r="K2719" s="312">
        <v>0</v>
      </c>
      <c r="L2719" s="497">
        <f t="shared" si="620"/>
        <v>203</v>
      </c>
      <c r="M2719" s="61"/>
    </row>
    <row r="2720" spans="2:13" ht="15.75" hidden="1" x14ac:dyDescent="0.25">
      <c r="B2720" s="554">
        <v>46284</v>
      </c>
      <c r="C2720" s="554" t="s">
        <v>105</v>
      </c>
      <c r="D2720" s="554" t="s">
        <v>13</v>
      </c>
      <c r="F2720" s="890" t="s">
        <v>40</v>
      </c>
      <c r="G2720" s="890"/>
      <c r="H2720" s="890"/>
      <c r="I2720" s="99">
        <f>SUM(I2712:I2719)</f>
        <v>398</v>
      </c>
      <c r="J2720" s="99">
        <f t="shared" ref="J2720:L2720" si="621">SUM(J2712:J2719)</f>
        <v>114</v>
      </c>
      <c r="K2720" s="99">
        <f t="shared" si="621"/>
        <v>27</v>
      </c>
      <c r="L2720" s="99">
        <f t="shared" si="621"/>
        <v>539</v>
      </c>
      <c r="M2720" s="512"/>
    </row>
    <row r="2721" spans="2:13" ht="15.75" hidden="1" x14ac:dyDescent="0.25">
      <c r="B2721" s="555">
        <v>46285</v>
      </c>
      <c r="C2721" s="555" t="s">
        <v>106</v>
      </c>
      <c r="D2721" s="555" t="s">
        <v>189</v>
      </c>
      <c r="F2721" s="556">
        <v>46285</v>
      </c>
      <c r="G2721" s="60" t="s">
        <v>25</v>
      </c>
      <c r="H2721" s="60" t="s">
        <v>106</v>
      </c>
      <c r="I2721" s="62">
        <v>34</v>
      </c>
      <c r="J2721" s="62">
        <v>17</v>
      </c>
      <c r="K2721" s="312">
        <v>0</v>
      </c>
      <c r="L2721" s="497">
        <f>SUM(I2721:K2721)</f>
        <v>51</v>
      </c>
      <c r="M2721" s="61"/>
    </row>
    <row r="2722" spans="2:13" ht="15.75" hidden="1" x14ac:dyDescent="0.25">
      <c r="B2722" s="555">
        <v>46285</v>
      </c>
      <c r="C2722" s="555" t="s">
        <v>106</v>
      </c>
      <c r="D2722" s="555" t="s">
        <v>189</v>
      </c>
      <c r="F2722" s="830">
        <v>46286</v>
      </c>
      <c r="G2722" s="60" t="s">
        <v>16</v>
      </c>
      <c r="H2722" s="60" t="s">
        <v>27</v>
      </c>
      <c r="I2722" s="62">
        <v>0</v>
      </c>
      <c r="J2722" s="62">
        <v>0</v>
      </c>
      <c r="K2722" s="312">
        <v>15</v>
      </c>
      <c r="L2722" s="497">
        <f t="shared" ref="L2722:L2726" si="622">SUM(I2722:K2722)</f>
        <v>15</v>
      </c>
      <c r="M2722" s="61"/>
    </row>
    <row r="2723" spans="2:13" ht="15.75" hidden="1" x14ac:dyDescent="0.25">
      <c r="B2723" s="555">
        <v>46285</v>
      </c>
      <c r="C2723" s="555" t="s">
        <v>106</v>
      </c>
      <c r="D2723" s="555" t="s">
        <v>189</v>
      </c>
      <c r="F2723" s="831"/>
      <c r="G2723" s="60" t="s">
        <v>14</v>
      </c>
      <c r="H2723" s="60" t="s">
        <v>105</v>
      </c>
      <c r="I2723" s="62">
        <v>1</v>
      </c>
      <c r="J2723" s="62">
        <v>2</v>
      </c>
      <c r="K2723" s="312">
        <v>142</v>
      </c>
      <c r="L2723" s="497">
        <f t="shared" si="622"/>
        <v>145</v>
      </c>
      <c r="M2723" s="61"/>
    </row>
    <row r="2724" spans="2:13" ht="15.75" hidden="1" x14ac:dyDescent="0.25">
      <c r="B2724" s="555">
        <v>46285</v>
      </c>
      <c r="C2724" s="555" t="s">
        <v>106</v>
      </c>
      <c r="D2724" s="555" t="s">
        <v>189</v>
      </c>
      <c r="F2724" s="831"/>
      <c r="G2724" s="60" t="s">
        <v>17</v>
      </c>
      <c r="H2724" s="60" t="s">
        <v>106</v>
      </c>
      <c r="I2724" s="62">
        <v>141</v>
      </c>
      <c r="J2724" s="62">
        <v>45</v>
      </c>
      <c r="K2724" s="312">
        <v>0</v>
      </c>
      <c r="L2724" s="497">
        <f t="shared" si="622"/>
        <v>186</v>
      </c>
      <c r="M2724" s="61"/>
    </row>
    <row r="2725" spans="2:13" ht="15.75" hidden="1" x14ac:dyDescent="0.25">
      <c r="B2725" s="555">
        <v>46285</v>
      </c>
      <c r="C2725" s="555" t="s">
        <v>106</v>
      </c>
      <c r="D2725" s="555" t="s">
        <v>189</v>
      </c>
      <c r="F2725" s="832"/>
      <c r="G2725" s="60" t="s">
        <v>84</v>
      </c>
      <c r="H2725" s="60" t="s">
        <v>15</v>
      </c>
      <c r="I2725" s="62">
        <v>0</v>
      </c>
      <c r="J2725" s="62">
        <v>0</v>
      </c>
      <c r="K2725" s="312">
        <v>29</v>
      </c>
      <c r="L2725" s="497">
        <f t="shared" si="622"/>
        <v>29</v>
      </c>
      <c r="M2725" s="61"/>
    </row>
    <row r="2726" spans="2:13" ht="15.75" hidden="1" x14ac:dyDescent="0.25">
      <c r="B2726" s="555">
        <v>46285</v>
      </c>
      <c r="C2726" s="555" t="s">
        <v>106</v>
      </c>
      <c r="D2726" s="555" t="s">
        <v>189</v>
      </c>
      <c r="F2726" s="522">
        <v>46287</v>
      </c>
      <c r="G2726" s="60" t="s">
        <v>118</v>
      </c>
      <c r="H2726" s="60" t="s">
        <v>106</v>
      </c>
      <c r="I2726" s="62">
        <v>0</v>
      </c>
      <c r="J2726" s="62">
        <v>0</v>
      </c>
      <c r="K2726" s="312">
        <v>85</v>
      </c>
      <c r="L2726" s="497">
        <f t="shared" si="622"/>
        <v>85</v>
      </c>
      <c r="M2726" s="61"/>
    </row>
    <row r="2727" spans="2:13" ht="15.75" hidden="1" x14ac:dyDescent="0.25">
      <c r="B2727" s="555">
        <v>46285</v>
      </c>
      <c r="C2727" s="555" t="s">
        <v>106</v>
      </c>
      <c r="D2727" s="555" t="s">
        <v>189</v>
      </c>
      <c r="F2727" s="890" t="s">
        <v>40</v>
      </c>
      <c r="G2727" s="890"/>
      <c r="H2727" s="890"/>
      <c r="I2727" s="99">
        <f>SUM(I2721:I2726)</f>
        <v>176</v>
      </c>
      <c r="J2727" s="99">
        <f>SUM(J2721:J2726)</f>
        <v>64</v>
      </c>
      <c r="K2727" s="99">
        <f>SUM(K2721:K2726)</f>
        <v>271</v>
      </c>
      <c r="L2727" s="99">
        <f>SUM(L2721:L2726)</f>
        <v>511</v>
      </c>
      <c r="M2727" s="512"/>
    </row>
    <row r="2728" spans="2:13" ht="15.75" hidden="1" x14ac:dyDescent="0.25">
      <c r="B2728" s="557">
        <v>46286</v>
      </c>
      <c r="C2728" s="557" t="s">
        <v>106</v>
      </c>
      <c r="D2728" s="557" t="s">
        <v>13</v>
      </c>
      <c r="F2728" s="897">
        <v>46286</v>
      </c>
      <c r="G2728" s="60" t="s">
        <v>16</v>
      </c>
      <c r="H2728" s="60" t="s">
        <v>27</v>
      </c>
      <c r="I2728" s="62">
        <v>15</v>
      </c>
      <c r="J2728" s="62">
        <v>13</v>
      </c>
      <c r="K2728" s="312">
        <v>0</v>
      </c>
      <c r="L2728" s="497">
        <f t="shared" ref="L2728:L2736" si="623">SUM(I2728:K2728)</f>
        <v>28</v>
      </c>
      <c r="M2728" s="61"/>
    </row>
    <row r="2729" spans="2:13" ht="15.75" hidden="1" x14ac:dyDescent="0.25">
      <c r="B2729" s="557">
        <v>46286</v>
      </c>
      <c r="C2729" s="557" t="s">
        <v>106</v>
      </c>
      <c r="D2729" s="557" t="s">
        <v>13</v>
      </c>
      <c r="F2729" s="898"/>
      <c r="G2729" s="60" t="s">
        <v>14</v>
      </c>
      <c r="H2729" s="60" t="s">
        <v>105</v>
      </c>
      <c r="I2729" s="62">
        <v>106</v>
      </c>
      <c r="J2729" s="62">
        <v>36</v>
      </c>
      <c r="K2729" s="312">
        <v>0</v>
      </c>
      <c r="L2729" s="497">
        <f t="shared" si="623"/>
        <v>142</v>
      </c>
      <c r="M2729" s="61"/>
    </row>
    <row r="2730" spans="2:13" ht="15.75" hidden="1" x14ac:dyDescent="0.25">
      <c r="B2730" s="557">
        <v>46286</v>
      </c>
      <c r="C2730" s="557" t="s">
        <v>106</v>
      </c>
      <c r="D2730" s="557" t="s">
        <v>13</v>
      </c>
      <c r="F2730" s="898"/>
      <c r="G2730" s="60" t="s">
        <v>17</v>
      </c>
      <c r="H2730" s="60" t="s">
        <v>106</v>
      </c>
      <c r="I2730" s="62">
        <v>33</v>
      </c>
      <c r="J2730" s="62">
        <v>16</v>
      </c>
      <c r="K2730" s="312">
        <v>0</v>
      </c>
      <c r="L2730" s="497">
        <f t="shared" si="623"/>
        <v>49</v>
      </c>
      <c r="M2730" s="61"/>
    </row>
    <row r="2731" spans="2:13" ht="15.75" hidden="1" x14ac:dyDescent="0.25">
      <c r="B2731" s="557">
        <v>46286</v>
      </c>
      <c r="C2731" s="557" t="s">
        <v>106</v>
      </c>
      <c r="D2731" s="557" t="s">
        <v>13</v>
      </c>
      <c r="F2731" s="898"/>
      <c r="G2731" s="60" t="s">
        <v>180</v>
      </c>
      <c r="H2731" s="60" t="s">
        <v>105</v>
      </c>
      <c r="I2731" s="62">
        <v>0</v>
      </c>
      <c r="J2731" s="62">
        <v>0</v>
      </c>
      <c r="K2731" s="312">
        <v>52</v>
      </c>
      <c r="L2731" s="497">
        <f t="shared" si="623"/>
        <v>52</v>
      </c>
      <c r="M2731" s="61"/>
    </row>
    <row r="2732" spans="2:13" ht="15.75" hidden="1" x14ac:dyDescent="0.25">
      <c r="B2732" s="557">
        <v>46286</v>
      </c>
      <c r="C2732" s="557" t="s">
        <v>106</v>
      </c>
      <c r="D2732" s="557" t="s">
        <v>13</v>
      </c>
      <c r="F2732" s="898"/>
      <c r="G2732" s="60" t="s">
        <v>120</v>
      </c>
      <c r="H2732" s="60" t="s">
        <v>106</v>
      </c>
      <c r="I2732" s="62">
        <v>2</v>
      </c>
      <c r="J2732" s="62">
        <v>0</v>
      </c>
      <c r="K2732" s="312">
        <v>0</v>
      </c>
      <c r="L2732" s="497">
        <f t="shared" ref="L2732" si="624">SUM(I2732:K2732)</f>
        <v>2</v>
      </c>
      <c r="M2732" s="61"/>
    </row>
    <row r="2733" spans="2:13" ht="15.75" hidden="1" x14ac:dyDescent="0.25">
      <c r="B2733" s="557">
        <v>46286</v>
      </c>
      <c r="C2733" s="557" t="s">
        <v>106</v>
      </c>
      <c r="D2733" s="557" t="s">
        <v>13</v>
      </c>
      <c r="F2733" s="912"/>
      <c r="G2733" s="60" t="s">
        <v>84</v>
      </c>
      <c r="H2733" s="60" t="s">
        <v>15</v>
      </c>
      <c r="I2733" s="62">
        <v>19</v>
      </c>
      <c r="J2733" s="62">
        <v>6</v>
      </c>
      <c r="K2733" s="312">
        <v>0</v>
      </c>
      <c r="L2733" s="497">
        <f t="shared" si="623"/>
        <v>25</v>
      </c>
      <c r="M2733" s="61"/>
    </row>
    <row r="2734" spans="2:13" ht="15.75" hidden="1" x14ac:dyDescent="0.25">
      <c r="B2734" s="557">
        <v>46286</v>
      </c>
      <c r="C2734" s="557" t="s">
        <v>106</v>
      </c>
      <c r="D2734" s="557" t="s">
        <v>13</v>
      </c>
      <c r="F2734" s="838">
        <v>46287</v>
      </c>
      <c r="G2734" s="60" t="s">
        <v>16</v>
      </c>
      <c r="H2734" s="60" t="s">
        <v>27</v>
      </c>
      <c r="I2734" s="62">
        <v>29</v>
      </c>
      <c r="J2734" s="62">
        <v>3</v>
      </c>
      <c r="K2734" s="312">
        <v>84</v>
      </c>
      <c r="L2734" s="497">
        <f t="shared" si="623"/>
        <v>116</v>
      </c>
      <c r="M2734" s="61"/>
    </row>
    <row r="2735" spans="2:13" ht="15.75" hidden="1" x14ac:dyDescent="0.25">
      <c r="B2735" s="557">
        <v>46286</v>
      </c>
      <c r="C2735" s="557" t="s">
        <v>106</v>
      </c>
      <c r="D2735" s="557" t="s">
        <v>13</v>
      </c>
      <c r="F2735" s="839"/>
      <c r="G2735" s="60" t="s">
        <v>84</v>
      </c>
      <c r="H2735" s="60" t="s">
        <v>106</v>
      </c>
      <c r="I2735" s="62">
        <v>51</v>
      </c>
      <c r="J2735" s="62">
        <v>14</v>
      </c>
      <c r="K2735" s="312">
        <v>0</v>
      </c>
      <c r="L2735" s="497">
        <f t="shared" si="623"/>
        <v>65</v>
      </c>
      <c r="M2735" s="61"/>
    </row>
    <row r="2736" spans="2:13" ht="15.75" hidden="1" x14ac:dyDescent="0.25">
      <c r="B2736" s="557">
        <v>46286</v>
      </c>
      <c r="C2736" s="557" t="s">
        <v>106</v>
      </c>
      <c r="D2736" s="557" t="s">
        <v>13</v>
      </c>
      <c r="F2736" s="848"/>
      <c r="G2736" s="60" t="s">
        <v>118</v>
      </c>
      <c r="H2736" s="60" t="s">
        <v>106</v>
      </c>
      <c r="I2736" s="62">
        <v>64</v>
      </c>
      <c r="J2736" s="62">
        <v>17</v>
      </c>
      <c r="K2736" s="312">
        <v>0</v>
      </c>
      <c r="L2736" s="497">
        <f t="shared" si="623"/>
        <v>81</v>
      </c>
      <c r="M2736" s="61"/>
    </row>
    <row r="2737" spans="2:13" ht="15.75" hidden="1" x14ac:dyDescent="0.25">
      <c r="B2737" s="557">
        <v>46286</v>
      </c>
      <c r="C2737" s="557" t="s">
        <v>106</v>
      </c>
      <c r="D2737" s="557" t="s">
        <v>13</v>
      </c>
      <c r="F2737" s="890" t="s">
        <v>40</v>
      </c>
      <c r="G2737" s="890"/>
      <c r="H2737" s="890"/>
      <c r="I2737" s="99">
        <f>SUM(I2728:I2736)</f>
        <v>319</v>
      </c>
      <c r="J2737" s="99">
        <f t="shared" ref="J2737:L2737" si="625">SUM(J2728:J2736)</f>
        <v>105</v>
      </c>
      <c r="K2737" s="99">
        <f t="shared" si="625"/>
        <v>136</v>
      </c>
      <c r="L2737" s="99">
        <f t="shared" si="625"/>
        <v>560</v>
      </c>
      <c r="M2737" s="512"/>
    </row>
    <row r="2738" spans="2:13" ht="15.75" hidden="1" x14ac:dyDescent="0.25">
      <c r="B2738" s="558">
        <v>46286</v>
      </c>
      <c r="C2738" s="558" t="s">
        <v>105</v>
      </c>
      <c r="D2738" s="558" t="s">
        <v>189</v>
      </c>
      <c r="F2738" s="897">
        <v>46286</v>
      </c>
      <c r="G2738" s="60" t="s">
        <v>16</v>
      </c>
      <c r="H2738" s="60" t="s">
        <v>27</v>
      </c>
      <c r="I2738" s="62">
        <v>23</v>
      </c>
      <c r="J2738" s="62">
        <v>7</v>
      </c>
      <c r="K2738" s="312">
        <v>0</v>
      </c>
      <c r="L2738" s="497">
        <f t="shared" ref="L2738:L2749" si="626">SUM(I2738:K2738)</f>
        <v>30</v>
      </c>
      <c r="M2738" s="61"/>
    </row>
    <row r="2739" spans="2:13" ht="15.75" hidden="1" x14ac:dyDescent="0.25">
      <c r="B2739" s="558">
        <v>46286</v>
      </c>
      <c r="C2739" s="558" t="s">
        <v>105</v>
      </c>
      <c r="D2739" s="558" t="s">
        <v>189</v>
      </c>
      <c r="F2739" s="898"/>
      <c r="G2739" s="60" t="s">
        <v>14</v>
      </c>
      <c r="H2739" s="60" t="s">
        <v>105</v>
      </c>
      <c r="I2739" s="62">
        <v>34</v>
      </c>
      <c r="J2739" s="62">
        <v>1</v>
      </c>
      <c r="K2739" s="312">
        <v>0</v>
      </c>
      <c r="L2739" s="497">
        <f t="shared" si="626"/>
        <v>35</v>
      </c>
      <c r="M2739" s="61"/>
    </row>
    <row r="2740" spans="2:13" ht="15.75" hidden="1" x14ac:dyDescent="0.25">
      <c r="B2740" s="558">
        <v>46286</v>
      </c>
      <c r="C2740" s="558" t="s">
        <v>105</v>
      </c>
      <c r="D2740" s="558" t="s">
        <v>189</v>
      </c>
      <c r="F2740" s="898"/>
      <c r="G2740" s="60" t="s">
        <v>17</v>
      </c>
      <c r="H2740" s="60" t="s">
        <v>105</v>
      </c>
      <c r="I2740" s="62">
        <v>2</v>
      </c>
      <c r="J2740" s="62">
        <v>0</v>
      </c>
      <c r="K2740" s="312">
        <v>0</v>
      </c>
      <c r="L2740" s="497">
        <f t="shared" si="626"/>
        <v>2</v>
      </c>
      <c r="M2740" s="61"/>
    </row>
    <row r="2741" spans="2:13" ht="15.75" hidden="1" x14ac:dyDescent="0.25">
      <c r="B2741" s="558">
        <v>46286</v>
      </c>
      <c r="C2741" s="558" t="s">
        <v>105</v>
      </c>
      <c r="D2741" s="558" t="s">
        <v>189</v>
      </c>
      <c r="F2741" s="898"/>
      <c r="G2741" s="60" t="s">
        <v>120</v>
      </c>
      <c r="H2741" s="60" t="s">
        <v>105</v>
      </c>
      <c r="I2741" s="62">
        <v>4</v>
      </c>
      <c r="J2741" s="62">
        <v>0</v>
      </c>
      <c r="K2741" s="312">
        <v>0</v>
      </c>
      <c r="L2741" s="497">
        <f t="shared" si="626"/>
        <v>4</v>
      </c>
      <c r="M2741" s="61"/>
    </row>
    <row r="2742" spans="2:13" ht="15.75" hidden="1" x14ac:dyDescent="0.25">
      <c r="B2742" s="558">
        <v>46286</v>
      </c>
      <c r="C2742" s="558" t="s">
        <v>105</v>
      </c>
      <c r="D2742" s="558" t="s">
        <v>189</v>
      </c>
      <c r="F2742" s="898"/>
      <c r="G2742" s="60" t="s">
        <v>84</v>
      </c>
      <c r="H2742" s="60" t="s">
        <v>15</v>
      </c>
      <c r="I2742" s="62">
        <v>1</v>
      </c>
      <c r="J2742" s="62">
        <v>0</v>
      </c>
      <c r="K2742" s="312">
        <v>0</v>
      </c>
      <c r="L2742" s="497">
        <f t="shared" si="626"/>
        <v>1</v>
      </c>
      <c r="M2742" s="61"/>
    </row>
    <row r="2743" spans="2:13" ht="15.75" hidden="1" x14ac:dyDescent="0.25">
      <c r="B2743" s="560">
        <v>46286</v>
      </c>
      <c r="C2743" s="558" t="s">
        <v>105</v>
      </c>
      <c r="D2743" s="558" t="s">
        <v>189</v>
      </c>
      <c r="F2743" s="898"/>
      <c r="G2743" s="60" t="s">
        <v>180</v>
      </c>
      <c r="H2743" s="60" t="s">
        <v>18</v>
      </c>
      <c r="I2743" s="62">
        <v>62</v>
      </c>
      <c r="J2743" s="62">
        <v>1</v>
      </c>
      <c r="K2743" s="312">
        <v>0</v>
      </c>
      <c r="L2743" s="497">
        <f t="shared" si="626"/>
        <v>63</v>
      </c>
      <c r="M2743" s="61"/>
    </row>
    <row r="2744" spans="2:13" ht="15.75" hidden="1" x14ac:dyDescent="0.25">
      <c r="B2744" s="560">
        <v>46286</v>
      </c>
      <c r="C2744" s="558" t="s">
        <v>105</v>
      </c>
      <c r="D2744" s="558" t="s">
        <v>189</v>
      </c>
      <c r="F2744" s="912"/>
      <c r="G2744" s="60" t="s">
        <v>212</v>
      </c>
      <c r="H2744" s="60" t="s">
        <v>18</v>
      </c>
      <c r="I2744" s="62">
        <v>13</v>
      </c>
      <c r="J2744" s="62">
        <v>1</v>
      </c>
      <c r="K2744" s="312">
        <v>0</v>
      </c>
      <c r="L2744" s="497">
        <f t="shared" si="626"/>
        <v>14</v>
      </c>
      <c r="M2744" s="61"/>
    </row>
    <row r="2745" spans="2:13" ht="15.75" hidden="1" x14ac:dyDescent="0.25">
      <c r="B2745" s="560">
        <v>46286</v>
      </c>
      <c r="C2745" s="558" t="s">
        <v>105</v>
      </c>
      <c r="D2745" s="558" t="s">
        <v>189</v>
      </c>
      <c r="F2745" s="895">
        <v>46287</v>
      </c>
      <c r="G2745" s="60" t="s">
        <v>16</v>
      </c>
      <c r="H2745" s="60" t="s">
        <v>27</v>
      </c>
      <c r="I2745" s="62">
        <v>79</v>
      </c>
      <c r="J2745" s="62">
        <v>6</v>
      </c>
      <c r="K2745" s="312">
        <v>1</v>
      </c>
      <c r="L2745" s="497">
        <f t="shared" si="626"/>
        <v>86</v>
      </c>
      <c r="M2745" s="61"/>
    </row>
    <row r="2746" spans="2:13" ht="15.75" hidden="1" x14ac:dyDescent="0.25">
      <c r="B2746" s="560">
        <v>46286</v>
      </c>
      <c r="C2746" s="558" t="s">
        <v>105</v>
      </c>
      <c r="D2746" s="558" t="s">
        <v>189</v>
      </c>
      <c r="F2746" s="895"/>
      <c r="G2746" s="60" t="s">
        <v>84</v>
      </c>
      <c r="H2746" s="60" t="s">
        <v>15</v>
      </c>
      <c r="I2746" s="62">
        <v>0</v>
      </c>
      <c r="J2746" s="62">
        <v>0</v>
      </c>
      <c r="K2746" s="312">
        <v>12</v>
      </c>
      <c r="L2746" s="497">
        <f t="shared" si="626"/>
        <v>12</v>
      </c>
      <c r="M2746" s="61"/>
    </row>
    <row r="2747" spans="2:13" ht="15.75" hidden="1" x14ac:dyDescent="0.25">
      <c r="B2747" s="560">
        <v>46286</v>
      </c>
      <c r="C2747" s="558" t="s">
        <v>105</v>
      </c>
      <c r="D2747" s="558" t="s">
        <v>189</v>
      </c>
      <c r="F2747" s="895"/>
      <c r="G2747" s="60" t="s">
        <v>118</v>
      </c>
      <c r="H2747" s="60" t="s">
        <v>106</v>
      </c>
      <c r="I2747" s="62">
        <v>162</v>
      </c>
      <c r="J2747" s="62">
        <v>38</v>
      </c>
      <c r="K2747" s="312">
        <v>0</v>
      </c>
      <c r="L2747" s="497">
        <f t="shared" si="626"/>
        <v>200</v>
      </c>
      <c r="M2747" s="61"/>
    </row>
    <row r="2748" spans="2:13" ht="15.75" hidden="1" x14ac:dyDescent="0.25">
      <c r="B2748" s="560">
        <v>46286</v>
      </c>
      <c r="C2748" s="559" t="s">
        <v>105</v>
      </c>
      <c r="D2748" s="559" t="s">
        <v>189</v>
      </c>
      <c r="F2748" s="895"/>
      <c r="G2748" s="60" t="s">
        <v>14</v>
      </c>
      <c r="H2748" s="60" t="s">
        <v>105</v>
      </c>
      <c r="I2748" s="62">
        <v>0</v>
      </c>
      <c r="J2748" s="62">
        <v>0</v>
      </c>
      <c r="K2748" s="312">
        <v>123</v>
      </c>
      <c r="L2748" s="497">
        <f t="shared" si="626"/>
        <v>123</v>
      </c>
      <c r="M2748" s="61"/>
    </row>
    <row r="2749" spans="2:13" ht="15.75" hidden="1" x14ac:dyDescent="0.25">
      <c r="B2749" s="560">
        <v>46286</v>
      </c>
      <c r="C2749" s="558" t="s">
        <v>105</v>
      </c>
      <c r="D2749" s="558" t="s">
        <v>189</v>
      </c>
      <c r="F2749" s="522">
        <v>46288</v>
      </c>
      <c r="G2749" s="60" t="s">
        <v>16</v>
      </c>
      <c r="H2749" s="60" t="s">
        <v>15</v>
      </c>
      <c r="I2749" s="62">
        <v>0</v>
      </c>
      <c r="J2749" s="62">
        <v>0</v>
      </c>
      <c r="K2749" s="312">
        <v>7</v>
      </c>
      <c r="L2749" s="497">
        <f t="shared" si="626"/>
        <v>7</v>
      </c>
      <c r="M2749" s="61"/>
    </row>
    <row r="2750" spans="2:13" ht="15.75" hidden="1" x14ac:dyDescent="0.25">
      <c r="B2750" s="560">
        <v>46286</v>
      </c>
      <c r="C2750" s="558" t="s">
        <v>105</v>
      </c>
      <c r="D2750" s="558" t="s">
        <v>189</v>
      </c>
      <c r="F2750" s="890" t="s">
        <v>40</v>
      </c>
      <c r="G2750" s="890"/>
      <c r="H2750" s="890"/>
      <c r="I2750" s="99">
        <f>SUM(I2738:I2749)</f>
        <v>380</v>
      </c>
      <c r="J2750" s="99">
        <f t="shared" ref="J2750:L2750" si="627">SUM(J2738:J2749)</f>
        <v>54</v>
      </c>
      <c r="K2750" s="99">
        <f t="shared" si="627"/>
        <v>143</v>
      </c>
      <c r="L2750" s="99">
        <f t="shared" si="627"/>
        <v>577</v>
      </c>
      <c r="M2750" s="512"/>
    </row>
    <row r="2751" spans="2:13" ht="15.75" hidden="1" x14ac:dyDescent="0.25">
      <c r="B2751" s="560">
        <v>46287</v>
      </c>
      <c r="C2751" s="560" t="s">
        <v>106</v>
      </c>
      <c r="D2751" s="560" t="s">
        <v>13</v>
      </c>
      <c r="F2751" s="908">
        <v>46287</v>
      </c>
      <c r="G2751" s="60" t="s">
        <v>16</v>
      </c>
      <c r="H2751" s="60" t="s">
        <v>27</v>
      </c>
      <c r="I2751" s="62">
        <v>44</v>
      </c>
      <c r="J2751" s="62">
        <v>19</v>
      </c>
      <c r="K2751" s="312">
        <v>0</v>
      </c>
      <c r="L2751" s="497">
        <f t="shared" ref="L2751:L2757" si="628">SUM(I2751:K2751)</f>
        <v>63</v>
      </c>
      <c r="M2751" s="61"/>
    </row>
    <row r="2752" spans="2:13" ht="15.75" hidden="1" x14ac:dyDescent="0.25">
      <c r="B2752" s="560">
        <v>46287</v>
      </c>
      <c r="C2752" s="560" t="s">
        <v>106</v>
      </c>
      <c r="D2752" s="560" t="s">
        <v>13</v>
      </c>
      <c r="F2752" s="908"/>
      <c r="G2752" s="60" t="s">
        <v>84</v>
      </c>
      <c r="H2752" s="60" t="s">
        <v>15</v>
      </c>
      <c r="I2752" s="62">
        <v>11</v>
      </c>
      <c r="J2752" s="62">
        <v>6</v>
      </c>
      <c r="K2752" s="312">
        <v>0</v>
      </c>
      <c r="L2752" s="497">
        <f t="shared" si="628"/>
        <v>17</v>
      </c>
      <c r="M2752" s="61"/>
    </row>
    <row r="2753" spans="2:13" ht="15.75" hidden="1" x14ac:dyDescent="0.25">
      <c r="B2753" s="560">
        <v>46287</v>
      </c>
      <c r="C2753" s="560" t="s">
        <v>106</v>
      </c>
      <c r="D2753" s="560" t="s">
        <v>13</v>
      </c>
      <c r="F2753" s="908"/>
      <c r="G2753" s="60" t="s">
        <v>118</v>
      </c>
      <c r="H2753" s="60" t="s">
        <v>106</v>
      </c>
      <c r="I2753" s="62">
        <v>39</v>
      </c>
      <c r="J2753" s="62">
        <v>11</v>
      </c>
      <c r="K2753" s="312">
        <v>0</v>
      </c>
      <c r="L2753" s="497">
        <f t="shared" si="628"/>
        <v>50</v>
      </c>
      <c r="M2753" s="61"/>
    </row>
    <row r="2754" spans="2:13" ht="15.75" hidden="1" x14ac:dyDescent="0.25">
      <c r="B2754" s="561">
        <v>46287</v>
      </c>
      <c r="C2754" s="561" t="s">
        <v>106</v>
      </c>
      <c r="D2754" s="561" t="s">
        <v>13</v>
      </c>
      <c r="F2754" s="908"/>
      <c r="G2754" s="60" t="s">
        <v>120</v>
      </c>
      <c r="H2754" s="60" t="s">
        <v>106</v>
      </c>
      <c r="I2754" s="62">
        <v>4</v>
      </c>
      <c r="J2754" s="62">
        <v>0</v>
      </c>
      <c r="K2754" s="312">
        <v>0</v>
      </c>
      <c r="L2754" s="497">
        <f t="shared" si="628"/>
        <v>4</v>
      </c>
      <c r="M2754" s="61"/>
    </row>
    <row r="2755" spans="2:13" ht="15.75" hidden="1" x14ac:dyDescent="0.25">
      <c r="B2755" s="560">
        <v>46287</v>
      </c>
      <c r="C2755" s="560" t="s">
        <v>106</v>
      </c>
      <c r="D2755" s="560" t="s">
        <v>13</v>
      </c>
      <c r="F2755" s="908"/>
      <c r="G2755" s="60" t="s">
        <v>14</v>
      </c>
      <c r="H2755" s="60" t="s">
        <v>105</v>
      </c>
      <c r="I2755" s="62">
        <v>109</v>
      </c>
      <c r="J2755" s="62">
        <v>37</v>
      </c>
      <c r="K2755" s="312">
        <v>0</v>
      </c>
      <c r="L2755" s="497">
        <f t="shared" si="628"/>
        <v>146</v>
      </c>
      <c r="M2755" s="61"/>
    </row>
    <row r="2756" spans="2:13" ht="15.75" hidden="1" x14ac:dyDescent="0.25">
      <c r="B2756" s="560">
        <v>46287</v>
      </c>
      <c r="C2756" s="560" t="s">
        <v>106</v>
      </c>
      <c r="D2756" s="560" t="s">
        <v>13</v>
      </c>
      <c r="F2756" s="838">
        <v>46288</v>
      </c>
      <c r="G2756" s="497" t="s">
        <v>16</v>
      </c>
      <c r="H2756" s="60" t="s">
        <v>15</v>
      </c>
      <c r="I2756" s="62">
        <v>56</v>
      </c>
      <c r="J2756" s="62">
        <v>8</v>
      </c>
      <c r="K2756" s="312">
        <v>64</v>
      </c>
      <c r="L2756" s="497">
        <f t="shared" si="628"/>
        <v>128</v>
      </c>
      <c r="M2756" s="61"/>
    </row>
    <row r="2757" spans="2:13" ht="15.75" hidden="1" x14ac:dyDescent="0.25">
      <c r="B2757" s="560">
        <v>46287</v>
      </c>
      <c r="C2757" s="560" t="s">
        <v>106</v>
      </c>
      <c r="D2757" s="560" t="s">
        <v>13</v>
      </c>
      <c r="F2757" s="839"/>
      <c r="G2757" s="497" t="s">
        <v>17</v>
      </c>
      <c r="H2757" s="60" t="s">
        <v>106</v>
      </c>
      <c r="I2757" s="62">
        <v>48</v>
      </c>
      <c r="J2757" s="62">
        <v>20</v>
      </c>
      <c r="K2757" s="312">
        <v>73</v>
      </c>
      <c r="L2757" s="497">
        <f t="shared" si="628"/>
        <v>141</v>
      </c>
      <c r="M2757" s="61"/>
    </row>
    <row r="2758" spans="2:13" ht="15.75" hidden="1" x14ac:dyDescent="0.25">
      <c r="B2758" s="560">
        <v>46287</v>
      </c>
      <c r="C2758" s="560" t="s">
        <v>106</v>
      </c>
      <c r="D2758" s="560" t="s">
        <v>13</v>
      </c>
      <c r="F2758" s="890" t="s">
        <v>40</v>
      </c>
      <c r="G2758" s="890"/>
      <c r="H2758" s="890"/>
      <c r="I2758" s="99">
        <f>SUM(I2751:I2757)</f>
        <v>311</v>
      </c>
      <c r="J2758" s="99">
        <f>SUM(J2751:J2757)</f>
        <v>101</v>
      </c>
      <c r="K2758" s="99">
        <f>SUM(K2751:K2757)</f>
        <v>137</v>
      </c>
      <c r="L2758" s="99">
        <f>SUM(L2751:L2757)</f>
        <v>549</v>
      </c>
      <c r="M2758" s="512"/>
    </row>
    <row r="2759" spans="2:13" ht="15.75" hidden="1" x14ac:dyDescent="0.25">
      <c r="B2759" s="562">
        <v>46287</v>
      </c>
      <c r="C2759" s="562" t="s">
        <v>105</v>
      </c>
      <c r="D2759" s="562" t="s">
        <v>189</v>
      </c>
      <c r="F2759" s="897">
        <v>46287</v>
      </c>
      <c r="G2759" s="60" t="s">
        <v>16</v>
      </c>
      <c r="H2759" s="60" t="s">
        <v>27</v>
      </c>
      <c r="I2759" s="62">
        <v>4</v>
      </c>
      <c r="J2759" s="62">
        <v>6</v>
      </c>
      <c r="K2759" s="312">
        <v>0</v>
      </c>
      <c r="L2759" s="497">
        <f t="shared" ref="L2759:L2768" si="629">SUM(I2759:K2759)</f>
        <v>10</v>
      </c>
      <c r="M2759" s="61"/>
    </row>
    <row r="2760" spans="2:13" ht="15.75" hidden="1" x14ac:dyDescent="0.25">
      <c r="B2760" s="562">
        <v>46287</v>
      </c>
      <c r="C2760" s="562" t="s">
        <v>105</v>
      </c>
      <c r="D2760" s="562" t="s">
        <v>189</v>
      </c>
      <c r="F2760" s="898"/>
      <c r="G2760" s="60" t="s">
        <v>14</v>
      </c>
      <c r="H2760" s="60" t="s">
        <v>105</v>
      </c>
      <c r="I2760" s="62">
        <v>35</v>
      </c>
      <c r="J2760" s="62">
        <v>7</v>
      </c>
      <c r="K2760" s="312">
        <v>0</v>
      </c>
      <c r="L2760" s="497">
        <f t="shared" si="629"/>
        <v>42</v>
      </c>
      <c r="M2760" s="61"/>
    </row>
    <row r="2761" spans="2:13" ht="15.75" hidden="1" x14ac:dyDescent="0.25">
      <c r="B2761" s="562">
        <v>46287</v>
      </c>
      <c r="C2761" s="562" t="s">
        <v>105</v>
      </c>
      <c r="D2761" s="562" t="s">
        <v>189</v>
      </c>
      <c r="F2761" s="898"/>
      <c r="G2761" s="60" t="s">
        <v>120</v>
      </c>
      <c r="H2761" s="60" t="s">
        <v>105</v>
      </c>
      <c r="I2761" s="62">
        <v>7</v>
      </c>
      <c r="J2761" s="62">
        <v>0</v>
      </c>
      <c r="K2761" s="312">
        <v>0</v>
      </c>
      <c r="L2761" s="497">
        <f t="shared" si="629"/>
        <v>7</v>
      </c>
      <c r="M2761" s="61"/>
    </row>
    <row r="2762" spans="2:13" ht="15.75" hidden="1" x14ac:dyDescent="0.25">
      <c r="B2762" s="562">
        <v>46287</v>
      </c>
      <c r="C2762" s="562" t="s">
        <v>105</v>
      </c>
      <c r="D2762" s="562" t="s">
        <v>189</v>
      </c>
      <c r="F2762" s="898"/>
      <c r="G2762" s="60" t="s">
        <v>180</v>
      </c>
      <c r="H2762" s="60" t="s">
        <v>18</v>
      </c>
      <c r="I2762" s="62">
        <v>9</v>
      </c>
      <c r="J2762" s="62">
        <v>0</v>
      </c>
      <c r="K2762" s="312">
        <v>0</v>
      </c>
      <c r="L2762" s="497">
        <f t="shared" si="629"/>
        <v>9</v>
      </c>
      <c r="M2762" s="61"/>
    </row>
    <row r="2763" spans="2:13" ht="15.75" hidden="1" x14ac:dyDescent="0.25">
      <c r="B2763" s="562">
        <v>46287</v>
      </c>
      <c r="C2763" s="562" t="s">
        <v>105</v>
      </c>
      <c r="D2763" s="562" t="s">
        <v>189</v>
      </c>
      <c r="F2763" s="838">
        <v>46288</v>
      </c>
      <c r="G2763" s="60" t="s">
        <v>16</v>
      </c>
      <c r="H2763" s="60" t="s">
        <v>27</v>
      </c>
      <c r="I2763" s="62">
        <v>58</v>
      </c>
      <c r="J2763" s="62">
        <v>14</v>
      </c>
      <c r="K2763" s="312">
        <v>0</v>
      </c>
      <c r="L2763" s="497">
        <f t="shared" si="629"/>
        <v>72</v>
      </c>
      <c r="M2763" s="61"/>
    </row>
    <row r="2764" spans="2:13" ht="15.75" hidden="1" x14ac:dyDescent="0.25">
      <c r="B2764" s="562">
        <v>46287</v>
      </c>
      <c r="C2764" s="562" t="s">
        <v>105</v>
      </c>
      <c r="D2764" s="562" t="s">
        <v>189</v>
      </c>
      <c r="F2764" s="839"/>
      <c r="G2764" s="60" t="s">
        <v>17</v>
      </c>
      <c r="H2764" s="60" t="s">
        <v>106</v>
      </c>
      <c r="I2764" s="62">
        <v>87</v>
      </c>
      <c r="J2764" s="62">
        <v>22</v>
      </c>
      <c r="K2764" s="312">
        <v>0</v>
      </c>
      <c r="L2764" s="497">
        <f t="shared" si="629"/>
        <v>109</v>
      </c>
      <c r="M2764" s="61"/>
    </row>
    <row r="2765" spans="2:13" ht="15.75" hidden="1" x14ac:dyDescent="0.25">
      <c r="B2765" s="562">
        <v>46287</v>
      </c>
      <c r="C2765" s="562" t="s">
        <v>105</v>
      </c>
      <c r="D2765" s="562" t="s">
        <v>189</v>
      </c>
      <c r="F2765" s="848"/>
      <c r="G2765" s="60" t="s">
        <v>14</v>
      </c>
      <c r="H2765" s="60" t="s">
        <v>105</v>
      </c>
      <c r="I2765" s="62">
        <v>26</v>
      </c>
      <c r="J2765" s="62">
        <v>2</v>
      </c>
      <c r="K2765" s="312">
        <v>110</v>
      </c>
      <c r="L2765" s="497">
        <f t="shared" si="629"/>
        <v>138</v>
      </c>
      <c r="M2765" s="61"/>
    </row>
    <row r="2766" spans="2:13" ht="15.75" hidden="1" x14ac:dyDescent="0.25">
      <c r="B2766" s="562">
        <v>46287</v>
      </c>
      <c r="C2766" s="562" t="s">
        <v>105</v>
      </c>
      <c r="D2766" s="562" t="s">
        <v>189</v>
      </c>
      <c r="F2766" s="838">
        <v>46289</v>
      </c>
      <c r="G2766" s="60" t="s">
        <v>16</v>
      </c>
      <c r="H2766" s="60" t="s">
        <v>27</v>
      </c>
      <c r="I2766" s="62">
        <v>0</v>
      </c>
      <c r="J2766" s="62">
        <v>0</v>
      </c>
      <c r="K2766" s="312">
        <v>96</v>
      </c>
      <c r="L2766" s="497">
        <f t="shared" si="629"/>
        <v>96</v>
      </c>
      <c r="M2766" s="61"/>
    </row>
    <row r="2767" spans="2:13" ht="15.75" hidden="1" x14ac:dyDescent="0.25">
      <c r="B2767" s="563">
        <v>46287</v>
      </c>
      <c r="C2767" s="563" t="s">
        <v>105</v>
      </c>
      <c r="D2767" s="563" t="s">
        <v>189</v>
      </c>
      <c r="F2767" s="839"/>
      <c r="G2767" s="60" t="s">
        <v>180</v>
      </c>
      <c r="H2767" s="60" t="s">
        <v>18</v>
      </c>
      <c r="I2767" s="62">
        <v>28</v>
      </c>
      <c r="J2767" s="62">
        <v>1</v>
      </c>
      <c r="K2767" s="312">
        <v>0</v>
      </c>
      <c r="L2767" s="497">
        <f t="shared" si="629"/>
        <v>29</v>
      </c>
      <c r="M2767" s="61"/>
    </row>
    <row r="2768" spans="2:13" ht="15.75" hidden="1" x14ac:dyDescent="0.25">
      <c r="B2768" s="562">
        <v>46287</v>
      </c>
      <c r="C2768" s="562" t="s">
        <v>105</v>
      </c>
      <c r="D2768" s="562" t="s">
        <v>189</v>
      </c>
      <c r="F2768" s="848"/>
      <c r="G2768" s="60" t="s">
        <v>25</v>
      </c>
      <c r="H2768" s="60" t="s">
        <v>106</v>
      </c>
      <c r="I2768" s="62">
        <v>1</v>
      </c>
      <c r="J2768" s="62">
        <v>0</v>
      </c>
      <c r="K2768" s="312">
        <v>70</v>
      </c>
      <c r="L2768" s="497">
        <f t="shared" si="629"/>
        <v>71</v>
      </c>
      <c r="M2768" s="61"/>
    </row>
    <row r="2769" spans="2:13" ht="15.75" hidden="1" x14ac:dyDescent="0.25">
      <c r="B2769" s="562">
        <v>46287</v>
      </c>
      <c r="C2769" s="562" t="s">
        <v>105</v>
      </c>
      <c r="D2769" s="562" t="s">
        <v>189</v>
      </c>
      <c r="F2769" s="890" t="s">
        <v>40</v>
      </c>
      <c r="G2769" s="890"/>
      <c r="H2769" s="890"/>
      <c r="I2769" s="99">
        <f>SUM(I2759:I2768)</f>
        <v>255</v>
      </c>
      <c r="J2769" s="99">
        <f>SUM(J2759:J2768)</f>
        <v>52</v>
      </c>
      <c r="K2769" s="99">
        <f>SUM(K2759:K2768)</f>
        <v>276</v>
      </c>
      <c r="L2769" s="99">
        <f>SUM(L2759:L2768)</f>
        <v>583</v>
      </c>
      <c r="M2769" s="512"/>
    </row>
    <row r="2770" spans="2:13" ht="15.75" hidden="1" x14ac:dyDescent="0.25">
      <c r="B2770" s="564">
        <v>46288</v>
      </c>
      <c r="C2770" s="564" t="s">
        <v>106</v>
      </c>
      <c r="D2770" s="564" t="s">
        <v>13</v>
      </c>
      <c r="F2770" s="897">
        <v>46288</v>
      </c>
      <c r="G2770" s="60" t="s">
        <v>16</v>
      </c>
      <c r="H2770" s="60" t="s">
        <v>27</v>
      </c>
      <c r="I2770" s="62">
        <v>10</v>
      </c>
      <c r="J2770" s="62">
        <v>5</v>
      </c>
      <c r="K2770" s="312">
        <v>0</v>
      </c>
      <c r="L2770" s="497">
        <f t="shared" ref="L2770:L2777" si="630">SUM(I2770:K2770)</f>
        <v>15</v>
      </c>
      <c r="M2770" s="61"/>
    </row>
    <row r="2771" spans="2:13" ht="15.75" hidden="1" x14ac:dyDescent="0.25">
      <c r="B2771" s="564">
        <v>46288</v>
      </c>
      <c r="C2771" s="564" t="s">
        <v>106</v>
      </c>
      <c r="D2771" s="564" t="s">
        <v>13</v>
      </c>
      <c r="F2771" s="898"/>
      <c r="G2771" s="60" t="s">
        <v>17</v>
      </c>
      <c r="H2771" s="60" t="s">
        <v>106</v>
      </c>
      <c r="I2771" s="62">
        <v>57</v>
      </c>
      <c r="J2771" s="62">
        <v>20</v>
      </c>
      <c r="K2771" s="312">
        <v>0</v>
      </c>
      <c r="L2771" s="497">
        <f t="shared" si="630"/>
        <v>77</v>
      </c>
      <c r="M2771" s="61"/>
    </row>
    <row r="2772" spans="2:13" ht="15.75" hidden="1" x14ac:dyDescent="0.25">
      <c r="B2772" s="564">
        <v>46288</v>
      </c>
      <c r="C2772" s="564" t="s">
        <v>106</v>
      </c>
      <c r="D2772" s="564" t="s">
        <v>13</v>
      </c>
      <c r="F2772" s="898"/>
      <c r="G2772" s="60" t="s">
        <v>84</v>
      </c>
      <c r="H2772" s="60" t="s">
        <v>106</v>
      </c>
      <c r="I2772" s="62">
        <v>1</v>
      </c>
      <c r="J2772" s="62">
        <v>1</v>
      </c>
      <c r="K2772" s="312">
        <v>0</v>
      </c>
      <c r="L2772" s="497">
        <f t="shared" si="630"/>
        <v>2</v>
      </c>
      <c r="M2772" s="61"/>
    </row>
    <row r="2773" spans="2:13" ht="15.75" hidden="1" x14ac:dyDescent="0.25">
      <c r="B2773" s="564">
        <v>46288</v>
      </c>
      <c r="C2773" s="564" t="s">
        <v>106</v>
      </c>
      <c r="D2773" s="564" t="s">
        <v>13</v>
      </c>
      <c r="F2773" s="898"/>
      <c r="G2773" s="60" t="s">
        <v>118</v>
      </c>
      <c r="H2773" s="60" t="s">
        <v>106</v>
      </c>
      <c r="I2773" s="62">
        <v>1</v>
      </c>
      <c r="J2773" s="62">
        <v>1</v>
      </c>
      <c r="K2773" s="312">
        <v>0</v>
      </c>
      <c r="L2773" s="497">
        <f t="shared" si="630"/>
        <v>2</v>
      </c>
      <c r="M2773" s="61"/>
    </row>
    <row r="2774" spans="2:13" ht="15.75" hidden="1" x14ac:dyDescent="0.25">
      <c r="B2774" s="564">
        <v>46288</v>
      </c>
      <c r="C2774" s="564" t="s">
        <v>106</v>
      </c>
      <c r="D2774" s="564" t="s">
        <v>13</v>
      </c>
      <c r="F2774" s="912"/>
      <c r="G2774" s="60" t="s">
        <v>14</v>
      </c>
      <c r="H2774" s="60" t="s">
        <v>105</v>
      </c>
      <c r="I2774" s="62">
        <v>72</v>
      </c>
      <c r="J2774" s="62">
        <v>32</v>
      </c>
      <c r="K2774" s="312">
        <v>0</v>
      </c>
      <c r="L2774" s="497">
        <f t="shared" si="630"/>
        <v>104</v>
      </c>
      <c r="M2774" s="61"/>
    </row>
    <row r="2775" spans="2:13" ht="15.75" hidden="1" x14ac:dyDescent="0.25">
      <c r="B2775" s="564">
        <v>46288</v>
      </c>
      <c r="C2775" s="564" t="s">
        <v>106</v>
      </c>
      <c r="D2775" s="564" t="s">
        <v>13</v>
      </c>
      <c r="F2775" s="838">
        <v>46289</v>
      </c>
      <c r="G2775" s="60" t="s">
        <v>16</v>
      </c>
      <c r="H2775" s="60" t="s">
        <v>27</v>
      </c>
      <c r="I2775" s="62">
        <v>31</v>
      </c>
      <c r="J2775" s="62">
        <v>15</v>
      </c>
      <c r="K2775" s="312">
        <v>97</v>
      </c>
      <c r="L2775" s="497">
        <f t="shared" si="630"/>
        <v>143</v>
      </c>
      <c r="M2775" s="61"/>
    </row>
    <row r="2776" spans="2:13" ht="15.75" hidden="1" x14ac:dyDescent="0.25">
      <c r="B2776" s="564">
        <v>46288</v>
      </c>
      <c r="C2776" s="564" t="s">
        <v>106</v>
      </c>
      <c r="D2776" s="564" t="s">
        <v>13</v>
      </c>
      <c r="F2776" s="839"/>
      <c r="G2776" s="60" t="s">
        <v>14</v>
      </c>
      <c r="H2776" s="60" t="s">
        <v>105</v>
      </c>
      <c r="I2776" s="62">
        <v>0</v>
      </c>
      <c r="J2776" s="62">
        <v>0</v>
      </c>
      <c r="K2776" s="312">
        <v>0</v>
      </c>
      <c r="L2776" s="497">
        <f t="shared" si="630"/>
        <v>0</v>
      </c>
      <c r="M2776" s="61"/>
    </row>
    <row r="2777" spans="2:13" ht="15.75" hidden="1" x14ac:dyDescent="0.25">
      <c r="B2777" s="564">
        <v>46288</v>
      </c>
      <c r="C2777" s="564" t="s">
        <v>106</v>
      </c>
      <c r="D2777" s="564" t="s">
        <v>13</v>
      </c>
      <c r="F2777" s="848"/>
      <c r="G2777" s="60" t="s">
        <v>25</v>
      </c>
      <c r="H2777" s="60" t="s">
        <v>106</v>
      </c>
      <c r="I2777" s="62">
        <v>49</v>
      </c>
      <c r="J2777" s="62">
        <v>21</v>
      </c>
      <c r="K2777" s="312">
        <v>106</v>
      </c>
      <c r="L2777" s="497">
        <f t="shared" si="630"/>
        <v>176</v>
      </c>
      <c r="M2777" s="61"/>
    </row>
    <row r="2778" spans="2:13" ht="15.75" hidden="1" x14ac:dyDescent="0.25">
      <c r="B2778" s="564">
        <v>46288</v>
      </c>
      <c r="C2778" s="564" t="s">
        <v>106</v>
      </c>
      <c r="D2778" s="564" t="s">
        <v>13</v>
      </c>
      <c r="F2778" s="890" t="s">
        <v>40</v>
      </c>
      <c r="G2778" s="890"/>
      <c r="H2778" s="890"/>
      <c r="I2778" s="99">
        <f>SUM(I2770:I2777)</f>
        <v>221</v>
      </c>
      <c r="J2778" s="99">
        <f t="shared" ref="J2778:L2778" si="631">SUM(J2770:J2777)</f>
        <v>95</v>
      </c>
      <c r="K2778" s="99">
        <f t="shared" si="631"/>
        <v>203</v>
      </c>
      <c r="L2778" s="99">
        <f t="shared" si="631"/>
        <v>519</v>
      </c>
      <c r="M2778" s="512"/>
    </row>
    <row r="2779" spans="2:13" ht="15.75" hidden="1" x14ac:dyDescent="0.25">
      <c r="B2779" s="565">
        <v>46288</v>
      </c>
      <c r="C2779" s="565" t="s">
        <v>105</v>
      </c>
      <c r="D2779" s="565" t="s">
        <v>189</v>
      </c>
      <c r="F2779" s="897">
        <v>46288</v>
      </c>
      <c r="G2779" s="60" t="s">
        <v>16</v>
      </c>
      <c r="H2779" s="60" t="s">
        <v>27</v>
      </c>
      <c r="I2779" s="62">
        <v>4</v>
      </c>
      <c r="J2779" s="62">
        <v>4</v>
      </c>
      <c r="K2779" s="312">
        <v>0</v>
      </c>
      <c r="L2779" s="497">
        <f t="shared" ref="L2779:L2787" si="632">SUM(I2779:K2779)</f>
        <v>8</v>
      </c>
      <c r="M2779" s="61"/>
    </row>
    <row r="2780" spans="2:13" ht="15.75" hidden="1" x14ac:dyDescent="0.25">
      <c r="B2780" s="565">
        <v>46288</v>
      </c>
      <c r="C2780" s="565" t="s">
        <v>105</v>
      </c>
      <c r="D2780" s="565" t="s">
        <v>189</v>
      </c>
      <c r="F2780" s="898"/>
      <c r="G2780" s="60" t="s">
        <v>14</v>
      </c>
      <c r="H2780" s="60" t="s">
        <v>105</v>
      </c>
      <c r="I2780" s="62">
        <v>61</v>
      </c>
      <c r="J2780" s="62">
        <v>7</v>
      </c>
      <c r="K2780" s="312">
        <v>0</v>
      </c>
      <c r="L2780" s="497">
        <f t="shared" si="632"/>
        <v>68</v>
      </c>
      <c r="M2780" s="61"/>
    </row>
    <row r="2781" spans="2:13" ht="15.75" hidden="1" x14ac:dyDescent="0.25">
      <c r="B2781" s="566">
        <v>46288</v>
      </c>
      <c r="C2781" s="566" t="s">
        <v>105</v>
      </c>
      <c r="D2781" s="566" t="s">
        <v>189</v>
      </c>
      <c r="F2781" s="898"/>
      <c r="G2781" s="60" t="s">
        <v>17</v>
      </c>
      <c r="H2781" s="60" t="s">
        <v>105</v>
      </c>
      <c r="I2781" s="62">
        <v>8</v>
      </c>
      <c r="J2781" s="62">
        <v>1</v>
      </c>
      <c r="K2781" s="312">
        <v>0</v>
      </c>
      <c r="L2781" s="497">
        <f t="shared" ref="L2781" si="633">SUM(I2781:K2781)</f>
        <v>9</v>
      </c>
      <c r="M2781" s="61"/>
    </row>
    <row r="2782" spans="2:13" ht="15.75" hidden="1" x14ac:dyDescent="0.25">
      <c r="B2782" s="565">
        <v>46288</v>
      </c>
      <c r="C2782" s="565" t="s">
        <v>105</v>
      </c>
      <c r="D2782" s="565" t="s">
        <v>189</v>
      </c>
      <c r="F2782" s="898"/>
      <c r="G2782" s="60" t="s">
        <v>120</v>
      </c>
      <c r="H2782" s="60" t="s">
        <v>105</v>
      </c>
      <c r="I2782" s="62">
        <v>2</v>
      </c>
      <c r="J2782" s="62">
        <v>0</v>
      </c>
      <c r="K2782" s="312">
        <v>0</v>
      </c>
      <c r="L2782" s="497">
        <f t="shared" si="632"/>
        <v>2</v>
      </c>
      <c r="M2782" s="61"/>
    </row>
    <row r="2783" spans="2:13" ht="15.75" hidden="1" x14ac:dyDescent="0.25">
      <c r="B2783" s="565">
        <v>46288</v>
      </c>
      <c r="C2783" s="565" t="s">
        <v>105</v>
      </c>
      <c r="D2783" s="565" t="s">
        <v>189</v>
      </c>
      <c r="F2783" s="838">
        <v>46289</v>
      </c>
      <c r="G2783" s="60" t="s">
        <v>16</v>
      </c>
      <c r="H2783" s="60" t="s">
        <v>27</v>
      </c>
      <c r="I2783" s="62">
        <v>71</v>
      </c>
      <c r="J2783" s="62">
        <v>24</v>
      </c>
      <c r="K2783" s="312">
        <v>0</v>
      </c>
      <c r="L2783" s="497">
        <f t="shared" si="632"/>
        <v>95</v>
      </c>
      <c r="M2783" s="61"/>
    </row>
    <row r="2784" spans="2:13" ht="15.75" hidden="1" x14ac:dyDescent="0.25">
      <c r="B2784" s="565">
        <v>46288</v>
      </c>
      <c r="C2784" s="565" t="s">
        <v>105</v>
      </c>
      <c r="D2784" s="565" t="s">
        <v>189</v>
      </c>
      <c r="F2784" s="839"/>
      <c r="G2784" s="60" t="s">
        <v>25</v>
      </c>
      <c r="H2784" s="60" t="s">
        <v>106</v>
      </c>
      <c r="I2784" s="62">
        <v>109</v>
      </c>
      <c r="J2784" s="62">
        <v>28</v>
      </c>
      <c r="K2784" s="312">
        <v>0</v>
      </c>
      <c r="L2784" s="497">
        <f t="shared" si="632"/>
        <v>137</v>
      </c>
      <c r="M2784" s="61"/>
    </row>
    <row r="2785" spans="2:13" ht="15.75" hidden="1" x14ac:dyDescent="0.25">
      <c r="B2785" s="565">
        <v>46288</v>
      </c>
      <c r="C2785" s="565" t="s">
        <v>105</v>
      </c>
      <c r="D2785" s="565" t="s">
        <v>189</v>
      </c>
      <c r="F2785" s="848"/>
      <c r="G2785" s="60" t="s">
        <v>14</v>
      </c>
      <c r="H2785" s="60" t="s">
        <v>105</v>
      </c>
      <c r="I2785" s="62">
        <v>2</v>
      </c>
      <c r="J2785" s="62">
        <v>0</v>
      </c>
      <c r="K2785" s="312">
        <v>134</v>
      </c>
      <c r="L2785" s="497">
        <f t="shared" si="632"/>
        <v>136</v>
      </c>
      <c r="M2785" s="61"/>
    </row>
    <row r="2786" spans="2:13" ht="15.75" hidden="1" x14ac:dyDescent="0.25">
      <c r="B2786" s="565">
        <v>46288</v>
      </c>
      <c r="C2786" s="565" t="s">
        <v>105</v>
      </c>
      <c r="D2786" s="565" t="s">
        <v>189</v>
      </c>
      <c r="F2786" s="839">
        <v>46290</v>
      </c>
      <c r="G2786" s="60" t="s">
        <v>118</v>
      </c>
      <c r="H2786" s="60" t="s">
        <v>106</v>
      </c>
      <c r="I2786" s="62">
        <v>0</v>
      </c>
      <c r="J2786" s="62">
        <v>0</v>
      </c>
      <c r="K2786" s="312">
        <v>161</v>
      </c>
      <c r="L2786" s="497">
        <f t="shared" si="632"/>
        <v>161</v>
      </c>
      <c r="M2786" s="61"/>
    </row>
    <row r="2787" spans="2:13" ht="15.75" hidden="1" x14ac:dyDescent="0.25">
      <c r="B2787" s="565">
        <v>46288</v>
      </c>
      <c r="C2787" s="565" t="s">
        <v>105</v>
      </c>
      <c r="D2787" s="565" t="s">
        <v>189</v>
      </c>
      <c r="F2787" s="848"/>
      <c r="G2787" s="60" t="s">
        <v>120</v>
      </c>
      <c r="H2787" s="60" t="s">
        <v>105</v>
      </c>
      <c r="I2787" s="62">
        <v>0</v>
      </c>
      <c r="J2787" s="62">
        <v>0</v>
      </c>
      <c r="K2787" s="312">
        <v>8</v>
      </c>
      <c r="L2787" s="497">
        <f t="shared" si="632"/>
        <v>8</v>
      </c>
      <c r="M2787" s="61"/>
    </row>
    <row r="2788" spans="2:13" ht="15.75" hidden="1" x14ac:dyDescent="0.25">
      <c r="B2788" s="565">
        <v>46288</v>
      </c>
      <c r="C2788" s="565" t="s">
        <v>105</v>
      </c>
      <c r="D2788" s="565" t="s">
        <v>189</v>
      </c>
      <c r="F2788" s="890" t="s">
        <v>40</v>
      </c>
      <c r="G2788" s="890"/>
      <c r="H2788" s="890"/>
      <c r="I2788" s="99">
        <f>SUM(I2779:I2787)</f>
        <v>257</v>
      </c>
      <c r="J2788" s="99">
        <f>SUM(J2779:J2787)</f>
        <v>64</v>
      </c>
      <c r="K2788" s="99">
        <f>SUM(K2779:K2787)</f>
        <v>303</v>
      </c>
      <c r="L2788" s="99">
        <f>SUM(L2779:L2787)</f>
        <v>624</v>
      </c>
      <c r="M2788" s="512"/>
    </row>
    <row r="2789" spans="2:13" ht="15.75" hidden="1" x14ac:dyDescent="0.25">
      <c r="B2789" s="567">
        <v>46289</v>
      </c>
      <c r="C2789" s="567" t="s">
        <v>106</v>
      </c>
      <c r="D2789" s="567" t="s">
        <v>13</v>
      </c>
      <c r="F2789" s="897">
        <v>46289</v>
      </c>
      <c r="G2789" s="60" t="s">
        <v>16</v>
      </c>
      <c r="H2789" s="60" t="s">
        <v>27</v>
      </c>
      <c r="I2789" s="62">
        <v>2</v>
      </c>
      <c r="J2789" s="62">
        <v>13</v>
      </c>
      <c r="K2789" s="312">
        <v>0</v>
      </c>
      <c r="L2789" s="497">
        <f t="shared" ref="L2789:L2798" si="634">SUM(I2789:K2789)</f>
        <v>15</v>
      </c>
      <c r="M2789" s="61"/>
    </row>
    <row r="2790" spans="2:13" ht="15.75" hidden="1" x14ac:dyDescent="0.25">
      <c r="B2790" s="567">
        <v>46289</v>
      </c>
      <c r="C2790" s="567" t="s">
        <v>106</v>
      </c>
      <c r="D2790" s="567" t="s">
        <v>13</v>
      </c>
      <c r="F2790" s="898"/>
      <c r="G2790" s="60" t="s">
        <v>14</v>
      </c>
      <c r="H2790" s="60" t="s">
        <v>105</v>
      </c>
      <c r="I2790" s="62">
        <v>97</v>
      </c>
      <c r="J2790" s="62">
        <v>31</v>
      </c>
      <c r="K2790" s="312">
        <v>0</v>
      </c>
      <c r="L2790" s="497">
        <f t="shared" si="634"/>
        <v>128</v>
      </c>
      <c r="M2790" s="61"/>
    </row>
    <row r="2791" spans="2:13" ht="15.75" hidden="1" x14ac:dyDescent="0.25">
      <c r="B2791" s="567">
        <v>46289</v>
      </c>
      <c r="C2791" s="567" t="s">
        <v>106</v>
      </c>
      <c r="D2791" s="567" t="s">
        <v>13</v>
      </c>
      <c r="F2791" s="898"/>
      <c r="G2791" s="60" t="s">
        <v>17</v>
      </c>
      <c r="H2791" s="60" t="s">
        <v>106</v>
      </c>
      <c r="I2791" s="62">
        <v>15</v>
      </c>
      <c r="J2791" s="62">
        <v>4</v>
      </c>
      <c r="K2791" s="312">
        <v>0</v>
      </c>
      <c r="L2791" s="497">
        <f t="shared" si="634"/>
        <v>19</v>
      </c>
      <c r="M2791" s="61"/>
    </row>
    <row r="2792" spans="2:13" ht="15.75" hidden="1" x14ac:dyDescent="0.25">
      <c r="B2792" s="567">
        <v>46289</v>
      </c>
      <c r="C2792" s="567" t="s">
        <v>106</v>
      </c>
      <c r="D2792" s="567" t="s">
        <v>13</v>
      </c>
      <c r="F2792" s="898"/>
      <c r="G2792" s="60" t="s">
        <v>25</v>
      </c>
      <c r="H2792" s="60" t="s">
        <v>106</v>
      </c>
      <c r="I2792" s="62">
        <v>34</v>
      </c>
      <c r="J2792" s="62">
        <v>16</v>
      </c>
      <c r="K2792" s="312">
        <v>0</v>
      </c>
      <c r="L2792" s="497">
        <f t="shared" si="634"/>
        <v>50</v>
      </c>
      <c r="M2792" s="61"/>
    </row>
    <row r="2793" spans="2:13" ht="15.75" hidden="1" x14ac:dyDescent="0.25">
      <c r="B2793" s="567">
        <v>46289</v>
      </c>
      <c r="C2793" s="567" t="s">
        <v>106</v>
      </c>
      <c r="D2793" s="567" t="s">
        <v>13</v>
      </c>
      <c r="F2793" s="898"/>
      <c r="G2793" s="60" t="s">
        <v>84</v>
      </c>
      <c r="H2793" s="60" t="s">
        <v>106</v>
      </c>
      <c r="I2793" s="62">
        <v>5</v>
      </c>
      <c r="J2793" s="62">
        <v>5</v>
      </c>
      <c r="K2793" s="312">
        <v>0</v>
      </c>
      <c r="L2793" s="497">
        <f t="shared" si="634"/>
        <v>10</v>
      </c>
      <c r="M2793" s="61"/>
    </row>
    <row r="2794" spans="2:13" ht="15.75" hidden="1" x14ac:dyDescent="0.25">
      <c r="B2794" s="567">
        <v>46289</v>
      </c>
      <c r="C2794" s="567" t="s">
        <v>106</v>
      </c>
      <c r="D2794" s="567" t="s">
        <v>13</v>
      </c>
      <c r="F2794" s="898"/>
      <c r="G2794" s="60" t="s">
        <v>32</v>
      </c>
      <c r="H2794" s="60" t="s">
        <v>106</v>
      </c>
      <c r="I2794" s="62">
        <v>2</v>
      </c>
      <c r="J2794" s="62">
        <v>0</v>
      </c>
      <c r="K2794" s="312">
        <v>0</v>
      </c>
      <c r="L2794" s="497">
        <f t="shared" si="634"/>
        <v>2</v>
      </c>
      <c r="M2794" s="61"/>
    </row>
    <row r="2795" spans="2:13" ht="15.75" hidden="1" x14ac:dyDescent="0.25">
      <c r="B2795" s="567">
        <v>46289</v>
      </c>
      <c r="C2795" s="567" t="s">
        <v>106</v>
      </c>
      <c r="D2795" s="567" t="s">
        <v>13</v>
      </c>
      <c r="F2795" s="912"/>
      <c r="G2795" s="60" t="s">
        <v>118</v>
      </c>
      <c r="H2795" s="60" t="s">
        <v>106</v>
      </c>
      <c r="I2795" s="62">
        <v>6</v>
      </c>
      <c r="J2795" s="62">
        <v>1</v>
      </c>
      <c r="K2795" s="312">
        <v>0</v>
      </c>
      <c r="L2795" s="497">
        <f t="shared" si="634"/>
        <v>7</v>
      </c>
      <c r="M2795" s="61"/>
    </row>
    <row r="2796" spans="2:13" ht="15.75" hidden="1" x14ac:dyDescent="0.25">
      <c r="B2796" s="567">
        <v>46289</v>
      </c>
      <c r="C2796" s="567" t="s">
        <v>106</v>
      </c>
      <c r="D2796" s="567" t="s">
        <v>13</v>
      </c>
      <c r="F2796" s="839">
        <v>46290</v>
      </c>
      <c r="G2796" s="60" t="s">
        <v>16</v>
      </c>
      <c r="H2796" s="60" t="s">
        <v>27</v>
      </c>
      <c r="I2796" s="62">
        <v>81</v>
      </c>
      <c r="J2796" s="62">
        <v>20</v>
      </c>
      <c r="K2796" s="312">
        <v>58</v>
      </c>
      <c r="L2796" s="497">
        <f t="shared" si="634"/>
        <v>159</v>
      </c>
      <c r="M2796" s="61"/>
    </row>
    <row r="2797" spans="2:13" ht="15.75" hidden="1" x14ac:dyDescent="0.25">
      <c r="B2797" s="568">
        <v>46289</v>
      </c>
      <c r="C2797" s="568" t="s">
        <v>106</v>
      </c>
      <c r="D2797" s="568" t="s">
        <v>13</v>
      </c>
      <c r="F2797" s="839"/>
      <c r="G2797" s="60" t="s">
        <v>120</v>
      </c>
      <c r="H2797" s="60" t="s">
        <v>105</v>
      </c>
      <c r="I2797" s="62">
        <v>0</v>
      </c>
      <c r="J2797" s="62">
        <v>0</v>
      </c>
      <c r="K2797" s="312">
        <v>45</v>
      </c>
      <c r="L2797" s="497">
        <f t="shared" si="634"/>
        <v>45</v>
      </c>
      <c r="M2797" s="61"/>
    </row>
    <row r="2798" spans="2:13" ht="15.75" hidden="1" x14ac:dyDescent="0.25">
      <c r="B2798" s="568">
        <v>46289</v>
      </c>
      <c r="C2798" s="568" t="s">
        <v>106</v>
      </c>
      <c r="D2798" s="568" t="s">
        <v>13</v>
      </c>
      <c r="F2798" s="848"/>
      <c r="G2798" s="60" t="s">
        <v>118</v>
      </c>
      <c r="H2798" s="60" t="s">
        <v>106</v>
      </c>
      <c r="I2798" s="62">
        <v>6</v>
      </c>
      <c r="J2798" s="62">
        <v>1</v>
      </c>
      <c r="K2798" s="312">
        <v>50</v>
      </c>
      <c r="L2798" s="497">
        <f t="shared" si="634"/>
        <v>57</v>
      </c>
      <c r="M2798" s="61"/>
    </row>
    <row r="2799" spans="2:13" ht="15.75" hidden="1" x14ac:dyDescent="0.25">
      <c r="B2799" s="568">
        <v>46289</v>
      </c>
      <c r="C2799" s="568" t="s">
        <v>106</v>
      </c>
      <c r="D2799" s="568" t="s">
        <v>13</v>
      </c>
      <c r="F2799" s="890" t="s">
        <v>40</v>
      </c>
      <c r="G2799" s="890"/>
      <c r="H2799" s="890"/>
      <c r="I2799" s="99">
        <f>SUM(I2789:I2798)</f>
        <v>248</v>
      </c>
      <c r="J2799" s="99">
        <f>SUM(J2789:J2798)</f>
        <v>91</v>
      </c>
      <c r="K2799" s="99">
        <f>SUM(K2789:K2798)</f>
        <v>153</v>
      </c>
      <c r="L2799" s="99">
        <f>SUM(L2789:L2798)</f>
        <v>492</v>
      </c>
      <c r="M2799" s="512"/>
    </row>
    <row r="2800" spans="2:13" ht="15.75" hidden="1" x14ac:dyDescent="0.25">
      <c r="B2800" s="570">
        <v>46289</v>
      </c>
      <c r="C2800" s="570" t="s">
        <v>105</v>
      </c>
      <c r="D2800" s="570" t="s">
        <v>189</v>
      </c>
      <c r="F2800" s="897">
        <v>46289</v>
      </c>
      <c r="G2800" s="60" t="s">
        <v>16</v>
      </c>
      <c r="H2800" s="60" t="s">
        <v>27</v>
      </c>
      <c r="I2800" s="62">
        <v>5</v>
      </c>
      <c r="J2800" s="62">
        <v>6</v>
      </c>
      <c r="K2800" s="312">
        <v>0</v>
      </c>
      <c r="L2800" s="497">
        <f t="shared" ref="L2800:L2810" si="635">SUM(I2800:K2800)</f>
        <v>11</v>
      </c>
      <c r="M2800" s="61"/>
    </row>
    <row r="2801" spans="2:13" ht="15.75" hidden="1" x14ac:dyDescent="0.25">
      <c r="B2801" s="570">
        <v>46289</v>
      </c>
      <c r="C2801" s="570" t="s">
        <v>105</v>
      </c>
      <c r="D2801" s="570" t="s">
        <v>189</v>
      </c>
      <c r="F2801" s="898"/>
      <c r="G2801" s="60" t="s">
        <v>14</v>
      </c>
      <c r="H2801" s="60" t="s">
        <v>105</v>
      </c>
      <c r="I2801" s="62">
        <v>67</v>
      </c>
      <c r="J2801" s="62">
        <v>6</v>
      </c>
      <c r="K2801" s="312">
        <v>0</v>
      </c>
      <c r="L2801" s="497">
        <f t="shared" si="635"/>
        <v>73</v>
      </c>
      <c r="M2801" s="61"/>
    </row>
    <row r="2802" spans="2:13" ht="15.75" hidden="1" x14ac:dyDescent="0.25">
      <c r="B2802" s="570">
        <v>46289</v>
      </c>
      <c r="C2802" s="570" t="s">
        <v>105</v>
      </c>
      <c r="D2802" s="570" t="s">
        <v>189</v>
      </c>
      <c r="F2802" s="898"/>
      <c r="G2802" s="60" t="s">
        <v>25</v>
      </c>
      <c r="H2802" s="60" t="s">
        <v>105</v>
      </c>
      <c r="I2802" s="62">
        <v>4</v>
      </c>
      <c r="J2802" s="62">
        <v>0</v>
      </c>
      <c r="K2802" s="312">
        <v>0</v>
      </c>
      <c r="L2802" s="497">
        <f t="shared" si="635"/>
        <v>4</v>
      </c>
      <c r="M2802" s="61"/>
    </row>
    <row r="2803" spans="2:13" ht="15.75" hidden="1" x14ac:dyDescent="0.25">
      <c r="B2803" s="570">
        <v>46289</v>
      </c>
      <c r="C2803" s="570" t="s">
        <v>105</v>
      </c>
      <c r="D2803" s="570" t="s">
        <v>189</v>
      </c>
      <c r="F2803" s="898"/>
      <c r="G2803" s="60" t="s">
        <v>120</v>
      </c>
      <c r="H2803" s="60" t="s">
        <v>105</v>
      </c>
      <c r="I2803" s="62">
        <v>2</v>
      </c>
      <c r="J2803" s="62">
        <v>0</v>
      </c>
      <c r="K2803" s="312">
        <v>0</v>
      </c>
      <c r="L2803" s="497">
        <f t="shared" si="635"/>
        <v>2</v>
      </c>
      <c r="M2803" s="61"/>
    </row>
    <row r="2804" spans="2:13" ht="15.75" hidden="1" x14ac:dyDescent="0.25">
      <c r="B2804" s="570">
        <v>46289</v>
      </c>
      <c r="C2804" s="570" t="s">
        <v>105</v>
      </c>
      <c r="D2804" s="570" t="s">
        <v>189</v>
      </c>
      <c r="F2804" s="895">
        <v>46290</v>
      </c>
      <c r="G2804" s="60" t="s">
        <v>16</v>
      </c>
      <c r="H2804" s="60" t="s">
        <v>27</v>
      </c>
      <c r="I2804" s="62">
        <v>55</v>
      </c>
      <c r="J2804" s="62">
        <v>13</v>
      </c>
      <c r="K2804" s="312">
        <v>3</v>
      </c>
      <c r="L2804" s="497">
        <f t="shared" si="635"/>
        <v>71</v>
      </c>
      <c r="M2804" s="61"/>
    </row>
    <row r="2805" spans="2:13" ht="15.75" hidden="1" x14ac:dyDescent="0.25">
      <c r="B2805" s="570">
        <v>46289</v>
      </c>
      <c r="C2805" s="570" t="s">
        <v>105</v>
      </c>
      <c r="D2805" s="570" t="s">
        <v>189</v>
      </c>
      <c r="F2805" s="895"/>
      <c r="G2805" s="60" t="s">
        <v>118</v>
      </c>
      <c r="H2805" s="60" t="s">
        <v>106</v>
      </c>
      <c r="I2805" s="62">
        <v>166</v>
      </c>
      <c r="J2805" s="62">
        <v>41</v>
      </c>
      <c r="K2805" s="312">
        <v>0</v>
      </c>
      <c r="L2805" s="497">
        <f t="shared" si="635"/>
        <v>207</v>
      </c>
      <c r="M2805" s="61"/>
    </row>
    <row r="2806" spans="2:13" ht="15.75" hidden="1" x14ac:dyDescent="0.25">
      <c r="B2806" s="570">
        <v>46289</v>
      </c>
      <c r="C2806" s="570" t="s">
        <v>105</v>
      </c>
      <c r="D2806" s="570" t="s">
        <v>189</v>
      </c>
      <c r="F2806" s="895"/>
      <c r="G2806" s="60" t="s">
        <v>32</v>
      </c>
      <c r="H2806" s="60" t="s">
        <v>106</v>
      </c>
      <c r="I2806" s="62">
        <v>0</v>
      </c>
      <c r="J2806" s="62">
        <v>0</v>
      </c>
      <c r="K2806" s="312">
        <v>16</v>
      </c>
      <c r="L2806" s="497">
        <f t="shared" si="635"/>
        <v>16</v>
      </c>
      <c r="M2806" s="61"/>
    </row>
    <row r="2807" spans="2:13" ht="15.75" hidden="1" x14ac:dyDescent="0.25">
      <c r="B2807" s="570">
        <v>46289</v>
      </c>
      <c r="C2807" s="570" t="s">
        <v>105</v>
      </c>
      <c r="D2807" s="570" t="s">
        <v>189</v>
      </c>
      <c r="F2807" s="895"/>
      <c r="G2807" s="60" t="s">
        <v>120</v>
      </c>
      <c r="H2807" s="60" t="s">
        <v>105</v>
      </c>
      <c r="I2807" s="62">
        <v>18</v>
      </c>
      <c r="J2807" s="62">
        <v>0</v>
      </c>
      <c r="K2807" s="312">
        <v>27</v>
      </c>
      <c r="L2807" s="497">
        <f t="shared" si="635"/>
        <v>45</v>
      </c>
      <c r="M2807" s="61"/>
    </row>
    <row r="2808" spans="2:13" ht="15.75" hidden="1" x14ac:dyDescent="0.25">
      <c r="B2808" s="570">
        <v>46289</v>
      </c>
      <c r="C2808" s="570" t="s">
        <v>105</v>
      </c>
      <c r="D2808" s="570" t="s">
        <v>189</v>
      </c>
      <c r="F2808" s="895"/>
      <c r="G2808" s="60" t="s">
        <v>180</v>
      </c>
      <c r="H2808" s="60" t="s">
        <v>105</v>
      </c>
      <c r="I2808" s="62">
        <v>10</v>
      </c>
      <c r="J2808" s="62">
        <v>0</v>
      </c>
      <c r="K2808" s="312">
        <v>0</v>
      </c>
      <c r="L2808" s="497">
        <f t="shared" si="635"/>
        <v>10</v>
      </c>
      <c r="M2808" s="61"/>
    </row>
    <row r="2809" spans="2:13" ht="15.75" hidden="1" x14ac:dyDescent="0.25">
      <c r="B2809" s="570">
        <v>46289</v>
      </c>
      <c r="C2809" s="570" t="s">
        <v>105</v>
      </c>
      <c r="D2809" s="570" t="s">
        <v>189</v>
      </c>
      <c r="F2809" s="895"/>
      <c r="G2809" s="60" t="s">
        <v>17</v>
      </c>
      <c r="H2809" s="60" t="s">
        <v>105</v>
      </c>
      <c r="I2809" s="62">
        <v>42</v>
      </c>
      <c r="J2809" s="62">
        <v>6</v>
      </c>
      <c r="K2809" s="312">
        <v>136</v>
      </c>
      <c r="L2809" s="497">
        <f t="shared" si="635"/>
        <v>184</v>
      </c>
      <c r="M2809" s="61"/>
    </row>
    <row r="2810" spans="2:13" ht="15.75" hidden="1" x14ac:dyDescent="0.25">
      <c r="B2810" s="570">
        <v>46289</v>
      </c>
      <c r="C2810" s="570" t="s">
        <v>105</v>
      </c>
      <c r="D2810" s="570" t="s">
        <v>189</v>
      </c>
      <c r="F2810" s="569">
        <v>46291</v>
      </c>
      <c r="G2810" s="60" t="s">
        <v>16</v>
      </c>
      <c r="H2810" s="60" t="s">
        <v>27</v>
      </c>
      <c r="I2810" s="62">
        <v>0</v>
      </c>
      <c r="J2810" s="62">
        <v>0</v>
      </c>
      <c r="K2810" s="312">
        <v>114</v>
      </c>
      <c r="L2810" s="497">
        <f t="shared" si="635"/>
        <v>114</v>
      </c>
      <c r="M2810" s="61"/>
    </row>
    <row r="2811" spans="2:13" ht="15.75" hidden="1" x14ac:dyDescent="0.25">
      <c r="B2811" s="570">
        <v>46289</v>
      </c>
      <c r="C2811" s="570" t="s">
        <v>105</v>
      </c>
      <c r="D2811" s="570" t="s">
        <v>189</v>
      </c>
      <c r="F2811" s="890" t="s">
        <v>40</v>
      </c>
      <c r="G2811" s="890"/>
      <c r="H2811" s="890"/>
      <c r="I2811" s="99">
        <f>SUM(I2800:I2810)</f>
        <v>369</v>
      </c>
      <c r="J2811" s="99">
        <f>SUM(J2800:J2810)</f>
        <v>72</v>
      </c>
      <c r="K2811" s="99">
        <f>SUM(K2800:K2810)</f>
        <v>296</v>
      </c>
      <c r="L2811" s="99">
        <f>SUM(L2800:L2810)</f>
        <v>737</v>
      </c>
      <c r="M2811" s="512"/>
    </row>
    <row r="2812" spans="2:13" ht="15.75" hidden="1" x14ac:dyDescent="0.25">
      <c r="B2812" s="571">
        <v>46290</v>
      </c>
      <c r="C2812" s="571" t="s">
        <v>106</v>
      </c>
      <c r="D2812" s="571" t="s">
        <v>13</v>
      </c>
      <c r="F2812" s="895">
        <v>46290</v>
      </c>
      <c r="G2812" s="60" t="s">
        <v>16</v>
      </c>
      <c r="H2812" s="60" t="s">
        <v>27</v>
      </c>
      <c r="I2812" s="62">
        <v>7</v>
      </c>
      <c r="J2812" s="62">
        <v>11</v>
      </c>
      <c r="K2812" s="312">
        <v>0</v>
      </c>
      <c r="L2812" s="497">
        <f t="shared" ref="L2812:L2819" si="636">SUM(I2812:K2812)</f>
        <v>18</v>
      </c>
      <c r="M2812" s="61"/>
    </row>
    <row r="2813" spans="2:13" ht="15.75" hidden="1" x14ac:dyDescent="0.25">
      <c r="B2813" s="571">
        <v>46290</v>
      </c>
      <c r="C2813" s="571" t="s">
        <v>106</v>
      </c>
      <c r="D2813" s="571" t="s">
        <v>13</v>
      </c>
      <c r="F2813" s="895"/>
      <c r="G2813" s="60" t="s">
        <v>118</v>
      </c>
      <c r="H2813" s="60" t="s">
        <v>106</v>
      </c>
      <c r="I2813" s="62">
        <v>28</v>
      </c>
      <c r="J2813" s="62">
        <v>6</v>
      </c>
      <c r="K2813" s="312">
        <v>0</v>
      </c>
      <c r="L2813" s="497">
        <f t="shared" si="636"/>
        <v>34</v>
      </c>
      <c r="M2813" s="61"/>
    </row>
    <row r="2814" spans="2:13" ht="15.75" hidden="1" x14ac:dyDescent="0.25">
      <c r="B2814" s="571">
        <v>46290</v>
      </c>
      <c r="C2814" s="571" t="s">
        <v>106</v>
      </c>
      <c r="D2814" s="571" t="s">
        <v>13</v>
      </c>
      <c r="F2814" s="895"/>
      <c r="G2814" s="60" t="s">
        <v>32</v>
      </c>
      <c r="H2814" s="60" t="s">
        <v>106</v>
      </c>
      <c r="I2814" s="62">
        <v>18</v>
      </c>
      <c r="J2814" s="62">
        <v>3</v>
      </c>
      <c r="K2814" s="312">
        <v>0</v>
      </c>
      <c r="L2814" s="497">
        <f t="shared" si="636"/>
        <v>21</v>
      </c>
      <c r="M2814" s="61"/>
    </row>
    <row r="2815" spans="2:13" ht="15.75" hidden="1" x14ac:dyDescent="0.25">
      <c r="B2815" s="571">
        <v>46290</v>
      </c>
      <c r="C2815" s="571" t="s">
        <v>106</v>
      </c>
      <c r="D2815" s="571" t="s">
        <v>13</v>
      </c>
      <c r="F2815" s="895"/>
      <c r="G2815" s="60" t="s">
        <v>84</v>
      </c>
      <c r="H2815" s="60" t="s">
        <v>106</v>
      </c>
      <c r="I2815" s="62">
        <v>2</v>
      </c>
      <c r="J2815" s="62">
        <v>2</v>
      </c>
      <c r="K2815" s="312">
        <v>0</v>
      </c>
      <c r="L2815" s="497">
        <f t="shared" si="636"/>
        <v>4</v>
      </c>
      <c r="M2815" s="61"/>
    </row>
    <row r="2816" spans="2:13" ht="15.75" hidden="1" x14ac:dyDescent="0.25">
      <c r="B2816" s="571">
        <v>46290</v>
      </c>
      <c r="C2816" s="571" t="s">
        <v>106</v>
      </c>
      <c r="D2816" s="571" t="s">
        <v>13</v>
      </c>
      <c r="F2816" s="895"/>
      <c r="G2816" s="60" t="s">
        <v>17</v>
      </c>
      <c r="H2816" s="60" t="s">
        <v>105</v>
      </c>
      <c r="I2816" s="62">
        <v>121</v>
      </c>
      <c r="J2816" s="62">
        <v>17</v>
      </c>
      <c r="K2816" s="312">
        <v>0</v>
      </c>
      <c r="L2816" s="497">
        <f t="shared" si="636"/>
        <v>138</v>
      </c>
      <c r="M2816" s="61"/>
    </row>
    <row r="2817" spans="2:13" ht="15.75" hidden="1" x14ac:dyDescent="0.25">
      <c r="B2817" s="571">
        <v>46290</v>
      </c>
      <c r="C2817" s="571" t="s">
        <v>106</v>
      </c>
      <c r="D2817" s="571" t="s">
        <v>13</v>
      </c>
      <c r="F2817" s="830">
        <v>46291</v>
      </c>
      <c r="G2817" s="60" t="s">
        <v>16</v>
      </c>
      <c r="H2817" s="60" t="s">
        <v>27</v>
      </c>
      <c r="I2817" s="62">
        <v>111</v>
      </c>
      <c r="J2817" s="62">
        <v>27</v>
      </c>
      <c r="K2817" s="312">
        <v>0</v>
      </c>
      <c r="L2817" s="497">
        <f t="shared" si="636"/>
        <v>138</v>
      </c>
      <c r="M2817" s="61"/>
    </row>
    <row r="2818" spans="2:13" ht="15.75" hidden="1" x14ac:dyDescent="0.25">
      <c r="B2818" s="571">
        <v>46290</v>
      </c>
      <c r="C2818" s="571" t="s">
        <v>106</v>
      </c>
      <c r="D2818" s="571" t="s">
        <v>13</v>
      </c>
      <c r="F2818" s="831"/>
      <c r="G2818" s="60" t="s">
        <v>17</v>
      </c>
      <c r="H2818" s="60" t="s">
        <v>106</v>
      </c>
      <c r="I2818" s="62">
        <v>44</v>
      </c>
      <c r="J2818" s="62">
        <v>26</v>
      </c>
      <c r="K2818" s="312">
        <v>112</v>
      </c>
      <c r="L2818" s="497">
        <f t="shared" si="636"/>
        <v>182</v>
      </c>
      <c r="M2818" s="61"/>
    </row>
    <row r="2819" spans="2:13" ht="15.75" hidden="1" x14ac:dyDescent="0.25">
      <c r="B2819" s="571">
        <v>46290</v>
      </c>
      <c r="C2819" s="571" t="s">
        <v>106</v>
      </c>
      <c r="D2819" s="571" t="s">
        <v>13</v>
      </c>
      <c r="F2819" s="832"/>
      <c r="G2819" s="60" t="s">
        <v>25</v>
      </c>
      <c r="H2819" s="60" t="s">
        <v>105</v>
      </c>
      <c r="I2819" s="62">
        <v>0</v>
      </c>
      <c r="J2819" s="62">
        <v>0</v>
      </c>
      <c r="K2819" s="312">
        <v>25</v>
      </c>
      <c r="L2819" s="497">
        <f t="shared" si="636"/>
        <v>25</v>
      </c>
      <c r="M2819" s="61"/>
    </row>
    <row r="2820" spans="2:13" ht="15.75" hidden="1" x14ac:dyDescent="0.25">
      <c r="B2820" s="571">
        <v>46290</v>
      </c>
      <c r="C2820" s="571" t="s">
        <v>106</v>
      </c>
      <c r="D2820" s="571" t="s">
        <v>13</v>
      </c>
      <c r="F2820" s="890" t="s">
        <v>40</v>
      </c>
      <c r="G2820" s="890"/>
      <c r="H2820" s="890"/>
      <c r="I2820" s="99">
        <f>SUM(I2812:I2819)</f>
        <v>331</v>
      </c>
      <c r="J2820" s="99">
        <f t="shared" ref="J2820:L2820" si="637">SUM(J2812:J2819)</f>
        <v>92</v>
      </c>
      <c r="K2820" s="99">
        <f t="shared" si="637"/>
        <v>137</v>
      </c>
      <c r="L2820" s="99">
        <f t="shared" si="637"/>
        <v>560</v>
      </c>
      <c r="M2820" s="512"/>
    </row>
    <row r="2821" spans="2:13" ht="15.75" hidden="1" x14ac:dyDescent="0.25">
      <c r="B2821" s="572">
        <v>46290</v>
      </c>
      <c r="C2821" s="572" t="s">
        <v>105</v>
      </c>
      <c r="D2821" s="572" t="s">
        <v>189</v>
      </c>
      <c r="F2821" s="925">
        <v>46290</v>
      </c>
      <c r="G2821" s="60" t="s">
        <v>16</v>
      </c>
      <c r="H2821" s="60" t="s">
        <v>27</v>
      </c>
      <c r="I2821" s="62">
        <v>7</v>
      </c>
      <c r="J2821" s="62">
        <v>0</v>
      </c>
      <c r="K2821" s="312">
        <v>0</v>
      </c>
      <c r="L2821" s="497">
        <f t="shared" ref="L2821:L2828" si="638">SUM(I2821:K2821)</f>
        <v>7</v>
      </c>
      <c r="M2821" s="61"/>
    </row>
    <row r="2822" spans="2:13" ht="15.75" hidden="1" x14ac:dyDescent="0.25">
      <c r="B2822" s="572">
        <v>46290</v>
      </c>
      <c r="C2822" s="572" t="s">
        <v>105</v>
      </c>
      <c r="D2822" s="573" t="s">
        <v>189</v>
      </c>
      <c r="F2822" s="921"/>
      <c r="G2822" s="60" t="s">
        <v>17</v>
      </c>
      <c r="H2822" s="60" t="s">
        <v>106</v>
      </c>
      <c r="I2822" s="62">
        <v>17</v>
      </c>
      <c r="J2822" s="62">
        <v>3</v>
      </c>
      <c r="K2822" s="312">
        <v>0</v>
      </c>
      <c r="L2822" s="497">
        <f t="shared" si="638"/>
        <v>20</v>
      </c>
      <c r="M2822" s="61"/>
    </row>
    <row r="2823" spans="2:13" ht="16.5" hidden="1" thickBot="1" x14ac:dyDescent="0.3">
      <c r="B2823" s="572">
        <v>46290</v>
      </c>
      <c r="C2823" s="572" t="s">
        <v>105</v>
      </c>
      <c r="D2823" s="573" t="s">
        <v>189</v>
      </c>
      <c r="F2823" s="922"/>
      <c r="G2823" s="579" t="s">
        <v>120</v>
      </c>
      <c r="H2823" s="579" t="s">
        <v>106</v>
      </c>
      <c r="I2823" s="579">
        <v>27</v>
      </c>
      <c r="J2823" s="579">
        <v>0</v>
      </c>
      <c r="K2823" s="580">
        <v>0</v>
      </c>
      <c r="L2823" s="581">
        <f t="shared" si="638"/>
        <v>27</v>
      </c>
      <c r="M2823" s="582"/>
    </row>
    <row r="2824" spans="2:13" ht="16.5" hidden="1" thickTop="1" x14ac:dyDescent="0.25">
      <c r="B2824" s="572">
        <v>46290</v>
      </c>
      <c r="C2824" s="572" t="s">
        <v>105</v>
      </c>
      <c r="D2824" s="573" t="s">
        <v>189</v>
      </c>
      <c r="F2824" s="920">
        <v>46291</v>
      </c>
      <c r="G2824" s="583" t="s">
        <v>16</v>
      </c>
      <c r="H2824" s="583" t="s">
        <v>106</v>
      </c>
      <c r="I2824" s="584">
        <v>15</v>
      </c>
      <c r="J2824" s="584">
        <v>5</v>
      </c>
      <c r="K2824" s="585">
        <v>0</v>
      </c>
      <c r="L2824" s="586">
        <f t="shared" si="638"/>
        <v>20</v>
      </c>
      <c r="M2824" s="587"/>
    </row>
    <row r="2825" spans="2:13" ht="15.75" hidden="1" x14ac:dyDescent="0.25">
      <c r="B2825" s="572">
        <v>46290</v>
      </c>
      <c r="C2825" s="572" t="s">
        <v>105</v>
      </c>
      <c r="D2825" s="573" t="s">
        <v>189</v>
      </c>
      <c r="F2825" s="921"/>
      <c r="G2825" s="60" t="s">
        <v>17</v>
      </c>
      <c r="H2825" s="60" t="s">
        <v>105</v>
      </c>
      <c r="I2825" s="62">
        <v>115</v>
      </c>
      <c r="J2825" s="62">
        <v>41</v>
      </c>
      <c r="K2825" s="312">
        <v>0</v>
      </c>
      <c r="L2825" s="497">
        <f t="shared" si="638"/>
        <v>156</v>
      </c>
      <c r="M2825" s="61"/>
    </row>
    <row r="2826" spans="2:13" ht="16.5" hidden="1" thickBot="1" x14ac:dyDescent="0.3">
      <c r="B2826" s="572">
        <v>46290</v>
      </c>
      <c r="C2826" s="572" t="s">
        <v>105</v>
      </c>
      <c r="D2826" s="573" t="s">
        <v>189</v>
      </c>
      <c r="F2826" s="922"/>
      <c r="G2826" s="579" t="s">
        <v>25</v>
      </c>
      <c r="H2826" s="579" t="s">
        <v>27</v>
      </c>
      <c r="I2826" s="579">
        <v>0</v>
      </c>
      <c r="J2826" s="579">
        <v>0</v>
      </c>
      <c r="K2826" s="580">
        <v>129</v>
      </c>
      <c r="L2826" s="581">
        <f t="shared" si="638"/>
        <v>129</v>
      </c>
      <c r="M2826" s="582"/>
    </row>
    <row r="2827" spans="2:13" ht="17.25" hidden="1" thickTop="1" thickBot="1" x14ac:dyDescent="0.3">
      <c r="B2827" s="572">
        <v>46290</v>
      </c>
      <c r="C2827" s="572" t="s">
        <v>105</v>
      </c>
      <c r="D2827" s="573" t="s">
        <v>189</v>
      </c>
      <c r="F2827" s="610">
        <v>46292</v>
      </c>
      <c r="G2827" s="589" t="s">
        <v>17</v>
      </c>
      <c r="H2827" s="589" t="s">
        <v>106</v>
      </c>
      <c r="I2827" s="589">
        <v>0</v>
      </c>
      <c r="J2827" s="589">
        <v>0</v>
      </c>
      <c r="K2827" s="590">
        <v>79</v>
      </c>
      <c r="L2827" s="591">
        <f t="shared" si="638"/>
        <v>79</v>
      </c>
      <c r="M2827" s="592"/>
    </row>
    <row r="2828" spans="2:13" ht="15.75" hidden="1" x14ac:dyDescent="0.25">
      <c r="B2828" s="572">
        <v>46290</v>
      </c>
      <c r="C2828" s="572" t="s">
        <v>105</v>
      </c>
      <c r="D2828" s="573" t="s">
        <v>189</v>
      </c>
      <c r="F2828" s="611">
        <v>46293</v>
      </c>
      <c r="G2828" s="194" t="s">
        <v>25</v>
      </c>
      <c r="H2828" s="194" t="s">
        <v>105</v>
      </c>
      <c r="I2828" s="258">
        <v>0</v>
      </c>
      <c r="J2828" s="258">
        <v>0</v>
      </c>
      <c r="K2828" s="577">
        <v>188</v>
      </c>
      <c r="L2828" s="575">
        <f t="shared" si="638"/>
        <v>188</v>
      </c>
      <c r="M2828" s="578"/>
    </row>
    <row r="2829" spans="2:13" ht="15.75" hidden="1" x14ac:dyDescent="0.25">
      <c r="B2829" s="572">
        <v>46290</v>
      </c>
      <c r="C2829" s="572" t="s">
        <v>105</v>
      </c>
      <c r="D2829" s="573" t="s">
        <v>189</v>
      </c>
      <c r="F2829" s="890" t="s">
        <v>40</v>
      </c>
      <c r="G2829" s="890"/>
      <c r="H2829" s="890"/>
      <c r="I2829" s="99">
        <f>SUM(I2821:I2828)</f>
        <v>181</v>
      </c>
      <c r="J2829" s="99">
        <f>SUM(J2821:J2828)</f>
        <v>49</v>
      </c>
      <c r="K2829" s="99">
        <f>SUM(K2821:K2828)</f>
        <v>396</v>
      </c>
      <c r="L2829" s="99">
        <f>SUM(L2821:L2828)</f>
        <v>626</v>
      </c>
      <c r="M2829" s="512"/>
    </row>
    <row r="2830" spans="2:13" ht="16.5" hidden="1" thickTop="1" x14ac:dyDescent="0.25">
      <c r="B2830" s="574">
        <v>46291</v>
      </c>
      <c r="C2830" s="574" t="s">
        <v>106</v>
      </c>
      <c r="D2830" s="574" t="s">
        <v>13</v>
      </c>
      <c r="F2830" s="920">
        <v>46291</v>
      </c>
      <c r="G2830" s="583" t="s">
        <v>16</v>
      </c>
      <c r="H2830" s="583" t="s">
        <v>15</v>
      </c>
      <c r="I2830" s="584">
        <v>20</v>
      </c>
      <c r="J2830" s="584">
        <v>5</v>
      </c>
      <c r="K2830" s="585">
        <v>0</v>
      </c>
      <c r="L2830" s="586">
        <f t="shared" ref="L2830:L2837" si="639">SUM(I2830:K2830)</f>
        <v>25</v>
      </c>
      <c r="M2830" s="587"/>
    </row>
    <row r="2831" spans="2:13" ht="15.75" hidden="1" x14ac:dyDescent="0.25">
      <c r="B2831" s="574">
        <v>46291</v>
      </c>
      <c r="C2831" s="574" t="s">
        <v>106</v>
      </c>
      <c r="D2831" s="574" t="s">
        <v>13</v>
      </c>
      <c r="F2831" s="921"/>
      <c r="G2831" s="60" t="s">
        <v>17</v>
      </c>
      <c r="H2831" s="60" t="s">
        <v>105</v>
      </c>
      <c r="I2831" s="62">
        <v>20</v>
      </c>
      <c r="J2831" s="62">
        <v>2</v>
      </c>
      <c r="K2831" s="312">
        <v>0</v>
      </c>
      <c r="L2831" s="497">
        <f t="shared" si="639"/>
        <v>22</v>
      </c>
      <c r="M2831" s="61"/>
    </row>
    <row r="2832" spans="2:13" ht="16.5" hidden="1" thickBot="1" x14ac:dyDescent="0.3">
      <c r="B2832" s="574">
        <v>46291</v>
      </c>
      <c r="C2832" s="574" t="s">
        <v>106</v>
      </c>
      <c r="D2832" s="574" t="s">
        <v>13</v>
      </c>
      <c r="F2832" s="922"/>
      <c r="G2832" s="579" t="s">
        <v>25</v>
      </c>
      <c r="H2832" s="579" t="s">
        <v>27</v>
      </c>
      <c r="I2832" s="579">
        <v>115</v>
      </c>
      <c r="J2832" s="579">
        <v>17</v>
      </c>
      <c r="K2832" s="580">
        <v>0</v>
      </c>
      <c r="L2832" s="581">
        <f t="shared" si="639"/>
        <v>132</v>
      </c>
      <c r="M2832" s="582"/>
    </row>
    <row r="2833" spans="2:13" ht="15.75" hidden="1" x14ac:dyDescent="0.25">
      <c r="B2833" s="574">
        <v>46291</v>
      </c>
      <c r="C2833" s="574" t="s">
        <v>106</v>
      </c>
      <c r="D2833" s="574" t="s">
        <v>13</v>
      </c>
      <c r="F2833" s="923">
        <v>46292</v>
      </c>
      <c r="G2833" s="194" t="s">
        <v>17</v>
      </c>
      <c r="H2833" s="194" t="s">
        <v>106</v>
      </c>
      <c r="I2833" s="194">
        <v>42</v>
      </c>
      <c r="J2833" s="194">
        <v>27</v>
      </c>
      <c r="K2833" s="577">
        <v>64</v>
      </c>
      <c r="L2833" s="633">
        <f t="shared" si="639"/>
        <v>133</v>
      </c>
      <c r="M2833" s="578"/>
    </row>
    <row r="2834" spans="2:13" ht="16.5" hidden="1" thickBot="1" x14ac:dyDescent="0.3">
      <c r="B2834" s="574">
        <v>46291</v>
      </c>
      <c r="C2834" s="574" t="s">
        <v>106</v>
      </c>
      <c r="D2834" s="574" t="s">
        <v>13</v>
      </c>
      <c r="F2834" s="924"/>
      <c r="G2834" s="579" t="s">
        <v>25</v>
      </c>
      <c r="H2834" s="579" t="s">
        <v>105</v>
      </c>
      <c r="I2834" s="604">
        <v>0</v>
      </c>
      <c r="J2834" s="604">
        <v>0</v>
      </c>
      <c r="K2834" s="631">
        <v>0</v>
      </c>
      <c r="L2834" s="614">
        <f t="shared" ref="L2834" si="640">SUM(I2834:K2834)</f>
        <v>0</v>
      </c>
      <c r="M2834" s="632"/>
    </row>
    <row r="2835" spans="2:13" ht="15.75" hidden="1" x14ac:dyDescent="0.25">
      <c r="B2835" s="574">
        <v>46291</v>
      </c>
      <c r="C2835" s="574" t="s">
        <v>106</v>
      </c>
      <c r="D2835" s="574" t="s">
        <v>13</v>
      </c>
      <c r="F2835" s="921">
        <v>46293</v>
      </c>
      <c r="G2835" s="194" t="s">
        <v>16</v>
      </c>
      <c r="H2835" s="194" t="s">
        <v>15</v>
      </c>
      <c r="I2835" s="194">
        <v>34</v>
      </c>
      <c r="J2835" s="194">
        <v>14</v>
      </c>
      <c r="K2835" s="577">
        <v>0</v>
      </c>
      <c r="L2835" s="575">
        <f t="shared" si="639"/>
        <v>48</v>
      </c>
      <c r="M2835" s="613"/>
    </row>
    <row r="2836" spans="2:13" ht="15.75" hidden="1" x14ac:dyDescent="0.25">
      <c r="B2836" s="574">
        <v>46291</v>
      </c>
      <c r="C2836" s="574" t="s">
        <v>106</v>
      </c>
      <c r="D2836" s="574" t="s">
        <v>13</v>
      </c>
      <c r="F2836" s="921"/>
      <c r="G2836" s="60" t="s">
        <v>32</v>
      </c>
      <c r="H2836" s="60" t="s">
        <v>27</v>
      </c>
      <c r="I2836" s="60">
        <v>0</v>
      </c>
      <c r="J2836" s="60">
        <v>0</v>
      </c>
      <c r="K2836" s="312">
        <v>95</v>
      </c>
      <c r="L2836" s="497">
        <f t="shared" ref="L2836" si="641">SUM(I2836:K2836)</f>
        <v>95</v>
      </c>
      <c r="M2836" s="613"/>
    </row>
    <row r="2837" spans="2:13" ht="15.75" hidden="1" x14ac:dyDescent="0.25">
      <c r="B2837" s="574">
        <v>46291</v>
      </c>
      <c r="C2837" s="574" t="s">
        <v>106</v>
      </c>
      <c r="D2837" s="574" t="s">
        <v>13</v>
      </c>
      <c r="F2837" s="923"/>
      <c r="G2837" s="60" t="s">
        <v>25</v>
      </c>
      <c r="H2837" s="60" t="s">
        <v>105</v>
      </c>
      <c r="I2837" s="60">
        <v>0</v>
      </c>
      <c r="J2837" s="60">
        <v>0</v>
      </c>
      <c r="K2837" s="312">
        <v>0</v>
      </c>
      <c r="L2837" s="497">
        <f t="shared" si="639"/>
        <v>0</v>
      </c>
      <c r="M2837" s="578"/>
    </row>
    <row r="2838" spans="2:13" ht="15.75" hidden="1" x14ac:dyDescent="0.25">
      <c r="B2838" s="574">
        <v>46291</v>
      </c>
      <c r="C2838" s="574" t="s">
        <v>106</v>
      </c>
      <c r="D2838" s="574" t="s">
        <v>13</v>
      </c>
      <c r="F2838" s="902" t="s">
        <v>40</v>
      </c>
      <c r="G2838" s="903"/>
      <c r="H2838" s="904"/>
      <c r="I2838" s="99">
        <f>SUM(I2830:I2837)</f>
        <v>231</v>
      </c>
      <c r="J2838" s="99">
        <f>SUM(J2830:J2837)</f>
        <v>65</v>
      </c>
      <c r="K2838" s="99">
        <f>SUM(K2830:K2837)</f>
        <v>159</v>
      </c>
      <c r="L2838" s="99">
        <f>SUM(L2830:L2837)</f>
        <v>455</v>
      </c>
      <c r="M2838" s="512"/>
    </row>
    <row r="2839" spans="2:13" ht="15.75" hidden="1" x14ac:dyDescent="0.25">
      <c r="B2839" s="612">
        <v>46291</v>
      </c>
      <c r="C2839" s="612" t="s">
        <v>105</v>
      </c>
      <c r="D2839" s="612" t="s">
        <v>189</v>
      </c>
      <c r="F2839" s="833">
        <v>46291</v>
      </c>
      <c r="G2839" s="60" t="s">
        <v>16</v>
      </c>
      <c r="H2839" s="60" t="s">
        <v>27</v>
      </c>
      <c r="I2839" s="62">
        <v>7</v>
      </c>
      <c r="J2839" s="62">
        <v>5</v>
      </c>
      <c r="K2839" s="312">
        <v>0</v>
      </c>
      <c r="L2839" s="497">
        <f t="shared" ref="L2839:L2846" si="642">SUM(I2839:K2839)</f>
        <v>12</v>
      </c>
      <c r="M2839" s="61"/>
    </row>
    <row r="2840" spans="2:13" ht="15.75" hidden="1" x14ac:dyDescent="0.25">
      <c r="B2840" s="612">
        <v>46291</v>
      </c>
      <c r="C2840" s="612" t="s">
        <v>105</v>
      </c>
      <c r="D2840" s="612" t="s">
        <v>189</v>
      </c>
      <c r="F2840" s="834"/>
      <c r="G2840" s="60" t="s">
        <v>25</v>
      </c>
      <c r="H2840" s="60" t="s">
        <v>105</v>
      </c>
      <c r="I2840" s="62">
        <v>27</v>
      </c>
      <c r="J2840" s="62">
        <v>10</v>
      </c>
      <c r="K2840" s="312">
        <v>0</v>
      </c>
      <c r="L2840" s="497">
        <f t="shared" si="642"/>
        <v>37</v>
      </c>
      <c r="M2840" s="61"/>
    </row>
    <row r="2841" spans="2:13" ht="15.75" hidden="1" x14ac:dyDescent="0.25">
      <c r="B2841" s="612">
        <v>46291</v>
      </c>
      <c r="C2841" s="612" t="s">
        <v>105</v>
      </c>
      <c r="D2841" s="612" t="s">
        <v>189</v>
      </c>
      <c r="F2841" s="835"/>
      <c r="G2841" s="60" t="s">
        <v>14</v>
      </c>
      <c r="H2841" s="60" t="s">
        <v>105</v>
      </c>
      <c r="I2841" s="62">
        <v>2</v>
      </c>
      <c r="J2841" s="62">
        <v>0</v>
      </c>
      <c r="K2841" s="312">
        <v>0</v>
      </c>
      <c r="L2841" s="497">
        <f t="shared" si="642"/>
        <v>2</v>
      </c>
      <c r="M2841" s="61"/>
    </row>
    <row r="2842" spans="2:13" ht="15.75" hidden="1" x14ac:dyDescent="0.25">
      <c r="B2842" s="612">
        <v>46291</v>
      </c>
      <c r="C2842" s="612" t="s">
        <v>105</v>
      </c>
      <c r="D2842" s="612" t="s">
        <v>189</v>
      </c>
      <c r="F2842" s="838">
        <v>46292</v>
      </c>
      <c r="G2842" s="60" t="s">
        <v>17</v>
      </c>
      <c r="H2842" s="60" t="s">
        <v>106</v>
      </c>
      <c r="I2842" s="62">
        <v>74</v>
      </c>
      <c r="J2842" s="62">
        <v>22</v>
      </c>
      <c r="K2842" s="312">
        <v>0</v>
      </c>
      <c r="L2842" s="497">
        <f t="shared" si="642"/>
        <v>96</v>
      </c>
      <c r="M2842" s="61"/>
    </row>
    <row r="2843" spans="2:13" ht="15.75" hidden="1" x14ac:dyDescent="0.25">
      <c r="B2843" s="612">
        <v>46291</v>
      </c>
      <c r="C2843" s="612" t="s">
        <v>105</v>
      </c>
      <c r="D2843" s="612" t="s">
        <v>189</v>
      </c>
      <c r="F2843" s="848"/>
      <c r="G2843" s="60" t="s">
        <v>25</v>
      </c>
      <c r="H2843" s="60" t="s">
        <v>105</v>
      </c>
      <c r="I2843" s="62">
        <v>19</v>
      </c>
      <c r="J2843" s="62">
        <v>3</v>
      </c>
      <c r="K2843" s="312">
        <v>23</v>
      </c>
      <c r="L2843" s="497">
        <f t="shared" si="642"/>
        <v>45</v>
      </c>
      <c r="M2843" s="61"/>
    </row>
    <row r="2844" spans="2:13" ht="15.75" hidden="1" x14ac:dyDescent="0.25">
      <c r="B2844" s="612">
        <v>46291</v>
      </c>
      <c r="C2844" s="612" t="s">
        <v>105</v>
      </c>
      <c r="D2844" s="612" t="s">
        <v>189</v>
      </c>
      <c r="F2844" s="838">
        <v>46293</v>
      </c>
      <c r="G2844" s="60" t="s">
        <v>16</v>
      </c>
      <c r="H2844" s="60" t="s">
        <v>15</v>
      </c>
      <c r="I2844" s="62">
        <v>115</v>
      </c>
      <c r="J2844" s="62">
        <v>23</v>
      </c>
      <c r="K2844" s="312">
        <v>3</v>
      </c>
      <c r="L2844" s="497">
        <f t="shared" si="642"/>
        <v>141</v>
      </c>
      <c r="M2844" s="61"/>
    </row>
    <row r="2845" spans="2:13" ht="15.75" hidden="1" x14ac:dyDescent="0.25">
      <c r="B2845" s="612">
        <v>46291</v>
      </c>
      <c r="C2845" s="612" t="s">
        <v>105</v>
      </c>
      <c r="D2845" s="612" t="s">
        <v>189</v>
      </c>
      <c r="F2845" s="839"/>
      <c r="G2845" s="60" t="s">
        <v>32</v>
      </c>
      <c r="H2845" s="60" t="s">
        <v>27</v>
      </c>
      <c r="I2845" s="62">
        <v>76</v>
      </c>
      <c r="J2845" s="62">
        <v>34</v>
      </c>
      <c r="K2845" s="312">
        <v>159</v>
      </c>
      <c r="L2845" s="497">
        <f t="shared" si="642"/>
        <v>269</v>
      </c>
      <c r="M2845" s="61"/>
    </row>
    <row r="2846" spans="2:13" ht="15.75" hidden="1" x14ac:dyDescent="0.25">
      <c r="B2846" s="612">
        <v>46291</v>
      </c>
      <c r="C2846" s="612" t="s">
        <v>105</v>
      </c>
      <c r="D2846" s="612" t="s">
        <v>189</v>
      </c>
      <c r="F2846" s="839"/>
      <c r="G2846" s="60" t="s">
        <v>118</v>
      </c>
      <c r="H2846" s="60" t="s">
        <v>106</v>
      </c>
      <c r="I2846" s="62">
        <v>3</v>
      </c>
      <c r="J2846" s="62">
        <v>0</v>
      </c>
      <c r="K2846" s="312">
        <v>0</v>
      </c>
      <c r="L2846" s="497">
        <f t="shared" si="642"/>
        <v>3</v>
      </c>
      <c r="M2846" s="61"/>
    </row>
    <row r="2847" spans="2:13" ht="15.75" hidden="1" x14ac:dyDescent="0.25">
      <c r="B2847" s="612">
        <v>46291</v>
      </c>
      <c r="C2847" s="612" t="s">
        <v>106</v>
      </c>
      <c r="D2847" s="612" t="s">
        <v>189</v>
      </c>
      <c r="F2847" s="890" t="s">
        <v>40</v>
      </c>
      <c r="G2847" s="890"/>
      <c r="H2847" s="890"/>
      <c r="I2847" s="99">
        <f>SUM(I2839:I2846)</f>
        <v>323</v>
      </c>
      <c r="J2847" s="99">
        <f>SUM(J2839:J2846)</f>
        <v>97</v>
      </c>
      <c r="K2847" s="99">
        <f>SUM(K2839:K2846)</f>
        <v>185</v>
      </c>
      <c r="L2847" s="99">
        <f>SUM(L2839:L2846)</f>
        <v>605</v>
      </c>
      <c r="M2847" s="512"/>
    </row>
    <row r="2848" spans="2:13" ht="15.75" hidden="1" x14ac:dyDescent="0.25">
      <c r="B2848" s="634">
        <v>46292</v>
      </c>
      <c r="C2848" s="634" t="s">
        <v>106</v>
      </c>
      <c r="D2848" s="634" t="s">
        <v>13</v>
      </c>
      <c r="F2848" s="897">
        <v>46292</v>
      </c>
      <c r="G2848" s="60" t="s">
        <v>17</v>
      </c>
      <c r="H2848" s="60" t="s">
        <v>106</v>
      </c>
      <c r="I2848" s="62">
        <v>29</v>
      </c>
      <c r="J2848" s="62">
        <v>18</v>
      </c>
      <c r="K2848" s="312">
        <v>0</v>
      </c>
      <c r="L2848" s="497">
        <f t="shared" ref="L2848:L2855" si="643">SUM(I2848:K2848)</f>
        <v>47</v>
      </c>
      <c r="M2848" s="61"/>
    </row>
    <row r="2849" spans="2:13" ht="15.75" hidden="1" x14ac:dyDescent="0.25">
      <c r="B2849" s="635">
        <v>46292</v>
      </c>
      <c r="C2849" s="635" t="s">
        <v>106</v>
      </c>
      <c r="D2849" s="635" t="s">
        <v>13</v>
      </c>
      <c r="F2849" s="898"/>
      <c r="G2849" s="60" t="s">
        <v>14</v>
      </c>
      <c r="H2849" s="60" t="s">
        <v>106</v>
      </c>
      <c r="I2849" s="62">
        <v>2</v>
      </c>
      <c r="J2849" s="62">
        <v>1</v>
      </c>
      <c r="K2849" s="312">
        <v>0</v>
      </c>
      <c r="L2849" s="497">
        <f t="shared" si="643"/>
        <v>3</v>
      </c>
      <c r="M2849" s="61"/>
    </row>
    <row r="2850" spans="2:13" ht="15.75" hidden="1" x14ac:dyDescent="0.25">
      <c r="B2850" s="635">
        <v>46292</v>
      </c>
      <c r="C2850" s="635" t="s">
        <v>106</v>
      </c>
      <c r="D2850" s="635" t="s">
        <v>13</v>
      </c>
      <c r="F2850" s="912"/>
      <c r="G2850" s="60" t="s">
        <v>25</v>
      </c>
      <c r="H2850" s="60" t="s">
        <v>105</v>
      </c>
      <c r="I2850" s="62">
        <v>78</v>
      </c>
      <c r="J2850" s="62">
        <v>28</v>
      </c>
      <c r="K2850" s="312">
        <v>0</v>
      </c>
      <c r="L2850" s="497">
        <f t="shared" si="643"/>
        <v>106</v>
      </c>
      <c r="M2850" s="61"/>
    </row>
    <row r="2851" spans="2:13" ht="15.75" hidden="1" x14ac:dyDescent="0.25">
      <c r="B2851" s="634">
        <v>46292</v>
      </c>
      <c r="C2851" s="634" t="s">
        <v>106</v>
      </c>
      <c r="D2851" s="634" t="s">
        <v>13</v>
      </c>
      <c r="F2851" s="838">
        <v>46293</v>
      </c>
      <c r="G2851" s="60" t="s">
        <v>16</v>
      </c>
      <c r="H2851" s="60" t="s">
        <v>15</v>
      </c>
      <c r="I2851" s="62">
        <v>0</v>
      </c>
      <c r="J2851" s="62">
        <v>0</v>
      </c>
      <c r="K2851" s="312">
        <v>0</v>
      </c>
      <c r="L2851" s="497">
        <f t="shared" si="643"/>
        <v>0</v>
      </c>
      <c r="M2851" s="61"/>
    </row>
    <row r="2852" spans="2:13" ht="15.75" hidden="1" x14ac:dyDescent="0.25">
      <c r="B2852" s="634">
        <v>46292</v>
      </c>
      <c r="C2852" s="634" t="s">
        <v>106</v>
      </c>
      <c r="D2852" s="634" t="s">
        <v>13</v>
      </c>
      <c r="F2852" s="839"/>
      <c r="G2852" s="60" t="s">
        <v>32</v>
      </c>
      <c r="H2852" s="60" t="s">
        <v>27</v>
      </c>
      <c r="I2852" s="62">
        <v>0</v>
      </c>
      <c r="J2852" s="62">
        <v>0</v>
      </c>
      <c r="K2852" s="312">
        <v>0</v>
      </c>
      <c r="L2852" s="497">
        <f t="shared" si="643"/>
        <v>0</v>
      </c>
      <c r="M2852" s="61"/>
    </row>
    <row r="2853" spans="2:13" ht="15.75" hidden="1" x14ac:dyDescent="0.25">
      <c r="B2853" s="634">
        <v>46292</v>
      </c>
      <c r="C2853" s="634" t="s">
        <v>106</v>
      </c>
      <c r="D2853" s="634" t="s">
        <v>13</v>
      </c>
      <c r="F2853" s="839"/>
      <c r="G2853" s="60" t="s">
        <v>118</v>
      </c>
      <c r="H2853" s="60" t="s">
        <v>106</v>
      </c>
      <c r="I2853" s="62">
        <v>21</v>
      </c>
      <c r="J2853" s="62">
        <v>5</v>
      </c>
      <c r="K2853" s="312">
        <v>157</v>
      </c>
      <c r="L2853" s="497">
        <f t="shared" si="643"/>
        <v>183</v>
      </c>
      <c r="M2853" s="61"/>
    </row>
    <row r="2854" spans="2:13" ht="15.75" hidden="1" x14ac:dyDescent="0.25">
      <c r="B2854" s="634">
        <v>46292</v>
      </c>
      <c r="C2854" s="634" t="s">
        <v>106</v>
      </c>
      <c r="D2854" s="634" t="s">
        <v>13</v>
      </c>
      <c r="F2854" s="839"/>
      <c r="G2854" s="60" t="s">
        <v>14</v>
      </c>
      <c r="H2854" s="60" t="s">
        <v>105</v>
      </c>
      <c r="I2854" s="62">
        <v>0</v>
      </c>
      <c r="J2854" s="62">
        <v>0</v>
      </c>
      <c r="K2854" s="312">
        <v>0</v>
      </c>
      <c r="L2854" s="497">
        <f t="shared" si="643"/>
        <v>0</v>
      </c>
      <c r="M2854" s="61"/>
    </row>
    <row r="2855" spans="2:13" ht="15.75" hidden="1" x14ac:dyDescent="0.25">
      <c r="B2855" s="634">
        <v>46292</v>
      </c>
      <c r="C2855" s="634" t="s">
        <v>106</v>
      </c>
      <c r="D2855" s="634" t="s">
        <v>13</v>
      </c>
      <c r="F2855" s="839"/>
      <c r="G2855" s="60" t="s">
        <v>212</v>
      </c>
      <c r="H2855" s="60" t="s">
        <v>22</v>
      </c>
      <c r="I2855" s="62">
        <v>0</v>
      </c>
      <c r="J2855" s="62">
        <v>0</v>
      </c>
      <c r="K2855" s="312">
        <v>63</v>
      </c>
      <c r="L2855" s="497">
        <f t="shared" si="643"/>
        <v>63</v>
      </c>
      <c r="M2855" s="61"/>
    </row>
    <row r="2856" spans="2:13" ht="15.75" hidden="1" x14ac:dyDescent="0.25">
      <c r="B2856" s="634">
        <v>46292</v>
      </c>
      <c r="C2856" s="634" t="s">
        <v>106</v>
      </c>
      <c r="D2856" s="634" t="s">
        <v>13</v>
      </c>
      <c r="F2856" s="890" t="s">
        <v>40</v>
      </c>
      <c r="G2856" s="890"/>
      <c r="H2856" s="890"/>
      <c r="I2856" s="99">
        <f>SUM(I2848:I2855)</f>
        <v>130</v>
      </c>
      <c r="J2856" s="99">
        <f t="shared" ref="J2856:L2856" si="644">SUM(J2848:J2855)</f>
        <v>52</v>
      </c>
      <c r="K2856" s="99">
        <f t="shared" si="644"/>
        <v>220</v>
      </c>
      <c r="L2856" s="99">
        <f t="shared" si="644"/>
        <v>402</v>
      </c>
      <c r="M2856" s="512"/>
    </row>
    <row r="2857" spans="2:13" ht="15.75" hidden="1" x14ac:dyDescent="0.25">
      <c r="B2857" s="637">
        <v>46292</v>
      </c>
      <c r="C2857" s="637" t="s">
        <v>105</v>
      </c>
      <c r="D2857" s="637" t="s">
        <v>20</v>
      </c>
      <c r="F2857" s="636">
        <v>46293</v>
      </c>
      <c r="G2857" s="60" t="s">
        <v>25</v>
      </c>
      <c r="H2857" s="60" t="s">
        <v>105</v>
      </c>
      <c r="I2857" s="62">
        <v>12</v>
      </c>
      <c r="J2857" s="62">
        <v>8</v>
      </c>
      <c r="K2857" s="312">
        <v>0</v>
      </c>
      <c r="L2857" s="497">
        <f t="shared" ref="L2857:L2861" si="645">SUM(I2857:K2857)</f>
        <v>20</v>
      </c>
      <c r="M2857" s="61"/>
    </row>
    <row r="2858" spans="2:13" ht="15.75" hidden="1" x14ac:dyDescent="0.25">
      <c r="B2858" s="637">
        <v>46292</v>
      </c>
      <c r="C2858" s="637" t="s">
        <v>105</v>
      </c>
      <c r="D2858" s="637" t="s">
        <v>20</v>
      </c>
      <c r="F2858" s="833">
        <v>46294</v>
      </c>
      <c r="G2858" s="60" t="s">
        <v>16</v>
      </c>
      <c r="H2858" s="60" t="s">
        <v>15</v>
      </c>
      <c r="I2858" s="62">
        <v>0</v>
      </c>
      <c r="J2858" s="62">
        <v>0</v>
      </c>
      <c r="K2858" s="312">
        <v>22</v>
      </c>
      <c r="L2858" s="497">
        <f t="shared" si="645"/>
        <v>22</v>
      </c>
      <c r="M2858" s="61"/>
    </row>
    <row r="2859" spans="2:13" ht="15.75" hidden="1" x14ac:dyDescent="0.25">
      <c r="B2859" s="637">
        <v>46292</v>
      </c>
      <c r="C2859" s="637" t="s">
        <v>105</v>
      </c>
      <c r="D2859" s="637" t="s">
        <v>20</v>
      </c>
      <c r="F2859" s="834"/>
      <c r="G2859" s="60" t="s">
        <v>14</v>
      </c>
      <c r="H2859" s="60" t="s">
        <v>105</v>
      </c>
      <c r="I2859" s="62">
        <v>0</v>
      </c>
      <c r="J2859" s="62">
        <v>0</v>
      </c>
      <c r="K2859" s="312">
        <v>130</v>
      </c>
      <c r="L2859" s="497">
        <f t="shared" si="645"/>
        <v>130</v>
      </c>
      <c r="M2859" s="61"/>
    </row>
    <row r="2860" spans="2:13" ht="15.75" hidden="1" x14ac:dyDescent="0.25">
      <c r="B2860" s="637">
        <v>46292</v>
      </c>
      <c r="C2860" s="637" t="s">
        <v>105</v>
      </c>
      <c r="D2860" s="637" t="s">
        <v>20</v>
      </c>
      <c r="F2860" s="834"/>
      <c r="G2860" s="60" t="s">
        <v>118</v>
      </c>
      <c r="H2860" s="60" t="s">
        <v>106</v>
      </c>
      <c r="I2860" s="62">
        <v>150</v>
      </c>
      <c r="J2860" s="62">
        <v>53</v>
      </c>
      <c r="K2860" s="312">
        <v>0</v>
      </c>
      <c r="L2860" s="497">
        <f t="shared" si="645"/>
        <v>203</v>
      </c>
      <c r="M2860" s="61"/>
    </row>
    <row r="2861" spans="2:13" ht="15.75" hidden="1" x14ac:dyDescent="0.25">
      <c r="B2861" s="637">
        <v>46292</v>
      </c>
      <c r="C2861" s="637" t="s">
        <v>105</v>
      </c>
      <c r="D2861" s="637" t="s">
        <v>20</v>
      </c>
      <c r="F2861" s="834"/>
      <c r="G2861" s="60" t="s">
        <v>32</v>
      </c>
      <c r="H2861" s="60" t="s">
        <v>27</v>
      </c>
      <c r="I2861" s="62">
        <v>0</v>
      </c>
      <c r="J2861" s="62">
        <v>0</v>
      </c>
      <c r="K2861" s="312">
        <v>12</v>
      </c>
      <c r="L2861" s="497">
        <f t="shared" si="645"/>
        <v>12</v>
      </c>
      <c r="M2861" s="61"/>
    </row>
    <row r="2862" spans="2:13" ht="15.75" hidden="1" x14ac:dyDescent="0.25">
      <c r="B2862" s="637">
        <v>46292</v>
      </c>
      <c r="C2862" s="637" t="s">
        <v>105</v>
      </c>
      <c r="D2862" s="637" t="s">
        <v>20</v>
      </c>
      <c r="F2862" s="890" t="s">
        <v>40</v>
      </c>
      <c r="G2862" s="890"/>
      <c r="H2862" s="890"/>
      <c r="I2862" s="99">
        <f>SUM(I2857:I2861)</f>
        <v>162</v>
      </c>
      <c r="J2862" s="99">
        <f>SUM(J2857:J2861)</f>
        <v>61</v>
      </c>
      <c r="K2862" s="99">
        <f>SUM(K2857:K2861)</f>
        <v>164</v>
      </c>
      <c r="L2862" s="99">
        <f>SUM(L2857:L2861)</f>
        <v>387</v>
      </c>
      <c r="M2862" s="512"/>
    </row>
    <row r="2863" spans="2:13" ht="15.75" hidden="1" x14ac:dyDescent="0.25">
      <c r="B2863" s="638">
        <v>46293</v>
      </c>
      <c r="C2863" s="638" t="s">
        <v>106</v>
      </c>
      <c r="D2863" s="638" t="s">
        <v>13</v>
      </c>
      <c r="F2863" s="897">
        <v>46293</v>
      </c>
      <c r="G2863" s="60" t="s">
        <v>16</v>
      </c>
      <c r="H2863" s="60" t="s">
        <v>15</v>
      </c>
      <c r="I2863" s="62">
        <v>48</v>
      </c>
      <c r="J2863" s="62">
        <v>11</v>
      </c>
      <c r="K2863" s="312">
        <v>0</v>
      </c>
      <c r="L2863" s="497">
        <f t="shared" ref="L2863:L2870" si="646">SUM(I2863:K2863)</f>
        <v>59</v>
      </c>
      <c r="M2863" s="61"/>
    </row>
    <row r="2864" spans="2:13" ht="15.75" hidden="1" x14ac:dyDescent="0.25">
      <c r="B2864" s="638">
        <v>46293</v>
      </c>
      <c r="C2864" s="638" t="s">
        <v>106</v>
      </c>
      <c r="D2864" s="638" t="s">
        <v>13</v>
      </c>
      <c r="F2864" s="898"/>
      <c r="G2864" s="60" t="s">
        <v>14</v>
      </c>
      <c r="H2864" s="60" t="s">
        <v>105</v>
      </c>
      <c r="I2864" s="62">
        <v>109</v>
      </c>
      <c r="J2864" s="62">
        <v>18</v>
      </c>
      <c r="K2864" s="312">
        <v>0</v>
      </c>
      <c r="L2864" s="497">
        <f t="shared" si="646"/>
        <v>127</v>
      </c>
      <c r="M2864" s="61"/>
    </row>
    <row r="2865" spans="2:13" ht="15.75" hidden="1" x14ac:dyDescent="0.25">
      <c r="B2865" s="638">
        <v>46293</v>
      </c>
      <c r="C2865" s="638" t="s">
        <v>106</v>
      </c>
      <c r="D2865" s="638" t="s">
        <v>13</v>
      </c>
      <c r="F2865" s="898"/>
      <c r="G2865" s="60" t="s">
        <v>118</v>
      </c>
      <c r="H2865" s="60" t="s">
        <v>106</v>
      </c>
      <c r="I2865" s="62">
        <v>41</v>
      </c>
      <c r="J2865" s="62">
        <v>18</v>
      </c>
      <c r="K2865" s="312">
        <v>0</v>
      </c>
      <c r="L2865" s="497">
        <f t="shared" si="646"/>
        <v>59</v>
      </c>
      <c r="M2865" s="61"/>
    </row>
    <row r="2866" spans="2:13" ht="15.75" hidden="1" x14ac:dyDescent="0.25">
      <c r="B2866" s="638">
        <v>46293</v>
      </c>
      <c r="C2866" s="638" t="s">
        <v>106</v>
      </c>
      <c r="D2866" s="638" t="s">
        <v>13</v>
      </c>
      <c r="F2866" s="898"/>
      <c r="G2866" s="60" t="s">
        <v>25</v>
      </c>
      <c r="H2866" s="60" t="s">
        <v>106</v>
      </c>
      <c r="I2866" s="62">
        <v>10</v>
      </c>
      <c r="J2866" s="62">
        <v>2</v>
      </c>
      <c r="K2866" s="312">
        <v>0</v>
      </c>
      <c r="L2866" s="497">
        <f t="shared" si="646"/>
        <v>12</v>
      </c>
      <c r="M2866" s="61"/>
    </row>
    <row r="2867" spans="2:13" ht="15.75" hidden="1" x14ac:dyDescent="0.25">
      <c r="B2867" s="638">
        <v>46293</v>
      </c>
      <c r="C2867" s="638" t="s">
        <v>106</v>
      </c>
      <c r="D2867" s="638" t="s">
        <v>13</v>
      </c>
      <c r="F2867" s="898"/>
      <c r="G2867" s="60" t="s">
        <v>180</v>
      </c>
      <c r="H2867" s="60" t="s">
        <v>22</v>
      </c>
      <c r="I2867" s="62">
        <v>58</v>
      </c>
      <c r="J2867" s="62">
        <v>0</v>
      </c>
      <c r="K2867" s="312">
        <v>0</v>
      </c>
      <c r="L2867" s="497">
        <f t="shared" si="646"/>
        <v>58</v>
      </c>
      <c r="M2867" s="61"/>
    </row>
    <row r="2868" spans="2:13" ht="15.75" hidden="1" x14ac:dyDescent="0.25">
      <c r="B2868" s="638">
        <v>46293</v>
      </c>
      <c r="C2868" s="638" t="s">
        <v>106</v>
      </c>
      <c r="D2868" s="638" t="s">
        <v>13</v>
      </c>
      <c r="F2868" s="912"/>
      <c r="G2868" s="60" t="s">
        <v>32</v>
      </c>
      <c r="H2868" s="60" t="s">
        <v>27</v>
      </c>
      <c r="I2868" s="62">
        <v>129</v>
      </c>
      <c r="J2868" s="62">
        <v>12</v>
      </c>
      <c r="K2868" s="312">
        <v>0</v>
      </c>
      <c r="L2868" s="497">
        <f t="shared" si="646"/>
        <v>141</v>
      </c>
      <c r="M2868" s="61"/>
    </row>
    <row r="2869" spans="2:13" ht="15.75" hidden="1" x14ac:dyDescent="0.25">
      <c r="B2869" s="638">
        <v>46293</v>
      </c>
      <c r="C2869" s="638" t="s">
        <v>106</v>
      </c>
      <c r="D2869" s="638" t="s">
        <v>13</v>
      </c>
      <c r="F2869" s="862"/>
      <c r="G2869" s="60" t="s">
        <v>17</v>
      </c>
      <c r="H2869" s="60" t="s">
        <v>106</v>
      </c>
      <c r="I2869" s="62">
        <v>25</v>
      </c>
      <c r="J2869" s="62">
        <v>30</v>
      </c>
      <c r="K2869" s="312">
        <v>80</v>
      </c>
      <c r="L2869" s="497">
        <f t="shared" si="646"/>
        <v>135</v>
      </c>
      <c r="M2869" s="61"/>
    </row>
    <row r="2870" spans="2:13" ht="15.75" hidden="1" x14ac:dyDescent="0.25">
      <c r="B2870" s="638">
        <v>46293</v>
      </c>
      <c r="C2870" s="638" t="s">
        <v>106</v>
      </c>
      <c r="D2870" s="638" t="s">
        <v>13</v>
      </c>
      <c r="F2870" s="913"/>
      <c r="G2870" s="60" t="s">
        <v>180</v>
      </c>
      <c r="H2870" s="60" t="s">
        <v>22</v>
      </c>
      <c r="I2870" s="62">
        <v>12</v>
      </c>
      <c r="J2870" s="62">
        <v>1</v>
      </c>
      <c r="K2870" s="312">
        <v>11</v>
      </c>
      <c r="L2870" s="497">
        <f t="shared" si="646"/>
        <v>24</v>
      </c>
      <c r="M2870" s="61"/>
    </row>
    <row r="2871" spans="2:13" ht="15.75" hidden="1" x14ac:dyDescent="0.25">
      <c r="B2871" s="638">
        <v>46293</v>
      </c>
      <c r="C2871" s="638" t="s">
        <v>106</v>
      </c>
      <c r="D2871" s="638" t="s">
        <v>13</v>
      </c>
      <c r="F2871" s="890" t="s">
        <v>40</v>
      </c>
      <c r="G2871" s="890"/>
      <c r="H2871" s="890"/>
      <c r="I2871" s="99">
        <f>SUM(I2863:I2870)</f>
        <v>432</v>
      </c>
      <c r="J2871" s="99">
        <f t="shared" ref="J2871:L2871" si="647">SUM(J2863:J2870)</f>
        <v>92</v>
      </c>
      <c r="K2871" s="99">
        <f t="shared" si="647"/>
        <v>91</v>
      </c>
      <c r="L2871" s="99">
        <f t="shared" si="647"/>
        <v>615</v>
      </c>
      <c r="M2871" s="512"/>
    </row>
    <row r="2872" spans="2:13" ht="15.75" hidden="1" x14ac:dyDescent="0.25">
      <c r="B2872" s="652">
        <v>46293</v>
      </c>
      <c r="C2872" s="652" t="s">
        <v>105</v>
      </c>
      <c r="D2872" s="652" t="s">
        <v>189</v>
      </c>
      <c r="F2872" s="899">
        <v>46293</v>
      </c>
      <c r="G2872" s="60" t="s">
        <v>32</v>
      </c>
      <c r="H2872" s="60" t="s">
        <v>27</v>
      </c>
      <c r="I2872" s="62">
        <v>11</v>
      </c>
      <c r="J2872" s="62">
        <v>25</v>
      </c>
      <c r="K2872" s="494">
        <v>0</v>
      </c>
      <c r="L2872" s="497">
        <f t="shared" ref="L2872:L2878" si="648">SUM(I2872:K2872)</f>
        <v>36</v>
      </c>
      <c r="M2872" s="61"/>
    </row>
    <row r="2873" spans="2:13" ht="15.75" hidden="1" x14ac:dyDescent="0.25">
      <c r="B2873" s="652">
        <v>46293</v>
      </c>
      <c r="C2873" s="652" t="s">
        <v>105</v>
      </c>
      <c r="D2873" s="652" t="s">
        <v>189</v>
      </c>
      <c r="F2873" s="899"/>
      <c r="G2873" s="60" t="s">
        <v>14</v>
      </c>
      <c r="H2873" s="60" t="s">
        <v>105</v>
      </c>
      <c r="I2873" s="62">
        <v>15</v>
      </c>
      <c r="J2873" s="62">
        <v>6</v>
      </c>
      <c r="K2873" s="494">
        <v>0</v>
      </c>
      <c r="L2873" s="497">
        <f t="shared" si="648"/>
        <v>21</v>
      </c>
      <c r="M2873" s="61"/>
    </row>
    <row r="2874" spans="2:13" ht="15.75" hidden="1" x14ac:dyDescent="0.25">
      <c r="B2874" s="652">
        <v>46293</v>
      </c>
      <c r="C2874" s="652" t="s">
        <v>105</v>
      </c>
      <c r="D2874" s="652" t="s">
        <v>189</v>
      </c>
      <c r="F2874" s="895">
        <v>46294</v>
      </c>
      <c r="G2874" s="60" t="s">
        <v>16</v>
      </c>
      <c r="H2874" s="60" t="s">
        <v>105</v>
      </c>
      <c r="I2874" s="62">
        <v>1</v>
      </c>
      <c r="J2874" s="62">
        <v>2</v>
      </c>
      <c r="K2874" s="494">
        <v>201</v>
      </c>
      <c r="L2874" s="497">
        <f t="shared" si="648"/>
        <v>204</v>
      </c>
      <c r="M2874" s="61"/>
    </row>
    <row r="2875" spans="2:13" ht="15.75" hidden="1" x14ac:dyDescent="0.25">
      <c r="B2875" s="652">
        <v>46293</v>
      </c>
      <c r="C2875" s="652" t="s">
        <v>105</v>
      </c>
      <c r="D2875" s="652" t="s">
        <v>189</v>
      </c>
      <c r="F2875" s="895"/>
      <c r="G2875" s="60" t="s">
        <v>17</v>
      </c>
      <c r="H2875" s="60" t="s">
        <v>106</v>
      </c>
      <c r="I2875" s="62">
        <v>71</v>
      </c>
      <c r="J2875" s="62">
        <v>21</v>
      </c>
      <c r="K2875" s="494">
        <v>0</v>
      </c>
      <c r="L2875" s="497">
        <f t="shared" si="648"/>
        <v>92</v>
      </c>
      <c r="M2875" s="61"/>
    </row>
    <row r="2876" spans="2:13" ht="15.75" hidden="1" x14ac:dyDescent="0.25">
      <c r="B2876" s="652">
        <v>46293</v>
      </c>
      <c r="C2876" s="652" t="s">
        <v>105</v>
      </c>
      <c r="D2876" s="652" t="s">
        <v>189</v>
      </c>
      <c r="F2876" s="895"/>
      <c r="G2876" s="60" t="s">
        <v>213</v>
      </c>
      <c r="H2876" s="60" t="s">
        <v>22</v>
      </c>
      <c r="I2876" s="62">
        <v>76</v>
      </c>
      <c r="J2876" s="62">
        <v>6</v>
      </c>
      <c r="K2876" s="494">
        <v>31</v>
      </c>
      <c r="L2876" s="497">
        <f t="shared" si="648"/>
        <v>113</v>
      </c>
      <c r="M2876" s="61"/>
    </row>
    <row r="2877" spans="2:13" ht="15.75" hidden="1" x14ac:dyDescent="0.25">
      <c r="B2877" s="652">
        <v>46293</v>
      </c>
      <c r="C2877" s="652" t="s">
        <v>105</v>
      </c>
      <c r="D2877" s="652" t="s">
        <v>189</v>
      </c>
      <c r="F2877" s="895"/>
      <c r="G2877" s="60" t="s">
        <v>32</v>
      </c>
      <c r="H2877" s="60" t="s">
        <v>27</v>
      </c>
      <c r="I2877" s="62">
        <v>41</v>
      </c>
      <c r="J2877" s="62">
        <v>11</v>
      </c>
      <c r="K2877" s="494">
        <v>0</v>
      </c>
      <c r="L2877" s="497">
        <f t="shared" si="648"/>
        <v>52</v>
      </c>
      <c r="M2877" s="61"/>
    </row>
    <row r="2878" spans="2:13" ht="15.75" hidden="1" x14ac:dyDescent="0.25">
      <c r="B2878" s="652">
        <v>46293</v>
      </c>
      <c r="C2878" s="652" t="s">
        <v>105</v>
      </c>
      <c r="D2878" s="652" t="s">
        <v>189</v>
      </c>
      <c r="F2878" s="895"/>
      <c r="G2878" s="60" t="s">
        <v>14</v>
      </c>
      <c r="H2878" s="60" t="s">
        <v>105</v>
      </c>
      <c r="I2878" s="62">
        <v>0</v>
      </c>
      <c r="J2878" s="62">
        <v>0</v>
      </c>
      <c r="K2878" s="494">
        <v>68</v>
      </c>
      <c r="L2878" s="497">
        <f t="shared" si="648"/>
        <v>68</v>
      </c>
      <c r="M2878" s="61"/>
    </row>
    <row r="2879" spans="2:13" ht="15.75" hidden="1" x14ac:dyDescent="0.25">
      <c r="B2879" s="652">
        <v>46293</v>
      </c>
      <c r="C2879" s="652" t="s">
        <v>106</v>
      </c>
      <c r="D2879" s="652" t="s">
        <v>189</v>
      </c>
      <c r="F2879" s="890" t="s">
        <v>40</v>
      </c>
      <c r="G2879" s="890"/>
      <c r="H2879" s="890"/>
      <c r="I2879" s="99">
        <f>SUM(I2872:I2878)</f>
        <v>215</v>
      </c>
      <c r="J2879" s="99">
        <f>SUM(J2872:J2878)</f>
        <v>71</v>
      </c>
      <c r="K2879" s="99">
        <f>SUM(K2872:K2878)</f>
        <v>300</v>
      </c>
      <c r="L2879" s="99">
        <f>SUM(L2872:L2878)</f>
        <v>586</v>
      </c>
      <c r="M2879" s="512"/>
    </row>
    <row r="2880" spans="2:13" ht="15.75" hidden="1" x14ac:dyDescent="0.25">
      <c r="B2880" s="653">
        <v>46294</v>
      </c>
      <c r="C2880" s="653" t="s">
        <v>106</v>
      </c>
      <c r="D2880" s="653" t="s">
        <v>13</v>
      </c>
      <c r="F2880" s="897">
        <v>46294</v>
      </c>
      <c r="G2880" s="497" t="s">
        <v>16</v>
      </c>
      <c r="H2880" s="60" t="s">
        <v>15</v>
      </c>
      <c r="I2880" s="62">
        <v>185</v>
      </c>
      <c r="J2880" s="62">
        <v>38</v>
      </c>
      <c r="K2880" s="494">
        <v>0</v>
      </c>
      <c r="L2880" s="497">
        <f t="shared" ref="L2880:L2889" si="649">SUM(I2880:K2880)</f>
        <v>223</v>
      </c>
      <c r="M2880" s="656"/>
    </row>
    <row r="2881" spans="2:13" ht="15.75" hidden="1" x14ac:dyDescent="0.25">
      <c r="B2881" s="653">
        <v>46294</v>
      </c>
      <c r="C2881" s="653" t="s">
        <v>106</v>
      </c>
      <c r="D2881" s="653" t="s">
        <v>13</v>
      </c>
      <c r="F2881" s="898"/>
      <c r="G2881" s="497" t="s">
        <v>32</v>
      </c>
      <c r="H2881" s="60" t="s">
        <v>27</v>
      </c>
      <c r="I2881" s="62">
        <v>4</v>
      </c>
      <c r="J2881" s="62">
        <v>3</v>
      </c>
      <c r="K2881" s="494">
        <v>0</v>
      </c>
      <c r="L2881" s="497">
        <f t="shared" si="649"/>
        <v>7</v>
      </c>
      <c r="M2881" s="656"/>
    </row>
    <row r="2882" spans="2:13" ht="15.75" hidden="1" x14ac:dyDescent="0.25">
      <c r="B2882" s="653">
        <v>46294</v>
      </c>
      <c r="C2882" s="653" t="s">
        <v>106</v>
      </c>
      <c r="D2882" s="653" t="s">
        <v>13</v>
      </c>
      <c r="F2882" s="898"/>
      <c r="G2882" s="497" t="s">
        <v>17</v>
      </c>
      <c r="H2882" s="60" t="s">
        <v>106</v>
      </c>
      <c r="I2882" s="62">
        <v>45</v>
      </c>
      <c r="J2882" s="62">
        <v>19</v>
      </c>
      <c r="K2882" s="494">
        <v>0</v>
      </c>
      <c r="L2882" s="497">
        <f t="shared" si="649"/>
        <v>64</v>
      </c>
      <c r="M2882" s="656"/>
    </row>
    <row r="2883" spans="2:13" ht="15.75" hidden="1" x14ac:dyDescent="0.25">
      <c r="B2883" s="653">
        <v>46294</v>
      </c>
      <c r="C2883" s="653" t="s">
        <v>106</v>
      </c>
      <c r="D2883" s="653" t="s">
        <v>13</v>
      </c>
      <c r="F2883" s="898"/>
      <c r="G2883" s="497" t="s">
        <v>14</v>
      </c>
      <c r="H2883" s="60" t="s">
        <v>105</v>
      </c>
      <c r="I2883" s="62">
        <v>99</v>
      </c>
      <c r="J2883" s="62">
        <v>40</v>
      </c>
      <c r="K2883" s="494">
        <v>0</v>
      </c>
      <c r="L2883" s="497">
        <f t="shared" si="649"/>
        <v>139</v>
      </c>
      <c r="M2883" s="656"/>
    </row>
    <row r="2884" spans="2:13" ht="15.75" hidden="1" x14ac:dyDescent="0.25">
      <c r="B2884" s="653">
        <v>46294</v>
      </c>
      <c r="C2884" s="653" t="s">
        <v>106</v>
      </c>
      <c r="D2884" s="653" t="s">
        <v>13</v>
      </c>
      <c r="F2884" s="898"/>
      <c r="G2884" s="497" t="s">
        <v>205</v>
      </c>
      <c r="H2884" s="60" t="s">
        <v>106</v>
      </c>
      <c r="I2884" s="62">
        <v>13</v>
      </c>
      <c r="J2884" s="62">
        <v>0</v>
      </c>
      <c r="K2884" s="494">
        <v>0</v>
      </c>
      <c r="L2884" s="497">
        <f t="shared" si="649"/>
        <v>13</v>
      </c>
      <c r="M2884" s="656"/>
    </row>
    <row r="2885" spans="2:13" ht="15.75" hidden="1" x14ac:dyDescent="0.25">
      <c r="B2885" s="653">
        <v>46294</v>
      </c>
      <c r="C2885" s="653" t="s">
        <v>106</v>
      </c>
      <c r="D2885" s="653" t="s">
        <v>13</v>
      </c>
      <c r="F2885" s="898"/>
      <c r="G2885" s="497" t="s">
        <v>180</v>
      </c>
      <c r="H2885" s="60" t="s">
        <v>22</v>
      </c>
      <c r="I2885" s="62">
        <v>61</v>
      </c>
      <c r="J2885" s="62">
        <v>1</v>
      </c>
      <c r="K2885" s="494">
        <v>0</v>
      </c>
      <c r="L2885" s="497">
        <f t="shared" si="649"/>
        <v>62</v>
      </c>
      <c r="M2885" s="656"/>
    </row>
    <row r="2886" spans="2:13" ht="15.75" hidden="1" x14ac:dyDescent="0.25">
      <c r="B2886" s="653">
        <v>46294</v>
      </c>
      <c r="C2886" s="653" t="s">
        <v>106</v>
      </c>
      <c r="D2886" s="653" t="s">
        <v>13</v>
      </c>
      <c r="F2886" s="898"/>
      <c r="G2886" s="497" t="s">
        <v>118</v>
      </c>
      <c r="H2886" s="60" t="s">
        <v>106</v>
      </c>
      <c r="I2886" s="62">
        <v>4</v>
      </c>
      <c r="J2886" s="62">
        <v>2</v>
      </c>
      <c r="K2886" s="494">
        <v>0</v>
      </c>
      <c r="L2886" s="497">
        <f t="shared" si="649"/>
        <v>6</v>
      </c>
      <c r="M2886" s="656"/>
    </row>
    <row r="2887" spans="2:13" ht="15.75" hidden="1" x14ac:dyDescent="0.25">
      <c r="B2887" s="653">
        <v>46294</v>
      </c>
      <c r="C2887" s="653" t="s">
        <v>106</v>
      </c>
      <c r="D2887" s="653" t="s">
        <v>13</v>
      </c>
      <c r="F2887" s="912"/>
      <c r="G2887" s="497" t="s">
        <v>25</v>
      </c>
      <c r="H2887" s="60" t="s">
        <v>106</v>
      </c>
      <c r="I2887" s="62">
        <v>2</v>
      </c>
      <c r="J2887" s="62">
        <v>1</v>
      </c>
      <c r="K2887" s="494">
        <v>0</v>
      </c>
      <c r="L2887" s="497">
        <f t="shared" si="649"/>
        <v>3</v>
      </c>
      <c r="M2887" s="656"/>
    </row>
    <row r="2888" spans="2:13" ht="15.75" hidden="1" x14ac:dyDescent="0.25">
      <c r="B2888" s="653">
        <v>46294</v>
      </c>
      <c r="C2888" s="653" t="s">
        <v>106</v>
      </c>
      <c r="D2888" s="653" t="s">
        <v>13</v>
      </c>
      <c r="F2888" s="838">
        <v>46295</v>
      </c>
      <c r="G2888" s="497" t="s">
        <v>17</v>
      </c>
      <c r="H2888" s="60" t="s">
        <v>106</v>
      </c>
      <c r="I2888" s="62">
        <v>27</v>
      </c>
      <c r="J2888" s="62">
        <v>7</v>
      </c>
      <c r="K2888" s="494">
        <v>0</v>
      </c>
      <c r="L2888" s="497">
        <f t="shared" si="649"/>
        <v>34</v>
      </c>
      <c r="M2888" s="656"/>
    </row>
    <row r="2889" spans="2:13" ht="15.75" hidden="1" x14ac:dyDescent="0.25">
      <c r="B2889" s="653">
        <v>46294</v>
      </c>
      <c r="C2889" s="653" t="s">
        <v>106</v>
      </c>
      <c r="D2889" s="653" t="s">
        <v>13</v>
      </c>
      <c r="F2889" s="848"/>
      <c r="G2889" s="60" t="s">
        <v>16</v>
      </c>
      <c r="H2889" s="60" t="s">
        <v>15</v>
      </c>
      <c r="I2889" s="62">
        <v>60</v>
      </c>
      <c r="J2889" s="62">
        <v>9</v>
      </c>
      <c r="K2889" s="494">
        <v>0</v>
      </c>
      <c r="L2889" s="497">
        <f t="shared" si="649"/>
        <v>69</v>
      </c>
      <c r="M2889" s="656"/>
    </row>
    <row r="2890" spans="2:13" ht="15.75" hidden="1" x14ac:dyDescent="0.25">
      <c r="B2890" s="653">
        <v>46294</v>
      </c>
      <c r="C2890" s="653" t="s">
        <v>106</v>
      </c>
      <c r="D2890" s="653" t="s">
        <v>13</v>
      </c>
      <c r="F2890" s="890" t="s">
        <v>40</v>
      </c>
      <c r="G2890" s="890"/>
      <c r="H2890" s="890"/>
      <c r="I2890" s="99">
        <f>SUM(I2880:I2889)</f>
        <v>500</v>
      </c>
      <c r="J2890" s="99">
        <f t="shared" ref="J2890:L2890" si="650">SUM(J2880:J2889)</f>
        <v>120</v>
      </c>
      <c r="K2890" s="99">
        <f t="shared" si="650"/>
        <v>0</v>
      </c>
      <c r="L2890" s="99">
        <f t="shared" si="650"/>
        <v>620</v>
      </c>
      <c r="M2890" s="657"/>
    </row>
    <row r="2891" spans="2:13" ht="15.75" hidden="1" x14ac:dyDescent="0.25">
      <c r="B2891" s="655">
        <v>46294</v>
      </c>
      <c r="C2891" s="655" t="s">
        <v>105</v>
      </c>
      <c r="D2891" s="655" t="s">
        <v>189</v>
      </c>
      <c r="F2891" s="899">
        <v>46294</v>
      </c>
      <c r="G2891" s="60" t="s">
        <v>32</v>
      </c>
      <c r="H2891" s="60" t="s">
        <v>27</v>
      </c>
      <c r="I2891" s="62">
        <v>4</v>
      </c>
      <c r="J2891" s="62">
        <v>11</v>
      </c>
      <c r="K2891" s="494">
        <v>0</v>
      </c>
      <c r="L2891" s="497">
        <f t="shared" ref="L2891:L2896" si="651">SUM(I2891:K2891)</f>
        <v>15</v>
      </c>
      <c r="M2891" s="61"/>
    </row>
    <row r="2892" spans="2:13" ht="15.75" hidden="1" x14ac:dyDescent="0.25">
      <c r="B2892" s="655">
        <v>46294</v>
      </c>
      <c r="C2892" s="655" t="s">
        <v>105</v>
      </c>
      <c r="D2892" s="655" t="s">
        <v>189</v>
      </c>
      <c r="F2892" s="899"/>
      <c r="G2892" s="60" t="s">
        <v>14</v>
      </c>
      <c r="H2892" s="60" t="s">
        <v>105</v>
      </c>
      <c r="I2892" s="62">
        <v>61</v>
      </c>
      <c r="J2892" s="62">
        <v>12</v>
      </c>
      <c r="K2892" s="494">
        <v>0</v>
      </c>
      <c r="L2892" s="497">
        <f t="shared" si="651"/>
        <v>73</v>
      </c>
      <c r="M2892" s="61"/>
    </row>
    <row r="2893" spans="2:13" ht="15.75" hidden="1" x14ac:dyDescent="0.25">
      <c r="B2893" s="655">
        <v>46294</v>
      </c>
      <c r="C2893" s="655" t="s">
        <v>105</v>
      </c>
      <c r="D2893" s="655" t="s">
        <v>189</v>
      </c>
      <c r="F2893" s="838">
        <v>46295</v>
      </c>
      <c r="G2893" s="60" t="s">
        <v>16</v>
      </c>
      <c r="H2893" s="60" t="s">
        <v>15</v>
      </c>
      <c r="I2893" s="62">
        <v>55</v>
      </c>
      <c r="J2893" s="62">
        <v>13</v>
      </c>
      <c r="K2893" s="494">
        <v>59</v>
      </c>
      <c r="L2893" s="497">
        <f t="shared" si="651"/>
        <v>127</v>
      </c>
      <c r="M2893" s="61"/>
    </row>
    <row r="2894" spans="2:13" ht="15.75" hidden="1" x14ac:dyDescent="0.25">
      <c r="B2894" s="655">
        <v>46294</v>
      </c>
      <c r="C2894" s="655" t="s">
        <v>105</v>
      </c>
      <c r="D2894" s="655" t="s">
        <v>189</v>
      </c>
      <c r="F2894" s="839"/>
      <c r="G2894" s="60" t="s">
        <v>17</v>
      </c>
      <c r="H2894" s="60" t="s">
        <v>106</v>
      </c>
      <c r="I2894" s="62">
        <v>85</v>
      </c>
      <c r="J2894" s="62">
        <v>35</v>
      </c>
      <c r="K2894" s="494">
        <v>0</v>
      </c>
      <c r="L2894" s="497">
        <f t="shared" si="651"/>
        <v>120</v>
      </c>
      <c r="M2894" s="61"/>
    </row>
    <row r="2895" spans="2:13" ht="15.75" hidden="1" x14ac:dyDescent="0.25">
      <c r="B2895" s="655">
        <v>46294</v>
      </c>
      <c r="C2895" s="655" t="s">
        <v>105</v>
      </c>
      <c r="D2895" s="655" t="s">
        <v>189</v>
      </c>
      <c r="F2895" s="848"/>
      <c r="G2895" s="60" t="s">
        <v>25</v>
      </c>
      <c r="H2895" s="60" t="s">
        <v>105</v>
      </c>
      <c r="I2895" s="62">
        <v>0</v>
      </c>
      <c r="J2895" s="62">
        <v>2</v>
      </c>
      <c r="K2895" s="494">
        <v>101</v>
      </c>
      <c r="L2895" s="497">
        <f t="shared" si="651"/>
        <v>103</v>
      </c>
      <c r="M2895" s="61"/>
    </row>
    <row r="2896" spans="2:13" ht="15.75" hidden="1" x14ac:dyDescent="0.25">
      <c r="B2896" s="655">
        <v>46294</v>
      </c>
      <c r="C2896" s="655" t="s">
        <v>105</v>
      </c>
      <c r="D2896" s="655" t="s">
        <v>189</v>
      </c>
      <c r="F2896" s="654">
        <v>46296</v>
      </c>
      <c r="G2896" s="60" t="s">
        <v>212</v>
      </c>
      <c r="H2896" s="60" t="s">
        <v>22</v>
      </c>
      <c r="I2896" s="62">
        <v>0</v>
      </c>
      <c r="J2896" s="62">
        <v>0</v>
      </c>
      <c r="K2896" s="494">
        <v>132</v>
      </c>
      <c r="L2896" s="497">
        <f t="shared" si="651"/>
        <v>132</v>
      </c>
      <c r="M2896" s="61"/>
    </row>
    <row r="2897" spans="2:13" ht="15.75" hidden="1" x14ac:dyDescent="0.25">
      <c r="B2897" s="655">
        <v>46294</v>
      </c>
      <c r="C2897" s="655" t="s">
        <v>106</v>
      </c>
      <c r="D2897" s="655" t="s">
        <v>189</v>
      </c>
      <c r="F2897" s="890" t="s">
        <v>40</v>
      </c>
      <c r="G2897" s="890"/>
      <c r="H2897" s="890"/>
      <c r="I2897" s="99">
        <f>SUM(I2891:I2896)</f>
        <v>205</v>
      </c>
      <c r="J2897" s="99">
        <f>SUM(J2891:J2896)</f>
        <v>73</v>
      </c>
      <c r="K2897" s="99">
        <f>SUM(K2891:K2896)</f>
        <v>292</v>
      </c>
      <c r="L2897" s="99">
        <f>SUM(L2891:L2896)</f>
        <v>570</v>
      </c>
      <c r="M2897" s="512"/>
    </row>
    <row r="2898" spans="2:13" ht="15.75" hidden="1" x14ac:dyDescent="0.25">
      <c r="B2898" s="658">
        <v>46295</v>
      </c>
      <c r="C2898" s="658" t="s">
        <v>106</v>
      </c>
      <c r="D2898" s="658" t="s">
        <v>13</v>
      </c>
      <c r="F2898" s="838">
        <v>46295</v>
      </c>
      <c r="G2898" s="60" t="s">
        <v>16</v>
      </c>
      <c r="H2898" s="60" t="s">
        <v>15</v>
      </c>
      <c r="I2898" s="62">
        <v>100</v>
      </c>
      <c r="J2898" s="62">
        <v>31</v>
      </c>
      <c r="K2898" s="494">
        <v>0</v>
      </c>
      <c r="L2898" s="497">
        <f t="shared" ref="L2898:L2905" si="652">SUM(I2898:K2898)</f>
        <v>131</v>
      </c>
      <c r="M2898" s="61"/>
    </row>
    <row r="2899" spans="2:13" ht="15.75" hidden="1" x14ac:dyDescent="0.25">
      <c r="B2899" s="658">
        <v>46295</v>
      </c>
      <c r="C2899" s="658" t="s">
        <v>106</v>
      </c>
      <c r="D2899" s="658" t="s">
        <v>13</v>
      </c>
      <c r="F2899" s="839"/>
      <c r="G2899" s="60" t="s">
        <v>17</v>
      </c>
      <c r="H2899" s="60" t="s">
        <v>106</v>
      </c>
      <c r="I2899" s="62">
        <v>33</v>
      </c>
      <c r="J2899" s="62">
        <v>33</v>
      </c>
      <c r="K2899" s="494">
        <v>0</v>
      </c>
      <c r="L2899" s="497">
        <f t="shared" si="652"/>
        <v>66</v>
      </c>
      <c r="M2899" s="61"/>
    </row>
    <row r="2900" spans="2:13" ht="15.75" hidden="1" x14ac:dyDescent="0.25">
      <c r="B2900" s="658">
        <v>46295</v>
      </c>
      <c r="C2900" s="658" t="s">
        <v>106</v>
      </c>
      <c r="D2900" s="658" t="s">
        <v>13</v>
      </c>
      <c r="F2900" s="839"/>
      <c r="G2900" s="60" t="s">
        <v>32</v>
      </c>
      <c r="H2900" s="60" t="s">
        <v>106</v>
      </c>
      <c r="I2900" s="62">
        <v>1</v>
      </c>
      <c r="J2900" s="62">
        <v>2</v>
      </c>
      <c r="K2900" s="494">
        <v>0</v>
      </c>
      <c r="L2900" s="497">
        <f t="shared" si="652"/>
        <v>3</v>
      </c>
      <c r="M2900" s="61"/>
    </row>
    <row r="2901" spans="2:13" ht="15.75" hidden="1" x14ac:dyDescent="0.25">
      <c r="B2901" s="658">
        <v>46295</v>
      </c>
      <c r="C2901" s="658" t="s">
        <v>106</v>
      </c>
      <c r="D2901" s="658" t="s">
        <v>13</v>
      </c>
      <c r="F2901" s="839"/>
      <c r="G2901" s="60" t="s">
        <v>205</v>
      </c>
      <c r="H2901" s="60" t="s">
        <v>106</v>
      </c>
      <c r="I2901" s="62">
        <v>10</v>
      </c>
      <c r="J2901" s="62">
        <v>0</v>
      </c>
      <c r="K2901" s="494">
        <v>0</v>
      </c>
      <c r="L2901" s="497">
        <f t="shared" si="652"/>
        <v>10</v>
      </c>
      <c r="M2901" s="61"/>
    </row>
    <row r="2902" spans="2:13" ht="15.75" hidden="1" x14ac:dyDescent="0.25">
      <c r="B2902" s="658">
        <v>46295</v>
      </c>
      <c r="C2902" s="658" t="s">
        <v>106</v>
      </c>
      <c r="D2902" s="658" t="s">
        <v>13</v>
      </c>
      <c r="F2902" s="848"/>
      <c r="G2902" s="60" t="s">
        <v>25</v>
      </c>
      <c r="H2902" s="60" t="s">
        <v>105</v>
      </c>
      <c r="I2902" s="62">
        <v>97</v>
      </c>
      <c r="J2902" s="62">
        <v>19</v>
      </c>
      <c r="K2902" s="494">
        <v>0</v>
      </c>
      <c r="L2902" s="497">
        <f t="shared" si="652"/>
        <v>116</v>
      </c>
      <c r="M2902" s="61"/>
    </row>
    <row r="2903" spans="2:13" ht="15.75" hidden="1" x14ac:dyDescent="0.25">
      <c r="B2903" s="658">
        <v>46295</v>
      </c>
      <c r="C2903" s="658" t="s">
        <v>106</v>
      </c>
      <c r="D2903" s="658" t="s">
        <v>13</v>
      </c>
      <c r="F2903" s="830">
        <v>46296</v>
      </c>
      <c r="G2903" s="60" t="s">
        <v>212</v>
      </c>
      <c r="H2903" s="60" t="s">
        <v>22</v>
      </c>
      <c r="I2903" s="62">
        <v>106</v>
      </c>
      <c r="J2903" s="62">
        <v>21</v>
      </c>
      <c r="K2903" s="494">
        <v>29</v>
      </c>
      <c r="L2903" s="497">
        <f t="shared" si="652"/>
        <v>156</v>
      </c>
      <c r="M2903" s="61"/>
    </row>
    <row r="2904" spans="2:13" ht="15.75" hidden="1" x14ac:dyDescent="0.25">
      <c r="B2904" s="658">
        <v>46295</v>
      </c>
      <c r="C2904" s="658" t="s">
        <v>106</v>
      </c>
      <c r="D2904" s="658" t="s">
        <v>13</v>
      </c>
      <c r="F2904" s="831"/>
      <c r="G2904" s="60" t="s">
        <v>16</v>
      </c>
      <c r="H2904" s="60" t="s">
        <v>105</v>
      </c>
      <c r="I2904" s="62">
        <v>59</v>
      </c>
      <c r="J2904" s="62">
        <v>10</v>
      </c>
      <c r="K2904" s="494">
        <v>0</v>
      </c>
      <c r="L2904" s="497">
        <f t="shared" si="652"/>
        <v>69</v>
      </c>
      <c r="M2904" s="61"/>
    </row>
    <row r="2905" spans="2:13" ht="15.75" hidden="1" x14ac:dyDescent="0.25">
      <c r="B2905" s="658">
        <v>46295</v>
      </c>
      <c r="C2905" s="658" t="s">
        <v>106</v>
      </c>
      <c r="D2905" s="658" t="s">
        <v>13</v>
      </c>
      <c r="F2905" s="831"/>
      <c r="G2905" s="60" t="s">
        <v>118</v>
      </c>
      <c r="H2905" s="60" t="s">
        <v>106</v>
      </c>
      <c r="I2905" s="62">
        <v>0</v>
      </c>
      <c r="J2905" s="62">
        <v>0</v>
      </c>
      <c r="K2905" s="494">
        <v>71</v>
      </c>
      <c r="L2905" s="497">
        <f t="shared" si="652"/>
        <v>71</v>
      </c>
      <c r="M2905" s="61"/>
    </row>
    <row r="2906" spans="2:13" ht="15" hidden="1" customHeight="1" x14ac:dyDescent="0.25">
      <c r="B2906" s="658">
        <v>46295</v>
      </c>
      <c r="C2906" s="658" t="s">
        <v>106</v>
      </c>
      <c r="D2906" s="658" t="s">
        <v>13</v>
      </c>
      <c r="F2906" s="890" t="s">
        <v>40</v>
      </c>
      <c r="G2906" s="890"/>
      <c r="H2906" s="890"/>
      <c r="I2906" s="99">
        <f>SUM(I2898:I2905)</f>
        <v>406</v>
      </c>
      <c r="J2906" s="99">
        <f>SUM(J2898:J2905)</f>
        <v>116</v>
      </c>
      <c r="K2906" s="99">
        <f>SUM(K2898:K2905)</f>
        <v>100</v>
      </c>
      <c r="L2906" s="99">
        <f>SUM(L2898:L2905)</f>
        <v>622</v>
      </c>
      <c r="M2906" s="512"/>
    </row>
    <row r="2907" spans="2:13" ht="15.75" hidden="1" x14ac:dyDescent="0.25">
      <c r="B2907" s="659">
        <v>46295</v>
      </c>
      <c r="C2907" s="659" t="s">
        <v>105</v>
      </c>
      <c r="D2907" s="659" t="s">
        <v>189</v>
      </c>
      <c r="F2907" s="899">
        <v>46295</v>
      </c>
      <c r="G2907" s="60" t="s">
        <v>32</v>
      </c>
      <c r="H2907" s="60" t="s">
        <v>27</v>
      </c>
      <c r="I2907" s="62">
        <v>9</v>
      </c>
      <c r="J2907" s="62">
        <v>3</v>
      </c>
      <c r="K2907" s="494">
        <v>0</v>
      </c>
      <c r="L2907" s="497">
        <f t="shared" ref="L2907:L2916" si="653">SUM(I2907:K2907)</f>
        <v>12</v>
      </c>
      <c r="M2907" s="61"/>
    </row>
    <row r="2908" spans="2:13" ht="15.75" hidden="1" x14ac:dyDescent="0.25">
      <c r="B2908" s="659">
        <v>46295</v>
      </c>
      <c r="C2908" s="659" t="s">
        <v>105</v>
      </c>
      <c r="D2908" s="659" t="s">
        <v>189</v>
      </c>
      <c r="F2908" s="899"/>
      <c r="G2908" s="60" t="s">
        <v>25</v>
      </c>
      <c r="H2908" s="60" t="s">
        <v>105</v>
      </c>
      <c r="I2908" s="62">
        <v>38</v>
      </c>
      <c r="J2908" s="62">
        <v>10</v>
      </c>
      <c r="K2908" s="494">
        <v>0</v>
      </c>
      <c r="L2908" s="497">
        <f t="shared" si="653"/>
        <v>48</v>
      </c>
      <c r="M2908" s="61"/>
    </row>
    <row r="2909" spans="2:13" ht="15.75" hidden="1" x14ac:dyDescent="0.25">
      <c r="B2909" s="659">
        <v>46295</v>
      </c>
      <c r="C2909" s="659" t="s">
        <v>105</v>
      </c>
      <c r="D2909" s="659" t="s">
        <v>189</v>
      </c>
      <c r="F2909" s="899"/>
      <c r="G2909" s="60" t="s">
        <v>17</v>
      </c>
      <c r="H2909" s="60" t="s">
        <v>105</v>
      </c>
      <c r="I2909" s="62">
        <v>6</v>
      </c>
      <c r="J2909" s="62">
        <v>9</v>
      </c>
      <c r="K2909" s="494">
        <v>0</v>
      </c>
      <c r="L2909" s="497">
        <f t="shared" si="653"/>
        <v>15</v>
      </c>
      <c r="M2909" s="61"/>
    </row>
    <row r="2910" spans="2:13" ht="15.75" hidden="1" x14ac:dyDescent="0.25">
      <c r="B2910" s="659">
        <v>46295</v>
      </c>
      <c r="C2910" s="659" t="s">
        <v>105</v>
      </c>
      <c r="D2910" s="659" t="s">
        <v>189</v>
      </c>
      <c r="F2910" s="899"/>
      <c r="G2910" s="60" t="s">
        <v>120</v>
      </c>
      <c r="H2910" s="60" t="s">
        <v>105</v>
      </c>
      <c r="I2910" s="62">
        <v>2</v>
      </c>
      <c r="J2910" s="62">
        <v>0</v>
      </c>
      <c r="K2910" s="494">
        <v>0</v>
      </c>
      <c r="L2910" s="497">
        <f t="shared" si="653"/>
        <v>2</v>
      </c>
      <c r="M2910" s="61"/>
    </row>
    <row r="2911" spans="2:13" ht="15.75" hidden="1" x14ac:dyDescent="0.25">
      <c r="B2911" s="659">
        <v>46295</v>
      </c>
      <c r="C2911" s="659" t="s">
        <v>105</v>
      </c>
      <c r="D2911" s="659" t="s">
        <v>189</v>
      </c>
      <c r="F2911" s="895">
        <v>46296</v>
      </c>
      <c r="G2911" s="60" t="s">
        <v>16</v>
      </c>
      <c r="H2911" s="60" t="s">
        <v>15</v>
      </c>
      <c r="I2911" s="62">
        <v>8</v>
      </c>
      <c r="J2911" s="62">
        <v>6</v>
      </c>
      <c r="K2911" s="494">
        <v>59</v>
      </c>
      <c r="L2911" s="497">
        <f t="shared" si="653"/>
        <v>73</v>
      </c>
      <c r="M2911" s="61"/>
    </row>
    <row r="2912" spans="2:13" ht="15.75" hidden="1" x14ac:dyDescent="0.25">
      <c r="B2912" s="659">
        <v>46295</v>
      </c>
      <c r="C2912" s="659" t="s">
        <v>105</v>
      </c>
      <c r="D2912" s="659" t="s">
        <v>189</v>
      </c>
      <c r="F2912" s="895"/>
      <c r="G2912" s="60" t="s">
        <v>213</v>
      </c>
      <c r="H2912" s="60" t="s">
        <v>22</v>
      </c>
      <c r="I2912" s="62">
        <v>0</v>
      </c>
      <c r="J2912" s="62">
        <v>0</v>
      </c>
      <c r="K2912" s="494">
        <v>74</v>
      </c>
      <c r="L2912" s="497">
        <f t="shared" si="653"/>
        <v>74</v>
      </c>
      <c r="M2912" s="61"/>
    </row>
    <row r="2913" spans="2:13" ht="15.75" hidden="1" x14ac:dyDescent="0.25">
      <c r="B2913" s="659">
        <v>46295</v>
      </c>
      <c r="C2913" s="659" t="s">
        <v>105</v>
      </c>
      <c r="D2913" s="659" t="s">
        <v>189</v>
      </c>
      <c r="F2913" s="895"/>
      <c r="G2913" s="60" t="s">
        <v>118</v>
      </c>
      <c r="H2913" s="60" t="s">
        <v>106</v>
      </c>
      <c r="I2913" s="62">
        <v>150</v>
      </c>
      <c r="J2913" s="62">
        <v>46</v>
      </c>
      <c r="K2913" s="494">
        <v>8</v>
      </c>
      <c r="L2913" s="497">
        <f t="shared" si="653"/>
        <v>204</v>
      </c>
      <c r="M2913" s="61"/>
    </row>
    <row r="2914" spans="2:13" ht="15.75" hidden="1" x14ac:dyDescent="0.25">
      <c r="B2914" s="659">
        <v>46295</v>
      </c>
      <c r="C2914" s="659" t="s">
        <v>105</v>
      </c>
      <c r="D2914" s="659" t="s">
        <v>189</v>
      </c>
      <c r="F2914" s="895"/>
      <c r="G2914" s="60" t="s">
        <v>14</v>
      </c>
      <c r="H2914" s="60" t="s">
        <v>105</v>
      </c>
      <c r="I2914" s="62">
        <v>0</v>
      </c>
      <c r="J2914" s="62">
        <v>0</v>
      </c>
      <c r="K2914" s="494">
        <v>72</v>
      </c>
      <c r="L2914" s="497">
        <f t="shared" si="653"/>
        <v>72</v>
      </c>
      <c r="M2914" s="61"/>
    </row>
    <row r="2915" spans="2:13" ht="15.75" hidden="1" x14ac:dyDescent="0.25">
      <c r="B2915" s="659">
        <v>46295</v>
      </c>
      <c r="C2915" s="659" t="s">
        <v>105</v>
      </c>
      <c r="D2915" s="659" t="s">
        <v>189</v>
      </c>
      <c r="F2915" s="838">
        <v>46297</v>
      </c>
      <c r="G2915" s="60" t="s">
        <v>16</v>
      </c>
      <c r="H2915" s="60" t="s">
        <v>15</v>
      </c>
      <c r="I2915" s="62">
        <v>0</v>
      </c>
      <c r="J2915" s="62">
        <v>0</v>
      </c>
      <c r="K2915" s="494">
        <v>15</v>
      </c>
      <c r="L2915" s="497">
        <f t="shared" si="653"/>
        <v>15</v>
      </c>
      <c r="M2915" s="61"/>
    </row>
    <row r="2916" spans="2:13" ht="15.75" hidden="1" x14ac:dyDescent="0.25">
      <c r="B2916" s="659">
        <v>46295</v>
      </c>
      <c r="C2916" s="659" t="s">
        <v>105</v>
      </c>
      <c r="D2916" s="659" t="s">
        <v>189</v>
      </c>
      <c r="F2916" s="848"/>
      <c r="G2916" s="60" t="s">
        <v>17</v>
      </c>
      <c r="H2916" s="60" t="s">
        <v>106</v>
      </c>
      <c r="I2916" s="62">
        <v>0</v>
      </c>
      <c r="J2916" s="62">
        <v>0</v>
      </c>
      <c r="K2916" s="494">
        <v>12</v>
      </c>
      <c r="L2916" s="497">
        <f t="shared" si="653"/>
        <v>12</v>
      </c>
      <c r="M2916" s="61"/>
    </row>
    <row r="2917" spans="2:13" ht="15.75" hidden="1" x14ac:dyDescent="0.25">
      <c r="B2917" s="659">
        <v>46295</v>
      </c>
      <c r="C2917" s="659" t="s">
        <v>106</v>
      </c>
      <c r="D2917" s="659" t="s">
        <v>189</v>
      </c>
      <c r="F2917" s="890" t="s">
        <v>40</v>
      </c>
      <c r="G2917" s="890"/>
      <c r="H2917" s="890"/>
      <c r="I2917" s="99">
        <f>SUM(I2907:I2916)</f>
        <v>213</v>
      </c>
      <c r="J2917" s="99">
        <f>SUM(J2907:J2916)</f>
        <v>74</v>
      </c>
      <c r="K2917" s="99">
        <f>SUM(K2907:K2916)</f>
        <v>240</v>
      </c>
      <c r="L2917" s="99">
        <f>SUM(L2907:L2916)</f>
        <v>527</v>
      </c>
      <c r="M2917" s="512"/>
    </row>
    <row r="2918" spans="2:13" ht="15.75" hidden="1" x14ac:dyDescent="0.25">
      <c r="B2918" s="660">
        <v>46296</v>
      </c>
      <c r="C2918" s="660" t="s">
        <v>106</v>
      </c>
      <c r="D2918" s="660" t="s">
        <v>13</v>
      </c>
      <c r="F2918" s="893">
        <v>46296</v>
      </c>
      <c r="G2918" s="60" t="s">
        <v>16</v>
      </c>
      <c r="H2918" s="60" t="s">
        <v>15</v>
      </c>
      <c r="I2918" s="62">
        <v>45</v>
      </c>
      <c r="J2918" s="62">
        <v>29</v>
      </c>
      <c r="K2918" s="494">
        <v>0</v>
      </c>
      <c r="L2918" s="497">
        <f t="shared" ref="L2918:L2926" si="654">SUM(I2918:K2918)</f>
        <v>74</v>
      </c>
      <c r="M2918" s="61"/>
    </row>
    <row r="2919" spans="2:13" ht="15.75" hidden="1" x14ac:dyDescent="0.25">
      <c r="B2919" s="660">
        <v>46296</v>
      </c>
      <c r="C2919" s="660" t="s">
        <v>106</v>
      </c>
      <c r="D2919" s="660" t="s">
        <v>13</v>
      </c>
      <c r="F2919" s="893"/>
      <c r="G2919" s="60" t="s">
        <v>213</v>
      </c>
      <c r="H2919" s="60" t="s">
        <v>22</v>
      </c>
      <c r="I2919" s="62">
        <v>72</v>
      </c>
      <c r="J2919" s="62">
        <v>9</v>
      </c>
      <c r="K2919" s="494">
        <v>0</v>
      </c>
      <c r="L2919" s="497">
        <f t="shared" si="654"/>
        <v>81</v>
      </c>
      <c r="M2919" s="61"/>
    </row>
    <row r="2920" spans="2:13" ht="15.75" hidden="1" x14ac:dyDescent="0.25">
      <c r="B2920" s="660">
        <v>46296</v>
      </c>
      <c r="C2920" s="660" t="s">
        <v>106</v>
      </c>
      <c r="D2920" s="660" t="s">
        <v>13</v>
      </c>
      <c r="F2920" s="893"/>
      <c r="G2920" s="60" t="s">
        <v>118</v>
      </c>
      <c r="H2920" s="60" t="s">
        <v>106</v>
      </c>
      <c r="I2920" s="62">
        <v>49</v>
      </c>
      <c r="J2920" s="62">
        <v>16</v>
      </c>
      <c r="K2920" s="494">
        <v>0</v>
      </c>
      <c r="L2920" s="497">
        <f t="shared" si="654"/>
        <v>65</v>
      </c>
      <c r="M2920" s="61"/>
    </row>
    <row r="2921" spans="2:13" ht="15.75" hidden="1" x14ac:dyDescent="0.25">
      <c r="B2921" s="660">
        <v>46296</v>
      </c>
      <c r="C2921" s="660" t="s">
        <v>106</v>
      </c>
      <c r="D2921" s="660" t="s">
        <v>13</v>
      </c>
      <c r="F2921" s="893"/>
      <c r="G2921" s="60" t="s">
        <v>17</v>
      </c>
      <c r="H2921" s="60" t="s">
        <v>106</v>
      </c>
      <c r="I2921" s="62">
        <v>33</v>
      </c>
      <c r="J2921" s="62">
        <v>0</v>
      </c>
      <c r="K2921" s="494">
        <v>0</v>
      </c>
      <c r="L2921" s="497">
        <f t="shared" si="654"/>
        <v>33</v>
      </c>
      <c r="M2921" s="61"/>
    </row>
    <row r="2922" spans="2:13" ht="15.75" hidden="1" x14ac:dyDescent="0.25">
      <c r="B2922" s="660">
        <v>46296</v>
      </c>
      <c r="C2922" s="660" t="s">
        <v>106</v>
      </c>
      <c r="D2922" s="660" t="s">
        <v>13</v>
      </c>
      <c r="F2922" s="893"/>
      <c r="G2922" s="60" t="s">
        <v>14</v>
      </c>
      <c r="H2922" s="60" t="s">
        <v>105</v>
      </c>
      <c r="I2922" s="62">
        <v>115</v>
      </c>
      <c r="J2922" s="62">
        <v>31</v>
      </c>
      <c r="K2922" s="494">
        <v>0</v>
      </c>
      <c r="L2922" s="497">
        <f t="shared" si="654"/>
        <v>146</v>
      </c>
      <c r="M2922" s="61"/>
    </row>
    <row r="2923" spans="2:13" ht="15.75" hidden="1" x14ac:dyDescent="0.25">
      <c r="B2923" s="660">
        <v>46296</v>
      </c>
      <c r="C2923" s="660" t="s">
        <v>106</v>
      </c>
      <c r="D2923" s="660" t="s">
        <v>13</v>
      </c>
      <c r="F2923" s="838">
        <v>46297</v>
      </c>
      <c r="G2923" s="60" t="s">
        <v>16</v>
      </c>
      <c r="H2923" s="60" t="s">
        <v>15</v>
      </c>
      <c r="I2923" s="62">
        <v>140</v>
      </c>
      <c r="J2923" s="62">
        <v>30</v>
      </c>
      <c r="K2923" s="494">
        <v>13</v>
      </c>
      <c r="L2923" s="497">
        <f t="shared" si="654"/>
        <v>183</v>
      </c>
      <c r="M2923" s="61"/>
    </row>
    <row r="2924" spans="2:13" ht="15.75" hidden="1" x14ac:dyDescent="0.25">
      <c r="B2924" s="660">
        <v>46296</v>
      </c>
      <c r="C2924" s="660" t="s">
        <v>106</v>
      </c>
      <c r="D2924" s="660" t="s">
        <v>13</v>
      </c>
      <c r="F2924" s="839"/>
      <c r="G2924" s="60" t="s">
        <v>17</v>
      </c>
      <c r="H2924" s="60" t="s">
        <v>106</v>
      </c>
      <c r="I2924" s="62">
        <v>19</v>
      </c>
      <c r="J2924" s="62">
        <v>7</v>
      </c>
      <c r="K2924" s="494">
        <v>0</v>
      </c>
      <c r="L2924" s="497">
        <f t="shared" si="654"/>
        <v>26</v>
      </c>
      <c r="M2924" s="61"/>
    </row>
    <row r="2925" spans="2:13" ht="15.75" hidden="1" x14ac:dyDescent="0.25">
      <c r="B2925" s="660">
        <v>46296</v>
      </c>
      <c r="C2925" s="660" t="s">
        <v>106</v>
      </c>
      <c r="D2925" s="660" t="s">
        <v>13</v>
      </c>
      <c r="F2925" s="839"/>
      <c r="G2925" s="60" t="s">
        <v>14</v>
      </c>
      <c r="H2925" s="60" t="s">
        <v>105</v>
      </c>
      <c r="I2925" s="62">
        <v>0</v>
      </c>
      <c r="J2925" s="62">
        <v>0</v>
      </c>
      <c r="K2925" s="494">
        <v>0</v>
      </c>
      <c r="L2925" s="497">
        <f t="shared" si="654"/>
        <v>0</v>
      </c>
      <c r="M2925" s="61"/>
    </row>
    <row r="2926" spans="2:13" ht="15.75" hidden="1" x14ac:dyDescent="0.25">
      <c r="B2926" s="660">
        <v>46296</v>
      </c>
      <c r="C2926" s="660" t="s">
        <v>106</v>
      </c>
      <c r="D2926" s="660" t="s">
        <v>13</v>
      </c>
      <c r="F2926" s="848"/>
      <c r="G2926" s="60" t="s">
        <v>84</v>
      </c>
      <c r="H2926" s="60" t="s">
        <v>27</v>
      </c>
      <c r="I2926" s="62">
        <v>0</v>
      </c>
      <c r="J2926" s="62">
        <v>0</v>
      </c>
      <c r="K2926" s="494">
        <v>0</v>
      </c>
      <c r="L2926" s="497">
        <f t="shared" si="654"/>
        <v>0</v>
      </c>
      <c r="M2926" s="61"/>
    </row>
    <row r="2927" spans="2:13" ht="15.75" hidden="1" x14ac:dyDescent="0.25">
      <c r="B2927" s="660">
        <v>46296</v>
      </c>
      <c r="C2927" s="660" t="s">
        <v>106</v>
      </c>
      <c r="D2927" s="660" t="s">
        <v>13</v>
      </c>
      <c r="F2927" s="917" t="s">
        <v>40</v>
      </c>
      <c r="G2927" s="917"/>
      <c r="H2927" s="917"/>
      <c r="I2927" s="668">
        <f>SUM(I2918:I2926)</f>
        <v>473</v>
      </c>
      <c r="J2927" s="668">
        <f t="shared" ref="J2927:L2927" si="655">SUM(J2918:J2926)</f>
        <v>122</v>
      </c>
      <c r="K2927" s="668">
        <f t="shared" si="655"/>
        <v>13</v>
      </c>
      <c r="L2927" s="668">
        <f t="shared" si="655"/>
        <v>608</v>
      </c>
      <c r="M2927" s="669"/>
    </row>
    <row r="2928" spans="2:13" ht="15.75" hidden="1" x14ac:dyDescent="0.25">
      <c r="B2928" s="662">
        <v>46296</v>
      </c>
      <c r="C2928" s="662" t="s">
        <v>105</v>
      </c>
      <c r="D2928" s="662" t="s">
        <v>189</v>
      </c>
      <c r="F2928" s="833">
        <v>46296</v>
      </c>
      <c r="G2928" s="60" t="s">
        <v>32</v>
      </c>
      <c r="H2928" s="60" t="s">
        <v>27</v>
      </c>
      <c r="I2928" s="62">
        <v>4</v>
      </c>
      <c r="J2928" s="62">
        <v>0</v>
      </c>
      <c r="K2928" s="494">
        <v>0</v>
      </c>
      <c r="L2928" s="497">
        <f t="shared" ref="L2928:L2934" si="656">SUM(I2928:K2928)</f>
        <v>4</v>
      </c>
      <c r="M2928" s="61"/>
    </row>
    <row r="2929" spans="2:13" ht="15.75" hidden="1" x14ac:dyDescent="0.25">
      <c r="B2929" s="662">
        <v>46296</v>
      </c>
      <c r="C2929" s="662" t="s">
        <v>105</v>
      </c>
      <c r="D2929" s="662" t="s">
        <v>189</v>
      </c>
      <c r="F2929" s="835"/>
      <c r="G2929" s="60" t="s">
        <v>14</v>
      </c>
      <c r="H2929" s="60" t="s">
        <v>105</v>
      </c>
      <c r="I2929" s="62">
        <v>35</v>
      </c>
      <c r="J2929" s="62">
        <v>13</v>
      </c>
      <c r="K2929" s="494">
        <v>0</v>
      </c>
      <c r="L2929" s="497">
        <f t="shared" si="656"/>
        <v>48</v>
      </c>
      <c r="M2929" s="61"/>
    </row>
    <row r="2930" spans="2:13" ht="15.75" hidden="1" x14ac:dyDescent="0.25">
      <c r="B2930" s="662">
        <v>46296</v>
      </c>
      <c r="C2930" s="662" t="s">
        <v>105</v>
      </c>
      <c r="D2930" s="662" t="s">
        <v>189</v>
      </c>
      <c r="F2930" s="838">
        <v>46297</v>
      </c>
      <c r="G2930" s="60" t="s">
        <v>16</v>
      </c>
      <c r="H2930" s="60" t="s">
        <v>15</v>
      </c>
      <c r="I2930" s="62">
        <v>13</v>
      </c>
      <c r="J2930" s="62">
        <v>6</v>
      </c>
      <c r="K2930" s="494">
        <v>5</v>
      </c>
      <c r="L2930" s="497">
        <f t="shared" si="656"/>
        <v>24</v>
      </c>
      <c r="M2930" s="61"/>
    </row>
    <row r="2931" spans="2:13" ht="15.75" hidden="1" x14ac:dyDescent="0.25">
      <c r="B2931" s="662">
        <v>46296</v>
      </c>
      <c r="C2931" s="662" t="s">
        <v>105</v>
      </c>
      <c r="D2931" s="662" t="s">
        <v>189</v>
      </c>
      <c r="F2931" s="839"/>
      <c r="G2931" s="60" t="s">
        <v>17</v>
      </c>
      <c r="H2931" s="60" t="s">
        <v>106</v>
      </c>
      <c r="I2931" s="62">
        <v>98</v>
      </c>
      <c r="J2931" s="62">
        <v>36</v>
      </c>
      <c r="K2931" s="494">
        <v>0</v>
      </c>
      <c r="L2931" s="497">
        <f t="shared" si="656"/>
        <v>134</v>
      </c>
      <c r="M2931" s="61"/>
    </row>
    <row r="2932" spans="2:13" ht="15.75" hidden="1" x14ac:dyDescent="0.25">
      <c r="B2932" s="662">
        <v>46296</v>
      </c>
      <c r="C2932" s="662" t="s">
        <v>105</v>
      </c>
      <c r="D2932" s="662" t="s">
        <v>189</v>
      </c>
      <c r="F2932" s="839"/>
      <c r="G2932" s="60" t="s">
        <v>84</v>
      </c>
      <c r="H2932" s="60" t="s">
        <v>27</v>
      </c>
      <c r="I2932" s="62">
        <v>82</v>
      </c>
      <c r="J2932" s="62">
        <v>6</v>
      </c>
      <c r="K2932" s="494">
        <v>40</v>
      </c>
      <c r="L2932" s="497">
        <f t="shared" si="656"/>
        <v>128</v>
      </c>
      <c r="M2932" s="61"/>
    </row>
    <row r="2933" spans="2:13" ht="15.75" hidden="1" x14ac:dyDescent="0.25">
      <c r="B2933" s="662">
        <v>46296</v>
      </c>
      <c r="C2933" s="662" t="s">
        <v>105</v>
      </c>
      <c r="D2933" s="662" t="s">
        <v>189</v>
      </c>
      <c r="F2933" s="848"/>
      <c r="G2933" s="60" t="s">
        <v>14</v>
      </c>
      <c r="H2933" s="60" t="s">
        <v>105</v>
      </c>
      <c r="I2933" s="62">
        <v>0</v>
      </c>
      <c r="J2933" s="62">
        <v>0</v>
      </c>
      <c r="K2933" s="494">
        <v>122</v>
      </c>
      <c r="L2933" s="497">
        <f t="shared" si="656"/>
        <v>122</v>
      </c>
      <c r="M2933" s="61"/>
    </row>
    <row r="2934" spans="2:13" ht="15.75" hidden="1" x14ac:dyDescent="0.25">
      <c r="B2934" s="662">
        <v>46296</v>
      </c>
      <c r="C2934" s="662" t="s">
        <v>105</v>
      </c>
      <c r="D2934" s="662" t="s">
        <v>189</v>
      </c>
      <c r="F2934" s="661">
        <v>46298</v>
      </c>
      <c r="G2934" s="60" t="s">
        <v>16</v>
      </c>
      <c r="H2934" s="60" t="s">
        <v>15</v>
      </c>
      <c r="I2934" s="62">
        <v>0</v>
      </c>
      <c r="J2934" s="62">
        <v>0</v>
      </c>
      <c r="K2934" s="494">
        <v>54</v>
      </c>
      <c r="L2934" s="497">
        <f t="shared" si="656"/>
        <v>54</v>
      </c>
      <c r="M2934" s="61"/>
    </row>
    <row r="2935" spans="2:13" ht="15.75" hidden="1" x14ac:dyDescent="0.25">
      <c r="B2935" s="662">
        <v>46296</v>
      </c>
      <c r="C2935" s="662" t="s">
        <v>106</v>
      </c>
      <c r="D2935" s="662" t="s">
        <v>189</v>
      </c>
      <c r="F2935" s="890" t="s">
        <v>40</v>
      </c>
      <c r="G2935" s="890"/>
      <c r="H2935" s="890"/>
      <c r="I2935" s="99">
        <v>232</v>
      </c>
      <c r="J2935" s="99">
        <v>61</v>
      </c>
      <c r="K2935" s="99">
        <f>SUM(K2928:K2934)</f>
        <v>221</v>
      </c>
      <c r="L2935" s="99">
        <f>SUM(L2928:L2934)</f>
        <v>514</v>
      </c>
      <c r="M2935" s="512"/>
    </row>
    <row r="2936" spans="2:13" ht="15.75" hidden="1" x14ac:dyDescent="0.25">
      <c r="B2936" s="670">
        <v>46297</v>
      </c>
      <c r="C2936" s="670" t="s">
        <v>106</v>
      </c>
      <c r="D2936" s="670" t="s">
        <v>13</v>
      </c>
      <c r="F2936" s="893">
        <v>46297</v>
      </c>
      <c r="G2936" s="60" t="s">
        <v>16</v>
      </c>
      <c r="H2936" s="60" t="s">
        <v>15</v>
      </c>
      <c r="I2936" s="62">
        <v>24</v>
      </c>
      <c r="J2936" s="62">
        <v>12</v>
      </c>
      <c r="K2936" s="494">
        <v>0</v>
      </c>
      <c r="L2936" s="497">
        <f t="shared" ref="L2936:L2942" si="657">SUM(I2936:K2936)</f>
        <v>36</v>
      </c>
      <c r="M2936" s="61"/>
    </row>
    <row r="2937" spans="2:13" ht="15.75" hidden="1" x14ac:dyDescent="0.25">
      <c r="B2937" s="670">
        <v>46297</v>
      </c>
      <c r="C2937" s="670" t="s">
        <v>106</v>
      </c>
      <c r="D2937" s="670" t="s">
        <v>13</v>
      </c>
      <c r="F2937" s="893"/>
      <c r="G2937" s="60" t="s">
        <v>17</v>
      </c>
      <c r="H2937" s="60" t="s">
        <v>106</v>
      </c>
      <c r="I2937" s="62">
        <v>42</v>
      </c>
      <c r="J2937" s="62">
        <v>26</v>
      </c>
      <c r="K2937" s="494">
        <v>0</v>
      </c>
      <c r="L2937" s="497">
        <f t="shared" si="657"/>
        <v>68</v>
      </c>
      <c r="M2937" s="61"/>
    </row>
    <row r="2938" spans="2:13" ht="15.75" hidden="1" x14ac:dyDescent="0.25">
      <c r="B2938" s="670">
        <v>46297</v>
      </c>
      <c r="C2938" s="670" t="s">
        <v>106</v>
      </c>
      <c r="D2938" s="670" t="s">
        <v>13</v>
      </c>
      <c r="F2938" s="893"/>
      <c r="G2938" s="60" t="s">
        <v>14</v>
      </c>
      <c r="H2938" s="60" t="s">
        <v>105</v>
      </c>
      <c r="I2938" s="62">
        <v>100</v>
      </c>
      <c r="J2938" s="62">
        <v>40</v>
      </c>
      <c r="K2938" s="494">
        <v>0</v>
      </c>
      <c r="L2938" s="497">
        <f t="shared" si="657"/>
        <v>140</v>
      </c>
      <c r="M2938" s="61"/>
    </row>
    <row r="2939" spans="2:13" ht="15.75" hidden="1" x14ac:dyDescent="0.25">
      <c r="B2939" s="670">
        <v>46297</v>
      </c>
      <c r="C2939" s="670" t="s">
        <v>106</v>
      </c>
      <c r="D2939" s="670" t="s">
        <v>13</v>
      </c>
      <c r="F2939" s="893"/>
      <c r="G2939" s="60" t="s">
        <v>214</v>
      </c>
      <c r="H2939" s="60" t="s">
        <v>22</v>
      </c>
      <c r="I2939" s="62">
        <v>25</v>
      </c>
      <c r="J2939" s="62">
        <v>2</v>
      </c>
      <c r="K2939" s="494">
        <v>0</v>
      </c>
      <c r="L2939" s="497">
        <f t="shared" ref="L2939" si="658">SUM(I2939:K2939)</f>
        <v>27</v>
      </c>
      <c r="M2939" s="61"/>
    </row>
    <row r="2940" spans="2:13" ht="15.75" hidden="1" x14ac:dyDescent="0.25">
      <c r="B2940" s="670">
        <v>46297</v>
      </c>
      <c r="C2940" s="670" t="s">
        <v>106</v>
      </c>
      <c r="D2940" s="670" t="s">
        <v>13</v>
      </c>
      <c r="F2940" s="893"/>
      <c r="G2940" s="60" t="s">
        <v>84</v>
      </c>
      <c r="H2940" s="60" t="s">
        <v>27</v>
      </c>
      <c r="I2940" s="62">
        <v>37</v>
      </c>
      <c r="J2940" s="62">
        <v>4</v>
      </c>
      <c r="K2940" s="494">
        <v>0</v>
      </c>
      <c r="L2940" s="497">
        <f t="shared" si="657"/>
        <v>41</v>
      </c>
      <c r="M2940" s="61"/>
    </row>
    <row r="2941" spans="2:13" ht="15.75" hidden="1" x14ac:dyDescent="0.25">
      <c r="B2941" s="670">
        <v>46297</v>
      </c>
      <c r="C2941" s="670" t="s">
        <v>106</v>
      </c>
      <c r="D2941" s="670" t="s">
        <v>13</v>
      </c>
      <c r="F2941" s="831">
        <v>46298</v>
      </c>
      <c r="G2941" s="60" t="s">
        <v>16</v>
      </c>
      <c r="H2941" s="60" t="s">
        <v>15</v>
      </c>
      <c r="I2941" s="62">
        <v>118</v>
      </c>
      <c r="J2941" s="62">
        <v>0</v>
      </c>
      <c r="K2941" s="494">
        <v>70</v>
      </c>
      <c r="L2941" s="497">
        <f t="shared" si="657"/>
        <v>188</v>
      </c>
      <c r="M2941" s="61"/>
    </row>
    <row r="2942" spans="2:13" ht="16.5" hidden="1" customHeight="1" x14ac:dyDescent="0.25">
      <c r="B2942" s="670">
        <v>46297</v>
      </c>
      <c r="C2942" s="670" t="s">
        <v>106</v>
      </c>
      <c r="D2942" s="670" t="s">
        <v>13</v>
      </c>
      <c r="F2942" s="831"/>
      <c r="G2942" s="60" t="s">
        <v>17</v>
      </c>
      <c r="H2942" s="60" t="s">
        <v>106</v>
      </c>
      <c r="I2942" s="62">
        <v>52</v>
      </c>
      <c r="J2942" s="62">
        <v>25</v>
      </c>
      <c r="K2942" s="494">
        <v>33</v>
      </c>
      <c r="L2942" s="497">
        <f t="shared" si="657"/>
        <v>110</v>
      </c>
      <c r="M2942" s="61"/>
    </row>
    <row r="2943" spans="2:13" ht="15.75" hidden="1" x14ac:dyDescent="0.25">
      <c r="B2943" s="670">
        <v>46297</v>
      </c>
      <c r="C2943" s="670" t="s">
        <v>106</v>
      </c>
      <c r="D2943" s="670" t="s">
        <v>13</v>
      </c>
      <c r="F2943" s="902" t="s">
        <v>40</v>
      </c>
      <c r="G2943" s="903"/>
      <c r="H2943" s="904"/>
      <c r="I2943" s="99">
        <f>SUM(I2936:I2942)</f>
        <v>398</v>
      </c>
      <c r="J2943" s="99">
        <f>SUM(J2936:J2942)</f>
        <v>109</v>
      </c>
      <c r="K2943" s="99">
        <f>SUM(K2936:K2942)</f>
        <v>103</v>
      </c>
      <c r="L2943" s="99">
        <f>SUM(L2936:L2942)</f>
        <v>610</v>
      </c>
      <c r="M2943" s="512"/>
    </row>
    <row r="2944" spans="2:13" ht="15.75" hidden="1" x14ac:dyDescent="0.25">
      <c r="B2944" s="673">
        <v>46297</v>
      </c>
      <c r="C2944" s="673" t="s">
        <v>105</v>
      </c>
      <c r="D2944" s="673" t="s">
        <v>189</v>
      </c>
      <c r="F2944" s="833">
        <v>46297</v>
      </c>
      <c r="G2944" s="60" t="s">
        <v>14</v>
      </c>
      <c r="H2944" s="60" t="s">
        <v>105</v>
      </c>
      <c r="I2944" s="62">
        <v>51</v>
      </c>
      <c r="J2944" s="62">
        <v>15</v>
      </c>
      <c r="K2944" s="494">
        <v>0</v>
      </c>
      <c r="L2944" s="497">
        <f t="shared" ref="L2944:L2951" si="659">SUM(I2944:K2944)</f>
        <v>66</v>
      </c>
      <c r="M2944" s="61"/>
    </row>
    <row r="2945" spans="2:13" ht="15.75" hidden="1" x14ac:dyDescent="0.25">
      <c r="B2945" s="673">
        <v>46297</v>
      </c>
      <c r="C2945" s="673" t="s">
        <v>105</v>
      </c>
      <c r="D2945" s="673" t="s">
        <v>189</v>
      </c>
      <c r="F2945" s="834"/>
      <c r="G2945" s="60" t="s">
        <v>120</v>
      </c>
      <c r="H2945" s="60" t="s">
        <v>105</v>
      </c>
      <c r="I2945" s="62">
        <v>6</v>
      </c>
      <c r="J2945" s="62">
        <v>0</v>
      </c>
      <c r="K2945" s="494">
        <v>0</v>
      </c>
      <c r="L2945" s="497">
        <f t="shared" si="659"/>
        <v>6</v>
      </c>
      <c r="M2945" s="61"/>
    </row>
    <row r="2946" spans="2:13" ht="15.75" hidden="1" x14ac:dyDescent="0.25">
      <c r="B2946" s="673">
        <v>46297</v>
      </c>
      <c r="C2946" s="673" t="s">
        <v>105</v>
      </c>
      <c r="D2946" s="673" t="s">
        <v>189</v>
      </c>
      <c r="F2946" s="834"/>
      <c r="G2946" s="60" t="s">
        <v>84</v>
      </c>
      <c r="H2946" s="60" t="s">
        <v>27</v>
      </c>
      <c r="I2946" s="62">
        <v>15</v>
      </c>
      <c r="J2946" s="62">
        <v>3</v>
      </c>
      <c r="K2946" s="494">
        <v>0</v>
      </c>
      <c r="L2946" s="497">
        <f t="shared" si="659"/>
        <v>18</v>
      </c>
      <c r="M2946" s="61"/>
    </row>
    <row r="2947" spans="2:13" ht="15.75" hidden="1" x14ac:dyDescent="0.25">
      <c r="B2947" s="673">
        <v>46297</v>
      </c>
      <c r="C2947" s="673" t="s">
        <v>105</v>
      </c>
      <c r="D2947" s="673" t="s">
        <v>189</v>
      </c>
      <c r="F2947" s="895">
        <v>46298</v>
      </c>
      <c r="G2947" s="60" t="s">
        <v>16</v>
      </c>
      <c r="H2947" s="60" t="s">
        <v>27</v>
      </c>
      <c r="I2947" s="62">
        <v>41</v>
      </c>
      <c r="J2947" s="62">
        <v>8</v>
      </c>
      <c r="K2947" s="494">
        <v>0</v>
      </c>
      <c r="L2947" s="497">
        <f t="shared" si="659"/>
        <v>49</v>
      </c>
      <c r="M2947" s="61"/>
    </row>
    <row r="2948" spans="2:13" ht="15.75" hidden="1" x14ac:dyDescent="0.25">
      <c r="B2948" s="673">
        <v>46297</v>
      </c>
      <c r="C2948" s="673" t="s">
        <v>105</v>
      </c>
      <c r="D2948" s="673" t="s">
        <v>189</v>
      </c>
      <c r="F2948" s="895"/>
      <c r="G2948" s="60" t="s">
        <v>17</v>
      </c>
      <c r="H2948" s="60" t="s">
        <v>106</v>
      </c>
      <c r="I2948" s="62">
        <v>76</v>
      </c>
      <c r="J2948" s="62">
        <v>22</v>
      </c>
      <c r="K2948" s="494">
        <v>0</v>
      </c>
      <c r="L2948" s="497">
        <f t="shared" si="659"/>
        <v>98</v>
      </c>
      <c r="M2948" s="61"/>
    </row>
    <row r="2949" spans="2:13" ht="15.75" hidden="1" x14ac:dyDescent="0.25">
      <c r="B2949" s="673">
        <v>46297</v>
      </c>
      <c r="C2949" s="673" t="s">
        <v>105</v>
      </c>
      <c r="D2949" s="673" t="s">
        <v>189</v>
      </c>
      <c r="F2949" s="895"/>
      <c r="G2949" s="60" t="s">
        <v>14</v>
      </c>
      <c r="H2949" s="60" t="s">
        <v>105</v>
      </c>
      <c r="I2949" s="62">
        <v>15</v>
      </c>
      <c r="J2949" s="62">
        <v>7</v>
      </c>
      <c r="K2949" s="494">
        <v>121</v>
      </c>
      <c r="L2949" s="497">
        <f t="shared" si="659"/>
        <v>143</v>
      </c>
      <c r="M2949" s="61"/>
    </row>
    <row r="2950" spans="2:13" ht="15.75" hidden="1" x14ac:dyDescent="0.25">
      <c r="B2950" s="673">
        <v>46297</v>
      </c>
      <c r="C2950" s="673" t="s">
        <v>105</v>
      </c>
      <c r="D2950" s="673" t="s">
        <v>189</v>
      </c>
      <c r="F2950" s="671">
        <v>46299</v>
      </c>
      <c r="G2950" s="60" t="s">
        <v>120</v>
      </c>
      <c r="H2950" s="60" t="s">
        <v>106</v>
      </c>
      <c r="I2950" s="62">
        <v>23</v>
      </c>
      <c r="J2950" s="62">
        <v>0</v>
      </c>
      <c r="K2950" s="494">
        <v>0</v>
      </c>
      <c r="L2950" s="497">
        <f t="shared" si="659"/>
        <v>23</v>
      </c>
      <c r="M2950" s="61"/>
    </row>
    <row r="2951" spans="2:13" ht="15.75" hidden="1" x14ac:dyDescent="0.25">
      <c r="B2951" s="673">
        <v>46297</v>
      </c>
      <c r="C2951" s="673" t="s">
        <v>105</v>
      </c>
      <c r="D2951" s="673" t="s">
        <v>189</v>
      </c>
      <c r="F2951" s="672">
        <v>46300</v>
      </c>
      <c r="G2951" s="60" t="s">
        <v>16</v>
      </c>
      <c r="H2951" s="60" t="s">
        <v>27</v>
      </c>
      <c r="I2951" s="62">
        <v>0</v>
      </c>
      <c r="J2951" s="62">
        <v>0</v>
      </c>
      <c r="K2951" s="494">
        <v>143</v>
      </c>
      <c r="L2951" s="497">
        <f t="shared" si="659"/>
        <v>143</v>
      </c>
      <c r="M2951" s="61"/>
    </row>
    <row r="2952" spans="2:13" ht="15.75" hidden="1" x14ac:dyDescent="0.25">
      <c r="B2952" s="673">
        <v>46297</v>
      </c>
      <c r="C2952" s="673" t="s">
        <v>105</v>
      </c>
      <c r="D2952" s="673" t="s">
        <v>189</v>
      </c>
      <c r="F2952" s="890" t="s">
        <v>40</v>
      </c>
      <c r="G2952" s="890"/>
      <c r="H2952" s="890"/>
      <c r="I2952" s="99">
        <v>232</v>
      </c>
      <c r="J2952" s="99">
        <v>61</v>
      </c>
      <c r="K2952" s="99">
        <f>SUM(K2944:K2951)</f>
        <v>264</v>
      </c>
      <c r="L2952" s="99">
        <f>SUM(L2944:L2951)</f>
        <v>546</v>
      </c>
      <c r="M2952" s="512"/>
    </row>
    <row r="2953" spans="2:13" ht="15.75" hidden="1" x14ac:dyDescent="0.25">
      <c r="B2953" s="674">
        <v>46298</v>
      </c>
      <c r="C2953" s="674" t="s">
        <v>106</v>
      </c>
      <c r="D2953" s="674" t="s">
        <v>13</v>
      </c>
      <c r="F2953" s="916">
        <v>46298</v>
      </c>
      <c r="G2953" s="60" t="s">
        <v>16</v>
      </c>
      <c r="H2953" s="60" t="s">
        <v>27</v>
      </c>
      <c r="I2953" s="62">
        <v>35</v>
      </c>
      <c r="J2953" s="62">
        <v>20</v>
      </c>
      <c r="K2953" s="494">
        <v>0</v>
      </c>
      <c r="L2953" s="497">
        <f t="shared" ref="L2953:L2959" si="660">SUM(I2953:K2953)</f>
        <v>55</v>
      </c>
      <c r="M2953" s="61"/>
    </row>
    <row r="2954" spans="2:13" ht="15.75" hidden="1" x14ac:dyDescent="0.25">
      <c r="B2954" s="674">
        <v>46298</v>
      </c>
      <c r="C2954" s="674" t="s">
        <v>106</v>
      </c>
      <c r="D2954" s="674" t="s">
        <v>13</v>
      </c>
      <c r="F2954" s="916"/>
      <c r="G2954" s="60" t="s">
        <v>17</v>
      </c>
      <c r="H2954" s="60" t="s">
        <v>106</v>
      </c>
      <c r="I2954" s="62">
        <v>33</v>
      </c>
      <c r="J2954" s="62">
        <v>16</v>
      </c>
      <c r="K2954" s="494">
        <v>0</v>
      </c>
      <c r="L2954" s="497">
        <f t="shared" si="660"/>
        <v>49</v>
      </c>
      <c r="M2954" s="61"/>
    </row>
    <row r="2955" spans="2:13" ht="15.75" hidden="1" x14ac:dyDescent="0.25">
      <c r="B2955" s="674">
        <v>46298</v>
      </c>
      <c r="C2955" s="674" t="s">
        <v>106</v>
      </c>
      <c r="D2955" s="674" t="s">
        <v>13</v>
      </c>
      <c r="F2955" s="916"/>
      <c r="G2955" s="60" t="s">
        <v>215</v>
      </c>
      <c r="H2955" s="60" t="s">
        <v>22</v>
      </c>
      <c r="I2955" s="62">
        <v>6</v>
      </c>
      <c r="J2955" s="62">
        <v>3</v>
      </c>
      <c r="K2955" s="494">
        <v>42</v>
      </c>
      <c r="L2955" s="497">
        <f t="shared" si="660"/>
        <v>51</v>
      </c>
      <c r="M2955" s="61"/>
    </row>
    <row r="2956" spans="2:13" ht="15.75" hidden="1" x14ac:dyDescent="0.25">
      <c r="B2956" s="674">
        <v>46298</v>
      </c>
      <c r="C2956" s="674" t="s">
        <v>106</v>
      </c>
      <c r="D2956" s="674" t="s">
        <v>13</v>
      </c>
      <c r="F2956" s="916"/>
      <c r="G2956" s="60" t="s">
        <v>14</v>
      </c>
      <c r="H2956" s="60" t="s">
        <v>105</v>
      </c>
      <c r="I2956" s="62">
        <v>75</v>
      </c>
      <c r="J2956" s="62">
        <v>41</v>
      </c>
      <c r="K2956" s="494">
        <v>0</v>
      </c>
      <c r="L2956" s="497">
        <f t="shared" si="660"/>
        <v>116</v>
      </c>
      <c r="M2956" s="61"/>
    </row>
    <row r="2957" spans="2:13" ht="15.75" hidden="1" x14ac:dyDescent="0.25">
      <c r="B2957" s="674">
        <v>46298</v>
      </c>
      <c r="C2957" s="674" t="s">
        <v>106</v>
      </c>
      <c r="D2957" s="674" t="s">
        <v>13</v>
      </c>
      <c r="F2957" s="676">
        <v>46299</v>
      </c>
      <c r="G2957" s="60" t="s">
        <v>25</v>
      </c>
      <c r="H2957" s="60" t="s">
        <v>106</v>
      </c>
      <c r="I2957" s="62">
        <v>0</v>
      </c>
      <c r="J2957" s="62">
        <v>1</v>
      </c>
      <c r="K2957" s="494">
        <v>69</v>
      </c>
      <c r="L2957" s="497">
        <f t="shared" si="660"/>
        <v>70</v>
      </c>
      <c r="M2957" s="61"/>
    </row>
    <row r="2958" spans="2:13" ht="15.75" hidden="1" x14ac:dyDescent="0.25">
      <c r="B2958" s="674">
        <v>46298</v>
      </c>
      <c r="C2958" s="674" t="s">
        <v>106</v>
      </c>
      <c r="D2958" s="674" t="s">
        <v>13</v>
      </c>
      <c r="F2958" s="838">
        <v>46300</v>
      </c>
      <c r="G2958" s="60" t="s">
        <v>84</v>
      </c>
      <c r="H2958" s="60" t="s">
        <v>18</v>
      </c>
      <c r="I2958" s="62">
        <v>54</v>
      </c>
      <c r="J2958" s="62">
        <v>10</v>
      </c>
      <c r="K2958" s="494">
        <v>0</v>
      </c>
      <c r="L2958" s="497">
        <f t="shared" si="660"/>
        <v>64</v>
      </c>
      <c r="M2958" s="61"/>
    </row>
    <row r="2959" spans="2:13" ht="15.75" hidden="1" x14ac:dyDescent="0.25">
      <c r="B2959" s="674">
        <v>46298</v>
      </c>
      <c r="C2959" s="674" t="s">
        <v>106</v>
      </c>
      <c r="D2959" s="674" t="s">
        <v>13</v>
      </c>
      <c r="F2959" s="848"/>
      <c r="G2959" s="60" t="s">
        <v>16</v>
      </c>
      <c r="H2959" s="60" t="s">
        <v>27</v>
      </c>
      <c r="I2959" s="62">
        <v>55</v>
      </c>
      <c r="J2959" s="62">
        <v>25</v>
      </c>
      <c r="K2959" s="494">
        <v>0</v>
      </c>
      <c r="L2959" s="497">
        <f t="shared" si="660"/>
        <v>80</v>
      </c>
      <c r="M2959" s="61"/>
    </row>
    <row r="2960" spans="2:13" ht="15.75" hidden="1" x14ac:dyDescent="0.25">
      <c r="B2960" s="675">
        <v>46298</v>
      </c>
      <c r="C2960" s="674" t="s">
        <v>106</v>
      </c>
      <c r="D2960" s="674" t="s">
        <v>13</v>
      </c>
      <c r="F2960" s="890" t="s">
        <v>40</v>
      </c>
      <c r="G2960" s="890"/>
      <c r="H2960" s="890"/>
      <c r="I2960" s="99">
        <f>SUM(I2953:I2959)</f>
        <v>258</v>
      </c>
      <c r="J2960" s="99">
        <f>SUM(J2953:J2959)</f>
        <v>116</v>
      </c>
      <c r="K2960" s="99">
        <f>SUM(K2953:K2959)</f>
        <v>111</v>
      </c>
      <c r="L2960" s="99">
        <f>SUM(L2953:L2959)</f>
        <v>485</v>
      </c>
      <c r="M2960" s="512"/>
    </row>
    <row r="2961" spans="2:13" ht="15.75" hidden="1" x14ac:dyDescent="0.25">
      <c r="B2961" s="675">
        <v>46298</v>
      </c>
      <c r="C2961" s="675" t="s">
        <v>105</v>
      </c>
      <c r="D2961" s="675" t="s">
        <v>189</v>
      </c>
      <c r="F2961" s="899">
        <v>46298</v>
      </c>
      <c r="G2961" s="60" t="s">
        <v>14</v>
      </c>
      <c r="H2961" s="60" t="s">
        <v>105</v>
      </c>
      <c r="I2961" s="62">
        <v>57</v>
      </c>
      <c r="J2961" s="62">
        <v>17</v>
      </c>
      <c r="K2961" s="494">
        <v>0</v>
      </c>
      <c r="L2961" s="497">
        <f t="shared" ref="L2961:L2966" si="661">SUM(I2961:K2961)</f>
        <v>74</v>
      </c>
      <c r="M2961" s="61"/>
    </row>
    <row r="2962" spans="2:13" ht="15.75" hidden="1" x14ac:dyDescent="0.25">
      <c r="B2962" s="675">
        <v>46298</v>
      </c>
      <c r="C2962" s="675" t="s">
        <v>105</v>
      </c>
      <c r="D2962" s="675" t="s">
        <v>189</v>
      </c>
      <c r="F2962" s="899"/>
      <c r="G2962" s="60" t="s">
        <v>84</v>
      </c>
      <c r="H2962" s="60" t="s">
        <v>27</v>
      </c>
      <c r="I2962" s="62">
        <v>3</v>
      </c>
      <c r="J2962" s="62">
        <v>1</v>
      </c>
      <c r="K2962" s="494">
        <v>0</v>
      </c>
      <c r="L2962" s="497">
        <f t="shared" si="661"/>
        <v>4</v>
      </c>
      <c r="M2962" s="61"/>
    </row>
    <row r="2963" spans="2:13" ht="15.75" hidden="1" x14ac:dyDescent="0.25">
      <c r="B2963" s="675">
        <v>46298</v>
      </c>
      <c r="C2963" s="675" t="s">
        <v>105</v>
      </c>
      <c r="D2963" s="675" t="s">
        <v>189</v>
      </c>
      <c r="F2963" s="677">
        <v>46299</v>
      </c>
      <c r="G2963" s="60" t="s">
        <v>25</v>
      </c>
      <c r="H2963" s="60" t="s">
        <v>106</v>
      </c>
      <c r="I2963" s="62">
        <v>135</v>
      </c>
      <c r="J2963" s="62">
        <v>43</v>
      </c>
      <c r="K2963" s="494">
        <v>0</v>
      </c>
      <c r="L2963" s="497">
        <f t="shared" si="661"/>
        <v>178</v>
      </c>
      <c r="M2963" s="61"/>
    </row>
    <row r="2964" spans="2:13" ht="15.75" hidden="1" x14ac:dyDescent="0.25">
      <c r="B2964" s="675">
        <v>46298</v>
      </c>
      <c r="C2964" s="675" t="s">
        <v>105</v>
      </c>
      <c r="D2964" s="675" t="s">
        <v>189</v>
      </c>
      <c r="F2964" s="838">
        <v>46300</v>
      </c>
      <c r="G2964" s="60" t="s">
        <v>16</v>
      </c>
      <c r="H2964" s="60" t="s">
        <v>27</v>
      </c>
      <c r="I2964" s="62">
        <v>53</v>
      </c>
      <c r="J2964" s="62">
        <v>26</v>
      </c>
      <c r="K2964" s="494">
        <v>8</v>
      </c>
      <c r="L2964" s="497">
        <f t="shared" si="661"/>
        <v>87</v>
      </c>
      <c r="M2964" s="61"/>
    </row>
    <row r="2965" spans="2:13" ht="15.75" hidden="1" x14ac:dyDescent="0.25">
      <c r="B2965" s="675">
        <v>46298</v>
      </c>
      <c r="C2965" s="675" t="s">
        <v>105</v>
      </c>
      <c r="D2965" s="675" t="s">
        <v>189</v>
      </c>
      <c r="F2965" s="839"/>
      <c r="G2965" s="60" t="s">
        <v>118</v>
      </c>
      <c r="H2965" s="60" t="s">
        <v>106</v>
      </c>
      <c r="I2965" s="62">
        <v>0</v>
      </c>
      <c r="J2965" s="62">
        <v>0</v>
      </c>
      <c r="K2965" s="494">
        <v>123</v>
      </c>
      <c r="L2965" s="497">
        <f t="shared" si="661"/>
        <v>123</v>
      </c>
      <c r="M2965" s="61"/>
    </row>
    <row r="2966" spans="2:13" ht="15.75" hidden="1" x14ac:dyDescent="0.25">
      <c r="B2966" s="675">
        <v>46298</v>
      </c>
      <c r="C2966" s="675" t="s">
        <v>105</v>
      </c>
      <c r="D2966" s="675" t="s">
        <v>189</v>
      </c>
      <c r="F2966" s="848"/>
      <c r="G2966" s="60" t="s">
        <v>84</v>
      </c>
      <c r="H2966" s="60" t="s">
        <v>18</v>
      </c>
      <c r="I2966" s="62">
        <v>89</v>
      </c>
      <c r="J2966" s="62">
        <v>10</v>
      </c>
      <c r="K2966" s="494">
        <v>0</v>
      </c>
      <c r="L2966" s="497">
        <f t="shared" si="661"/>
        <v>99</v>
      </c>
      <c r="M2966" s="61"/>
    </row>
    <row r="2967" spans="2:13" ht="15.75" hidden="1" x14ac:dyDescent="0.25">
      <c r="B2967" s="675">
        <v>46298</v>
      </c>
      <c r="C2967" s="675" t="s">
        <v>105</v>
      </c>
      <c r="D2967" s="675" t="s">
        <v>189</v>
      </c>
      <c r="F2967" s="890" t="s">
        <v>40</v>
      </c>
      <c r="G2967" s="890"/>
      <c r="H2967" s="890"/>
      <c r="I2967" s="99">
        <v>232</v>
      </c>
      <c r="J2967" s="99">
        <v>61</v>
      </c>
      <c r="K2967" s="99">
        <f>SUM(K2961:K2966)</f>
        <v>131</v>
      </c>
      <c r="L2967" s="99">
        <f>SUM(L2961:L2966)</f>
        <v>565</v>
      </c>
      <c r="M2967" s="512"/>
    </row>
    <row r="2968" spans="2:13" ht="15.75" hidden="1" x14ac:dyDescent="0.25">
      <c r="B2968" s="678">
        <v>46299</v>
      </c>
      <c r="C2968" s="678" t="s">
        <v>106</v>
      </c>
      <c r="D2968" s="678" t="s">
        <v>13</v>
      </c>
      <c r="F2968" s="918">
        <v>46299</v>
      </c>
      <c r="G2968" s="682" t="s">
        <v>25</v>
      </c>
      <c r="H2968" s="497" t="s">
        <v>106</v>
      </c>
      <c r="I2968" s="62">
        <v>27</v>
      </c>
      <c r="J2968" s="62">
        <v>17</v>
      </c>
      <c r="K2968" s="494">
        <v>0</v>
      </c>
      <c r="L2968" s="497">
        <f t="shared" ref="L2968:L2975" si="662">SUM(I2968:K2968)</f>
        <v>44</v>
      </c>
      <c r="M2968" s="684"/>
    </row>
    <row r="2969" spans="2:13" ht="15.75" hidden="1" x14ac:dyDescent="0.25">
      <c r="B2969" s="679">
        <v>46299</v>
      </c>
      <c r="C2969" s="679" t="s">
        <v>106</v>
      </c>
      <c r="D2969" s="679" t="s">
        <v>13</v>
      </c>
      <c r="F2969" s="919"/>
      <c r="G2969" s="683" t="s">
        <v>215</v>
      </c>
      <c r="H2969" s="497" t="s">
        <v>22</v>
      </c>
      <c r="I2969" s="62">
        <v>36</v>
      </c>
      <c r="J2969" s="62">
        <v>3</v>
      </c>
      <c r="K2969" s="494">
        <v>0</v>
      </c>
      <c r="L2969" s="497">
        <f t="shared" si="662"/>
        <v>39</v>
      </c>
      <c r="M2969" s="684"/>
    </row>
    <row r="2970" spans="2:13" ht="15.75" hidden="1" x14ac:dyDescent="0.25">
      <c r="B2970" s="679">
        <v>46299</v>
      </c>
      <c r="C2970" s="679" t="s">
        <v>106</v>
      </c>
      <c r="D2970" s="679" t="s">
        <v>13</v>
      </c>
      <c r="F2970" s="866">
        <v>46300</v>
      </c>
      <c r="G2970" s="514" t="s">
        <v>14</v>
      </c>
      <c r="H2970" s="497" t="s">
        <v>106</v>
      </c>
      <c r="I2970" s="62">
        <v>5</v>
      </c>
      <c r="J2970" s="62">
        <v>1</v>
      </c>
      <c r="K2970" s="494">
        <v>6</v>
      </c>
      <c r="L2970" s="497">
        <f t="shared" si="662"/>
        <v>12</v>
      </c>
      <c r="M2970" s="684"/>
    </row>
    <row r="2971" spans="2:13" ht="15.75" hidden="1" x14ac:dyDescent="0.25">
      <c r="B2971" s="678">
        <v>46299</v>
      </c>
      <c r="C2971" s="678" t="s">
        <v>106</v>
      </c>
      <c r="D2971" s="678" t="s">
        <v>13</v>
      </c>
      <c r="F2971" s="867"/>
      <c r="G2971" s="514" t="s">
        <v>16</v>
      </c>
      <c r="H2971" s="497" t="s">
        <v>27</v>
      </c>
      <c r="I2971" s="62">
        <v>0</v>
      </c>
      <c r="J2971" s="62">
        <v>0</v>
      </c>
      <c r="K2971" s="494">
        <v>0</v>
      </c>
      <c r="L2971" s="497">
        <f t="shared" si="662"/>
        <v>0</v>
      </c>
      <c r="M2971" s="684"/>
    </row>
    <row r="2972" spans="2:13" ht="15.75" hidden="1" x14ac:dyDescent="0.25">
      <c r="B2972" s="678">
        <v>46299</v>
      </c>
      <c r="C2972" s="678" t="s">
        <v>106</v>
      </c>
      <c r="D2972" s="678" t="s">
        <v>13</v>
      </c>
      <c r="F2972" s="867"/>
      <c r="G2972" s="514" t="s">
        <v>118</v>
      </c>
      <c r="H2972" s="497" t="s">
        <v>106</v>
      </c>
      <c r="I2972" s="62">
        <v>133</v>
      </c>
      <c r="J2972" s="62">
        <v>41</v>
      </c>
      <c r="K2972" s="494">
        <v>0</v>
      </c>
      <c r="L2972" s="497">
        <f t="shared" si="662"/>
        <v>174</v>
      </c>
      <c r="M2972" s="684"/>
    </row>
    <row r="2973" spans="2:13" ht="15.75" hidden="1" x14ac:dyDescent="0.25">
      <c r="B2973" s="678">
        <v>46299</v>
      </c>
      <c r="C2973" s="678" t="s">
        <v>106</v>
      </c>
      <c r="D2973" s="678" t="s">
        <v>13</v>
      </c>
      <c r="F2973" s="868"/>
      <c r="G2973" s="514" t="s">
        <v>17</v>
      </c>
      <c r="H2973" s="497" t="s">
        <v>105</v>
      </c>
      <c r="I2973" s="62">
        <v>7</v>
      </c>
      <c r="J2973" s="62">
        <v>10</v>
      </c>
      <c r="K2973" s="494">
        <v>93</v>
      </c>
      <c r="L2973" s="497">
        <f t="shared" si="662"/>
        <v>110</v>
      </c>
      <c r="M2973" s="684"/>
    </row>
    <row r="2974" spans="2:13" ht="15.75" hidden="1" x14ac:dyDescent="0.25">
      <c r="B2974" s="678">
        <v>46299</v>
      </c>
      <c r="C2974" s="678" t="s">
        <v>106</v>
      </c>
      <c r="D2974" s="678" t="s">
        <v>13</v>
      </c>
      <c r="F2974" s="897">
        <v>46301</v>
      </c>
      <c r="G2974" s="486" t="s">
        <v>16</v>
      </c>
      <c r="H2974" s="497" t="s">
        <v>27</v>
      </c>
      <c r="I2974" s="62">
        <v>0</v>
      </c>
      <c r="J2974" s="62">
        <v>0</v>
      </c>
      <c r="K2974" s="494">
        <v>81</v>
      </c>
      <c r="L2974" s="497">
        <f t="shared" si="662"/>
        <v>81</v>
      </c>
      <c r="M2974" s="684"/>
    </row>
    <row r="2975" spans="2:13" ht="15.75" hidden="1" x14ac:dyDescent="0.25">
      <c r="B2975" s="678">
        <v>46299</v>
      </c>
      <c r="C2975" s="678" t="s">
        <v>106</v>
      </c>
      <c r="D2975" s="678" t="s">
        <v>13</v>
      </c>
      <c r="F2975" s="898"/>
      <c r="G2975" s="486" t="s">
        <v>215</v>
      </c>
      <c r="H2975" s="497" t="s">
        <v>22</v>
      </c>
      <c r="I2975" s="62">
        <v>40</v>
      </c>
      <c r="J2975" s="62">
        <v>1</v>
      </c>
      <c r="K2975" s="494">
        <v>0</v>
      </c>
      <c r="L2975" s="497">
        <f t="shared" si="662"/>
        <v>41</v>
      </c>
      <c r="M2975" s="684"/>
    </row>
    <row r="2976" spans="2:13" ht="15.75" hidden="1" x14ac:dyDescent="0.25">
      <c r="B2976" s="678">
        <v>46299</v>
      </c>
      <c r="C2976" s="678" t="s">
        <v>106</v>
      </c>
      <c r="D2976" s="678" t="s">
        <v>13</v>
      </c>
      <c r="F2976" s="890" t="s">
        <v>40</v>
      </c>
      <c r="G2976" s="890"/>
      <c r="H2976" s="890"/>
      <c r="I2976" s="99">
        <f>SUM(I2968:I2975)</f>
        <v>248</v>
      </c>
      <c r="J2976" s="99">
        <f t="shared" ref="J2976:L2976" si="663">SUM(J2968:J2975)</f>
        <v>73</v>
      </c>
      <c r="K2976" s="99">
        <f t="shared" si="663"/>
        <v>180</v>
      </c>
      <c r="L2976" s="99">
        <f t="shared" si="663"/>
        <v>501</v>
      </c>
      <c r="M2976" s="512"/>
    </row>
    <row r="2977" spans="2:13" ht="15.75" hidden="1" x14ac:dyDescent="0.25">
      <c r="B2977" s="680">
        <v>46300</v>
      </c>
      <c r="C2977" s="680" t="s">
        <v>106</v>
      </c>
      <c r="D2977" s="680" t="s">
        <v>189</v>
      </c>
      <c r="F2977" s="833">
        <v>46300</v>
      </c>
      <c r="G2977" s="60" t="s">
        <v>16</v>
      </c>
      <c r="H2977" s="60" t="s">
        <v>15</v>
      </c>
      <c r="I2977" s="62">
        <v>36</v>
      </c>
      <c r="J2977" s="62">
        <v>31</v>
      </c>
      <c r="K2977" s="494">
        <v>0</v>
      </c>
      <c r="L2977" s="497">
        <f t="shared" ref="L2977:L2986" si="664">SUM(I2977:K2977)</f>
        <v>67</v>
      </c>
      <c r="M2977" s="61"/>
    </row>
    <row r="2978" spans="2:13" ht="15.75" hidden="1" x14ac:dyDescent="0.25">
      <c r="B2978" s="680">
        <v>46300</v>
      </c>
      <c r="C2978" s="680" t="s">
        <v>106</v>
      </c>
      <c r="D2978" s="680" t="s">
        <v>189</v>
      </c>
      <c r="F2978" s="834"/>
      <c r="G2978" s="60" t="s">
        <v>109</v>
      </c>
      <c r="H2978" s="60" t="s">
        <v>106</v>
      </c>
      <c r="I2978" s="62">
        <v>6</v>
      </c>
      <c r="J2978" s="62">
        <v>0</v>
      </c>
      <c r="K2978" s="494">
        <v>0</v>
      </c>
      <c r="L2978" s="497">
        <f t="shared" si="664"/>
        <v>6</v>
      </c>
      <c r="M2978" s="61"/>
    </row>
    <row r="2979" spans="2:13" ht="15.75" hidden="1" x14ac:dyDescent="0.25">
      <c r="B2979" s="680">
        <v>46300</v>
      </c>
      <c r="C2979" s="680" t="s">
        <v>106</v>
      </c>
      <c r="D2979" s="680" t="s">
        <v>189</v>
      </c>
      <c r="F2979" s="834"/>
      <c r="G2979" s="60" t="s">
        <v>120</v>
      </c>
      <c r="H2979" s="60" t="s">
        <v>106</v>
      </c>
      <c r="I2979" s="62">
        <v>3</v>
      </c>
      <c r="J2979" s="62">
        <v>0</v>
      </c>
      <c r="K2979" s="494">
        <v>0</v>
      </c>
      <c r="L2979" s="497">
        <f t="shared" si="664"/>
        <v>3</v>
      </c>
      <c r="M2979" s="61"/>
    </row>
    <row r="2980" spans="2:13" ht="15.75" hidden="1" x14ac:dyDescent="0.25">
      <c r="B2980" s="680">
        <v>46300</v>
      </c>
      <c r="C2980" s="680" t="s">
        <v>106</v>
      </c>
      <c r="D2980" s="680" t="s">
        <v>189</v>
      </c>
      <c r="F2980" s="834"/>
      <c r="G2980" s="60" t="s">
        <v>118</v>
      </c>
      <c r="H2980" s="60" t="s">
        <v>106</v>
      </c>
      <c r="I2980" s="62">
        <v>14</v>
      </c>
      <c r="J2980" s="62">
        <v>11</v>
      </c>
      <c r="K2980" s="494">
        <v>0</v>
      </c>
      <c r="L2980" s="497">
        <f t="shared" si="664"/>
        <v>25</v>
      </c>
      <c r="M2980" s="61"/>
    </row>
    <row r="2981" spans="2:13" ht="15.75" hidden="1" x14ac:dyDescent="0.25">
      <c r="B2981" s="680">
        <v>46300</v>
      </c>
      <c r="C2981" s="680" t="s">
        <v>106</v>
      </c>
      <c r="D2981" s="680" t="s">
        <v>189</v>
      </c>
      <c r="F2981" s="834"/>
      <c r="G2981" s="60" t="s">
        <v>17</v>
      </c>
      <c r="H2981" s="60" t="s">
        <v>27</v>
      </c>
      <c r="I2981" s="62">
        <v>103</v>
      </c>
      <c r="J2981" s="62">
        <v>18</v>
      </c>
      <c r="K2981" s="494">
        <v>0</v>
      </c>
      <c r="L2981" s="497">
        <f t="shared" si="664"/>
        <v>121</v>
      </c>
      <c r="M2981" s="61"/>
    </row>
    <row r="2982" spans="2:13" ht="15.75" hidden="1" x14ac:dyDescent="0.25">
      <c r="B2982" s="680">
        <v>46300</v>
      </c>
      <c r="C2982" s="680" t="s">
        <v>106</v>
      </c>
      <c r="D2982" s="680" t="s">
        <v>189</v>
      </c>
      <c r="F2982" s="839">
        <v>46301</v>
      </c>
      <c r="G2982" s="60" t="s">
        <v>16</v>
      </c>
      <c r="H2982" s="60" t="s">
        <v>106</v>
      </c>
      <c r="I2982" s="62">
        <v>112</v>
      </c>
      <c r="J2982" s="62">
        <v>41</v>
      </c>
      <c r="K2982" s="494">
        <v>52</v>
      </c>
      <c r="L2982" s="497">
        <f t="shared" si="664"/>
        <v>205</v>
      </c>
      <c r="M2982" s="61"/>
    </row>
    <row r="2983" spans="2:13" ht="15.75" hidden="1" x14ac:dyDescent="0.25">
      <c r="B2983" s="680">
        <v>46300</v>
      </c>
      <c r="C2983" s="680" t="s">
        <v>106</v>
      </c>
      <c r="D2983" s="680" t="s">
        <v>189</v>
      </c>
      <c r="F2983" s="839"/>
      <c r="G2983" s="60" t="s">
        <v>14</v>
      </c>
      <c r="H2983" s="60" t="s">
        <v>105</v>
      </c>
      <c r="I2983" s="62">
        <v>21</v>
      </c>
      <c r="J2983" s="62">
        <v>21</v>
      </c>
      <c r="K2983" s="494">
        <v>105</v>
      </c>
      <c r="L2983" s="497">
        <f t="shared" si="664"/>
        <v>147</v>
      </c>
      <c r="M2983" s="61"/>
    </row>
    <row r="2984" spans="2:13" ht="15.75" hidden="1" x14ac:dyDescent="0.25">
      <c r="B2984" s="680">
        <v>46300</v>
      </c>
      <c r="C2984" s="680" t="s">
        <v>106</v>
      </c>
      <c r="D2984" s="680" t="s">
        <v>189</v>
      </c>
      <c r="F2984" s="839"/>
      <c r="G2984" s="60" t="s">
        <v>25</v>
      </c>
      <c r="H2984" s="60" t="s">
        <v>105</v>
      </c>
      <c r="I2984" s="62">
        <v>1</v>
      </c>
      <c r="J2984" s="62">
        <v>0</v>
      </c>
      <c r="K2984" s="494">
        <v>37</v>
      </c>
      <c r="L2984" s="497">
        <f t="shared" si="664"/>
        <v>38</v>
      </c>
      <c r="M2984" s="61"/>
    </row>
    <row r="2985" spans="2:13" ht="15.75" hidden="1" x14ac:dyDescent="0.25">
      <c r="B2985" s="680">
        <v>46300</v>
      </c>
      <c r="C2985" s="680" t="s">
        <v>106</v>
      </c>
      <c r="D2985" s="680" t="s">
        <v>189</v>
      </c>
      <c r="F2985" s="839"/>
      <c r="G2985" s="60" t="s">
        <v>84</v>
      </c>
      <c r="H2985" s="60" t="s">
        <v>18</v>
      </c>
      <c r="I2985" s="62">
        <v>0</v>
      </c>
      <c r="J2985" s="62">
        <v>0</v>
      </c>
      <c r="K2985" s="494">
        <v>8</v>
      </c>
      <c r="L2985" s="497">
        <f t="shared" si="664"/>
        <v>8</v>
      </c>
      <c r="M2985" s="61"/>
    </row>
    <row r="2986" spans="2:13" ht="15.75" hidden="1" x14ac:dyDescent="0.25">
      <c r="B2986" s="680">
        <v>46300</v>
      </c>
      <c r="C2986" s="680" t="s">
        <v>106</v>
      </c>
      <c r="D2986" s="680" t="s">
        <v>189</v>
      </c>
      <c r="F2986" s="848"/>
      <c r="G2986" s="60" t="s">
        <v>212</v>
      </c>
      <c r="H2986" s="60" t="s">
        <v>106</v>
      </c>
      <c r="I2986" s="62">
        <v>22</v>
      </c>
      <c r="J2986" s="62">
        <v>1</v>
      </c>
      <c r="K2986" s="494">
        <v>0</v>
      </c>
      <c r="L2986" s="497">
        <f t="shared" si="664"/>
        <v>23</v>
      </c>
      <c r="M2986" s="61"/>
    </row>
    <row r="2987" spans="2:13" ht="15.75" hidden="1" x14ac:dyDescent="0.25">
      <c r="B2987" s="680">
        <v>46300</v>
      </c>
      <c r="C2987" s="680" t="s">
        <v>106</v>
      </c>
      <c r="D2987" s="680" t="s">
        <v>189</v>
      </c>
      <c r="F2987" s="890" t="s">
        <v>40</v>
      </c>
      <c r="G2987" s="890"/>
      <c r="H2987" s="890"/>
      <c r="I2987" s="99">
        <v>232</v>
      </c>
      <c r="J2987" s="99">
        <v>61</v>
      </c>
      <c r="K2987" s="99">
        <f>SUM(K2977:K2986)</f>
        <v>202</v>
      </c>
      <c r="L2987" s="99">
        <f>SUM(L2977:L2986)</f>
        <v>643</v>
      </c>
      <c r="M2987" s="512"/>
    </row>
    <row r="2988" spans="2:13" ht="15.75" hidden="1" x14ac:dyDescent="0.25">
      <c r="B2988" s="685">
        <v>46300</v>
      </c>
      <c r="C2988" s="685" t="s">
        <v>105</v>
      </c>
      <c r="D2988" s="685" t="s">
        <v>13</v>
      </c>
      <c r="F2988" s="908">
        <v>46300</v>
      </c>
      <c r="G2988" s="60" t="s">
        <v>16</v>
      </c>
      <c r="H2988" s="60" t="s">
        <v>15</v>
      </c>
      <c r="I2988" s="62">
        <v>2</v>
      </c>
      <c r="J2988" s="62">
        <v>0</v>
      </c>
      <c r="K2988" s="494">
        <v>0</v>
      </c>
      <c r="L2988" s="497">
        <f t="shared" ref="L2988:L2995" si="665">SUM(I2988:K2988)</f>
        <v>2</v>
      </c>
      <c r="M2988" s="61"/>
    </row>
    <row r="2989" spans="2:13" ht="15.75" hidden="1" x14ac:dyDescent="0.25">
      <c r="B2989" s="685">
        <v>46300</v>
      </c>
      <c r="C2989" s="685" t="s">
        <v>105</v>
      </c>
      <c r="D2989" s="685" t="s">
        <v>13</v>
      </c>
      <c r="F2989" s="908"/>
      <c r="G2989" s="60" t="s">
        <v>17</v>
      </c>
      <c r="H2989" s="60" t="s">
        <v>27</v>
      </c>
      <c r="I2989" s="62">
        <v>21</v>
      </c>
      <c r="J2989" s="62">
        <v>14</v>
      </c>
      <c r="K2989" s="494">
        <v>0</v>
      </c>
      <c r="L2989" s="497">
        <f t="shared" si="665"/>
        <v>35</v>
      </c>
      <c r="M2989" s="61"/>
    </row>
    <row r="2990" spans="2:13" ht="15.75" hidden="1" x14ac:dyDescent="0.25">
      <c r="B2990" s="685">
        <v>46300</v>
      </c>
      <c r="C2990" s="685" t="s">
        <v>105</v>
      </c>
      <c r="D2990" s="685" t="s">
        <v>13</v>
      </c>
      <c r="F2990" s="914">
        <v>46301</v>
      </c>
      <c r="G2990" s="60" t="s">
        <v>16</v>
      </c>
      <c r="H2990" s="60" t="s">
        <v>106</v>
      </c>
      <c r="I2990" s="62">
        <v>36</v>
      </c>
      <c r="J2990" s="62">
        <v>16</v>
      </c>
      <c r="K2990" s="494">
        <v>0</v>
      </c>
      <c r="L2990" s="497">
        <f t="shared" si="665"/>
        <v>52</v>
      </c>
      <c r="M2990" s="61"/>
    </row>
    <row r="2991" spans="2:13" ht="15.75" hidden="1" x14ac:dyDescent="0.25">
      <c r="B2991" s="685">
        <v>46300</v>
      </c>
      <c r="C2991" s="685" t="s">
        <v>105</v>
      </c>
      <c r="D2991" s="685" t="s">
        <v>13</v>
      </c>
      <c r="F2991" s="914"/>
      <c r="G2991" s="60" t="s">
        <v>14</v>
      </c>
      <c r="H2991" s="60" t="s">
        <v>105</v>
      </c>
      <c r="I2991" s="62">
        <v>90</v>
      </c>
      <c r="J2991" s="62">
        <v>12</v>
      </c>
      <c r="K2991" s="494">
        <v>0</v>
      </c>
      <c r="L2991" s="497">
        <f t="shared" si="665"/>
        <v>102</v>
      </c>
      <c r="M2991" s="61"/>
    </row>
    <row r="2992" spans="2:13" ht="15.75" hidden="1" x14ac:dyDescent="0.25">
      <c r="B2992" s="685">
        <v>46300</v>
      </c>
      <c r="C2992" s="685" t="s">
        <v>105</v>
      </c>
      <c r="D2992" s="685" t="s">
        <v>13</v>
      </c>
      <c r="F2992" s="914"/>
      <c r="G2992" s="60" t="s">
        <v>25</v>
      </c>
      <c r="H2992" s="60" t="s">
        <v>105</v>
      </c>
      <c r="I2992" s="62">
        <v>20</v>
      </c>
      <c r="J2992" s="62">
        <v>12</v>
      </c>
      <c r="K2992" s="494">
        <v>83</v>
      </c>
      <c r="L2992" s="497">
        <f t="shared" si="665"/>
        <v>115</v>
      </c>
      <c r="M2992" s="61"/>
    </row>
    <row r="2993" spans="2:13" ht="15.75" hidden="1" x14ac:dyDescent="0.25">
      <c r="B2993" s="685">
        <v>46300</v>
      </c>
      <c r="C2993" s="685" t="s">
        <v>105</v>
      </c>
      <c r="D2993" s="685" t="s">
        <v>13</v>
      </c>
      <c r="F2993" s="914"/>
      <c r="G2993" s="60" t="s">
        <v>84</v>
      </c>
      <c r="H2993" s="60" t="s">
        <v>18</v>
      </c>
      <c r="I2993" s="62">
        <v>15</v>
      </c>
      <c r="J2993" s="62">
        <v>0</v>
      </c>
      <c r="K2993" s="494">
        <v>0</v>
      </c>
      <c r="L2993" s="497">
        <f t="shared" si="665"/>
        <v>15</v>
      </c>
      <c r="M2993" s="61"/>
    </row>
    <row r="2994" spans="2:13" ht="15.75" hidden="1" x14ac:dyDescent="0.25">
      <c r="B2994" s="685">
        <v>46300</v>
      </c>
      <c r="C2994" s="685" t="s">
        <v>105</v>
      </c>
      <c r="D2994" s="685" t="s">
        <v>13</v>
      </c>
      <c r="F2994" s="915">
        <v>46302</v>
      </c>
      <c r="G2994" s="60" t="s">
        <v>16</v>
      </c>
      <c r="H2994" s="60" t="s">
        <v>106</v>
      </c>
      <c r="I2994" s="62">
        <v>0</v>
      </c>
      <c r="J2994" s="62">
        <v>0</v>
      </c>
      <c r="K2994" s="494">
        <v>83</v>
      </c>
      <c r="L2994" s="497">
        <f t="shared" si="665"/>
        <v>83</v>
      </c>
      <c r="M2994" s="61"/>
    </row>
    <row r="2995" spans="2:13" ht="15.75" hidden="1" x14ac:dyDescent="0.25">
      <c r="B2995" s="685">
        <v>46300</v>
      </c>
      <c r="C2995" s="685" t="s">
        <v>105</v>
      </c>
      <c r="D2995" s="685" t="s">
        <v>13</v>
      </c>
      <c r="F2995" s="915"/>
      <c r="G2995" s="60" t="s">
        <v>212</v>
      </c>
      <c r="H2995" s="60" t="s">
        <v>22</v>
      </c>
      <c r="I2995" s="62">
        <v>0</v>
      </c>
      <c r="J2995" s="62">
        <v>0</v>
      </c>
      <c r="K2995" s="494">
        <v>57</v>
      </c>
      <c r="L2995" s="497">
        <f t="shared" si="665"/>
        <v>57</v>
      </c>
      <c r="M2995" s="61"/>
    </row>
    <row r="2996" spans="2:13" ht="15.75" hidden="1" x14ac:dyDescent="0.25">
      <c r="B2996" s="685">
        <v>46300</v>
      </c>
      <c r="C2996" s="685" t="s">
        <v>105</v>
      </c>
      <c r="D2996" s="685" t="s">
        <v>13</v>
      </c>
      <c r="F2996" s="890" t="s">
        <v>40</v>
      </c>
      <c r="G2996" s="890"/>
      <c r="H2996" s="890"/>
      <c r="I2996" s="99">
        <f>SUM(I2988:I2995)</f>
        <v>184</v>
      </c>
      <c r="J2996" s="99">
        <f t="shared" ref="J2996:L2996" si="666">SUM(J2988:J2995)</f>
        <v>54</v>
      </c>
      <c r="K2996" s="99">
        <f t="shared" si="666"/>
        <v>223</v>
      </c>
      <c r="L2996" s="99">
        <f t="shared" si="666"/>
        <v>461</v>
      </c>
      <c r="M2996" s="512"/>
    </row>
    <row r="2997" spans="2:13" ht="15.75" hidden="1" x14ac:dyDescent="0.25">
      <c r="B2997" s="686">
        <v>46301</v>
      </c>
      <c r="C2997" s="686" t="s">
        <v>106</v>
      </c>
      <c r="D2997" s="686" t="s">
        <v>189</v>
      </c>
      <c r="F2997" s="899">
        <v>46301</v>
      </c>
      <c r="G2997" s="60" t="s">
        <v>16</v>
      </c>
      <c r="H2997" s="60" t="s">
        <v>15</v>
      </c>
      <c r="I2997" s="62">
        <v>18</v>
      </c>
      <c r="J2997" s="62">
        <v>13</v>
      </c>
      <c r="K2997" s="494">
        <v>0</v>
      </c>
      <c r="L2997" s="497">
        <f t="shared" ref="L2997:L3005" si="667">SUM(I2997:K2997)</f>
        <v>31</v>
      </c>
      <c r="M2997" s="61"/>
    </row>
    <row r="2998" spans="2:13" ht="15.75" hidden="1" x14ac:dyDescent="0.25">
      <c r="B2998" s="686">
        <v>46301</v>
      </c>
      <c r="C2998" s="686" t="s">
        <v>106</v>
      </c>
      <c r="D2998" s="686" t="s">
        <v>189</v>
      </c>
      <c r="F2998" s="899"/>
      <c r="G2998" s="60" t="s">
        <v>14</v>
      </c>
      <c r="H2998" s="60" t="s">
        <v>106</v>
      </c>
      <c r="I2998" s="62">
        <v>68</v>
      </c>
      <c r="J2998" s="62">
        <v>18</v>
      </c>
      <c r="K2998" s="494">
        <v>0</v>
      </c>
      <c r="L2998" s="497">
        <f t="shared" si="667"/>
        <v>86</v>
      </c>
      <c r="M2998" s="61"/>
    </row>
    <row r="2999" spans="2:13" ht="15.75" hidden="1" x14ac:dyDescent="0.25">
      <c r="B2999" s="686">
        <v>46301</v>
      </c>
      <c r="C2999" s="686" t="s">
        <v>106</v>
      </c>
      <c r="D2999" s="686" t="s">
        <v>189</v>
      </c>
      <c r="F2999" s="899"/>
      <c r="G2999" s="60" t="s">
        <v>120</v>
      </c>
      <c r="H2999" s="60" t="s">
        <v>106</v>
      </c>
      <c r="I2999" s="62">
        <v>26</v>
      </c>
      <c r="J2999" s="62">
        <v>0</v>
      </c>
      <c r="K2999" s="494">
        <v>0</v>
      </c>
      <c r="L2999" s="497">
        <f t="shared" si="667"/>
        <v>26</v>
      </c>
      <c r="M2999" s="61"/>
    </row>
    <row r="3000" spans="2:13" ht="15.75" hidden="1" x14ac:dyDescent="0.25">
      <c r="B3000" s="686">
        <v>46301</v>
      </c>
      <c r="C3000" s="686" t="s">
        <v>106</v>
      </c>
      <c r="D3000" s="686" t="s">
        <v>189</v>
      </c>
      <c r="F3000" s="899"/>
      <c r="G3000" s="60" t="s">
        <v>212</v>
      </c>
      <c r="H3000" s="60" t="s">
        <v>106</v>
      </c>
      <c r="I3000" s="62">
        <v>63</v>
      </c>
      <c r="J3000" s="62">
        <v>2</v>
      </c>
      <c r="K3000" s="494">
        <v>0</v>
      </c>
      <c r="L3000" s="497">
        <f t="shared" si="667"/>
        <v>65</v>
      </c>
      <c r="M3000" s="61"/>
    </row>
    <row r="3001" spans="2:13" ht="15.75" hidden="1" x14ac:dyDescent="0.25">
      <c r="B3001" s="686">
        <v>46301</v>
      </c>
      <c r="C3001" s="686" t="s">
        <v>106</v>
      </c>
      <c r="D3001" s="686" t="s">
        <v>189</v>
      </c>
      <c r="F3001" s="899"/>
      <c r="G3001" s="60" t="s">
        <v>25</v>
      </c>
      <c r="H3001" s="60" t="s">
        <v>105</v>
      </c>
      <c r="I3001" s="62">
        <v>90</v>
      </c>
      <c r="J3001" s="62">
        <v>32</v>
      </c>
      <c r="K3001" s="494">
        <v>0</v>
      </c>
      <c r="L3001" s="497">
        <f t="shared" si="667"/>
        <v>122</v>
      </c>
      <c r="M3001" s="61"/>
    </row>
    <row r="3002" spans="2:13" ht="15.75" hidden="1" x14ac:dyDescent="0.25">
      <c r="B3002" s="686">
        <v>46301</v>
      </c>
      <c r="C3002" s="686" t="s">
        <v>106</v>
      </c>
      <c r="D3002" s="686" t="s">
        <v>189</v>
      </c>
      <c r="F3002" s="895">
        <v>46302</v>
      </c>
      <c r="G3002" s="60" t="s">
        <v>16</v>
      </c>
      <c r="H3002" s="60" t="s">
        <v>106</v>
      </c>
      <c r="I3002" s="62">
        <v>127</v>
      </c>
      <c r="J3002" s="62">
        <v>31</v>
      </c>
      <c r="K3002" s="494">
        <v>23</v>
      </c>
      <c r="L3002" s="497">
        <f t="shared" si="667"/>
        <v>181</v>
      </c>
      <c r="M3002" s="61"/>
    </row>
    <row r="3003" spans="2:13" ht="15.75" hidden="1" x14ac:dyDescent="0.25">
      <c r="B3003" s="686">
        <v>46301</v>
      </c>
      <c r="C3003" s="686" t="s">
        <v>106</v>
      </c>
      <c r="D3003" s="686" t="s">
        <v>189</v>
      </c>
      <c r="F3003" s="895"/>
      <c r="G3003" s="60" t="s">
        <v>118</v>
      </c>
      <c r="H3003" s="60" t="s">
        <v>106</v>
      </c>
      <c r="I3003" s="62">
        <v>1</v>
      </c>
      <c r="J3003" s="62">
        <v>0</v>
      </c>
      <c r="K3003" s="494">
        <v>207</v>
      </c>
      <c r="L3003" s="497">
        <f t="shared" si="667"/>
        <v>208</v>
      </c>
      <c r="M3003" s="61"/>
    </row>
    <row r="3004" spans="2:13" ht="15.75" hidden="1" x14ac:dyDescent="0.25">
      <c r="B3004" s="686">
        <v>46301</v>
      </c>
      <c r="C3004" s="686" t="s">
        <v>106</v>
      </c>
      <c r="D3004" s="686" t="s">
        <v>189</v>
      </c>
      <c r="F3004" s="895"/>
      <c r="G3004" s="60" t="s">
        <v>17</v>
      </c>
      <c r="H3004" s="60" t="s">
        <v>105</v>
      </c>
      <c r="I3004" s="62">
        <v>0</v>
      </c>
      <c r="J3004" s="62">
        <v>1</v>
      </c>
      <c r="K3004" s="494">
        <v>0</v>
      </c>
      <c r="L3004" s="497">
        <f t="shared" si="667"/>
        <v>1</v>
      </c>
      <c r="M3004" s="61"/>
    </row>
    <row r="3005" spans="2:13" ht="15.75" hidden="1" x14ac:dyDescent="0.25">
      <c r="B3005" s="686">
        <v>46301</v>
      </c>
      <c r="C3005" s="686" t="s">
        <v>106</v>
      </c>
      <c r="D3005" s="686" t="s">
        <v>189</v>
      </c>
      <c r="F3005" s="895"/>
      <c r="G3005" s="60" t="s">
        <v>32</v>
      </c>
      <c r="H3005" s="60" t="s">
        <v>18</v>
      </c>
      <c r="I3005" s="62">
        <v>0</v>
      </c>
      <c r="J3005" s="62">
        <v>0</v>
      </c>
      <c r="K3005" s="494">
        <v>50</v>
      </c>
      <c r="L3005" s="497">
        <f t="shared" si="667"/>
        <v>50</v>
      </c>
      <c r="M3005" s="61"/>
    </row>
    <row r="3006" spans="2:13" ht="15.75" hidden="1" x14ac:dyDescent="0.25">
      <c r="B3006" s="686">
        <v>46301</v>
      </c>
      <c r="C3006" s="686" t="s">
        <v>106</v>
      </c>
      <c r="D3006" s="686" t="s">
        <v>189</v>
      </c>
      <c r="F3006" s="890" t="s">
        <v>40</v>
      </c>
      <c r="G3006" s="890"/>
      <c r="H3006" s="890"/>
      <c r="I3006" s="99">
        <f>SUM(I2997:I3005)</f>
        <v>393</v>
      </c>
      <c r="J3006" s="99">
        <f t="shared" ref="J3006:L3006" si="668">SUM(J2997:J3005)</f>
        <v>97</v>
      </c>
      <c r="K3006" s="99">
        <f t="shared" si="668"/>
        <v>280</v>
      </c>
      <c r="L3006" s="99">
        <f t="shared" si="668"/>
        <v>770</v>
      </c>
      <c r="M3006" s="512"/>
    </row>
    <row r="3007" spans="2:13" ht="15.75" hidden="1" x14ac:dyDescent="0.25">
      <c r="B3007" s="688">
        <v>46301</v>
      </c>
      <c r="C3007" s="688" t="s">
        <v>105</v>
      </c>
      <c r="D3007" s="688" t="s">
        <v>13</v>
      </c>
      <c r="F3007" s="916">
        <v>46301</v>
      </c>
      <c r="G3007" s="60" t="s">
        <v>16</v>
      </c>
      <c r="H3007" s="60" t="s">
        <v>15</v>
      </c>
      <c r="I3007" s="62">
        <v>0</v>
      </c>
      <c r="J3007" s="62">
        <v>0</v>
      </c>
      <c r="K3007" s="494">
        <v>0</v>
      </c>
      <c r="L3007" s="497">
        <f t="shared" ref="L3007:L3014" si="669">SUM(I3007:K3007)</f>
        <v>0</v>
      </c>
      <c r="M3007" s="61"/>
    </row>
    <row r="3008" spans="2:13" ht="15.75" hidden="1" x14ac:dyDescent="0.25">
      <c r="B3008" s="688">
        <v>46301</v>
      </c>
      <c r="C3008" s="688" t="s">
        <v>105</v>
      </c>
      <c r="D3008" s="688" t="s">
        <v>13</v>
      </c>
      <c r="F3008" s="916"/>
      <c r="G3008" s="60" t="s">
        <v>84</v>
      </c>
      <c r="H3008" s="60" t="s">
        <v>106</v>
      </c>
      <c r="I3008" s="62">
        <v>3</v>
      </c>
      <c r="J3008" s="62">
        <v>0</v>
      </c>
      <c r="K3008" s="494">
        <v>0</v>
      </c>
      <c r="L3008" s="497">
        <f t="shared" si="669"/>
        <v>3</v>
      </c>
      <c r="M3008" s="61"/>
    </row>
    <row r="3009" spans="2:13" ht="15.75" hidden="1" x14ac:dyDescent="0.25">
      <c r="B3009" s="688">
        <v>46301</v>
      </c>
      <c r="C3009" s="688" t="s">
        <v>105</v>
      </c>
      <c r="D3009" s="688" t="s">
        <v>13</v>
      </c>
      <c r="F3009" s="916"/>
      <c r="G3009" s="60" t="s">
        <v>25</v>
      </c>
      <c r="H3009" s="60" t="s">
        <v>105</v>
      </c>
      <c r="I3009" s="62">
        <v>34</v>
      </c>
      <c r="J3009" s="62">
        <v>19</v>
      </c>
      <c r="K3009" s="494">
        <v>0</v>
      </c>
      <c r="L3009" s="497">
        <f t="shared" si="669"/>
        <v>53</v>
      </c>
      <c r="M3009" s="61"/>
    </row>
    <row r="3010" spans="2:13" ht="15.75" hidden="1" x14ac:dyDescent="0.25">
      <c r="B3010" s="688">
        <v>46301</v>
      </c>
      <c r="C3010" s="688" t="s">
        <v>105</v>
      </c>
      <c r="D3010" s="688" t="s">
        <v>13</v>
      </c>
      <c r="F3010" s="895">
        <v>46302</v>
      </c>
      <c r="G3010" s="60" t="s">
        <v>16</v>
      </c>
      <c r="H3010" s="60" t="s">
        <v>106</v>
      </c>
      <c r="I3010" s="62">
        <v>18</v>
      </c>
      <c r="J3010" s="62">
        <v>5</v>
      </c>
      <c r="K3010" s="494">
        <v>0</v>
      </c>
      <c r="L3010" s="497">
        <f t="shared" si="669"/>
        <v>23</v>
      </c>
      <c r="M3010" s="61"/>
    </row>
    <row r="3011" spans="2:13" ht="15.75" hidden="1" x14ac:dyDescent="0.25">
      <c r="B3011" s="688">
        <v>46301</v>
      </c>
      <c r="C3011" s="688" t="s">
        <v>105</v>
      </c>
      <c r="D3011" s="688" t="s">
        <v>13</v>
      </c>
      <c r="F3011" s="895"/>
      <c r="G3011" s="60" t="s">
        <v>118</v>
      </c>
      <c r="H3011" s="60" t="s">
        <v>106</v>
      </c>
      <c r="I3011" s="62">
        <v>165</v>
      </c>
      <c r="J3011" s="62">
        <v>37</v>
      </c>
      <c r="K3011" s="494">
        <v>0</v>
      </c>
      <c r="L3011" s="497">
        <f t="shared" si="669"/>
        <v>202</v>
      </c>
      <c r="M3011" s="61"/>
    </row>
    <row r="3012" spans="2:13" ht="15.75" hidden="1" x14ac:dyDescent="0.25">
      <c r="B3012" s="688">
        <v>46301</v>
      </c>
      <c r="C3012" s="688" t="s">
        <v>105</v>
      </c>
      <c r="D3012" s="688" t="s">
        <v>13</v>
      </c>
      <c r="F3012" s="895"/>
      <c r="G3012" s="60" t="s">
        <v>17</v>
      </c>
      <c r="H3012" s="60" t="s">
        <v>105</v>
      </c>
      <c r="I3012" s="62">
        <v>30</v>
      </c>
      <c r="J3012" s="62">
        <v>13</v>
      </c>
      <c r="K3012" s="494">
        <v>68</v>
      </c>
      <c r="L3012" s="497">
        <f t="shared" si="669"/>
        <v>111</v>
      </c>
      <c r="M3012" s="61"/>
    </row>
    <row r="3013" spans="2:13" ht="15.75" hidden="1" x14ac:dyDescent="0.25">
      <c r="B3013" s="688">
        <v>46301</v>
      </c>
      <c r="C3013" s="688" t="s">
        <v>105</v>
      </c>
      <c r="D3013" s="688" t="s">
        <v>13</v>
      </c>
      <c r="F3013" s="895"/>
      <c r="G3013" s="60" t="s">
        <v>32</v>
      </c>
      <c r="H3013" s="60" t="s">
        <v>18</v>
      </c>
      <c r="I3013" s="62">
        <v>119</v>
      </c>
      <c r="J3013" s="62">
        <v>20</v>
      </c>
      <c r="K3013" s="494">
        <v>0</v>
      </c>
      <c r="L3013" s="497">
        <f t="shared" si="669"/>
        <v>139</v>
      </c>
      <c r="M3013" s="61"/>
    </row>
    <row r="3014" spans="2:13" ht="15.75" hidden="1" x14ac:dyDescent="0.25">
      <c r="B3014" s="688">
        <v>46301</v>
      </c>
      <c r="C3014" s="688" t="s">
        <v>105</v>
      </c>
      <c r="D3014" s="688" t="s">
        <v>13</v>
      </c>
      <c r="F3014" s="687">
        <v>46303</v>
      </c>
      <c r="G3014" s="60" t="s">
        <v>120</v>
      </c>
      <c r="H3014" s="60" t="s">
        <v>106</v>
      </c>
      <c r="I3014" s="62">
        <v>0</v>
      </c>
      <c r="J3014" s="62">
        <v>0</v>
      </c>
      <c r="K3014" s="494">
        <v>50</v>
      </c>
      <c r="L3014" s="497">
        <f t="shared" si="669"/>
        <v>50</v>
      </c>
      <c r="M3014" s="61"/>
    </row>
    <row r="3015" spans="2:13" ht="15.75" hidden="1" x14ac:dyDescent="0.25">
      <c r="B3015" s="688">
        <v>46301</v>
      </c>
      <c r="C3015" s="688" t="s">
        <v>105</v>
      </c>
      <c r="D3015" s="688" t="s">
        <v>13</v>
      </c>
      <c r="F3015" s="890" t="s">
        <v>40</v>
      </c>
      <c r="G3015" s="890"/>
      <c r="H3015" s="890"/>
      <c r="I3015" s="99">
        <f>SUM(I3007:I3014)</f>
        <v>369</v>
      </c>
      <c r="J3015" s="99">
        <f>SUM(J3007:J3014)</f>
        <v>94</v>
      </c>
      <c r="K3015" s="99">
        <f>SUM(K3007:K3014)</f>
        <v>118</v>
      </c>
      <c r="L3015" s="99">
        <f>SUM(L3007:L3014)</f>
        <v>581</v>
      </c>
      <c r="M3015" s="512"/>
    </row>
    <row r="3016" spans="2:13" ht="15.75" hidden="1" x14ac:dyDescent="0.25">
      <c r="B3016" s="711">
        <v>46302</v>
      </c>
      <c r="C3016" s="711" t="s">
        <v>106</v>
      </c>
      <c r="D3016" s="711" t="s">
        <v>189</v>
      </c>
      <c r="F3016" s="833">
        <v>46302</v>
      </c>
      <c r="G3016" s="60" t="s">
        <v>16</v>
      </c>
      <c r="H3016" s="60" t="s">
        <v>15</v>
      </c>
      <c r="I3016" s="62">
        <v>40</v>
      </c>
      <c r="J3016" s="62">
        <v>15</v>
      </c>
      <c r="K3016" s="494">
        <v>0</v>
      </c>
      <c r="L3016" s="497">
        <f t="shared" ref="L3016:L3026" si="670">SUM(I3016:K3016)</f>
        <v>55</v>
      </c>
      <c r="M3016" s="61"/>
    </row>
    <row r="3017" spans="2:13" ht="15.75" hidden="1" x14ac:dyDescent="0.25">
      <c r="B3017" s="711">
        <v>46302</v>
      </c>
      <c r="C3017" s="711" t="s">
        <v>106</v>
      </c>
      <c r="D3017" s="711" t="s">
        <v>189</v>
      </c>
      <c r="F3017" s="834"/>
      <c r="G3017" s="60" t="s">
        <v>120</v>
      </c>
      <c r="H3017" s="60" t="s">
        <v>106</v>
      </c>
      <c r="I3017" s="62">
        <v>2</v>
      </c>
      <c r="J3017" s="62">
        <v>0</v>
      </c>
      <c r="K3017" s="494">
        <v>0</v>
      </c>
      <c r="L3017" s="497">
        <f t="shared" si="670"/>
        <v>2</v>
      </c>
      <c r="M3017" s="61"/>
    </row>
    <row r="3018" spans="2:13" ht="15.75" hidden="1" x14ac:dyDescent="0.25">
      <c r="B3018" s="711">
        <v>46302</v>
      </c>
      <c r="C3018" s="711" t="s">
        <v>106</v>
      </c>
      <c r="D3018" s="711" t="s">
        <v>189</v>
      </c>
      <c r="F3018" s="834"/>
      <c r="G3018" s="60" t="s">
        <v>212</v>
      </c>
      <c r="H3018" s="60" t="s">
        <v>106</v>
      </c>
      <c r="I3018" s="62">
        <v>16</v>
      </c>
      <c r="J3018" s="62">
        <v>0</v>
      </c>
      <c r="K3018" s="494">
        <v>0</v>
      </c>
      <c r="L3018" s="497">
        <f t="shared" si="670"/>
        <v>16</v>
      </c>
      <c r="M3018" s="61"/>
    </row>
    <row r="3019" spans="2:13" ht="15.75" hidden="1" x14ac:dyDescent="0.25">
      <c r="B3019" s="711">
        <v>46302</v>
      </c>
      <c r="C3019" s="711" t="s">
        <v>106</v>
      </c>
      <c r="D3019" s="711" t="s">
        <v>189</v>
      </c>
      <c r="F3019" s="834"/>
      <c r="G3019" s="60" t="s">
        <v>118</v>
      </c>
      <c r="H3019" s="60" t="s">
        <v>106</v>
      </c>
      <c r="I3019" s="62">
        <v>18</v>
      </c>
      <c r="J3019" s="62">
        <v>14</v>
      </c>
      <c r="K3019" s="494">
        <v>0</v>
      </c>
      <c r="L3019" s="497">
        <f t="shared" si="670"/>
        <v>32</v>
      </c>
      <c r="M3019" s="61"/>
    </row>
    <row r="3020" spans="2:13" ht="15.75" hidden="1" x14ac:dyDescent="0.25">
      <c r="B3020" s="711">
        <v>46302</v>
      </c>
      <c r="C3020" s="711" t="s">
        <v>106</v>
      </c>
      <c r="D3020" s="711" t="s">
        <v>189</v>
      </c>
      <c r="F3020" s="834"/>
      <c r="G3020" s="60" t="s">
        <v>32</v>
      </c>
      <c r="H3020" s="60" t="s">
        <v>18</v>
      </c>
      <c r="I3020" s="62">
        <v>0</v>
      </c>
      <c r="J3020" s="62">
        <v>0</v>
      </c>
      <c r="K3020" s="494">
        <v>11</v>
      </c>
      <c r="L3020" s="497">
        <f t="shared" si="670"/>
        <v>11</v>
      </c>
      <c r="M3020" s="61"/>
    </row>
    <row r="3021" spans="2:13" ht="15.75" hidden="1" x14ac:dyDescent="0.25">
      <c r="B3021" s="711">
        <v>46302</v>
      </c>
      <c r="C3021" s="711" t="s">
        <v>106</v>
      </c>
      <c r="D3021" s="711" t="s">
        <v>189</v>
      </c>
      <c r="F3021" s="835"/>
      <c r="G3021" s="60" t="s">
        <v>17</v>
      </c>
      <c r="H3021" s="60" t="s">
        <v>105</v>
      </c>
      <c r="I3021" s="62">
        <v>56</v>
      </c>
      <c r="J3021" s="62">
        <v>18</v>
      </c>
      <c r="K3021" s="494">
        <v>14</v>
      </c>
      <c r="L3021" s="497">
        <f t="shared" si="670"/>
        <v>88</v>
      </c>
      <c r="M3021" s="61"/>
    </row>
    <row r="3022" spans="2:13" ht="15.75" hidden="1" x14ac:dyDescent="0.25">
      <c r="B3022" s="711">
        <v>46302</v>
      </c>
      <c r="C3022" s="711" t="s">
        <v>106</v>
      </c>
      <c r="D3022" s="711" t="s">
        <v>189</v>
      </c>
      <c r="F3022" s="838">
        <v>46303</v>
      </c>
      <c r="G3022" s="60" t="s">
        <v>16</v>
      </c>
      <c r="H3022" s="60" t="s">
        <v>15</v>
      </c>
      <c r="I3022" s="62">
        <v>103</v>
      </c>
      <c r="J3022" s="62">
        <v>42</v>
      </c>
      <c r="K3022" s="494">
        <v>60</v>
      </c>
      <c r="L3022" s="497">
        <f t="shared" si="670"/>
        <v>205</v>
      </c>
      <c r="M3022" s="61"/>
    </row>
    <row r="3023" spans="2:13" ht="15.75" hidden="1" x14ac:dyDescent="0.25">
      <c r="B3023" s="711">
        <v>46302</v>
      </c>
      <c r="C3023" s="711" t="s">
        <v>106</v>
      </c>
      <c r="D3023" s="711" t="s">
        <v>189</v>
      </c>
      <c r="F3023" s="839"/>
      <c r="G3023" s="60" t="s">
        <v>212</v>
      </c>
      <c r="H3023" s="60" t="s">
        <v>106</v>
      </c>
      <c r="I3023" s="62">
        <v>57</v>
      </c>
      <c r="J3023" s="62">
        <v>3</v>
      </c>
      <c r="K3023" s="494">
        <v>0</v>
      </c>
      <c r="L3023" s="497">
        <f t="shared" si="670"/>
        <v>60</v>
      </c>
      <c r="M3023" s="61"/>
    </row>
    <row r="3024" spans="2:13" ht="15.75" hidden="1" x14ac:dyDescent="0.25">
      <c r="B3024" s="711">
        <v>46302</v>
      </c>
      <c r="C3024" s="711" t="s">
        <v>106</v>
      </c>
      <c r="D3024" s="711" t="s">
        <v>189</v>
      </c>
      <c r="F3024" s="839"/>
      <c r="G3024" s="60" t="s">
        <v>120</v>
      </c>
      <c r="H3024" s="60" t="s">
        <v>106</v>
      </c>
      <c r="I3024" s="62">
        <v>49</v>
      </c>
      <c r="J3024" s="62">
        <v>1</v>
      </c>
      <c r="K3024" s="494">
        <v>0</v>
      </c>
      <c r="L3024" s="497">
        <f t="shared" si="670"/>
        <v>50</v>
      </c>
      <c r="M3024" s="61"/>
    </row>
    <row r="3025" spans="2:13" ht="15.75" hidden="1" x14ac:dyDescent="0.25">
      <c r="B3025" s="711">
        <v>46302</v>
      </c>
      <c r="C3025" s="711" t="s">
        <v>106</v>
      </c>
      <c r="D3025" s="711" t="s">
        <v>189</v>
      </c>
      <c r="F3025" s="839"/>
      <c r="G3025" s="60" t="s">
        <v>17</v>
      </c>
      <c r="H3025" s="60" t="s">
        <v>105</v>
      </c>
      <c r="I3025" s="62">
        <v>0</v>
      </c>
      <c r="J3025" s="62">
        <v>0</v>
      </c>
      <c r="K3025" s="494">
        <v>44</v>
      </c>
      <c r="L3025" s="497">
        <f t="shared" si="670"/>
        <v>44</v>
      </c>
      <c r="M3025" s="61"/>
    </row>
    <row r="3026" spans="2:13" ht="15.75" hidden="1" x14ac:dyDescent="0.25">
      <c r="B3026" s="711">
        <v>46302</v>
      </c>
      <c r="C3026" s="711" t="s">
        <v>106</v>
      </c>
      <c r="D3026" s="711" t="s">
        <v>189</v>
      </c>
      <c r="F3026" s="848"/>
      <c r="G3026" s="60" t="s">
        <v>25</v>
      </c>
      <c r="H3026" s="60" t="s">
        <v>18</v>
      </c>
      <c r="I3026" s="62">
        <v>4</v>
      </c>
      <c r="J3026" s="62">
        <v>0</v>
      </c>
      <c r="K3026" s="494">
        <v>0</v>
      </c>
      <c r="L3026" s="497">
        <f t="shared" si="670"/>
        <v>4</v>
      </c>
      <c r="M3026" s="61"/>
    </row>
    <row r="3027" spans="2:13" ht="15.75" hidden="1" x14ac:dyDescent="0.25">
      <c r="B3027" s="711">
        <v>46302</v>
      </c>
      <c r="C3027" s="711" t="s">
        <v>106</v>
      </c>
      <c r="D3027" s="711" t="s">
        <v>189</v>
      </c>
      <c r="F3027" s="890" t="s">
        <v>40</v>
      </c>
      <c r="G3027" s="890"/>
      <c r="H3027" s="890"/>
      <c r="I3027" s="99">
        <f>SUM(I3016:I3026)</f>
        <v>345</v>
      </c>
      <c r="J3027" s="99">
        <f>SUM(J3016:J3026)</f>
        <v>93</v>
      </c>
      <c r="K3027" s="99">
        <f>SUM(K3016:K3026)</f>
        <v>129</v>
      </c>
      <c r="L3027" s="99">
        <f>SUM(L3016:L3026)</f>
        <v>567</v>
      </c>
      <c r="M3027" s="512"/>
    </row>
    <row r="3028" spans="2:13" ht="15.75" hidden="1" x14ac:dyDescent="0.25">
      <c r="B3028" s="717">
        <v>46302</v>
      </c>
      <c r="C3028" s="717" t="s">
        <v>105</v>
      </c>
      <c r="D3028" s="717" t="s">
        <v>13</v>
      </c>
      <c r="F3028" s="833">
        <v>46302</v>
      </c>
      <c r="G3028" s="60" t="s">
        <v>16</v>
      </c>
      <c r="H3028" s="60" t="s">
        <v>15</v>
      </c>
      <c r="I3028" s="62">
        <v>6</v>
      </c>
      <c r="J3028" s="62">
        <v>0</v>
      </c>
      <c r="K3028" s="494">
        <v>0</v>
      </c>
      <c r="L3028" s="497">
        <f t="shared" ref="L3028:L3035" si="671">SUM(I3028:K3028)</f>
        <v>6</v>
      </c>
      <c r="M3028" s="61"/>
    </row>
    <row r="3029" spans="2:13" ht="15.75" hidden="1" x14ac:dyDescent="0.25">
      <c r="B3029" s="717">
        <v>46302</v>
      </c>
      <c r="C3029" s="717" t="s">
        <v>105</v>
      </c>
      <c r="D3029" s="717" t="s">
        <v>13</v>
      </c>
      <c r="F3029" s="834"/>
      <c r="G3029" s="60" t="s">
        <v>32</v>
      </c>
      <c r="H3029" s="60" t="s">
        <v>18</v>
      </c>
      <c r="I3029" s="62">
        <v>16</v>
      </c>
      <c r="J3029" s="62">
        <v>3</v>
      </c>
      <c r="K3029" s="494">
        <v>0</v>
      </c>
      <c r="L3029" s="497">
        <f t="shared" si="671"/>
        <v>19</v>
      </c>
      <c r="M3029" s="61"/>
    </row>
    <row r="3030" spans="2:13" ht="15.75" hidden="1" x14ac:dyDescent="0.25">
      <c r="B3030" s="719">
        <v>46302</v>
      </c>
      <c r="C3030" s="719" t="s">
        <v>105</v>
      </c>
      <c r="D3030" s="719" t="s">
        <v>13</v>
      </c>
      <c r="F3030" s="834"/>
      <c r="G3030" s="60" t="s">
        <v>14</v>
      </c>
      <c r="H3030" s="60" t="s">
        <v>105</v>
      </c>
      <c r="I3030" s="62">
        <v>1</v>
      </c>
      <c r="J3030" s="62">
        <v>2</v>
      </c>
      <c r="K3030" s="494">
        <v>0</v>
      </c>
      <c r="L3030" s="497">
        <f t="shared" si="671"/>
        <v>3</v>
      </c>
      <c r="M3030" s="61"/>
    </row>
    <row r="3031" spans="2:13" ht="15.75" hidden="1" x14ac:dyDescent="0.25">
      <c r="B3031" s="719">
        <v>46302</v>
      </c>
      <c r="C3031" s="719" t="s">
        <v>105</v>
      </c>
      <c r="D3031" s="719" t="s">
        <v>13</v>
      </c>
      <c r="F3031" s="835"/>
      <c r="G3031" s="60" t="s">
        <v>17</v>
      </c>
      <c r="H3031" s="60" t="s">
        <v>105</v>
      </c>
      <c r="I3031" s="62">
        <v>42</v>
      </c>
      <c r="J3031" s="62">
        <v>26</v>
      </c>
      <c r="K3031" s="494">
        <v>0</v>
      </c>
      <c r="L3031" s="497">
        <f t="shared" si="671"/>
        <v>68</v>
      </c>
      <c r="M3031" s="61"/>
    </row>
    <row r="3032" spans="2:13" ht="15.75" hidden="1" x14ac:dyDescent="0.25">
      <c r="B3032" s="719">
        <v>46302</v>
      </c>
      <c r="C3032" s="719" t="s">
        <v>105</v>
      </c>
      <c r="D3032" s="719" t="s">
        <v>13</v>
      </c>
      <c r="F3032" s="838">
        <v>46303</v>
      </c>
      <c r="G3032" s="60" t="s">
        <v>16</v>
      </c>
      <c r="H3032" s="60" t="s">
        <v>15</v>
      </c>
      <c r="I3032" s="62">
        <v>40</v>
      </c>
      <c r="J3032" s="62">
        <v>22</v>
      </c>
      <c r="K3032" s="494">
        <v>0</v>
      </c>
      <c r="L3032" s="497">
        <f t="shared" si="671"/>
        <v>62</v>
      </c>
      <c r="M3032" s="61"/>
    </row>
    <row r="3033" spans="2:13" ht="15.75" hidden="1" x14ac:dyDescent="0.25">
      <c r="B3033" s="717">
        <v>46302</v>
      </c>
      <c r="C3033" s="717" t="s">
        <v>105</v>
      </c>
      <c r="D3033" s="717" t="s">
        <v>13</v>
      </c>
      <c r="F3033" s="839"/>
      <c r="G3033" s="60" t="s">
        <v>17</v>
      </c>
      <c r="H3033" s="60" t="s">
        <v>105</v>
      </c>
      <c r="I3033" s="62">
        <v>120</v>
      </c>
      <c r="J3033" s="62">
        <v>36</v>
      </c>
      <c r="K3033" s="494">
        <v>0</v>
      </c>
      <c r="L3033" s="497">
        <f t="shared" si="671"/>
        <v>156</v>
      </c>
      <c r="M3033" s="61"/>
    </row>
    <row r="3034" spans="2:13" ht="15.75" hidden="1" x14ac:dyDescent="0.25">
      <c r="B3034" s="717">
        <v>46302</v>
      </c>
      <c r="C3034" s="717" t="s">
        <v>105</v>
      </c>
      <c r="D3034" s="717" t="s">
        <v>13</v>
      </c>
      <c r="F3034" s="848"/>
      <c r="G3034" s="60" t="s">
        <v>25</v>
      </c>
      <c r="H3034" s="60" t="s">
        <v>18</v>
      </c>
      <c r="I3034" s="62">
        <v>13</v>
      </c>
      <c r="J3034" s="62">
        <v>12</v>
      </c>
      <c r="K3034" s="494">
        <v>88</v>
      </c>
      <c r="L3034" s="497">
        <f t="shared" si="671"/>
        <v>113</v>
      </c>
      <c r="M3034" s="61"/>
    </row>
    <row r="3035" spans="2:13" ht="15.75" hidden="1" x14ac:dyDescent="0.25">
      <c r="B3035" s="719">
        <v>46302</v>
      </c>
      <c r="C3035" s="719" t="s">
        <v>105</v>
      </c>
      <c r="D3035" s="719" t="s">
        <v>13</v>
      </c>
      <c r="F3035" s="718">
        <v>46304</v>
      </c>
      <c r="G3035" s="60" t="s">
        <v>212</v>
      </c>
      <c r="H3035" s="60" t="s">
        <v>106</v>
      </c>
      <c r="I3035" s="62">
        <v>0</v>
      </c>
      <c r="J3035" s="62">
        <v>0</v>
      </c>
      <c r="K3035" s="494">
        <v>56</v>
      </c>
      <c r="L3035" s="497">
        <f t="shared" si="671"/>
        <v>56</v>
      </c>
      <c r="M3035" s="61"/>
    </row>
    <row r="3036" spans="2:13" ht="15.75" hidden="1" x14ac:dyDescent="0.25">
      <c r="B3036" s="719">
        <v>46302</v>
      </c>
      <c r="C3036" s="719" t="s">
        <v>105</v>
      </c>
      <c r="D3036" s="719" t="s">
        <v>13</v>
      </c>
      <c r="F3036" s="890" t="s">
        <v>40</v>
      </c>
      <c r="G3036" s="890"/>
      <c r="H3036" s="890"/>
      <c r="I3036" s="99">
        <f>SUM(I3028:I3035)</f>
        <v>238</v>
      </c>
      <c r="J3036" s="99">
        <f t="shared" ref="J3036:K3036" si="672">SUM(J3028:J3035)</f>
        <v>101</v>
      </c>
      <c r="K3036" s="99">
        <f t="shared" si="672"/>
        <v>144</v>
      </c>
      <c r="L3036" s="99">
        <f>SUM(L3028:L3035)</f>
        <v>483</v>
      </c>
      <c r="M3036" s="512"/>
    </row>
    <row r="3037" spans="2:13" ht="15.75" hidden="1" x14ac:dyDescent="0.25">
      <c r="B3037" s="720">
        <v>46303</v>
      </c>
      <c r="C3037" s="720" t="s">
        <v>106</v>
      </c>
      <c r="D3037" s="720" t="s">
        <v>189</v>
      </c>
      <c r="F3037" s="833">
        <v>46303</v>
      </c>
      <c r="G3037" s="60" t="s">
        <v>16</v>
      </c>
      <c r="H3037" s="60" t="s">
        <v>15</v>
      </c>
      <c r="I3037" s="62">
        <v>22</v>
      </c>
      <c r="J3037" s="62">
        <v>15</v>
      </c>
      <c r="K3037" s="494">
        <v>0</v>
      </c>
      <c r="L3037" s="497">
        <f t="shared" ref="L3037:L3043" si="673">SUM(I3037:K3037)</f>
        <v>37</v>
      </c>
      <c r="M3037" s="61"/>
    </row>
    <row r="3038" spans="2:13" ht="15.75" hidden="1" x14ac:dyDescent="0.25">
      <c r="B3038" s="720">
        <v>46303</v>
      </c>
      <c r="C3038" s="720" t="s">
        <v>106</v>
      </c>
      <c r="D3038" s="720" t="s">
        <v>189</v>
      </c>
      <c r="F3038" s="834"/>
      <c r="G3038" s="60" t="s">
        <v>120</v>
      </c>
      <c r="H3038" s="60" t="s">
        <v>106</v>
      </c>
      <c r="I3038" s="62">
        <v>2</v>
      </c>
      <c r="J3038" s="62">
        <v>0</v>
      </c>
      <c r="K3038" s="494">
        <v>0</v>
      </c>
      <c r="L3038" s="497">
        <f t="shared" si="673"/>
        <v>2</v>
      </c>
      <c r="M3038" s="61"/>
    </row>
    <row r="3039" spans="2:13" ht="15.75" hidden="1" x14ac:dyDescent="0.25">
      <c r="B3039" s="720">
        <v>46303</v>
      </c>
      <c r="C3039" s="720" t="s">
        <v>106</v>
      </c>
      <c r="D3039" s="720" t="s">
        <v>189</v>
      </c>
      <c r="F3039" s="834"/>
      <c r="G3039" s="60" t="s">
        <v>17</v>
      </c>
      <c r="H3039" s="60" t="s">
        <v>106</v>
      </c>
      <c r="I3039" s="62">
        <v>23</v>
      </c>
      <c r="J3039" s="62">
        <v>29</v>
      </c>
      <c r="K3039" s="494">
        <v>0</v>
      </c>
      <c r="L3039" s="497">
        <f t="shared" si="673"/>
        <v>52</v>
      </c>
      <c r="M3039" s="61"/>
    </row>
    <row r="3040" spans="2:13" ht="15.75" hidden="1" x14ac:dyDescent="0.25">
      <c r="B3040" s="720">
        <v>46303</v>
      </c>
      <c r="C3040" s="720" t="s">
        <v>106</v>
      </c>
      <c r="D3040" s="720" t="s">
        <v>189</v>
      </c>
      <c r="F3040" s="834"/>
      <c r="G3040" s="60" t="s">
        <v>25</v>
      </c>
      <c r="H3040" s="60" t="s">
        <v>105</v>
      </c>
      <c r="I3040" s="62">
        <v>8</v>
      </c>
      <c r="J3040" s="62">
        <v>2</v>
      </c>
      <c r="K3040" s="494">
        <v>0</v>
      </c>
      <c r="L3040" s="497">
        <f t="shared" si="673"/>
        <v>10</v>
      </c>
      <c r="M3040" s="61"/>
    </row>
    <row r="3041" spans="2:13" ht="15.75" hidden="1" x14ac:dyDescent="0.25">
      <c r="B3041" s="720">
        <v>46303</v>
      </c>
      <c r="C3041" s="720" t="s">
        <v>106</v>
      </c>
      <c r="D3041" s="720" t="s">
        <v>189</v>
      </c>
      <c r="F3041" s="838">
        <v>46304</v>
      </c>
      <c r="G3041" s="60" t="s">
        <v>16</v>
      </c>
      <c r="H3041" s="60" t="s">
        <v>15</v>
      </c>
      <c r="I3041" s="62">
        <v>124</v>
      </c>
      <c r="J3041" s="62">
        <v>34</v>
      </c>
      <c r="K3041" s="494">
        <v>6</v>
      </c>
      <c r="L3041" s="497">
        <f t="shared" si="673"/>
        <v>164</v>
      </c>
      <c r="M3041" s="61"/>
    </row>
    <row r="3042" spans="2:13" ht="15.75" hidden="1" x14ac:dyDescent="0.25">
      <c r="B3042" s="720">
        <v>46303</v>
      </c>
      <c r="C3042" s="720" t="s">
        <v>106</v>
      </c>
      <c r="D3042" s="720" t="s">
        <v>189</v>
      </c>
      <c r="F3042" s="839"/>
      <c r="G3042" s="60" t="s">
        <v>14</v>
      </c>
      <c r="H3042" s="60" t="s">
        <v>106</v>
      </c>
      <c r="I3042" s="62">
        <v>1</v>
      </c>
      <c r="J3042" s="62">
        <v>0</v>
      </c>
      <c r="K3042" s="494">
        <v>10</v>
      </c>
      <c r="L3042" s="497">
        <f t="shared" si="673"/>
        <v>11</v>
      </c>
      <c r="M3042" s="61"/>
    </row>
    <row r="3043" spans="2:13" ht="15.75" hidden="1" x14ac:dyDescent="0.25">
      <c r="B3043" s="720">
        <v>46303</v>
      </c>
      <c r="C3043" s="720" t="s">
        <v>106</v>
      </c>
      <c r="D3043" s="720" t="s">
        <v>189</v>
      </c>
      <c r="F3043" s="839"/>
      <c r="G3043" s="60" t="s">
        <v>212</v>
      </c>
      <c r="H3043" s="60" t="s">
        <v>106</v>
      </c>
      <c r="I3043" s="62">
        <v>225</v>
      </c>
      <c r="J3043" s="62">
        <v>11</v>
      </c>
      <c r="K3043" s="494">
        <v>0</v>
      </c>
      <c r="L3043" s="497">
        <f t="shared" si="673"/>
        <v>236</v>
      </c>
      <c r="M3043" s="61"/>
    </row>
    <row r="3044" spans="2:13" ht="15.75" hidden="1" x14ac:dyDescent="0.25">
      <c r="B3044" s="720">
        <v>46303</v>
      </c>
      <c r="C3044" s="720" t="s">
        <v>106</v>
      </c>
      <c r="D3044" s="720" t="s">
        <v>189</v>
      </c>
      <c r="F3044" s="890" t="s">
        <v>40</v>
      </c>
      <c r="G3044" s="890"/>
      <c r="H3044" s="890"/>
      <c r="I3044" s="99">
        <f>SUM(I3037:I3043)</f>
        <v>405</v>
      </c>
      <c r="J3044" s="99">
        <f>SUM(J3037:J3043)</f>
        <v>91</v>
      </c>
      <c r="K3044" s="99">
        <f>SUM(K3037:K3043)</f>
        <v>16</v>
      </c>
      <c r="L3044" s="99">
        <f>SUM(L3037:L3043)</f>
        <v>512</v>
      </c>
      <c r="M3044" s="512"/>
    </row>
    <row r="3045" spans="2:13" ht="15.75" hidden="1" x14ac:dyDescent="0.25">
      <c r="B3045" s="724">
        <v>46303</v>
      </c>
      <c r="C3045" s="724" t="s">
        <v>105</v>
      </c>
      <c r="D3045" s="724" t="s">
        <v>13</v>
      </c>
      <c r="F3045" s="897">
        <v>46303</v>
      </c>
      <c r="G3045" s="60" t="s">
        <v>16</v>
      </c>
      <c r="H3045" s="60" t="s">
        <v>15</v>
      </c>
      <c r="I3045" s="62">
        <v>1</v>
      </c>
      <c r="J3045" s="62">
        <v>0</v>
      </c>
      <c r="K3045" s="494">
        <v>0</v>
      </c>
      <c r="L3045" s="497">
        <f t="shared" ref="L3045:L3051" si="674">SUM(I3045:K3045)</f>
        <v>1</v>
      </c>
      <c r="M3045" s="61"/>
    </row>
    <row r="3046" spans="2:13" ht="15.75" hidden="1" x14ac:dyDescent="0.25">
      <c r="B3046" s="724">
        <v>46303</v>
      </c>
      <c r="C3046" s="724" t="s">
        <v>105</v>
      </c>
      <c r="D3046" s="724" t="s">
        <v>13</v>
      </c>
      <c r="F3046" s="898"/>
      <c r="G3046" s="60" t="s">
        <v>25</v>
      </c>
      <c r="H3046" s="60" t="s">
        <v>105</v>
      </c>
      <c r="I3046" s="62">
        <v>105</v>
      </c>
      <c r="J3046" s="62">
        <v>34</v>
      </c>
      <c r="K3046" s="494">
        <v>0</v>
      </c>
      <c r="L3046" s="497">
        <f t="shared" si="674"/>
        <v>139</v>
      </c>
      <c r="M3046" s="61"/>
    </row>
    <row r="3047" spans="2:13" ht="15.75" hidden="1" x14ac:dyDescent="0.25">
      <c r="B3047" s="724">
        <v>46303</v>
      </c>
      <c r="C3047" s="724" t="s">
        <v>105</v>
      </c>
      <c r="D3047" s="724" t="s">
        <v>13</v>
      </c>
      <c r="F3047" s="723"/>
      <c r="G3047" s="60" t="s">
        <v>17</v>
      </c>
      <c r="H3047" s="60" t="s">
        <v>105</v>
      </c>
      <c r="I3047" s="62">
        <v>15</v>
      </c>
      <c r="J3047" s="62">
        <v>13</v>
      </c>
      <c r="K3047" s="494">
        <v>90</v>
      </c>
      <c r="L3047" s="497">
        <f t="shared" si="674"/>
        <v>118</v>
      </c>
      <c r="M3047" s="61"/>
    </row>
    <row r="3048" spans="2:13" ht="15.75" hidden="1" x14ac:dyDescent="0.25">
      <c r="B3048" s="724">
        <v>46303</v>
      </c>
      <c r="C3048" s="724" t="s">
        <v>105</v>
      </c>
      <c r="D3048" s="724" t="s">
        <v>13</v>
      </c>
      <c r="F3048" s="723"/>
      <c r="G3048" s="60" t="s">
        <v>118</v>
      </c>
      <c r="H3048" s="60" t="s">
        <v>105</v>
      </c>
      <c r="I3048" s="62">
        <v>3</v>
      </c>
      <c r="J3048" s="62">
        <v>0</v>
      </c>
      <c r="K3048" s="494">
        <v>0</v>
      </c>
      <c r="L3048" s="497">
        <f t="shared" si="674"/>
        <v>3</v>
      </c>
      <c r="M3048" s="61"/>
    </row>
    <row r="3049" spans="2:13" ht="15.75" hidden="1" x14ac:dyDescent="0.25">
      <c r="B3049" s="724">
        <v>46303</v>
      </c>
      <c r="C3049" s="724" t="s">
        <v>105</v>
      </c>
      <c r="D3049" s="724" t="s">
        <v>13</v>
      </c>
      <c r="F3049" s="723"/>
      <c r="G3049" s="60" t="s">
        <v>32</v>
      </c>
      <c r="H3049" s="60" t="s">
        <v>18</v>
      </c>
      <c r="I3049" s="62">
        <v>40</v>
      </c>
      <c r="J3049" s="62">
        <v>3</v>
      </c>
      <c r="K3049" s="494">
        <v>0</v>
      </c>
      <c r="L3049" s="497">
        <f t="shared" si="674"/>
        <v>43</v>
      </c>
      <c r="M3049" s="61"/>
    </row>
    <row r="3050" spans="2:13" ht="15.75" hidden="1" x14ac:dyDescent="0.25">
      <c r="B3050" s="724">
        <v>46303</v>
      </c>
      <c r="C3050" s="724" t="s">
        <v>105</v>
      </c>
      <c r="D3050" s="724" t="s">
        <v>13</v>
      </c>
      <c r="F3050" s="838">
        <v>46304</v>
      </c>
      <c r="G3050" s="60" t="s">
        <v>16</v>
      </c>
      <c r="H3050" s="60" t="s">
        <v>15</v>
      </c>
      <c r="I3050" s="62">
        <v>5</v>
      </c>
      <c r="J3050" s="62">
        <v>2</v>
      </c>
      <c r="K3050" s="494">
        <v>0</v>
      </c>
      <c r="L3050" s="497">
        <f t="shared" si="674"/>
        <v>7</v>
      </c>
      <c r="M3050" s="61"/>
    </row>
    <row r="3051" spans="2:13" ht="15.75" hidden="1" x14ac:dyDescent="0.25">
      <c r="B3051" s="724">
        <v>46303</v>
      </c>
      <c r="C3051" s="724" t="s">
        <v>105</v>
      </c>
      <c r="D3051" s="724" t="s">
        <v>13</v>
      </c>
      <c r="F3051" s="839"/>
      <c r="G3051" s="60" t="s">
        <v>14</v>
      </c>
      <c r="H3051" s="60" t="s">
        <v>106</v>
      </c>
      <c r="I3051" s="62">
        <v>115</v>
      </c>
      <c r="J3051" s="62">
        <v>37</v>
      </c>
      <c r="K3051" s="494">
        <v>0</v>
      </c>
      <c r="L3051" s="497">
        <f t="shared" si="674"/>
        <v>152</v>
      </c>
      <c r="M3051" s="61"/>
    </row>
    <row r="3052" spans="2:13" ht="15.75" hidden="1" x14ac:dyDescent="0.25">
      <c r="B3052" s="724">
        <v>46303</v>
      </c>
      <c r="C3052" s="724" t="s">
        <v>105</v>
      </c>
      <c r="D3052" s="724" t="s">
        <v>13</v>
      </c>
      <c r="F3052" s="890" t="s">
        <v>40</v>
      </c>
      <c r="G3052" s="890"/>
      <c r="H3052" s="890"/>
      <c r="I3052" s="99">
        <f>SUM(I3045:I3051)</f>
        <v>284</v>
      </c>
      <c r="J3052" s="99">
        <f>SUM(J3045:J3051)</f>
        <v>89</v>
      </c>
      <c r="K3052" s="99">
        <f>SUM(K3045:K3051)</f>
        <v>90</v>
      </c>
      <c r="L3052" s="99">
        <f>SUM(L3045:L3051)</f>
        <v>463</v>
      </c>
      <c r="M3052" s="512"/>
    </row>
    <row r="3053" spans="2:13" ht="15.75" hidden="1" x14ac:dyDescent="0.25">
      <c r="B3053" s="725">
        <v>46304</v>
      </c>
      <c r="C3053" s="725" t="s">
        <v>106</v>
      </c>
      <c r="D3053" s="725" t="s">
        <v>189</v>
      </c>
      <c r="F3053" s="833">
        <v>46304</v>
      </c>
      <c r="G3053" s="60" t="s">
        <v>16</v>
      </c>
      <c r="H3053" s="60" t="s">
        <v>15</v>
      </c>
      <c r="I3053" s="62">
        <v>52</v>
      </c>
      <c r="J3053" s="62">
        <v>19</v>
      </c>
      <c r="K3053" s="494">
        <v>0</v>
      </c>
      <c r="L3053" s="497">
        <f t="shared" ref="L3053:L3059" si="675">SUM(I3053:K3053)</f>
        <v>71</v>
      </c>
      <c r="M3053" s="61"/>
    </row>
    <row r="3054" spans="2:13" ht="15.75" hidden="1" x14ac:dyDescent="0.25">
      <c r="B3054" s="725">
        <v>46304</v>
      </c>
      <c r="C3054" s="725" t="s">
        <v>106</v>
      </c>
      <c r="D3054" s="725" t="s">
        <v>189</v>
      </c>
      <c r="F3054" s="834"/>
      <c r="G3054" s="60" t="s">
        <v>14</v>
      </c>
      <c r="H3054" s="60" t="s">
        <v>106</v>
      </c>
      <c r="I3054" s="62">
        <v>43</v>
      </c>
      <c r="J3054" s="62">
        <v>16</v>
      </c>
      <c r="K3054" s="494">
        <v>0</v>
      </c>
      <c r="L3054" s="497">
        <f t="shared" si="675"/>
        <v>59</v>
      </c>
      <c r="M3054" s="61"/>
    </row>
    <row r="3055" spans="2:13" ht="15.75" hidden="1" x14ac:dyDescent="0.25">
      <c r="B3055" s="725">
        <v>46304</v>
      </c>
      <c r="C3055" s="725" t="s">
        <v>106</v>
      </c>
      <c r="D3055" s="725" t="s">
        <v>189</v>
      </c>
      <c r="F3055" s="834"/>
      <c r="G3055" s="60" t="s">
        <v>17</v>
      </c>
      <c r="H3055" s="60" t="s">
        <v>105</v>
      </c>
      <c r="I3055" s="62">
        <v>80</v>
      </c>
      <c r="J3055" s="62">
        <v>26</v>
      </c>
      <c r="K3055" s="494">
        <v>0</v>
      </c>
      <c r="L3055" s="497">
        <f t="shared" si="675"/>
        <v>106</v>
      </c>
      <c r="M3055" s="61"/>
    </row>
    <row r="3056" spans="2:13" ht="15.75" hidden="1" x14ac:dyDescent="0.25">
      <c r="B3056" s="725">
        <v>46304</v>
      </c>
      <c r="C3056" s="725" t="s">
        <v>106</v>
      </c>
      <c r="D3056" s="725" t="s">
        <v>189</v>
      </c>
      <c r="F3056" s="838">
        <v>46305</v>
      </c>
      <c r="G3056" s="60" t="s">
        <v>16</v>
      </c>
      <c r="H3056" s="60" t="s">
        <v>15</v>
      </c>
      <c r="I3056" s="62">
        <v>53</v>
      </c>
      <c r="J3056" s="62">
        <v>18</v>
      </c>
      <c r="K3056" s="494">
        <v>50</v>
      </c>
      <c r="L3056" s="497">
        <f t="shared" si="675"/>
        <v>121</v>
      </c>
      <c r="M3056" s="61"/>
    </row>
    <row r="3057" spans="2:13" ht="15.75" hidden="1" x14ac:dyDescent="0.25">
      <c r="B3057" s="725">
        <v>46304</v>
      </c>
      <c r="C3057" s="725" t="s">
        <v>106</v>
      </c>
      <c r="D3057" s="725" t="s">
        <v>189</v>
      </c>
      <c r="F3057" s="839"/>
      <c r="G3057" s="60" t="s">
        <v>118</v>
      </c>
      <c r="H3057" s="60" t="s">
        <v>106</v>
      </c>
      <c r="I3057" s="62">
        <v>1</v>
      </c>
      <c r="J3057" s="62">
        <v>0</v>
      </c>
      <c r="K3057" s="494">
        <v>0</v>
      </c>
      <c r="L3057" s="497">
        <f t="shared" si="675"/>
        <v>1</v>
      </c>
      <c r="M3057" s="61"/>
    </row>
    <row r="3058" spans="2:13" ht="15.75" hidden="1" x14ac:dyDescent="0.25">
      <c r="B3058" s="725">
        <v>46304</v>
      </c>
      <c r="C3058" s="725" t="s">
        <v>106</v>
      </c>
      <c r="D3058" s="725" t="s">
        <v>189</v>
      </c>
      <c r="F3058" s="839"/>
      <c r="G3058" s="60" t="s">
        <v>212</v>
      </c>
      <c r="H3058" s="60" t="s">
        <v>106</v>
      </c>
      <c r="I3058" s="62">
        <v>174</v>
      </c>
      <c r="J3058" s="62">
        <v>6</v>
      </c>
      <c r="K3058" s="494">
        <v>47</v>
      </c>
      <c r="L3058" s="497">
        <f t="shared" si="675"/>
        <v>227</v>
      </c>
      <c r="M3058" s="61"/>
    </row>
    <row r="3059" spans="2:13" ht="15.75" hidden="1" x14ac:dyDescent="0.25">
      <c r="B3059" s="725">
        <v>46304</v>
      </c>
      <c r="C3059" s="725" t="s">
        <v>106</v>
      </c>
      <c r="D3059" s="725" t="s">
        <v>189</v>
      </c>
      <c r="F3059" s="839"/>
      <c r="G3059" s="60" t="s">
        <v>25</v>
      </c>
      <c r="H3059" s="60" t="s">
        <v>105</v>
      </c>
      <c r="I3059" s="62">
        <v>1</v>
      </c>
      <c r="J3059" s="62">
        <v>0</v>
      </c>
      <c r="K3059" s="494">
        <v>0</v>
      </c>
      <c r="L3059" s="497">
        <f t="shared" si="675"/>
        <v>1</v>
      </c>
      <c r="M3059" s="61"/>
    </row>
    <row r="3060" spans="2:13" ht="15.75" hidden="1" x14ac:dyDescent="0.25">
      <c r="B3060" s="725">
        <v>46304</v>
      </c>
      <c r="C3060" s="725" t="s">
        <v>106</v>
      </c>
      <c r="D3060" s="725" t="s">
        <v>189</v>
      </c>
      <c r="F3060" s="890" t="s">
        <v>40</v>
      </c>
      <c r="G3060" s="890"/>
      <c r="H3060" s="890"/>
      <c r="I3060" s="99">
        <f>SUM(I3053:I3059)</f>
        <v>404</v>
      </c>
      <c r="J3060" s="99">
        <f>SUM(J3053:J3059)</f>
        <v>85</v>
      </c>
      <c r="K3060" s="99">
        <f>SUM(K3053:K3059)</f>
        <v>97</v>
      </c>
      <c r="L3060" s="99">
        <f>SUM(L3053:L3059)</f>
        <v>586</v>
      </c>
      <c r="M3060" s="512"/>
    </row>
    <row r="3061" spans="2:13" ht="15.75" hidden="1" x14ac:dyDescent="0.25">
      <c r="B3061" s="726">
        <v>46304</v>
      </c>
      <c r="C3061" s="726" t="s">
        <v>105</v>
      </c>
      <c r="D3061" s="726" t="s">
        <v>13</v>
      </c>
      <c r="F3061" s="900">
        <v>46304</v>
      </c>
      <c r="G3061" s="60" t="s">
        <v>16</v>
      </c>
      <c r="H3061" s="60" t="s">
        <v>15</v>
      </c>
      <c r="I3061" s="62">
        <v>8</v>
      </c>
      <c r="J3061" s="62">
        <v>1</v>
      </c>
      <c r="K3061" s="494">
        <v>3</v>
      </c>
      <c r="L3061" s="497">
        <f t="shared" ref="L3061:L3066" si="676">SUM(I3061:K3061)</f>
        <v>12</v>
      </c>
      <c r="M3061" s="61"/>
    </row>
    <row r="3062" spans="2:13" ht="15.75" hidden="1" x14ac:dyDescent="0.25">
      <c r="B3062" s="726">
        <v>46304</v>
      </c>
      <c r="C3062" s="726" t="s">
        <v>105</v>
      </c>
      <c r="D3062" s="726" t="s">
        <v>13</v>
      </c>
      <c r="F3062" s="901"/>
      <c r="G3062" s="60" t="s">
        <v>32</v>
      </c>
      <c r="H3062" s="60" t="s">
        <v>105</v>
      </c>
      <c r="I3062" s="62">
        <v>8</v>
      </c>
      <c r="J3062" s="62">
        <v>0</v>
      </c>
      <c r="K3062" s="494">
        <v>0</v>
      </c>
      <c r="L3062" s="497">
        <f t="shared" si="676"/>
        <v>8</v>
      </c>
      <c r="M3062" s="61"/>
    </row>
    <row r="3063" spans="2:13" ht="15.75" hidden="1" x14ac:dyDescent="0.25">
      <c r="B3063" s="726">
        <v>46304</v>
      </c>
      <c r="C3063" s="726" t="s">
        <v>105</v>
      </c>
      <c r="D3063" s="726" t="s">
        <v>13</v>
      </c>
      <c r="F3063" s="901"/>
      <c r="G3063" s="60" t="s">
        <v>17</v>
      </c>
      <c r="H3063" s="60" t="s">
        <v>105</v>
      </c>
      <c r="I3063" s="62">
        <v>26</v>
      </c>
      <c r="J3063" s="62">
        <v>21</v>
      </c>
      <c r="K3063" s="494">
        <v>0</v>
      </c>
      <c r="L3063" s="497">
        <f t="shared" si="676"/>
        <v>47</v>
      </c>
      <c r="M3063" s="61"/>
    </row>
    <row r="3064" spans="2:13" ht="15.75" hidden="1" x14ac:dyDescent="0.25">
      <c r="B3064" s="726">
        <v>46304</v>
      </c>
      <c r="C3064" s="726" t="s">
        <v>105</v>
      </c>
      <c r="D3064" s="726" t="s">
        <v>13</v>
      </c>
      <c r="F3064" s="891">
        <v>46305</v>
      </c>
      <c r="G3064" s="60" t="s">
        <v>16</v>
      </c>
      <c r="H3064" s="60" t="s">
        <v>15</v>
      </c>
      <c r="I3064" s="62">
        <v>79</v>
      </c>
      <c r="J3064" s="62">
        <v>29</v>
      </c>
      <c r="K3064" s="494">
        <v>21</v>
      </c>
      <c r="L3064" s="497">
        <f t="shared" si="676"/>
        <v>129</v>
      </c>
      <c r="M3064" s="61"/>
    </row>
    <row r="3065" spans="2:13" ht="15.75" hidden="1" x14ac:dyDescent="0.25">
      <c r="B3065" s="726">
        <v>46304</v>
      </c>
      <c r="C3065" s="726" t="s">
        <v>105</v>
      </c>
      <c r="D3065" s="726" t="s">
        <v>13</v>
      </c>
      <c r="F3065" s="896"/>
      <c r="G3065" s="60" t="s">
        <v>118</v>
      </c>
      <c r="H3065" s="60" t="s">
        <v>106</v>
      </c>
      <c r="I3065" s="62">
        <v>140</v>
      </c>
      <c r="J3065" s="62">
        <v>25</v>
      </c>
      <c r="K3065" s="494">
        <v>0</v>
      </c>
      <c r="L3065" s="497">
        <f t="shared" si="676"/>
        <v>165</v>
      </c>
      <c r="M3065" s="61"/>
    </row>
    <row r="3066" spans="2:13" ht="15.75" hidden="1" x14ac:dyDescent="0.25">
      <c r="B3066" s="726">
        <v>46304</v>
      </c>
      <c r="C3066" s="726" t="s">
        <v>105</v>
      </c>
      <c r="D3066" s="726" t="s">
        <v>13</v>
      </c>
      <c r="F3066" s="896"/>
      <c r="G3066" s="60" t="s">
        <v>25</v>
      </c>
      <c r="H3066" s="60" t="s">
        <v>105</v>
      </c>
      <c r="I3066" s="62">
        <v>5</v>
      </c>
      <c r="J3066" s="62">
        <v>4</v>
      </c>
      <c r="K3066" s="494">
        <v>102</v>
      </c>
      <c r="L3066" s="497">
        <f t="shared" si="676"/>
        <v>111</v>
      </c>
      <c r="M3066" s="61"/>
    </row>
    <row r="3067" spans="2:13" ht="15.75" hidden="1" x14ac:dyDescent="0.25">
      <c r="B3067" s="726">
        <v>46304</v>
      </c>
      <c r="C3067" s="726" t="s">
        <v>105</v>
      </c>
      <c r="D3067" s="726" t="s">
        <v>13</v>
      </c>
      <c r="F3067" s="890" t="s">
        <v>40</v>
      </c>
      <c r="G3067" s="890"/>
      <c r="H3067" s="890"/>
      <c r="I3067" s="99">
        <f>SUM(I3061:I3066)</f>
        <v>266</v>
      </c>
      <c r="J3067" s="99">
        <f>SUM(J3061:J3066)</f>
        <v>80</v>
      </c>
      <c r="K3067" s="99">
        <f>SUM(K3061:K3066)</f>
        <v>126</v>
      </c>
      <c r="L3067" s="99">
        <f>SUM(L3061:L3066)</f>
        <v>472</v>
      </c>
      <c r="M3067" s="512"/>
    </row>
    <row r="3068" spans="2:13" ht="15.75" hidden="1" x14ac:dyDescent="0.25">
      <c r="B3068" s="727">
        <v>46305</v>
      </c>
      <c r="C3068" s="727" t="s">
        <v>106</v>
      </c>
      <c r="D3068" s="727" t="s">
        <v>189</v>
      </c>
      <c r="F3068" s="899">
        <v>46305</v>
      </c>
      <c r="G3068" s="60" t="s">
        <v>16</v>
      </c>
      <c r="H3068" s="60" t="s">
        <v>15</v>
      </c>
      <c r="I3068" s="62">
        <v>65</v>
      </c>
      <c r="J3068" s="62">
        <v>17</v>
      </c>
      <c r="K3068" s="494">
        <v>0</v>
      </c>
      <c r="L3068" s="497">
        <f t="shared" ref="L3068:L3074" si="677">SUM(I3068:K3068)</f>
        <v>82</v>
      </c>
      <c r="M3068" s="61"/>
    </row>
    <row r="3069" spans="2:13" ht="15.75" hidden="1" x14ac:dyDescent="0.25">
      <c r="B3069" s="727">
        <v>46305</v>
      </c>
      <c r="C3069" s="727" t="s">
        <v>106</v>
      </c>
      <c r="D3069" s="727" t="s">
        <v>189</v>
      </c>
      <c r="F3069" s="899"/>
      <c r="G3069" s="60" t="s">
        <v>14</v>
      </c>
      <c r="H3069" s="60" t="s">
        <v>106</v>
      </c>
      <c r="I3069" s="62">
        <v>12</v>
      </c>
      <c r="J3069" s="62">
        <v>3</v>
      </c>
      <c r="K3069" s="494">
        <v>0</v>
      </c>
      <c r="L3069" s="497">
        <f t="shared" si="677"/>
        <v>15</v>
      </c>
      <c r="M3069" s="61"/>
    </row>
    <row r="3070" spans="2:13" ht="15.75" hidden="1" x14ac:dyDescent="0.25">
      <c r="B3070" s="727">
        <v>46305</v>
      </c>
      <c r="C3070" s="727" t="s">
        <v>106</v>
      </c>
      <c r="D3070" s="727" t="s">
        <v>189</v>
      </c>
      <c r="F3070" s="899"/>
      <c r="G3070" s="60" t="s">
        <v>118</v>
      </c>
      <c r="H3070" s="60" t="s">
        <v>106</v>
      </c>
      <c r="I3070" s="62">
        <v>25</v>
      </c>
      <c r="J3070" s="62">
        <v>7</v>
      </c>
      <c r="K3070" s="494">
        <v>0</v>
      </c>
      <c r="L3070" s="497">
        <f t="shared" si="677"/>
        <v>32</v>
      </c>
      <c r="M3070" s="61"/>
    </row>
    <row r="3071" spans="2:13" ht="15.75" hidden="1" x14ac:dyDescent="0.25">
      <c r="B3071" s="727">
        <v>46305</v>
      </c>
      <c r="C3071" s="727" t="s">
        <v>106</v>
      </c>
      <c r="D3071" s="727" t="s">
        <v>189</v>
      </c>
      <c r="F3071" s="899"/>
      <c r="G3071" s="60" t="s">
        <v>212</v>
      </c>
      <c r="H3071" s="60" t="s">
        <v>22</v>
      </c>
      <c r="I3071" s="62">
        <v>81</v>
      </c>
      <c r="J3071" s="62">
        <v>0</v>
      </c>
      <c r="K3071" s="494">
        <v>0</v>
      </c>
      <c r="L3071" s="497">
        <f t="shared" si="677"/>
        <v>81</v>
      </c>
      <c r="M3071" s="61"/>
    </row>
    <row r="3072" spans="2:13" ht="15.75" hidden="1" x14ac:dyDescent="0.25">
      <c r="B3072" s="727">
        <v>46305</v>
      </c>
      <c r="C3072" s="727" t="s">
        <v>106</v>
      </c>
      <c r="D3072" s="727" t="s">
        <v>189</v>
      </c>
      <c r="F3072" s="899"/>
      <c r="G3072" s="60" t="s">
        <v>25</v>
      </c>
      <c r="H3072" s="60" t="s">
        <v>105</v>
      </c>
      <c r="I3072" s="62">
        <v>135</v>
      </c>
      <c r="J3072" s="62">
        <v>22</v>
      </c>
      <c r="K3072" s="494">
        <v>0</v>
      </c>
      <c r="L3072" s="497">
        <f t="shared" si="677"/>
        <v>157</v>
      </c>
      <c r="M3072" s="61"/>
    </row>
    <row r="3073" spans="2:13" ht="15.75" hidden="1" x14ac:dyDescent="0.25">
      <c r="B3073" s="727">
        <v>46305</v>
      </c>
      <c r="C3073" s="727" t="s">
        <v>106</v>
      </c>
      <c r="D3073" s="727" t="s">
        <v>189</v>
      </c>
      <c r="F3073" s="728">
        <v>46306</v>
      </c>
      <c r="G3073" s="60" t="s">
        <v>17</v>
      </c>
      <c r="H3073" s="60" t="s">
        <v>106</v>
      </c>
      <c r="I3073" s="62">
        <v>11</v>
      </c>
      <c r="J3073" s="62">
        <v>15</v>
      </c>
      <c r="K3073" s="494">
        <v>38</v>
      </c>
      <c r="L3073" s="497">
        <f t="shared" si="677"/>
        <v>64</v>
      </c>
      <c r="M3073" s="61"/>
    </row>
    <row r="3074" spans="2:13" ht="15.75" hidden="1" x14ac:dyDescent="0.25">
      <c r="B3074" s="727">
        <v>46305</v>
      </c>
      <c r="C3074" s="727" t="s">
        <v>106</v>
      </c>
      <c r="D3074" s="727" t="s">
        <v>189</v>
      </c>
      <c r="F3074" s="728">
        <v>46307</v>
      </c>
      <c r="G3074" s="60" t="s">
        <v>16</v>
      </c>
      <c r="H3074" s="60" t="s">
        <v>127</v>
      </c>
      <c r="I3074" s="62">
        <v>80</v>
      </c>
      <c r="J3074" s="62">
        <v>73</v>
      </c>
      <c r="K3074" s="494">
        <v>60</v>
      </c>
      <c r="L3074" s="497">
        <f t="shared" si="677"/>
        <v>213</v>
      </c>
      <c r="M3074" s="61"/>
    </row>
    <row r="3075" spans="2:13" ht="15.75" hidden="1" x14ac:dyDescent="0.25">
      <c r="B3075" s="727">
        <v>46305</v>
      </c>
      <c r="C3075" s="727" t="s">
        <v>106</v>
      </c>
      <c r="D3075" s="727" t="s">
        <v>189</v>
      </c>
      <c r="F3075" s="890" t="s">
        <v>40</v>
      </c>
      <c r="G3075" s="890"/>
      <c r="H3075" s="890"/>
      <c r="I3075" s="99">
        <f>SUM(I3068:I3074)</f>
        <v>409</v>
      </c>
      <c r="J3075" s="99">
        <f>SUM(J3068:J3074)</f>
        <v>137</v>
      </c>
      <c r="K3075" s="99">
        <f>SUM(K3068:K3074)</f>
        <v>98</v>
      </c>
      <c r="L3075" s="99">
        <f>SUM(L3068:L3074)</f>
        <v>644</v>
      </c>
      <c r="M3075" s="512"/>
    </row>
    <row r="3076" spans="2:13" ht="15.75" hidden="1" x14ac:dyDescent="0.25">
      <c r="B3076" s="729">
        <v>46305</v>
      </c>
      <c r="C3076" s="729" t="s">
        <v>105</v>
      </c>
      <c r="D3076" s="729" t="s">
        <v>13</v>
      </c>
      <c r="F3076" s="908">
        <v>46305</v>
      </c>
      <c r="G3076" s="60" t="s">
        <v>16</v>
      </c>
      <c r="H3076" s="60" t="s">
        <v>15</v>
      </c>
      <c r="I3076" s="62">
        <v>1</v>
      </c>
      <c r="J3076" s="62">
        <v>0</v>
      </c>
      <c r="K3076" s="494">
        <v>0</v>
      </c>
      <c r="L3076" s="497">
        <f t="shared" ref="L3076:L3084" si="678">SUM(I3076:K3076)</f>
        <v>1</v>
      </c>
      <c r="M3076" s="61"/>
    </row>
    <row r="3077" spans="2:13" ht="15.75" hidden="1" x14ac:dyDescent="0.25">
      <c r="B3077" s="729">
        <v>46305</v>
      </c>
      <c r="C3077" s="729" t="s">
        <v>105</v>
      </c>
      <c r="D3077" s="729" t="s">
        <v>13</v>
      </c>
      <c r="F3077" s="908"/>
      <c r="G3077" s="60" t="s">
        <v>205</v>
      </c>
      <c r="H3077" s="60" t="s">
        <v>105</v>
      </c>
      <c r="I3077" s="62">
        <v>14</v>
      </c>
      <c r="J3077" s="62">
        <v>0</v>
      </c>
      <c r="K3077" s="494">
        <v>0</v>
      </c>
      <c r="L3077" s="497">
        <f t="shared" si="678"/>
        <v>14</v>
      </c>
      <c r="M3077" s="61"/>
    </row>
    <row r="3078" spans="2:13" ht="15.75" hidden="1" x14ac:dyDescent="0.25">
      <c r="B3078" s="729">
        <v>46305</v>
      </c>
      <c r="C3078" s="729" t="s">
        <v>105</v>
      </c>
      <c r="D3078" s="729" t="s">
        <v>13</v>
      </c>
      <c r="F3078" s="908"/>
      <c r="G3078" s="60" t="s">
        <v>25</v>
      </c>
      <c r="H3078" s="60" t="s">
        <v>105</v>
      </c>
      <c r="I3078" s="62">
        <v>27</v>
      </c>
      <c r="J3078" s="62">
        <v>17</v>
      </c>
      <c r="K3078" s="494">
        <v>0</v>
      </c>
      <c r="L3078" s="497">
        <f t="shared" si="678"/>
        <v>44</v>
      </c>
      <c r="M3078" s="61"/>
    </row>
    <row r="3079" spans="2:13" ht="15.75" hidden="1" x14ac:dyDescent="0.25">
      <c r="B3079" s="729">
        <v>46305</v>
      </c>
      <c r="C3079" s="729" t="s">
        <v>105</v>
      </c>
      <c r="D3079" s="729" t="s">
        <v>13</v>
      </c>
      <c r="F3079" s="730">
        <v>46306</v>
      </c>
      <c r="G3079" s="60" t="s">
        <v>17</v>
      </c>
      <c r="H3079" s="60" t="s">
        <v>106</v>
      </c>
      <c r="I3079" s="62">
        <v>54</v>
      </c>
      <c r="J3079" s="62">
        <v>26</v>
      </c>
      <c r="K3079" s="494">
        <v>0</v>
      </c>
      <c r="L3079" s="497">
        <f t="shared" si="678"/>
        <v>80</v>
      </c>
      <c r="M3079" s="61"/>
    </row>
    <row r="3080" spans="2:13" ht="15.75" hidden="1" x14ac:dyDescent="0.25">
      <c r="B3080" s="729">
        <v>46305</v>
      </c>
      <c r="C3080" s="729" t="s">
        <v>105</v>
      </c>
      <c r="D3080" s="729" t="s">
        <v>13</v>
      </c>
      <c r="F3080" s="909">
        <v>46307</v>
      </c>
      <c r="G3080" s="60" t="s">
        <v>16</v>
      </c>
      <c r="H3080" s="60" t="s">
        <v>127</v>
      </c>
      <c r="I3080" s="62">
        <v>41</v>
      </c>
      <c r="J3080" s="62">
        <v>22</v>
      </c>
      <c r="K3080" s="494">
        <v>0</v>
      </c>
      <c r="L3080" s="497">
        <f t="shared" si="678"/>
        <v>63</v>
      </c>
      <c r="M3080" s="61"/>
    </row>
    <row r="3081" spans="2:13" ht="15.75" hidden="1" x14ac:dyDescent="0.25">
      <c r="B3081" s="729">
        <v>46305</v>
      </c>
      <c r="C3081" s="729" t="s">
        <v>105</v>
      </c>
      <c r="D3081" s="729" t="s">
        <v>13</v>
      </c>
      <c r="F3081" s="910"/>
      <c r="G3081" s="60" t="s">
        <v>216</v>
      </c>
      <c r="H3081" s="60" t="s">
        <v>217</v>
      </c>
      <c r="I3081" s="62">
        <v>46</v>
      </c>
      <c r="J3081" s="62">
        <v>7</v>
      </c>
      <c r="K3081" s="494">
        <v>0</v>
      </c>
      <c r="L3081" s="497">
        <f t="shared" si="678"/>
        <v>53</v>
      </c>
      <c r="M3081" s="61"/>
    </row>
    <row r="3082" spans="2:13" ht="15.75" hidden="1" x14ac:dyDescent="0.25">
      <c r="B3082" s="729">
        <v>46305</v>
      </c>
      <c r="C3082" s="729" t="s">
        <v>105</v>
      </c>
      <c r="D3082" s="729" t="s">
        <v>13</v>
      </c>
      <c r="F3082" s="910"/>
      <c r="G3082" s="60" t="s">
        <v>215</v>
      </c>
      <c r="H3082" s="60" t="s">
        <v>106</v>
      </c>
      <c r="I3082" s="62">
        <v>0</v>
      </c>
      <c r="J3082" s="62">
        <v>0</v>
      </c>
      <c r="K3082" s="494">
        <v>174</v>
      </c>
      <c r="L3082" s="497">
        <f t="shared" si="678"/>
        <v>174</v>
      </c>
      <c r="M3082" s="61"/>
    </row>
    <row r="3083" spans="2:13" ht="15.75" hidden="1" x14ac:dyDescent="0.25">
      <c r="B3083" s="729">
        <v>46305</v>
      </c>
      <c r="C3083" s="729" t="s">
        <v>105</v>
      </c>
      <c r="D3083" s="729" t="s">
        <v>13</v>
      </c>
      <c r="F3083" s="910"/>
      <c r="G3083" s="60" t="s">
        <v>118</v>
      </c>
      <c r="H3083" s="60" t="s">
        <v>105</v>
      </c>
      <c r="I3083" s="62">
        <v>1</v>
      </c>
      <c r="J3083" s="62">
        <v>0</v>
      </c>
      <c r="K3083" s="494">
        <v>0</v>
      </c>
      <c r="L3083" s="497">
        <f t="shared" si="678"/>
        <v>1</v>
      </c>
      <c r="M3083" s="61"/>
    </row>
    <row r="3084" spans="2:13" ht="15.75" hidden="1" x14ac:dyDescent="0.25">
      <c r="B3084" s="729">
        <v>46305</v>
      </c>
      <c r="C3084" s="729" t="s">
        <v>105</v>
      </c>
      <c r="D3084" s="729" t="s">
        <v>13</v>
      </c>
      <c r="F3084" s="911"/>
      <c r="G3084" s="60" t="s">
        <v>14</v>
      </c>
      <c r="H3084" s="60" t="s">
        <v>106</v>
      </c>
      <c r="I3084" s="62">
        <v>0</v>
      </c>
      <c r="J3084" s="62">
        <v>0</v>
      </c>
      <c r="K3084" s="494">
        <v>61</v>
      </c>
      <c r="L3084" s="497">
        <f t="shared" si="678"/>
        <v>61</v>
      </c>
      <c r="M3084" s="61"/>
    </row>
    <row r="3085" spans="2:13" ht="15.75" hidden="1" x14ac:dyDescent="0.25">
      <c r="B3085" s="729">
        <v>46305</v>
      </c>
      <c r="C3085" s="729" t="s">
        <v>105</v>
      </c>
      <c r="D3085" s="729" t="s">
        <v>13</v>
      </c>
      <c r="F3085" s="890" t="s">
        <v>40</v>
      </c>
      <c r="G3085" s="890"/>
      <c r="H3085" s="890"/>
      <c r="I3085" s="99">
        <f>SUM(I3076:I3084)</f>
        <v>184</v>
      </c>
      <c r="J3085" s="99">
        <f t="shared" ref="J3085:L3085" si="679">SUM(J3076:J3084)</f>
        <v>72</v>
      </c>
      <c r="K3085" s="99">
        <f t="shared" si="679"/>
        <v>235</v>
      </c>
      <c r="L3085" s="99">
        <f t="shared" si="679"/>
        <v>491</v>
      </c>
      <c r="M3085" s="512"/>
    </row>
    <row r="3086" spans="2:13" ht="15.75" hidden="1" x14ac:dyDescent="0.25">
      <c r="B3086" s="733">
        <v>46306</v>
      </c>
      <c r="C3086" s="733" t="s">
        <v>106</v>
      </c>
      <c r="D3086" s="733" t="s">
        <v>189</v>
      </c>
      <c r="F3086" s="732">
        <v>46306</v>
      </c>
      <c r="G3086" s="60" t="s">
        <v>17</v>
      </c>
      <c r="H3086" s="60" t="s">
        <v>106</v>
      </c>
      <c r="I3086" s="62">
        <v>37</v>
      </c>
      <c r="J3086" s="62">
        <v>30</v>
      </c>
      <c r="K3086" s="494">
        <v>0</v>
      </c>
      <c r="L3086" s="497">
        <f t="shared" ref="L3086:L3094" si="680">SUM(I3086:K3086)</f>
        <v>67</v>
      </c>
      <c r="M3086" s="61"/>
    </row>
    <row r="3087" spans="2:13" ht="15.75" hidden="1" x14ac:dyDescent="0.25">
      <c r="B3087" s="733">
        <v>46306</v>
      </c>
      <c r="C3087" s="733" t="s">
        <v>106</v>
      </c>
      <c r="D3087" s="733" t="s">
        <v>189</v>
      </c>
      <c r="F3087" s="833">
        <v>46307</v>
      </c>
      <c r="G3087" s="60" t="s">
        <v>16</v>
      </c>
      <c r="H3087" s="60" t="s">
        <v>127</v>
      </c>
      <c r="I3087" s="62">
        <v>0</v>
      </c>
      <c r="J3087" s="62">
        <v>0</v>
      </c>
      <c r="K3087" s="494">
        <v>58</v>
      </c>
      <c r="L3087" s="497">
        <f t="shared" si="680"/>
        <v>58</v>
      </c>
      <c r="M3087" s="61"/>
    </row>
    <row r="3088" spans="2:13" ht="15.75" hidden="1" x14ac:dyDescent="0.25">
      <c r="B3088" s="733">
        <v>46306</v>
      </c>
      <c r="C3088" s="733" t="s">
        <v>106</v>
      </c>
      <c r="D3088" s="733" t="s">
        <v>189</v>
      </c>
      <c r="F3088" s="834"/>
      <c r="G3088" s="60" t="s">
        <v>14</v>
      </c>
      <c r="H3088" s="60" t="s">
        <v>106</v>
      </c>
      <c r="I3088" s="62">
        <v>124</v>
      </c>
      <c r="J3088" s="62">
        <v>31</v>
      </c>
      <c r="K3088" s="494">
        <v>0</v>
      </c>
      <c r="L3088" s="497">
        <f t="shared" si="680"/>
        <v>155</v>
      </c>
      <c r="M3088" s="61"/>
    </row>
    <row r="3089" spans="2:13" ht="15.75" hidden="1" x14ac:dyDescent="0.25">
      <c r="B3089" s="733">
        <v>46306</v>
      </c>
      <c r="C3089" s="733" t="s">
        <v>106</v>
      </c>
      <c r="D3089" s="733" t="s">
        <v>189</v>
      </c>
      <c r="F3089" s="834"/>
      <c r="G3089" s="60" t="s">
        <v>212</v>
      </c>
      <c r="H3089" s="60" t="s">
        <v>22</v>
      </c>
      <c r="I3089" s="62">
        <v>168</v>
      </c>
      <c r="J3089" s="62">
        <v>2</v>
      </c>
      <c r="K3089" s="494">
        <v>7</v>
      </c>
      <c r="L3089" s="497">
        <f t="shared" si="680"/>
        <v>177</v>
      </c>
      <c r="M3089" s="61"/>
    </row>
    <row r="3090" spans="2:13" ht="15.75" hidden="1" x14ac:dyDescent="0.25">
      <c r="B3090" s="733">
        <v>46306</v>
      </c>
      <c r="C3090" s="733" t="s">
        <v>106</v>
      </c>
      <c r="D3090" s="733" t="s">
        <v>189</v>
      </c>
      <c r="F3090" s="834"/>
      <c r="G3090" s="60" t="s">
        <v>109</v>
      </c>
      <c r="H3090" s="60" t="s">
        <v>22</v>
      </c>
      <c r="I3090" s="62">
        <v>0</v>
      </c>
      <c r="J3090" s="62">
        <v>0</v>
      </c>
      <c r="K3090" s="494">
        <v>2</v>
      </c>
      <c r="L3090" s="497">
        <f t="shared" si="680"/>
        <v>2</v>
      </c>
      <c r="M3090" s="61"/>
    </row>
    <row r="3091" spans="2:13" ht="15.75" hidden="1" x14ac:dyDescent="0.25">
      <c r="B3091" s="733">
        <v>46306</v>
      </c>
      <c r="C3091" s="733" t="s">
        <v>106</v>
      </c>
      <c r="D3091" s="733" t="s">
        <v>189</v>
      </c>
      <c r="F3091" s="834"/>
      <c r="G3091" s="60" t="s">
        <v>32</v>
      </c>
      <c r="H3091" s="60" t="s">
        <v>18</v>
      </c>
      <c r="I3091" s="62">
        <v>0</v>
      </c>
      <c r="J3091" s="62">
        <v>0</v>
      </c>
      <c r="K3091" s="494">
        <v>5</v>
      </c>
      <c r="L3091" s="497">
        <f t="shared" si="680"/>
        <v>5</v>
      </c>
      <c r="M3091" s="61"/>
    </row>
    <row r="3092" spans="2:13" ht="15.75" hidden="1" x14ac:dyDescent="0.25">
      <c r="B3092" s="733">
        <v>46306</v>
      </c>
      <c r="C3092" s="733" t="s">
        <v>106</v>
      </c>
      <c r="D3092" s="733" t="s">
        <v>189</v>
      </c>
      <c r="F3092" s="835"/>
      <c r="G3092" s="60" t="s">
        <v>118</v>
      </c>
      <c r="H3092" s="60" t="s">
        <v>105</v>
      </c>
      <c r="I3092" s="62">
        <v>0</v>
      </c>
      <c r="J3092" s="62">
        <v>0</v>
      </c>
      <c r="K3092" s="494">
        <v>206</v>
      </c>
      <c r="L3092" s="497">
        <f t="shared" si="680"/>
        <v>206</v>
      </c>
      <c r="M3092" s="61"/>
    </row>
    <row r="3093" spans="2:13" ht="15.75" hidden="1" x14ac:dyDescent="0.25">
      <c r="B3093" s="733">
        <v>46306</v>
      </c>
      <c r="C3093" s="733" t="s">
        <v>106</v>
      </c>
      <c r="D3093" s="733" t="s">
        <v>189</v>
      </c>
      <c r="F3093" s="838">
        <v>46308</v>
      </c>
      <c r="G3093" s="60" t="s">
        <v>16</v>
      </c>
      <c r="H3093" s="60" t="s">
        <v>218</v>
      </c>
      <c r="I3093" s="62">
        <v>0</v>
      </c>
      <c r="J3093" s="62">
        <v>0</v>
      </c>
      <c r="K3093" s="494">
        <v>113</v>
      </c>
      <c r="L3093" s="497">
        <f t="shared" si="680"/>
        <v>113</v>
      </c>
      <c r="M3093" s="61"/>
    </row>
    <row r="3094" spans="2:13" ht="15.75" hidden="1" x14ac:dyDescent="0.25">
      <c r="B3094" s="733">
        <v>46306</v>
      </c>
      <c r="C3094" s="733" t="s">
        <v>106</v>
      </c>
      <c r="D3094" s="733" t="s">
        <v>189</v>
      </c>
      <c r="F3094" s="848"/>
      <c r="G3094" s="60" t="s">
        <v>17</v>
      </c>
      <c r="H3094" s="60" t="s">
        <v>105</v>
      </c>
      <c r="I3094" s="62">
        <v>0</v>
      </c>
      <c r="J3094" s="62">
        <v>0</v>
      </c>
      <c r="K3094" s="494">
        <v>34</v>
      </c>
      <c r="L3094" s="497">
        <f t="shared" si="680"/>
        <v>34</v>
      </c>
      <c r="M3094" s="61"/>
    </row>
    <row r="3095" spans="2:13" ht="15.75" hidden="1" x14ac:dyDescent="0.25">
      <c r="B3095" s="733">
        <v>46306</v>
      </c>
      <c r="C3095" s="733" t="s">
        <v>106</v>
      </c>
      <c r="D3095" s="733" t="s">
        <v>189</v>
      </c>
      <c r="F3095" s="890" t="s">
        <v>40</v>
      </c>
      <c r="G3095" s="890"/>
      <c r="H3095" s="890"/>
      <c r="I3095" s="99">
        <f>SUM(I3086:I3094)</f>
        <v>329</v>
      </c>
      <c r="J3095" s="99">
        <f>SUM(J3086:J3094)</f>
        <v>63</v>
      </c>
      <c r="K3095" s="99">
        <f>SUM(K3086:K3094)</f>
        <v>425</v>
      </c>
      <c r="L3095" s="99">
        <f>SUM(L3086:L3094)</f>
        <v>817</v>
      </c>
      <c r="M3095" s="512"/>
    </row>
    <row r="3096" spans="2:13" ht="15.75" hidden="1" x14ac:dyDescent="0.25">
      <c r="B3096" s="734">
        <v>46307</v>
      </c>
      <c r="C3096" s="734" t="s">
        <v>106</v>
      </c>
      <c r="D3096" s="734" t="s">
        <v>189</v>
      </c>
      <c r="F3096" s="833">
        <v>46307</v>
      </c>
      <c r="G3096" s="60" t="s">
        <v>16</v>
      </c>
      <c r="H3096" s="60" t="s">
        <v>127</v>
      </c>
      <c r="I3096" s="62">
        <v>62</v>
      </c>
      <c r="J3096" s="62">
        <v>21</v>
      </c>
      <c r="K3096" s="494">
        <v>0</v>
      </c>
      <c r="L3096" s="497">
        <f t="shared" ref="L3096:L3103" si="681">SUM(I3096:K3096)</f>
        <v>83</v>
      </c>
      <c r="M3096" s="61"/>
    </row>
    <row r="3097" spans="2:13" ht="15.75" hidden="1" x14ac:dyDescent="0.25">
      <c r="B3097" s="734">
        <v>46307</v>
      </c>
      <c r="C3097" s="734" t="s">
        <v>106</v>
      </c>
      <c r="D3097" s="734" t="s">
        <v>189</v>
      </c>
      <c r="F3097" s="834"/>
      <c r="G3097" s="60" t="s">
        <v>14</v>
      </c>
      <c r="H3097" s="60" t="s">
        <v>106</v>
      </c>
      <c r="I3097" s="62">
        <v>25</v>
      </c>
      <c r="J3097" s="62">
        <v>2</v>
      </c>
      <c r="K3097" s="494">
        <v>0</v>
      </c>
      <c r="L3097" s="497">
        <f t="shared" si="681"/>
        <v>27</v>
      </c>
      <c r="M3097" s="61"/>
    </row>
    <row r="3098" spans="2:13" ht="15.75" hidden="1" x14ac:dyDescent="0.25">
      <c r="B3098" s="734">
        <v>46307</v>
      </c>
      <c r="C3098" s="734" t="s">
        <v>106</v>
      </c>
      <c r="D3098" s="734" t="s">
        <v>189</v>
      </c>
      <c r="F3098" s="834"/>
      <c r="G3098" s="60" t="s">
        <v>212</v>
      </c>
      <c r="H3098" s="60" t="s">
        <v>22</v>
      </c>
      <c r="I3098" s="62">
        <v>14</v>
      </c>
      <c r="J3098" s="62">
        <v>0</v>
      </c>
      <c r="K3098" s="494">
        <v>0</v>
      </c>
      <c r="L3098" s="497">
        <f t="shared" si="681"/>
        <v>14</v>
      </c>
      <c r="M3098" s="61"/>
    </row>
    <row r="3099" spans="2:13" ht="15.75" hidden="1" x14ac:dyDescent="0.25">
      <c r="B3099" s="734">
        <v>46307</v>
      </c>
      <c r="C3099" s="734" t="s">
        <v>106</v>
      </c>
      <c r="D3099" s="734" t="s">
        <v>189</v>
      </c>
      <c r="F3099" s="834"/>
      <c r="G3099" s="60" t="s">
        <v>32</v>
      </c>
      <c r="H3099" s="60" t="s">
        <v>18</v>
      </c>
      <c r="I3099" s="62">
        <v>10</v>
      </c>
      <c r="J3099" s="62">
        <v>1</v>
      </c>
      <c r="K3099" s="494">
        <v>0</v>
      </c>
      <c r="L3099" s="497">
        <f t="shared" si="681"/>
        <v>11</v>
      </c>
      <c r="M3099" s="61"/>
    </row>
    <row r="3100" spans="2:13" ht="15.75" hidden="1" x14ac:dyDescent="0.25">
      <c r="B3100" s="734">
        <v>46307</v>
      </c>
      <c r="C3100" s="734" t="s">
        <v>106</v>
      </c>
      <c r="D3100" s="734" t="s">
        <v>189</v>
      </c>
      <c r="F3100" s="835"/>
      <c r="G3100" s="60" t="s">
        <v>118</v>
      </c>
      <c r="H3100" s="60" t="s">
        <v>105</v>
      </c>
      <c r="I3100" s="62">
        <v>168</v>
      </c>
      <c r="J3100" s="62">
        <v>33</v>
      </c>
      <c r="K3100" s="494">
        <v>0</v>
      </c>
      <c r="L3100" s="497">
        <f t="shared" si="681"/>
        <v>201</v>
      </c>
      <c r="M3100" s="61"/>
    </row>
    <row r="3101" spans="2:13" ht="15.75" hidden="1" x14ac:dyDescent="0.25">
      <c r="B3101" s="734">
        <v>46307</v>
      </c>
      <c r="C3101" s="734" t="s">
        <v>106</v>
      </c>
      <c r="D3101" s="734" t="s">
        <v>189</v>
      </c>
      <c r="F3101" s="838">
        <v>46308</v>
      </c>
      <c r="G3101" s="60" t="s">
        <v>16</v>
      </c>
      <c r="H3101" s="60" t="s">
        <v>218</v>
      </c>
      <c r="I3101" s="62">
        <v>42</v>
      </c>
      <c r="J3101" s="62">
        <v>38</v>
      </c>
      <c r="K3101" s="494">
        <v>139</v>
      </c>
      <c r="L3101" s="497">
        <f t="shared" si="681"/>
        <v>219</v>
      </c>
      <c r="M3101" s="61"/>
    </row>
    <row r="3102" spans="2:13" ht="15.75" hidden="1" x14ac:dyDescent="0.25">
      <c r="B3102" s="734">
        <v>46307</v>
      </c>
      <c r="C3102" s="734" t="s">
        <v>106</v>
      </c>
      <c r="D3102" s="734" t="s">
        <v>189</v>
      </c>
      <c r="F3102" s="839"/>
      <c r="G3102" s="60" t="s">
        <v>14</v>
      </c>
      <c r="H3102" s="60" t="s">
        <v>106</v>
      </c>
      <c r="I3102" s="62">
        <v>0</v>
      </c>
      <c r="J3102" s="62">
        <v>0</v>
      </c>
      <c r="K3102" s="494">
        <v>38</v>
      </c>
      <c r="L3102" s="497">
        <f t="shared" si="681"/>
        <v>38</v>
      </c>
      <c r="M3102" s="61"/>
    </row>
    <row r="3103" spans="2:13" ht="15.75" hidden="1" x14ac:dyDescent="0.25">
      <c r="B3103" s="734">
        <v>46307</v>
      </c>
      <c r="C3103" s="734" t="s">
        <v>106</v>
      </c>
      <c r="D3103" s="734" t="s">
        <v>189</v>
      </c>
      <c r="F3103" s="848"/>
      <c r="G3103" s="60" t="s">
        <v>17</v>
      </c>
      <c r="H3103" s="60" t="s">
        <v>105</v>
      </c>
      <c r="I3103" s="62">
        <v>20</v>
      </c>
      <c r="J3103" s="62">
        <v>2</v>
      </c>
      <c r="K3103" s="494">
        <v>119</v>
      </c>
      <c r="L3103" s="497">
        <f t="shared" si="681"/>
        <v>141</v>
      </c>
      <c r="M3103" s="61"/>
    </row>
    <row r="3104" spans="2:13" ht="15.75" hidden="1" x14ac:dyDescent="0.25">
      <c r="B3104" s="734">
        <v>46307</v>
      </c>
      <c r="C3104" s="734" t="s">
        <v>106</v>
      </c>
      <c r="D3104" s="734" t="s">
        <v>189</v>
      </c>
      <c r="F3104" s="890" t="s">
        <v>40</v>
      </c>
      <c r="G3104" s="890"/>
      <c r="H3104" s="890"/>
      <c r="I3104" s="99">
        <f>SUM(I3096:I3103)</f>
        <v>341</v>
      </c>
      <c r="J3104" s="99">
        <f>SUM(J3096:J3103)</f>
        <v>97</v>
      </c>
      <c r="K3104" s="99">
        <f>SUM(K3096:K3103)</f>
        <v>296</v>
      </c>
      <c r="L3104" s="99">
        <f>SUM(L3096:L3103)</f>
        <v>734</v>
      </c>
      <c r="M3104" s="512"/>
    </row>
    <row r="3105" spans="2:13" ht="15.75" hidden="1" x14ac:dyDescent="0.25">
      <c r="B3105" s="735">
        <v>46307</v>
      </c>
      <c r="C3105" s="735" t="s">
        <v>105</v>
      </c>
      <c r="D3105" s="735" t="s">
        <v>13</v>
      </c>
      <c r="F3105" s="905">
        <v>46307</v>
      </c>
      <c r="G3105" s="60" t="s">
        <v>16</v>
      </c>
      <c r="H3105" s="60" t="s">
        <v>127</v>
      </c>
      <c r="I3105" s="62">
        <v>8</v>
      </c>
      <c r="J3105" s="62">
        <v>3</v>
      </c>
      <c r="K3105" s="494">
        <v>0</v>
      </c>
      <c r="L3105" s="497">
        <f t="shared" ref="L3105:L3113" si="682">SUM(I3105:K3105)</f>
        <v>11</v>
      </c>
      <c r="M3105" s="61"/>
    </row>
    <row r="3106" spans="2:13" ht="15.75" hidden="1" x14ac:dyDescent="0.25">
      <c r="B3106" s="735">
        <v>46307</v>
      </c>
      <c r="C3106" s="735" t="s">
        <v>105</v>
      </c>
      <c r="D3106" s="735" t="s">
        <v>13</v>
      </c>
      <c r="F3106" s="906"/>
      <c r="G3106" s="60" t="s">
        <v>17</v>
      </c>
      <c r="H3106" s="60" t="s">
        <v>105</v>
      </c>
      <c r="I3106" s="62">
        <v>9</v>
      </c>
      <c r="J3106" s="62">
        <v>8</v>
      </c>
      <c r="K3106" s="494">
        <v>0</v>
      </c>
      <c r="L3106" s="497">
        <f t="shared" si="682"/>
        <v>17</v>
      </c>
      <c r="M3106" s="61"/>
    </row>
    <row r="3107" spans="2:13" ht="15.75" hidden="1" x14ac:dyDescent="0.25">
      <c r="B3107" s="735">
        <v>46307</v>
      </c>
      <c r="C3107" s="735" t="s">
        <v>105</v>
      </c>
      <c r="D3107" s="735" t="s">
        <v>13</v>
      </c>
      <c r="F3107" s="906"/>
      <c r="G3107" s="60" t="s">
        <v>25</v>
      </c>
      <c r="H3107" s="60" t="s">
        <v>105</v>
      </c>
      <c r="I3107" s="62">
        <v>17</v>
      </c>
      <c r="J3107" s="62">
        <v>0</v>
      </c>
      <c r="K3107" s="494">
        <v>0</v>
      </c>
      <c r="L3107" s="497">
        <f t="shared" si="682"/>
        <v>17</v>
      </c>
      <c r="M3107" s="61"/>
    </row>
    <row r="3108" spans="2:13" ht="15.75" hidden="1" x14ac:dyDescent="0.25">
      <c r="B3108" s="737">
        <v>46307</v>
      </c>
      <c r="C3108" s="737" t="s">
        <v>105</v>
      </c>
      <c r="D3108" s="737" t="s">
        <v>13</v>
      </c>
      <c r="F3108" s="906"/>
      <c r="G3108" s="60" t="s">
        <v>109</v>
      </c>
      <c r="H3108" s="60" t="s">
        <v>105</v>
      </c>
      <c r="I3108" s="62">
        <v>1</v>
      </c>
      <c r="J3108" s="62">
        <v>1</v>
      </c>
      <c r="K3108" s="494">
        <v>0</v>
      </c>
      <c r="L3108" s="497">
        <f t="shared" si="682"/>
        <v>2</v>
      </c>
      <c r="M3108" s="61"/>
    </row>
    <row r="3109" spans="2:13" ht="15.75" hidden="1" x14ac:dyDescent="0.25">
      <c r="B3109" s="737">
        <v>46307</v>
      </c>
      <c r="C3109" s="737" t="s">
        <v>105</v>
      </c>
      <c r="D3109" s="737" t="s">
        <v>13</v>
      </c>
      <c r="F3109" s="907"/>
      <c r="G3109" s="60" t="s">
        <v>118</v>
      </c>
      <c r="H3109" s="60" t="s">
        <v>105</v>
      </c>
      <c r="I3109" s="62">
        <v>15</v>
      </c>
      <c r="J3109" s="62">
        <v>8</v>
      </c>
      <c r="K3109" s="494">
        <v>0</v>
      </c>
      <c r="L3109" s="497">
        <f t="shared" si="682"/>
        <v>23</v>
      </c>
      <c r="M3109" s="61"/>
    </row>
    <row r="3110" spans="2:13" ht="15.75" hidden="1" x14ac:dyDescent="0.25">
      <c r="B3110" s="735">
        <v>46307</v>
      </c>
      <c r="C3110" s="735" t="s">
        <v>105</v>
      </c>
      <c r="D3110" s="735" t="s">
        <v>13</v>
      </c>
      <c r="F3110" s="838">
        <v>46308</v>
      </c>
      <c r="G3110" s="60" t="s">
        <v>16</v>
      </c>
      <c r="H3110" s="60" t="s">
        <v>218</v>
      </c>
      <c r="I3110" s="62">
        <v>83</v>
      </c>
      <c r="J3110" s="62">
        <v>53</v>
      </c>
      <c r="K3110" s="494">
        <v>0</v>
      </c>
      <c r="L3110" s="497">
        <f t="shared" si="682"/>
        <v>136</v>
      </c>
      <c r="M3110" s="61"/>
    </row>
    <row r="3111" spans="2:13" ht="15.75" hidden="1" x14ac:dyDescent="0.25">
      <c r="B3111" s="735">
        <v>46307</v>
      </c>
      <c r="C3111" s="735" t="s">
        <v>105</v>
      </c>
      <c r="D3111" s="735" t="s">
        <v>13</v>
      </c>
      <c r="F3111" s="848"/>
      <c r="G3111" s="60" t="s">
        <v>14</v>
      </c>
      <c r="H3111" s="60" t="s">
        <v>106</v>
      </c>
      <c r="I3111" s="62">
        <v>108</v>
      </c>
      <c r="J3111" s="62">
        <v>31</v>
      </c>
      <c r="K3111" s="494">
        <v>0</v>
      </c>
      <c r="L3111" s="497">
        <f t="shared" si="682"/>
        <v>139</v>
      </c>
      <c r="M3111" s="61"/>
    </row>
    <row r="3112" spans="2:13" ht="15.75" hidden="1" x14ac:dyDescent="0.25">
      <c r="B3112" s="735">
        <v>46307</v>
      </c>
      <c r="C3112" s="735" t="s">
        <v>105</v>
      </c>
      <c r="D3112" s="735" t="s">
        <v>13</v>
      </c>
      <c r="F3112" s="891">
        <v>46309</v>
      </c>
      <c r="G3112" s="60" t="s">
        <v>84</v>
      </c>
      <c r="H3112" s="60" t="s">
        <v>12</v>
      </c>
      <c r="I3112" s="62">
        <v>0</v>
      </c>
      <c r="J3112" s="62">
        <v>0</v>
      </c>
      <c r="K3112" s="494">
        <v>35</v>
      </c>
      <c r="L3112" s="497">
        <f t="shared" si="682"/>
        <v>35</v>
      </c>
      <c r="M3112" s="61"/>
    </row>
    <row r="3113" spans="2:13" ht="15.75" hidden="1" x14ac:dyDescent="0.25">
      <c r="B3113" s="737">
        <v>46307</v>
      </c>
      <c r="C3113" s="737" t="s">
        <v>105</v>
      </c>
      <c r="D3113" s="737" t="s">
        <v>13</v>
      </c>
      <c r="F3113" s="892"/>
      <c r="G3113" s="60" t="s">
        <v>215</v>
      </c>
      <c r="H3113" s="60" t="s">
        <v>106</v>
      </c>
      <c r="I3113" s="62">
        <v>0</v>
      </c>
      <c r="J3113" s="62">
        <v>0</v>
      </c>
      <c r="K3113" s="494">
        <v>164</v>
      </c>
      <c r="L3113" s="497">
        <f t="shared" si="682"/>
        <v>164</v>
      </c>
      <c r="M3113" s="61"/>
    </row>
    <row r="3114" spans="2:13" ht="15.75" hidden="1" x14ac:dyDescent="0.25">
      <c r="B3114" s="735">
        <v>46307</v>
      </c>
      <c r="C3114" s="735" t="s">
        <v>105</v>
      </c>
      <c r="D3114" s="735" t="s">
        <v>13</v>
      </c>
      <c r="F3114" s="890" t="s">
        <v>40</v>
      </c>
      <c r="G3114" s="890"/>
      <c r="H3114" s="890"/>
      <c r="I3114" s="99">
        <f>SUM(I3105:I3113)</f>
        <v>241</v>
      </c>
      <c r="J3114" s="99">
        <f>SUM(J3105:J3113)</f>
        <v>104</v>
      </c>
      <c r="K3114" s="99">
        <f>SUM(K3105:K3113)</f>
        <v>199</v>
      </c>
      <c r="L3114" s="99">
        <f>SUM(L3105:L3113)</f>
        <v>544</v>
      </c>
      <c r="M3114" s="512"/>
    </row>
    <row r="3115" spans="2:13" ht="15.75" hidden="1" x14ac:dyDescent="0.25">
      <c r="B3115" s="738">
        <v>46308</v>
      </c>
      <c r="C3115" s="738" t="s">
        <v>106</v>
      </c>
      <c r="D3115" s="738" t="s">
        <v>189</v>
      </c>
      <c r="F3115" s="830">
        <v>46308</v>
      </c>
      <c r="G3115" s="60" t="s">
        <v>16</v>
      </c>
      <c r="H3115" s="60" t="s">
        <v>127</v>
      </c>
      <c r="I3115" s="62">
        <v>26</v>
      </c>
      <c r="J3115" s="62">
        <v>24</v>
      </c>
      <c r="K3115" s="494">
        <v>0</v>
      </c>
      <c r="L3115" s="497">
        <f t="shared" ref="L3115:L3123" si="683">SUM(I3115:K3115)</f>
        <v>50</v>
      </c>
      <c r="M3115" s="61"/>
    </row>
    <row r="3116" spans="2:13" ht="15.75" hidden="1" x14ac:dyDescent="0.25">
      <c r="B3116" s="738">
        <v>46308</v>
      </c>
      <c r="C3116" s="738" t="s">
        <v>106</v>
      </c>
      <c r="D3116" s="738" t="s">
        <v>189</v>
      </c>
      <c r="F3116" s="831"/>
      <c r="G3116" s="60" t="s">
        <v>14</v>
      </c>
      <c r="H3116" s="60" t="s">
        <v>106</v>
      </c>
      <c r="I3116" s="62">
        <v>27</v>
      </c>
      <c r="J3116" s="62">
        <v>9</v>
      </c>
      <c r="K3116" s="494">
        <v>0</v>
      </c>
      <c r="L3116" s="497">
        <f t="shared" si="683"/>
        <v>36</v>
      </c>
      <c r="M3116" s="61"/>
    </row>
    <row r="3117" spans="2:13" ht="15.75" hidden="1" x14ac:dyDescent="0.25">
      <c r="B3117" s="738">
        <v>46308</v>
      </c>
      <c r="C3117" s="738" t="s">
        <v>106</v>
      </c>
      <c r="D3117" s="738" t="s">
        <v>189</v>
      </c>
      <c r="F3117" s="831"/>
      <c r="G3117" s="60" t="s">
        <v>212</v>
      </c>
      <c r="H3117" s="60" t="s">
        <v>22</v>
      </c>
      <c r="I3117" s="62">
        <v>31</v>
      </c>
      <c r="J3117" s="62">
        <v>2</v>
      </c>
      <c r="K3117" s="494">
        <v>0</v>
      </c>
      <c r="L3117" s="497">
        <f t="shared" si="683"/>
        <v>33</v>
      </c>
      <c r="M3117" s="61"/>
    </row>
    <row r="3118" spans="2:13" ht="15.75" hidden="1" x14ac:dyDescent="0.25">
      <c r="B3118" s="738">
        <v>46308</v>
      </c>
      <c r="C3118" s="738" t="s">
        <v>106</v>
      </c>
      <c r="D3118" s="738" t="s">
        <v>189</v>
      </c>
      <c r="F3118" s="831"/>
      <c r="G3118" s="60" t="s">
        <v>25</v>
      </c>
      <c r="H3118" s="60" t="s">
        <v>106</v>
      </c>
      <c r="I3118" s="62">
        <v>2</v>
      </c>
      <c r="J3118" s="62">
        <v>2</v>
      </c>
      <c r="K3118" s="494">
        <v>0</v>
      </c>
      <c r="L3118" s="497">
        <f t="shared" si="683"/>
        <v>4</v>
      </c>
      <c r="M3118" s="61"/>
    </row>
    <row r="3119" spans="2:13" ht="15.75" hidden="1" x14ac:dyDescent="0.25">
      <c r="B3119" s="738">
        <v>46308</v>
      </c>
      <c r="C3119" s="738" t="s">
        <v>106</v>
      </c>
      <c r="D3119" s="738" t="s">
        <v>189</v>
      </c>
      <c r="F3119" s="832"/>
      <c r="G3119" s="60" t="s">
        <v>17</v>
      </c>
      <c r="H3119" s="60" t="s">
        <v>105</v>
      </c>
      <c r="I3119" s="62">
        <v>82</v>
      </c>
      <c r="J3119" s="62">
        <v>33</v>
      </c>
      <c r="K3119" s="494">
        <v>0</v>
      </c>
      <c r="L3119" s="497">
        <f t="shared" si="683"/>
        <v>115</v>
      </c>
      <c r="M3119" s="61"/>
    </row>
    <row r="3120" spans="2:13" ht="15.75" hidden="1" x14ac:dyDescent="0.25">
      <c r="B3120" s="738">
        <v>46308</v>
      </c>
      <c r="C3120" s="738" t="s">
        <v>106</v>
      </c>
      <c r="D3120" s="738" t="s">
        <v>189</v>
      </c>
      <c r="F3120" s="838">
        <v>46309</v>
      </c>
      <c r="G3120" s="60" t="s">
        <v>16</v>
      </c>
      <c r="H3120" s="60" t="s">
        <v>218</v>
      </c>
      <c r="I3120" s="62">
        <v>19</v>
      </c>
      <c r="J3120" s="62">
        <v>15</v>
      </c>
      <c r="K3120" s="494">
        <v>165</v>
      </c>
      <c r="L3120" s="497">
        <f t="shared" si="683"/>
        <v>199</v>
      </c>
      <c r="M3120" s="61"/>
    </row>
    <row r="3121" spans="2:13" ht="15.75" hidden="1" x14ac:dyDescent="0.25">
      <c r="B3121" s="738">
        <v>46308</v>
      </c>
      <c r="C3121" s="738" t="s">
        <v>106</v>
      </c>
      <c r="D3121" s="738" t="s">
        <v>189</v>
      </c>
      <c r="F3121" s="839"/>
      <c r="G3121" s="60" t="s">
        <v>25</v>
      </c>
      <c r="H3121" s="60" t="s">
        <v>106</v>
      </c>
      <c r="I3121" s="62">
        <v>0</v>
      </c>
      <c r="J3121" s="62">
        <v>0</v>
      </c>
      <c r="K3121" s="494">
        <v>11</v>
      </c>
      <c r="L3121" s="497">
        <f t="shared" si="683"/>
        <v>11</v>
      </c>
      <c r="M3121" s="61"/>
    </row>
    <row r="3122" spans="2:13" ht="15.75" hidden="1" x14ac:dyDescent="0.25">
      <c r="B3122" s="738">
        <v>46308</v>
      </c>
      <c r="C3122" s="738" t="s">
        <v>106</v>
      </c>
      <c r="D3122" s="738" t="s">
        <v>189</v>
      </c>
      <c r="F3122" s="839"/>
      <c r="G3122" s="60" t="s">
        <v>212</v>
      </c>
      <c r="H3122" s="60" t="s">
        <v>106</v>
      </c>
      <c r="I3122" s="62">
        <v>185</v>
      </c>
      <c r="J3122" s="62">
        <v>3</v>
      </c>
      <c r="K3122" s="494">
        <v>0</v>
      </c>
      <c r="L3122" s="497">
        <f t="shared" si="683"/>
        <v>188</v>
      </c>
      <c r="M3122" s="61"/>
    </row>
    <row r="3123" spans="2:13" ht="15.75" hidden="1" x14ac:dyDescent="0.25">
      <c r="B3123" s="738">
        <v>46308</v>
      </c>
      <c r="C3123" s="738" t="s">
        <v>106</v>
      </c>
      <c r="D3123" s="738" t="s">
        <v>189</v>
      </c>
      <c r="F3123" s="839"/>
      <c r="G3123" s="60" t="s">
        <v>84</v>
      </c>
      <c r="H3123" s="60" t="s">
        <v>12</v>
      </c>
      <c r="I3123" s="62">
        <v>29</v>
      </c>
      <c r="J3123" s="62">
        <v>10</v>
      </c>
      <c r="K3123" s="494">
        <v>0</v>
      </c>
      <c r="L3123" s="497">
        <f t="shared" si="683"/>
        <v>39</v>
      </c>
      <c r="M3123" s="61"/>
    </row>
    <row r="3124" spans="2:13" ht="15.75" hidden="1" x14ac:dyDescent="0.25">
      <c r="B3124" s="738">
        <v>46308</v>
      </c>
      <c r="C3124" s="738" t="s">
        <v>106</v>
      </c>
      <c r="D3124" s="738" t="s">
        <v>189</v>
      </c>
      <c r="F3124" s="890" t="s">
        <v>40</v>
      </c>
      <c r="G3124" s="890"/>
      <c r="H3124" s="890"/>
      <c r="I3124" s="99">
        <f>SUM(I3115:I3123)</f>
        <v>401</v>
      </c>
      <c r="J3124" s="99">
        <f>SUM(J3115:J3123)</f>
        <v>98</v>
      </c>
      <c r="K3124" s="99">
        <f>SUM(K3115:K3123)</f>
        <v>176</v>
      </c>
      <c r="L3124" s="99">
        <f>SUM(L3115:L3123)</f>
        <v>675</v>
      </c>
      <c r="M3124" s="512"/>
    </row>
    <row r="3125" spans="2:13" ht="15.75" hidden="1" x14ac:dyDescent="0.25">
      <c r="B3125" s="740">
        <v>46308</v>
      </c>
      <c r="C3125" s="740" t="s">
        <v>105</v>
      </c>
      <c r="D3125" s="740" t="s">
        <v>13</v>
      </c>
      <c r="F3125" s="861">
        <v>46308</v>
      </c>
      <c r="G3125" s="60" t="s">
        <v>16</v>
      </c>
      <c r="H3125" s="60" t="s">
        <v>127</v>
      </c>
      <c r="I3125" s="62">
        <v>12</v>
      </c>
      <c r="J3125" s="62">
        <v>1</v>
      </c>
      <c r="K3125" s="494">
        <v>0</v>
      </c>
      <c r="L3125" s="497">
        <f t="shared" ref="L3125:L3130" si="684">SUM(I3125:K3125)</f>
        <v>13</v>
      </c>
      <c r="M3125" s="61"/>
    </row>
    <row r="3126" spans="2:13" ht="15.75" hidden="1" x14ac:dyDescent="0.25">
      <c r="B3126" s="740">
        <v>46308</v>
      </c>
      <c r="C3126" s="740" t="s">
        <v>105</v>
      </c>
      <c r="D3126" s="740" t="s">
        <v>13</v>
      </c>
      <c r="F3126" s="862"/>
      <c r="G3126" s="60" t="s">
        <v>84</v>
      </c>
      <c r="H3126" s="60" t="s">
        <v>12</v>
      </c>
      <c r="I3126" s="62">
        <v>2</v>
      </c>
      <c r="J3126" s="62">
        <v>0</v>
      </c>
      <c r="K3126" s="494">
        <v>0</v>
      </c>
      <c r="L3126" s="497">
        <f t="shared" si="684"/>
        <v>2</v>
      </c>
      <c r="M3126" s="61"/>
    </row>
    <row r="3127" spans="2:13" ht="15.75" hidden="1" x14ac:dyDescent="0.25">
      <c r="B3127" s="740">
        <v>46308</v>
      </c>
      <c r="C3127" s="740" t="s">
        <v>105</v>
      </c>
      <c r="D3127" s="740" t="s">
        <v>13</v>
      </c>
      <c r="F3127" s="900">
        <v>46309</v>
      </c>
      <c r="G3127" s="60" t="s">
        <v>16</v>
      </c>
      <c r="H3127" s="60" t="s">
        <v>218</v>
      </c>
      <c r="I3127" s="62">
        <v>88</v>
      </c>
      <c r="J3127" s="62">
        <v>83</v>
      </c>
      <c r="K3127" s="494">
        <v>0</v>
      </c>
      <c r="L3127" s="497">
        <f t="shared" si="684"/>
        <v>171</v>
      </c>
      <c r="M3127" s="61"/>
    </row>
    <row r="3128" spans="2:13" ht="15.75" hidden="1" x14ac:dyDescent="0.25">
      <c r="B3128" s="740">
        <v>46308</v>
      </c>
      <c r="C3128" s="740" t="s">
        <v>105</v>
      </c>
      <c r="D3128" s="740" t="s">
        <v>13</v>
      </c>
      <c r="F3128" s="901"/>
      <c r="G3128" s="60" t="s">
        <v>25</v>
      </c>
      <c r="H3128" s="60" t="s">
        <v>106</v>
      </c>
      <c r="I3128" s="62">
        <v>105</v>
      </c>
      <c r="J3128" s="62">
        <v>43</v>
      </c>
      <c r="K3128" s="494">
        <v>10</v>
      </c>
      <c r="L3128" s="497">
        <f t="shared" si="684"/>
        <v>158</v>
      </c>
      <c r="M3128" s="61"/>
    </row>
    <row r="3129" spans="2:13" ht="15.75" hidden="1" x14ac:dyDescent="0.25">
      <c r="B3129" s="740">
        <v>46308</v>
      </c>
      <c r="C3129" s="740" t="s">
        <v>105</v>
      </c>
      <c r="D3129" s="740" t="s">
        <v>13</v>
      </c>
      <c r="F3129" s="901"/>
      <c r="G3129" s="62" t="s">
        <v>17</v>
      </c>
      <c r="H3129" s="60" t="s">
        <v>105</v>
      </c>
      <c r="I3129" s="62">
        <v>46</v>
      </c>
      <c r="J3129" s="62">
        <v>27</v>
      </c>
      <c r="K3129" s="494">
        <v>94</v>
      </c>
      <c r="L3129" s="497">
        <f t="shared" si="684"/>
        <v>167</v>
      </c>
      <c r="M3129" s="61"/>
    </row>
    <row r="3130" spans="2:13" ht="15.75" hidden="1" x14ac:dyDescent="0.25">
      <c r="B3130" s="740">
        <v>46308</v>
      </c>
      <c r="C3130" s="740" t="s">
        <v>105</v>
      </c>
      <c r="D3130" s="740" t="s">
        <v>13</v>
      </c>
      <c r="F3130" s="741">
        <v>46310</v>
      </c>
      <c r="G3130" s="60" t="s">
        <v>215</v>
      </c>
      <c r="H3130" s="60" t="s">
        <v>106</v>
      </c>
      <c r="I3130" s="62">
        <v>0</v>
      </c>
      <c r="J3130" s="62">
        <v>0</v>
      </c>
      <c r="K3130" s="494">
        <v>54</v>
      </c>
      <c r="L3130" s="497">
        <f t="shared" si="684"/>
        <v>54</v>
      </c>
      <c r="M3130" s="61"/>
    </row>
    <row r="3131" spans="2:13" ht="15.75" hidden="1" x14ac:dyDescent="0.25">
      <c r="B3131" s="740">
        <v>46308</v>
      </c>
      <c r="C3131" s="740" t="s">
        <v>105</v>
      </c>
      <c r="D3131" s="740" t="s">
        <v>13</v>
      </c>
      <c r="F3131" s="902" t="s">
        <v>40</v>
      </c>
      <c r="G3131" s="903"/>
      <c r="H3131" s="904"/>
      <c r="I3131" s="99">
        <f>SUM(I3125:I3130)</f>
        <v>253</v>
      </c>
      <c r="J3131" s="99">
        <f>SUM(J3125:J3130)</f>
        <v>154</v>
      </c>
      <c r="K3131" s="99">
        <f>SUM(K3125:K3130)</f>
        <v>158</v>
      </c>
      <c r="L3131" s="99">
        <f>SUM(L3125:L3130)</f>
        <v>565</v>
      </c>
      <c r="M3131" s="512"/>
    </row>
    <row r="3132" spans="2:13" ht="15.75" hidden="1" x14ac:dyDescent="0.25">
      <c r="B3132" s="742">
        <v>46309</v>
      </c>
      <c r="C3132" s="742" t="s">
        <v>106</v>
      </c>
      <c r="D3132" s="742" t="s">
        <v>189</v>
      </c>
      <c r="F3132" s="830">
        <v>46309</v>
      </c>
      <c r="G3132" s="60" t="s">
        <v>16</v>
      </c>
      <c r="H3132" s="60" t="s">
        <v>127</v>
      </c>
      <c r="I3132" s="62">
        <v>45</v>
      </c>
      <c r="J3132" s="62">
        <v>21</v>
      </c>
      <c r="K3132" s="494">
        <v>0</v>
      </c>
      <c r="L3132" s="497">
        <f t="shared" ref="L3132:L3139" si="685">SUM(I3132:K3132)</f>
        <v>66</v>
      </c>
      <c r="M3132" s="61"/>
    </row>
    <row r="3133" spans="2:13" ht="15.75" hidden="1" x14ac:dyDescent="0.25">
      <c r="B3133" s="742">
        <v>46309</v>
      </c>
      <c r="C3133" s="742" t="s">
        <v>106</v>
      </c>
      <c r="D3133" s="742" t="s">
        <v>189</v>
      </c>
      <c r="F3133" s="831"/>
      <c r="G3133" s="60" t="s">
        <v>14</v>
      </c>
      <c r="H3133" s="60" t="s">
        <v>106</v>
      </c>
      <c r="I3133" s="62">
        <v>1</v>
      </c>
      <c r="J3133" s="62">
        <v>0</v>
      </c>
      <c r="K3133" s="494">
        <v>0</v>
      </c>
      <c r="L3133" s="497">
        <f t="shared" si="685"/>
        <v>1</v>
      </c>
      <c r="M3133" s="61"/>
    </row>
    <row r="3134" spans="2:13" ht="15.75" hidden="1" x14ac:dyDescent="0.25">
      <c r="B3134" s="742">
        <v>46309</v>
      </c>
      <c r="C3134" s="742" t="s">
        <v>106</v>
      </c>
      <c r="D3134" s="742" t="s">
        <v>189</v>
      </c>
      <c r="F3134" s="831"/>
      <c r="G3134" s="60" t="s">
        <v>212</v>
      </c>
      <c r="H3134" s="60" t="s">
        <v>22</v>
      </c>
      <c r="I3134" s="62">
        <v>15</v>
      </c>
      <c r="J3134" s="62">
        <v>0</v>
      </c>
      <c r="K3134" s="494">
        <v>0</v>
      </c>
      <c r="L3134" s="497">
        <f t="shared" si="685"/>
        <v>15</v>
      </c>
      <c r="M3134" s="61"/>
    </row>
    <row r="3135" spans="2:13" ht="15.75" hidden="1" x14ac:dyDescent="0.25">
      <c r="B3135" s="742">
        <v>46309</v>
      </c>
      <c r="C3135" s="742" t="s">
        <v>106</v>
      </c>
      <c r="D3135" s="742" t="s">
        <v>189</v>
      </c>
      <c r="F3135" s="831"/>
      <c r="G3135" s="60" t="s">
        <v>25</v>
      </c>
      <c r="H3135" s="60" t="s">
        <v>106</v>
      </c>
      <c r="I3135" s="62">
        <v>33</v>
      </c>
      <c r="J3135" s="62">
        <v>33</v>
      </c>
      <c r="K3135" s="494">
        <v>0</v>
      </c>
      <c r="L3135" s="497">
        <f t="shared" si="685"/>
        <v>66</v>
      </c>
      <c r="M3135" s="61"/>
    </row>
    <row r="3136" spans="2:13" ht="15.75" hidden="1" x14ac:dyDescent="0.25">
      <c r="B3136" s="742">
        <v>46309</v>
      </c>
      <c r="C3136" s="742" t="s">
        <v>106</v>
      </c>
      <c r="D3136" s="742" t="s">
        <v>189</v>
      </c>
      <c r="F3136" s="832"/>
      <c r="G3136" s="60" t="s">
        <v>17</v>
      </c>
      <c r="H3136" s="60" t="s">
        <v>105</v>
      </c>
      <c r="I3136" s="62">
        <v>74</v>
      </c>
      <c r="J3136" s="62">
        <v>28</v>
      </c>
      <c r="K3136" s="494">
        <v>0</v>
      </c>
      <c r="L3136" s="497">
        <f t="shared" si="685"/>
        <v>102</v>
      </c>
      <c r="M3136" s="61"/>
    </row>
    <row r="3137" spans="2:13" ht="15.75" hidden="1" x14ac:dyDescent="0.25">
      <c r="B3137" s="742">
        <v>46309</v>
      </c>
      <c r="C3137" s="742" t="s">
        <v>106</v>
      </c>
      <c r="D3137" s="742" t="s">
        <v>189</v>
      </c>
      <c r="F3137" s="839">
        <v>46310</v>
      </c>
      <c r="G3137" s="60" t="s">
        <v>118</v>
      </c>
      <c r="H3137" s="60" t="s">
        <v>106</v>
      </c>
      <c r="I3137" s="62">
        <v>0</v>
      </c>
      <c r="J3137" s="62">
        <v>4</v>
      </c>
      <c r="K3137" s="494">
        <v>111</v>
      </c>
      <c r="L3137" s="497">
        <f t="shared" si="685"/>
        <v>115</v>
      </c>
      <c r="M3137" s="61"/>
    </row>
    <row r="3138" spans="2:13" ht="15.75" hidden="1" x14ac:dyDescent="0.25">
      <c r="B3138" s="742">
        <v>46309</v>
      </c>
      <c r="C3138" s="742" t="s">
        <v>106</v>
      </c>
      <c r="D3138" s="742" t="s">
        <v>189</v>
      </c>
      <c r="F3138" s="839"/>
      <c r="G3138" s="60" t="s">
        <v>212</v>
      </c>
      <c r="H3138" s="60" t="s">
        <v>106</v>
      </c>
      <c r="I3138" s="62">
        <v>152</v>
      </c>
      <c r="J3138" s="62">
        <v>3</v>
      </c>
      <c r="K3138" s="494">
        <v>44</v>
      </c>
      <c r="L3138" s="497">
        <f t="shared" si="685"/>
        <v>199</v>
      </c>
      <c r="M3138" s="61"/>
    </row>
    <row r="3139" spans="2:13" ht="15.75" hidden="1" x14ac:dyDescent="0.25">
      <c r="B3139" s="742">
        <v>46309</v>
      </c>
      <c r="C3139" s="742" t="s">
        <v>106</v>
      </c>
      <c r="D3139" s="742" t="s">
        <v>189</v>
      </c>
      <c r="F3139" s="839"/>
      <c r="G3139" s="60" t="s">
        <v>84</v>
      </c>
      <c r="H3139" s="60" t="s">
        <v>12</v>
      </c>
      <c r="I3139" s="62">
        <v>5</v>
      </c>
      <c r="J3139" s="62">
        <v>1</v>
      </c>
      <c r="K3139" s="494">
        <v>0</v>
      </c>
      <c r="L3139" s="497">
        <f t="shared" si="685"/>
        <v>6</v>
      </c>
      <c r="M3139" s="61"/>
    </row>
    <row r="3140" spans="2:13" ht="15.75" hidden="1" x14ac:dyDescent="0.25">
      <c r="B3140" s="742">
        <v>46309</v>
      </c>
      <c r="C3140" s="742" t="s">
        <v>106</v>
      </c>
      <c r="D3140" s="742" t="s">
        <v>189</v>
      </c>
      <c r="F3140" s="890" t="s">
        <v>40</v>
      </c>
      <c r="G3140" s="890"/>
      <c r="H3140" s="890"/>
      <c r="I3140" s="99">
        <f>SUM(I3132:I3139)</f>
        <v>325</v>
      </c>
      <c r="J3140" s="99">
        <f>SUM(J3132:J3139)</f>
        <v>90</v>
      </c>
      <c r="K3140" s="99">
        <f>SUM(K3132:K3139)</f>
        <v>155</v>
      </c>
      <c r="L3140" s="99">
        <f>SUM(L3132:L3139)</f>
        <v>570</v>
      </c>
      <c r="M3140" s="512"/>
    </row>
    <row r="3141" spans="2:13" ht="15.75" hidden="1" x14ac:dyDescent="0.25">
      <c r="B3141" s="744">
        <v>46309</v>
      </c>
      <c r="C3141" s="744" t="s">
        <v>105</v>
      </c>
      <c r="D3141" s="744" t="s">
        <v>13</v>
      </c>
      <c r="F3141" s="830">
        <v>46309</v>
      </c>
      <c r="G3141" s="60" t="s">
        <v>16</v>
      </c>
      <c r="H3141" s="60" t="s">
        <v>127</v>
      </c>
      <c r="I3141" s="62">
        <v>7</v>
      </c>
      <c r="J3141" s="62">
        <v>14</v>
      </c>
      <c r="K3141" s="494">
        <v>0</v>
      </c>
      <c r="L3141" s="497">
        <f>SUM(I3141:K3141)</f>
        <v>21</v>
      </c>
      <c r="M3141" s="61"/>
    </row>
    <row r="3142" spans="2:13" ht="15.75" hidden="1" x14ac:dyDescent="0.25">
      <c r="B3142" s="744">
        <v>46309</v>
      </c>
      <c r="C3142" s="744" t="s">
        <v>105</v>
      </c>
      <c r="D3142" s="744" t="s">
        <v>13</v>
      </c>
      <c r="F3142" s="831"/>
      <c r="G3142" s="60" t="s">
        <v>220</v>
      </c>
      <c r="H3142" s="60" t="s">
        <v>12</v>
      </c>
      <c r="I3142" s="62">
        <v>4</v>
      </c>
      <c r="J3142" s="62">
        <v>0</v>
      </c>
      <c r="K3142" s="494">
        <v>0</v>
      </c>
      <c r="L3142" s="497">
        <f t="shared" ref="L3142:L3147" si="686">SUM(I3142:K3142)</f>
        <v>4</v>
      </c>
      <c r="M3142" s="61"/>
    </row>
    <row r="3143" spans="2:13" ht="15.75" hidden="1" x14ac:dyDescent="0.25">
      <c r="B3143" s="744">
        <v>46309</v>
      </c>
      <c r="C3143" s="744" t="s">
        <v>105</v>
      </c>
      <c r="D3143" s="744" t="s">
        <v>13</v>
      </c>
      <c r="F3143" s="831"/>
      <c r="G3143" s="60" t="s">
        <v>25</v>
      </c>
      <c r="H3143" s="60" t="s">
        <v>105</v>
      </c>
      <c r="I3143" s="62">
        <v>0</v>
      </c>
      <c r="J3143" s="62">
        <v>4</v>
      </c>
      <c r="K3143" s="494">
        <v>0</v>
      </c>
      <c r="L3143" s="497">
        <f t="shared" si="686"/>
        <v>4</v>
      </c>
      <c r="M3143" s="61"/>
    </row>
    <row r="3144" spans="2:13" ht="15.75" hidden="1" x14ac:dyDescent="0.25">
      <c r="B3144" s="744">
        <v>46309</v>
      </c>
      <c r="C3144" s="744" t="s">
        <v>105</v>
      </c>
      <c r="D3144" s="744" t="s">
        <v>13</v>
      </c>
      <c r="F3144" s="832"/>
      <c r="G3144" s="60" t="s">
        <v>17</v>
      </c>
      <c r="H3144" s="60" t="s">
        <v>105</v>
      </c>
      <c r="I3144" s="62">
        <v>20</v>
      </c>
      <c r="J3144" s="62">
        <v>18</v>
      </c>
      <c r="K3144" s="494">
        <v>0</v>
      </c>
      <c r="L3144" s="497">
        <f t="shared" si="686"/>
        <v>38</v>
      </c>
      <c r="M3144" s="61"/>
    </row>
    <row r="3145" spans="2:13" ht="15.75" hidden="1" x14ac:dyDescent="0.25">
      <c r="B3145" s="744">
        <v>46309</v>
      </c>
      <c r="C3145" s="744" t="s">
        <v>105</v>
      </c>
      <c r="D3145" s="744" t="s">
        <v>13</v>
      </c>
      <c r="F3145" s="891">
        <v>46310</v>
      </c>
      <c r="G3145" s="60" t="s">
        <v>118</v>
      </c>
      <c r="H3145" s="60" t="s">
        <v>106</v>
      </c>
      <c r="I3145" s="62">
        <v>139</v>
      </c>
      <c r="J3145" s="62">
        <v>33</v>
      </c>
      <c r="K3145" s="494">
        <v>0</v>
      </c>
      <c r="L3145" s="497">
        <f t="shared" si="686"/>
        <v>172</v>
      </c>
      <c r="M3145" s="61"/>
    </row>
    <row r="3146" spans="2:13" ht="15.75" hidden="1" x14ac:dyDescent="0.25">
      <c r="B3146" s="745">
        <v>46309</v>
      </c>
      <c r="C3146" s="745" t="s">
        <v>105</v>
      </c>
      <c r="D3146" s="745" t="s">
        <v>13</v>
      </c>
      <c r="F3146" s="896"/>
      <c r="G3146" s="60" t="s">
        <v>25</v>
      </c>
      <c r="H3146" s="60" t="s">
        <v>105</v>
      </c>
      <c r="I3146" s="62">
        <v>4</v>
      </c>
      <c r="J3146" s="62">
        <v>0</v>
      </c>
      <c r="K3146" s="494">
        <v>79</v>
      </c>
      <c r="L3146" s="497">
        <f t="shared" si="686"/>
        <v>83</v>
      </c>
      <c r="M3146" s="61"/>
    </row>
    <row r="3147" spans="2:13" ht="15.75" hidden="1" x14ac:dyDescent="0.25">
      <c r="B3147" s="744">
        <v>46309</v>
      </c>
      <c r="C3147" s="744" t="s">
        <v>105</v>
      </c>
      <c r="D3147" s="744" t="s">
        <v>13</v>
      </c>
      <c r="F3147" s="892"/>
      <c r="G3147" s="60" t="s">
        <v>16</v>
      </c>
      <c r="H3147" s="60" t="s">
        <v>127</v>
      </c>
      <c r="I3147" s="62">
        <v>125</v>
      </c>
      <c r="J3147" s="62">
        <v>76</v>
      </c>
      <c r="K3147" s="494">
        <v>0</v>
      </c>
      <c r="L3147" s="497">
        <f t="shared" si="686"/>
        <v>201</v>
      </c>
      <c r="M3147" s="61"/>
    </row>
    <row r="3148" spans="2:13" ht="15.75" hidden="1" x14ac:dyDescent="0.25">
      <c r="B3148" s="744">
        <v>46309</v>
      </c>
      <c r="C3148" s="744" t="s">
        <v>105</v>
      </c>
      <c r="D3148" s="744" t="s">
        <v>13</v>
      </c>
      <c r="F3148" s="890" t="s">
        <v>40</v>
      </c>
      <c r="G3148" s="890"/>
      <c r="H3148" s="890"/>
      <c r="I3148" s="99">
        <f>SUM(I3141:I3147)</f>
        <v>299</v>
      </c>
      <c r="J3148" s="99">
        <f t="shared" ref="J3148:L3148" si="687">SUM(J3141:J3147)</f>
        <v>145</v>
      </c>
      <c r="K3148" s="99">
        <f t="shared" si="687"/>
        <v>79</v>
      </c>
      <c r="L3148" s="99">
        <f t="shared" si="687"/>
        <v>523</v>
      </c>
      <c r="M3148" s="512"/>
    </row>
    <row r="3149" spans="2:13" ht="15.75" hidden="1" x14ac:dyDescent="0.25">
      <c r="B3149" s="746">
        <v>46310</v>
      </c>
      <c r="C3149" s="746" t="s">
        <v>106</v>
      </c>
      <c r="D3149" s="746" t="s">
        <v>189</v>
      </c>
      <c r="F3149" s="893">
        <v>46310</v>
      </c>
      <c r="G3149" s="60" t="s">
        <v>16</v>
      </c>
      <c r="H3149" s="60" t="s">
        <v>127</v>
      </c>
      <c r="I3149" s="62">
        <v>31</v>
      </c>
      <c r="J3149" s="62">
        <v>21</v>
      </c>
      <c r="K3149" s="494">
        <v>11</v>
      </c>
      <c r="L3149" s="497">
        <f t="shared" ref="L3149:L3158" si="688">SUM(I3149:K3149)</f>
        <v>63</v>
      </c>
      <c r="M3149" s="61"/>
    </row>
    <row r="3150" spans="2:13" ht="15.75" hidden="1" x14ac:dyDescent="0.25">
      <c r="B3150" s="746">
        <v>46310</v>
      </c>
      <c r="C3150" s="746" t="s">
        <v>106</v>
      </c>
      <c r="D3150" s="746" t="s">
        <v>189</v>
      </c>
      <c r="F3150" s="893"/>
      <c r="G3150" s="60" t="s">
        <v>14</v>
      </c>
      <c r="H3150" s="60" t="s">
        <v>106</v>
      </c>
      <c r="I3150" s="62">
        <v>20</v>
      </c>
      <c r="J3150" s="62">
        <v>2</v>
      </c>
      <c r="K3150" s="494">
        <v>0</v>
      </c>
      <c r="L3150" s="497">
        <f t="shared" si="688"/>
        <v>22</v>
      </c>
      <c r="M3150" s="61"/>
    </row>
    <row r="3151" spans="2:13" ht="15.75" hidden="1" x14ac:dyDescent="0.25">
      <c r="B3151" s="746">
        <v>46310</v>
      </c>
      <c r="C3151" s="746" t="s">
        <v>106</v>
      </c>
      <c r="D3151" s="746" t="s">
        <v>189</v>
      </c>
      <c r="F3151" s="893"/>
      <c r="G3151" s="60" t="s">
        <v>212</v>
      </c>
      <c r="H3151" s="60" t="s">
        <v>22</v>
      </c>
      <c r="I3151" s="62">
        <v>65</v>
      </c>
      <c r="J3151" s="62">
        <v>1</v>
      </c>
      <c r="K3151" s="494">
        <v>0</v>
      </c>
      <c r="L3151" s="497">
        <f t="shared" si="688"/>
        <v>66</v>
      </c>
      <c r="M3151" s="61"/>
    </row>
    <row r="3152" spans="2:13" ht="15.75" hidden="1" x14ac:dyDescent="0.25">
      <c r="B3152" s="746">
        <v>46310</v>
      </c>
      <c r="C3152" s="746" t="s">
        <v>106</v>
      </c>
      <c r="D3152" s="746" t="s">
        <v>189</v>
      </c>
      <c r="F3152" s="893"/>
      <c r="G3152" s="60" t="s">
        <v>17</v>
      </c>
      <c r="H3152" s="60" t="s">
        <v>106</v>
      </c>
      <c r="I3152" s="62">
        <v>1</v>
      </c>
      <c r="J3152" s="62">
        <v>1</v>
      </c>
      <c r="K3152" s="494">
        <v>0</v>
      </c>
      <c r="L3152" s="497">
        <f t="shared" si="688"/>
        <v>2</v>
      </c>
      <c r="M3152" s="61"/>
    </row>
    <row r="3153" spans="2:13" ht="15.75" hidden="1" x14ac:dyDescent="0.25">
      <c r="B3153" s="746">
        <v>46310</v>
      </c>
      <c r="C3153" s="746" t="s">
        <v>106</v>
      </c>
      <c r="D3153" s="746" t="s">
        <v>189</v>
      </c>
      <c r="F3153" s="893"/>
      <c r="G3153" s="60" t="s">
        <v>118</v>
      </c>
      <c r="H3153" s="60" t="s">
        <v>106</v>
      </c>
      <c r="I3153" s="62">
        <v>10</v>
      </c>
      <c r="J3153" s="62">
        <v>12</v>
      </c>
      <c r="K3153" s="494">
        <v>0</v>
      </c>
      <c r="L3153" s="497">
        <f t="shared" si="688"/>
        <v>22</v>
      </c>
      <c r="M3153" s="61"/>
    </row>
    <row r="3154" spans="2:13" ht="15.75" hidden="1" x14ac:dyDescent="0.25">
      <c r="B3154" s="746">
        <v>46310</v>
      </c>
      <c r="C3154" s="746" t="s">
        <v>106</v>
      </c>
      <c r="D3154" s="746" t="s">
        <v>189</v>
      </c>
      <c r="F3154" s="893"/>
      <c r="G3154" s="60" t="s">
        <v>84</v>
      </c>
      <c r="H3154" s="60" t="s">
        <v>12</v>
      </c>
      <c r="I3154" s="62">
        <v>36</v>
      </c>
      <c r="J3154" s="62">
        <v>4</v>
      </c>
      <c r="K3154" s="494">
        <v>0</v>
      </c>
      <c r="L3154" s="497">
        <f t="shared" si="688"/>
        <v>40</v>
      </c>
      <c r="M3154" s="61"/>
    </row>
    <row r="3155" spans="2:13" ht="15.75" hidden="1" x14ac:dyDescent="0.25">
      <c r="B3155" s="746">
        <v>46310</v>
      </c>
      <c r="C3155" s="746" t="s">
        <v>106</v>
      </c>
      <c r="D3155" s="746" t="s">
        <v>189</v>
      </c>
      <c r="F3155" s="893"/>
      <c r="G3155" s="60" t="s">
        <v>25</v>
      </c>
      <c r="H3155" s="60" t="s">
        <v>105</v>
      </c>
      <c r="I3155" s="62">
        <v>90</v>
      </c>
      <c r="J3155" s="62">
        <v>40</v>
      </c>
      <c r="K3155" s="494">
        <v>47</v>
      </c>
      <c r="L3155" s="497">
        <f t="shared" si="688"/>
        <v>177</v>
      </c>
      <c r="M3155" s="61"/>
    </row>
    <row r="3156" spans="2:13" ht="15.75" hidden="1" x14ac:dyDescent="0.25">
      <c r="B3156" s="746">
        <v>46310</v>
      </c>
      <c r="C3156" s="746" t="s">
        <v>106</v>
      </c>
      <c r="D3156" s="746" t="s">
        <v>189</v>
      </c>
      <c r="F3156" s="895"/>
      <c r="G3156" s="60" t="s">
        <v>180</v>
      </c>
      <c r="H3156" s="60" t="s">
        <v>106</v>
      </c>
      <c r="I3156" s="62">
        <v>19</v>
      </c>
      <c r="J3156" s="62">
        <v>1</v>
      </c>
      <c r="K3156" s="494">
        <v>16</v>
      </c>
      <c r="L3156" s="497">
        <f t="shared" si="688"/>
        <v>36</v>
      </c>
      <c r="M3156" s="61"/>
    </row>
    <row r="3157" spans="2:13" ht="15.75" hidden="1" x14ac:dyDescent="0.25">
      <c r="B3157" s="746">
        <v>46310</v>
      </c>
      <c r="C3157" s="746" t="s">
        <v>106</v>
      </c>
      <c r="D3157" s="746" t="s">
        <v>189</v>
      </c>
      <c r="F3157" s="895"/>
      <c r="G3157" s="60" t="s">
        <v>212</v>
      </c>
      <c r="H3157" s="60" t="s">
        <v>106</v>
      </c>
      <c r="I3157" s="62">
        <v>52</v>
      </c>
      <c r="J3157" s="62">
        <v>2</v>
      </c>
      <c r="K3157" s="494">
        <v>37</v>
      </c>
      <c r="L3157" s="497">
        <f t="shared" si="688"/>
        <v>91</v>
      </c>
      <c r="M3157" s="61"/>
    </row>
    <row r="3158" spans="2:13" ht="15.75" hidden="1" x14ac:dyDescent="0.25">
      <c r="B3158" s="746">
        <v>46310</v>
      </c>
      <c r="C3158" s="746" t="s">
        <v>106</v>
      </c>
      <c r="D3158" s="746" t="s">
        <v>189</v>
      </c>
      <c r="F3158" s="895"/>
      <c r="G3158" s="60" t="s">
        <v>14</v>
      </c>
      <c r="H3158" s="60" t="s">
        <v>106</v>
      </c>
      <c r="I3158" s="62">
        <v>0</v>
      </c>
      <c r="J3158" s="62">
        <v>0</v>
      </c>
      <c r="K3158" s="494">
        <v>94</v>
      </c>
      <c r="L3158" s="497">
        <f t="shared" si="688"/>
        <v>94</v>
      </c>
      <c r="M3158" s="61"/>
    </row>
    <row r="3159" spans="2:13" ht="15.75" hidden="1" x14ac:dyDescent="0.25">
      <c r="B3159" s="746">
        <v>46310</v>
      </c>
      <c r="C3159" s="746" t="s">
        <v>106</v>
      </c>
      <c r="D3159" s="746" t="s">
        <v>189</v>
      </c>
      <c r="F3159" s="890" t="s">
        <v>40</v>
      </c>
      <c r="G3159" s="890"/>
      <c r="H3159" s="890"/>
      <c r="I3159" s="99">
        <f>SUM(I3149:I3158)</f>
        <v>324</v>
      </c>
      <c r="J3159" s="99">
        <f>SUM(J3149:J3158)</f>
        <v>84</v>
      </c>
      <c r="K3159" s="99">
        <f>SUM(K3149:K3158)</f>
        <v>205</v>
      </c>
      <c r="L3159" s="99">
        <f>SUM(L3149:L3158)</f>
        <v>613</v>
      </c>
      <c r="M3159" s="512"/>
    </row>
    <row r="3160" spans="2:13" ht="15.75" hidden="1" x14ac:dyDescent="0.25">
      <c r="B3160" s="747">
        <v>46310</v>
      </c>
      <c r="C3160" s="747" t="s">
        <v>105</v>
      </c>
      <c r="D3160" s="747" t="s">
        <v>13</v>
      </c>
      <c r="F3160" s="893">
        <v>46310</v>
      </c>
      <c r="G3160" s="60" t="s">
        <v>16</v>
      </c>
      <c r="H3160" s="60" t="s">
        <v>127</v>
      </c>
      <c r="I3160" s="62">
        <v>11</v>
      </c>
      <c r="J3160" s="62">
        <v>19</v>
      </c>
      <c r="K3160" s="494">
        <v>0</v>
      </c>
      <c r="L3160" s="497">
        <f t="shared" ref="L3160:L3165" si="689">SUM(I3160:K3160)</f>
        <v>30</v>
      </c>
      <c r="M3160" s="61"/>
    </row>
    <row r="3161" spans="2:13" ht="15.75" hidden="1" x14ac:dyDescent="0.25">
      <c r="B3161" s="747">
        <v>46310</v>
      </c>
      <c r="C3161" s="747" t="s">
        <v>105</v>
      </c>
      <c r="D3161" s="747" t="s">
        <v>13</v>
      </c>
      <c r="F3161" s="893"/>
      <c r="G3161" s="60" t="s">
        <v>118</v>
      </c>
      <c r="H3161" s="60" t="s">
        <v>106</v>
      </c>
      <c r="I3161" s="62">
        <v>1</v>
      </c>
      <c r="J3161" s="62">
        <v>0</v>
      </c>
      <c r="K3161" s="494">
        <v>0</v>
      </c>
      <c r="L3161" s="497">
        <f t="shared" si="689"/>
        <v>1</v>
      </c>
      <c r="M3161" s="61"/>
    </row>
    <row r="3162" spans="2:13" ht="15.75" hidden="1" x14ac:dyDescent="0.25">
      <c r="B3162" s="747">
        <v>46310</v>
      </c>
      <c r="C3162" s="747" t="s">
        <v>105</v>
      </c>
      <c r="D3162" s="747" t="s">
        <v>13</v>
      </c>
      <c r="F3162" s="893"/>
      <c r="G3162" s="60" t="s">
        <v>84</v>
      </c>
      <c r="H3162" s="60" t="s">
        <v>12</v>
      </c>
      <c r="I3162" s="62">
        <v>1</v>
      </c>
      <c r="J3162" s="62">
        <v>0</v>
      </c>
      <c r="K3162" s="494">
        <v>0</v>
      </c>
      <c r="L3162" s="497">
        <f t="shared" si="689"/>
        <v>1</v>
      </c>
      <c r="M3162" s="61"/>
    </row>
    <row r="3163" spans="2:13" ht="15.75" hidden="1" x14ac:dyDescent="0.25">
      <c r="B3163" s="747">
        <v>46310</v>
      </c>
      <c r="C3163" s="747" t="s">
        <v>105</v>
      </c>
      <c r="D3163" s="747" t="s">
        <v>13</v>
      </c>
      <c r="F3163" s="893"/>
      <c r="G3163" s="60" t="s">
        <v>25</v>
      </c>
      <c r="H3163" s="60" t="s">
        <v>105</v>
      </c>
      <c r="I3163" s="62">
        <v>39</v>
      </c>
      <c r="J3163" s="62">
        <v>44</v>
      </c>
      <c r="K3163" s="494">
        <v>0</v>
      </c>
      <c r="L3163" s="497">
        <f t="shared" si="689"/>
        <v>83</v>
      </c>
      <c r="M3163" s="61"/>
    </row>
    <row r="3164" spans="2:13" ht="15.75" hidden="1" x14ac:dyDescent="0.25">
      <c r="B3164" s="747">
        <v>46310</v>
      </c>
      <c r="C3164" s="747" t="s">
        <v>105</v>
      </c>
      <c r="D3164" s="747" t="s">
        <v>13</v>
      </c>
      <c r="F3164" s="838">
        <v>46311</v>
      </c>
      <c r="G3164" s="60" t="s">
        <v>16</v>
      </c>
      <c r="H3164" s="60" t="s">
        <v>106</v>
      </c>
      <c r="I3164" s="62">
        <v>128</v>
      </c>
      <c r="J3164" s="62">
        <v>78</v>
      </c>
      <c r="K3164" s="494">
        <v>0</v>
      </c>
      <c r="L3164" s="497">
        <f t="shared" si="689"/>
        <v>206</v>
      </c>
      <c r="M3164" s="61"/>
    </row>
    <row r="3165" spans="2:13" ht="15.75" hidden="1" x14ac:dyDescent="0.25">
      <c r="B3165" s="747">
        <v>46310</v>
      </c>
      <c r="C3165" s="747" t="s">
        <v>105</v>
      </c>
      <c r="D3165" s="747" t="s">
        <v>13</v>
      </c>
      <c r="F3165" s="839"/>
      <c r="G3165" s="60" t="s">
        <v>14</v>
      </c>
      <c r="H3165" s="60" t="s">
        <v>106</v>
      </c>
      <c r="I3165" s="62">
        <v>132</v>
      </c>
      <c r="J3165" s="62">
        <v>36</v>
      </c>
      <c r="K3165" s="494">
        <v>0</v>
      </c>
      <c r="L3165" s="497">
        <f t="shared" si="689"/>
        <v>168</v>
      </c>
      <c r="M3165" s="61"/>
    </row>
    <row r="3166" spans="2:13" ht="15.75" hidden="1" x14ac:dyDescent="0.25">
      <c r="B3166" s="748">
        <v>46310</v>
      </c>
      <c r="C3166" s="748" t="s">
        <v>105</v>
      </c>
      <c r="D3166" s="748" t="s">
        <v>13</v>
      </c>
      <c r="F3166" s="848"/>
      <c r="G3166" s="60" t="s">
        <v>17</v>
      </c>
      <c r="H3166" s="60" t="s">
        <v>106</v>
      </c>
      <c r="I3166" s="62">
        <v>0</v>
      </c>
      <c r="J3166" s="62">
        <v>1</v>
      </c>
      <c r="K3166" s="494">
        <v>0</v>
      </c>
      <c r="L3166" s="497">
        <f t="shared" ref="L3166" si="690">SUM(I3166:K3166)</f>
        <v>1</v>
      </c>
      <c r="M3166" s="61"/>
    </row>
    <row r="3167" spans="2:13" ht="15.75" hidden="1" x14ac:dyDescent="0.25">
      <c r="B3167" s="748">
        <v>46310</v>
      </c>
      <c r="C3167" s="748" t="s">
        <v>105</v>
      </c>
      <c r="D3167" s="748" t="s">
        <v>13</v>
      </c>
      <c r="F3167" s="890" t="s">
        <v>40</v>
      </c>
      <c r="G3167" s="890"/>
      <c r="H3167" s="890"/>
      <c r="I3167" s="99">
        <f>SUM(I3160:I3166)</f>
        <v>312</v>
      </c>
      <c r="J3167" s="99">
        <f t="shared" ref="J3167:L3167" si="691">SUM(J3160:J3166)</f>
        <v>178</v>
      </c>
      <c r="K3167" s="99">
        <f t="shared" si="691"/>
        <v>0</v>
      </c>
      <c r="L3167" s="99">
        <f t="shared" si="691"/>
        <v>490</v>
      </c>
      <c r="M3167" s="512"/>
    </row>
    <row r="3168" spans="2:13" ht="15.75" hidden="1" x14ac:dyDescent="0.25">
      <c r="B3168" s="749">
        <v>46311</v>
      </c>
      <c r="C3168" s="749" t="s">
        <v>106</v>
      </c>
      <c r="D3168" s="749" t="s">
        <v>189</v>
      </c>
      <c r="F3168" s="830">
        <v>46311</v>
      </c>
      <c r="G3168" s="60" t="s">
        <v>16</v>
      </c>
      <c r="H3168" s="60" t="s">
        <v>127</v>
      </c>
      <c r="I3168" s="62">
        <v>27</v>
      </c>
      <c r="J3168" s="62">
        <v>21</v>
      </c>
      <c r="K3168" s="494">
        <v>0</v>
      </c>
      <c r="L3168" s="497">
        <f t="shared" ref="L3168:L3177" si="692">SUM(I3168:K3168)</f>
        <v>48</v>
      </c>
      <c r="M3168" s="61"/>
    </row>
    <row r="3169" spans="2:13" ht="15.75" hidden="1" x14ac:dyDescent="0.25">
      <c r="B3169" s="749">
        <v>46311</v>
      </c>
      <c r="C3169" s="749" t="s">
        <v>106</v>
      </c>
      <c r="D3169" s="749" t="s">
        <v>189</v>
      </c>
      <c r="F3169" s="831"/>
      <c r="G3169" s="60" t="s">
        <v>14</v>
      </c>
      <c r="H3169" s="60" t="s">
        <v>106</v>
      </c>
      <c r="I3169" s="62">
        <v>43</v>
      </c>
      <c r="J3169" s="62">
        <v>9</v>
      </c>
      <c r="K3169" s="494">
        <v>0</v>
      </c>
      <c r="L3169" s="497">
        <f t="shared" si="692"/>
        <v>52</v>
      </c>
      <c r="M3169" s="61"/>
    </row>
    <row r="3170" spans="2:13" ht="15.75" hidden="1" x14ac:dyDescent="0.25">
      <c r="B3170" s="749">
        <v>46311</v>
      </c>
      <c r="C3170" s="749" t="s">
        <v>106</v>
      </c>
      <c r="D3170" s="749" t="s">
        <v>189</v>
      </c>
      <c r="F3170" s="831"/>
      <c r="G3170" s="60" t="s">
        <v>212</v>
      </c>
      <c r="H3170" s="60" t="s">
        <v>22</v>
      </c>
      <c r="I3170" s="62">
        <v>23</v>
      </c>
      <c r="J3170" s="62">
        <v>4</v>
      </c>
      <c r="K3170" s="494">
        <v>0</v>
      </c>
      <c r="L3170" s="497">
        <f t="shared" si="692"/>
        <v>27</v>
      </c>
      <c r="M3170" s="61"/>
    </row>
    <row r="3171" spans="2:13" ht="15.75" hidden="1" x14ac:dyDescent="0.25">
      <c r="B3171" s="749">
        <v>46311</v>
      </c>
      <c r="C3171" s="749" t="s">
        <v>106</v>
      </c>
      <c r="D3171" s="749" t="s">
        <v>189</v>
      </c>
      <c r="F3171" s="831"/>
      <c r="G3171" s="60" t="s">
        <v>180</v>
      </c>
      <c r="H3171" s="60" t="s">
        <v>22</v>
      </c>
      <c r="I3171" s="62">
        <v>13</v>
      </c>
      <c r="J3171" s="62">
        <v>3</v>
      </c>
      <c r="K3171" s="494">
        <v>0</v>
      </c>
      <c r="L3171" s="497">
        <f t="shared" si="692"/>
        <v>16</v>
      </c>
      <c r="M3171" s="61"/>
    </row>
    <row r="3172" spans="2:13" ht="15.75" hidden="1" x14ac:dyDescent="0.25">
      <c r="B3172" s="749">
        <v>46311</v>
      </c>
      <c r="C3172" s="749" t="s">
        <v>106</v>
      </c>
      <c r="D3172" s="749" t="s">
        <v>189</v>
      </c>
      <c r="F3172" s="831"/>
      <c r="G3172" s="60" t="s">
        <v>84</v>
      </c>
      <c r="H3172" s="60" t="s">
        <v>12</v>
      </c>
      <c r="I3172" s="62">
        <v>2</v>
      </c>
      <c r="J3172" s="62">
        <v>0</v>
      </c>
      <c r="K3172" s="494">
        <v>0</v>
      </c>
      <c r="L3172" s="497">
        <f t="shared" si="692"/>
        <v>2</v>
      </c>
      <c r="M3172" s="61"/>
    </row>
    <row r="3173" spans="2:13" ht="15.75" hidden="1" x14ac:dyDescent="0.25">
      <c r="B3173" s="749">
        <v>46311</v>
      </c>
      <c r="C3173" s="749" t="s">
        <v>106</v>
      </c>
      <c r="D3173" s="749" t="s">
        <v>189</v>
      </c>
      <c r="F3173" s="832"/>
      <c r="G3173" s="60" t="s">
        <v>17</v>
      </c>
      <c r="H3173" s="60" t="s">
        <v>105</v>
      </c>
      <c r="I3173" s="62">
        <v>75</v>
      </c>
      <c r="J3173" s="62">
        <v>21</v>
      </c>
      <c r="K3173" s="494">
        <v>0</v>
      </c>
      <c r="L3173" s="497">
        <f t="shared" si="692"/>
        <v>96</v>
      </c>
      <c r="M3173" s="61"/>
    </row>
    <row r="3174" spans="2:13" ht="15.75" hidden="1" x14ac:dyDescent="0.25">
      <c r="B3174" s="749">
        <v>46311</v>
      </c>
      <c r="C3174" s="749" t="s">
        <v>106</v>
      </c>
      <c r="D3174" s="749" t="s">
        <v>189</v>
      </c>
      <c r="F3174" s="894">
        <v>46312</v>
      </c>
      <c r="G3174" s="60" t="s">
        <v>212</v>
      </c>
      <c r="H3174" s="60" t="s">
        <v>106</v>
      </c>
      <c r="I3174" s="62">
        <v>66</v>
      </c>
      <c r="J3174" s="62">
        <v>10</v>
      </c>
      <c r="K3174" s="494">
        <v>0</v>
      </c>
      <c r="L3174" s="497">
        <f t="shared" si="692"/>
        <v>76</v>
      </c>
      <c r="M3174" s="61"/>
    </row>
    <row r="3175" spans="2:13" ht="15.75" hidden="1" x14ac:dyDescent="0.25">
      <c r="B3175" s="749">
        <v>46311</v>
      </c>
      <c r="C3175" s="749" t="s">
        <v>106</v>
      </c>
      <c r="D3175" s="749" t="s">
        <v>189</v>
      </c>
      <c r="F3175" s="894"/>
      <c r="G3175" s="60" t="s">
        <v>14</v>
      </c>
      <c r="H3175" s="60" t="s">
        <v>106</v>
      </c>
      <c r="I3175" s="62">
        <v>0</v>
      </c>
      <c r="J3175" s="62">
        <v>0</v>
      </c>
      <c r="K3175" s="494">
        <v>103</v>
      </c>
      <c r="L3175" s="497">
        <f t="shared" si="692"/>
        <v>103</v>
      </c>
      <c r="M3175" s="61"/>
    </row>
    <row r="3176" spans="2:13" ht="15.75" hidden="1" x14ac:dyDescent="0.25">
      <c r="B3176" s="749">
        <v>46311</v>
      </c>
      <c r="C3176" s="749" t="s">
        <v>106</v>
      </c>
      <c r="D3176" s="749" t="s">
        <v>189</v>
      </c>
      <c r="F3176" s="894"/>
      <c r="G3176" s="60" t="s">
        <v>84</v>
      </c>
      <c r="H3176" s="60" t="s">
        <v>12</v>
      </c>
      <c r="I3176" s="62">
        <v>27</v>
      </c>
      <c r="J3176" s="62">
        <v>0</v>
      </c>
      <c r="K3176" s="494">
        <v>0</v>
      </c>
      <c r="L3176" s="497">
        <f t="shared" si="692"/>
        <v>27</v>
      </c>
      <c r="M3176" s="61"/>
    </row>
    <row r="3177" spans="2:13" ht="15.75" hidden="1" x14ac:dyDescent="0.25">
      <c r="B3177" s="749">
        <v>46311</v>
      </c>
      <c r="C3177" s="749" t="s">
        <v>106</v>
      </c>
      <c r="D3177" s="749" t="s">
        <v>189</v>
      </c>
      <c r="F3177" s="751">
        <v>46314</v>
      </c>
      <c r="G3177" s="60" t="s">
        <v>25</v>
      </c>
      <c r="H3177" s="60" t="s">
        <v>106</v>
      </c>
      <c r="I3177" s="62">
        <v>1</v>
      </c>
      <c r="J3177" s="62">
        <v>0</v>
      </c>
      <c r="K3177" s="494">
        <v>50</v>
      </c>
      <c r="L3177" s="497">
        <f t="shared" si="692"/>
        <v>51</v>
      </c>
      <c r="M3177" s="61"/>
    </row>
    <row r="3178" spans="2:13" ht="15.75" hidden="1" x14ac:dyDescent="0.25">
      <c r="B3178" s="749">
        <v>46311</v>
      </c>
      <c r="C3178" s="749" t="s">
        <v>106</v>
      </c>
      <c r="D3178" s="749" t="s">
        <v>189</v>
      </c>
      <c r="F3178" s="890" t="s">
        <v>40</v>
      </c>
      <c r="G3178" s="890"/>
      <c r="H3178" s="890"/>
      <c r="I3178" s="99">
        <f>SUM(I3168:I3177)</f>
        <v>277</v>
      </c>
      <c r="J3178" s="99">
        <f>SUM(J3168:J3177)</f>
        <v>68</v>
      </c>
      <c r="K3178" s="99">
        <f>SUM(K3168:K3177)</f>
        <v>153</v>
      </c>
      <c r="L3178" s="99">
        <f>SUM(L3168:L3177)</f>
        <v>498</v>
      </c>
      <c r="M3178" s="512"/>
    </row>
    <row r="3179" spans="2:13" ht="15.75" hidden="1" x14ac:dyDescent="0.25">
      <c r="B3179" s="752">
        <v>46311</v>
      </c>
      <c r="C3179" s="752" t="s">
        <v>105</v>
      </c>
      <c r="D3179" s="752" t="s">
        <v>13</v>
      </c>
      <c r="F3179" s="830">
        <v>46311</v>
      </c>
      <c r="G3179" s="60" t="s">
        <v>16</v>
      </c>
      <c r="H3179" s="60" t="s">
        <v>127</v>
      </c>
      <c r="I3179" s="62">
        <v>5</v>
      </c>
      <c r="J3179" s="62">
        <v>19</v>
      </c>
      <c r="K3179" s="494">
        <v>0</v>
      </c>
      <c r="L3179" s="497">
        <f t="shared" ref="L3179:L3186" si="693">SUM(I3179:K3179)</f>
        <v>24</v>
      </c>
      <c r="M3179" s="61"/>
    </row>
    <row r="3180" spans="2:13" ht="15.75" hidden="1" x14ac:dyDescent="0.25">
      <c r="B3180" s="752">
        <v>46311</v>
      </c>
      <c r="C3180" s="752" t="s">
        <v>105</v>
      </c>
      <c r="D3180" s="752" t="s">
        <v>13</v>
      </c>
      <c r="F3180" s="831"/>
      <c r="G3180" s="60" t="s">
        <v>14</v>
      </c>
      <c r="H3180" s="60" t="s">
        <v>105</v>
      </c>
      <c r="I3180" s="62">
        <v>0</v>
      </c>
      <c r="J3180" s="62">
        <v>0</v>
      </c>
      <c r="K3180" s="494">
        <v>0</v>
      </c>
      <c r="L3180" s="497">
        <f t="shared" si="693"/>
        <v>0</v>
      </c>
      <c r="M3180" s="61"/>
    </row>
    <row r="3181" spans="2:13" ht="15.75" hidden="1" x14ac:dyDescent="0.25">
      <c r="B3181" s="752">
        <v>46311</v>
      </c>
      <c r="C3181" s="752" t="s">
        <v>105</v>
      </c>
      <c r="D3181" s="752" t="s">
        <v>13</v>
      </c>
      <c r="F3181" s="831"/>
      <c r="G3181" s="60" t="s">
        <v>84</v>
      </c>
      <c r="H3181" s="60" t="s">
        <v>12</v>
      </c>
      <c r="I3181" s="62">
        <v>7</v>
      </c>
      <c r="J3181" s="62">
        <v>0</v>
      </c>
      <c r="K3181" s="494">
        <v>0</v>
      </c>
      <c r="L3181" s="497">
        <f t="shared" si="693"/>
        <v>7</v>
      </c>
      <c r="M3181" s="61"/>
    </row>
    <row r="3182" spans="2:13" ht="15.75" hidden="1" x14ac:dyDescent="0.25">
      <c r="B3182" s="753">
        <v>46311</v>
      </c>
      <c r="C3182" s="753" t="s">
        <v>105</v>
      </c>
      <c r="D3182" s="753" t="s">
        <v>13</v>
      </c>
      <c r="F3182" s="831"/>
      <c r="G3182" s="60" t="s">
        <v>118</v>
      </c>
      <c r="H3182" s="60" t="s">
        <v>105</v>
      </c>
      <c r="I3182" s="62">
        <v>24</v>
      </c>
      <c r="J3182" s="62">
        <v>4</v>
      </c>
      <c r="K3182" s="494">
        <v>0</v>
      </c>
      <c r="L3182" s="497">
        <f t="shared" si="693"/>
        <v>28</v>
      </c>
      <c r="M3182" s="61"/>
    </row>
    <row r="3183" spans="2:13" ht="15.75" hidden="1" x14ac:dyDescent="0.25">
      <c r="B3183" s="753">
        <v>46311</v>
      </c>
      <c r="C3183" s="753" t="s">
        <v>105</v>
      </c>
      <c r="D3183" s="753" t="s">
        <v>13</v>
      </c>
      <c r="F3183" s="832"/>
      <c r="G3183" s="60" t="s">
        <v>17</v>
      </c>
      <c r="H3183" s="60" t="s">
        <v>105</v>
      </c>
      <c r="I3183" s="62">
        <v>15</v>
      </c>
      <c r="J3183" s="62">
        <v>18</v>
      </c>
      <c r="K3183" s="494">
        <v>0</v>
      </c>
      <c r="L3183" s="497">
        <f t="shared" si="693"/>
        <v>33</v>
      </c>
      <c r="M3183" s="61"/>
    </row>
    <row r="3184" spans="2:13" ht="15.75" hidden="1" x14ac:dyDescent="0.25">
      <c r="B3184" s="752">
        <v>46311</v>
      </c>
      <c r="C3184" s="752" t="s">
        <v>105</v>
      </c>
      <c r="D3184" s="752" t="s">
        <v>13</v>
      </c>
      <c r="F3184" s="894">
        <v>46312</v>
      </c>
      <c r="G3184" s="60" t="s">
        <v>16</v>
      </c>
      <c r="H3184" s="60" t="s">
        <v>127</v>
      </c>
      <c r="I3184" s="62">
        <v>137</v>
      </c>
      <c r="J3184" s="62">
        <v>64</v>
      </c>
      <c r="K3184" s="494">
        <v>0</v>
      </c>
      <c r="L3184" s="497">
        <f t="shared" si="693"/>
        <v>201</v>
      </c>
      <c r="M3184" s="61"/>
    </row>
    <row r="3185" spans="2:13" ht="15.75" hidden="1" x14ac:dyDescent="0.25">
      <c r="B3185" s="752">
        <v>46311</v>
      </c>
      <c r="C3185" s="752" t="s">
        <v>105</v>
      </c>
      <c r="D3185" s="752" t="s">
        <v>13</v>
      </c>
      <c r="F3185" s="894"/>
      <c r="G3185" s="60" t="s">
        <v>14</v>
      </c>
      <c r="H3185" s="60" t="s">
        <v>106</v>
      </c>
      <c r="I3185" s="62">
        <v>144</v>
      </c>
      <c r="J3185" s="62">
        <v>27</v>
      </c>
      <c r="K3185" s="494">
        <v>0</v>
      </c>
      <c r="L3185" s="497">
        <f t="shared" si="693"/>
        <v>171</v>
      </c>
      <c r="M3185" s="61"/>
    </row>
    <row r="3186" spans="2:13" ht="15.75" hidden="1" x14ac:dyDescent="0.25">
      <c r="B3186" s="752">
        <v>46311</v>
      </c>
      <c r="C3186" s="752" t="s">
        <v>105</v>
      </c>
      <c r="D3186" s="752" t="s">
        <v>13</v>
      </c>
      <c r="F3186" s="894"/>
      <c r="G3186" s="60" t="s">
        <v>17</v>
      </c>
      <c r="H3186" s="60" t="s">
        <v>105</v>
      </c>
      <c r="I3186" s="62">
        <v>0</v>
      </c>
      <c r="J3186" s="62">
        <v>0</v>
      </c>
      <c r="K3186" s="494">
        <v>29</v>
      </c>
      <c r="L3186" s="497">
        <f t="shared" si="693"/>
        <v>29</v>
      </c>
      <c r="M3186" s="61"/>
    </row>
    <row r="3187" spans="2:13" ht="16.5" hidden="1" customHeight="1" x14ac:dyDescent="0.25">
      <c r="B3187" s="752">
        <v>46311</v>
      </c>
      <c r="C3187" s="752" t="s">
        <v>105</v>
      </c>
      <c r="D3187" s="752" t="s">
        <v>13</v>
      </c>
      <c r="F3187" s="890" t="s">
        <v>40</v>
      </c>
      <c r="G3187" s="890"/>
      <c r="H3187" s="890"/>
      <c r="I3187" s="99">
        <f>SUM(I3179:I3186)</f>
        <v>332</v>
      </c>
      <c r="J3187" s="99">
        <f>SUM(J3179:J3186)</f>
        <v>132</v>
      </c>
      <c r="K3187" s="99">
        <f>SUM(K3179:K3186)</f>
        <v>29</v>
      </c>
      <c r="L3187" s="99">
        <f>SUM(L3179:L3186)</f>
        <v>493</v>
      </c>
      <c r="M3187" s="512"/>
    </row>
    <row r="3188" spans="2:13" ht="15.75" hidden="1" x14ac:dyDescent="0.25">
      <c r="B3188" s="757">
        <v>46312</v>
      </c>
      <c r="C3188" s="757" t="s">
        <v>106</v>
      </c>
      <c r="D3188" s="757" t="s">
        <v>189</v>
      </c>
      <c r="F3188" s="778">
        <v>46312</v>
      </c>
      <c r="G3188" s="497" t="s">
        <v>16</v>
      </c>
      <c r="H3188" s="60" t="s">
        <v>127</v>
      </c>
      <c r="I3188" s="62">
        <v>18</v>
      </c>
      <c r="J3188" s="62">
        <v>24</v>
      </c>
      <c r="K3188" s="494">
        <v>0</v>
      </c>
      <c r="L3188" s="497">
        <f t="shared" ref="L3188:L3197" si="694">SUM(I3188:K3188)</f>
        <v>42</v>
      </c>
      <c r="M3188" s="61"/>
    </row>
    <row r="3189" spans="2:13" ht="15.75" hidden="1" x14ac:dyDescent="0.25">
      <c r="B3189" s="757">
        <v>46312</v>
      </c>
      <c r="C3189" s="757" t="s">
        <v>106</v>
      </c>
      <c r="D3189" s="757" t="s">
        <v>189</v>
      </c>
      <c r="F3189" s="786"/>
      <c r="G3189" s="497" t="s">
        <v>212</v>
      </c>
      <c r="H3189" s="60" t="s">
        <v>106</v>
      </c>
      <c r="I3189" s="62">
        <v>2</v>
      </c>
      <c r="J3189" s="62">
        <v>0</v>
      </c>
      <c r="K3189" s="494">
        <v>0</v>
      </c>
      <c r="L3189" s="497">
        <f t="shared" si="694"/>
        <v>2</v>
      </c>
      <c r="M3189" s="61"/>
    </row>
    <row r="3190" spans="2:13" ht="15.75" hidden="1" x14ac:dyDescent="0.25">
      <c r="B3190" s="757">
        <v>46312</v>
      </c>
      <c r="C3190" s="757" t="s">
        <v>106</v>
      </c>
      <c r="D3190" s="757" t="s">
        <v>189</v>
      </c>
      <c r="F3190" s="786"/>
      <c r="G3190" s="497" t="s">
        <v>14</v>
      </c>
      <c r="H3190" s="60" t="s">
        <v>106</v>
      </c>
      <c r="I3190" s="62">
        <v>30</v>
      </c>
      <c r="J3190" s="62">
        <v>8</v>
      </c>
      <c r="K3190" s="494">
        <v>0</v>
      </c>
      <c r="L3190" s="497">
        <f t="shared" si="694"/>
        <v>38</v>
      </c>
      <c r="M3190" s="61"/>
    </row>
    <row r="3191" spans="2:13" ht="15.75" hidden="1" x14ac:dyDescent="0.25">
      <c r="B3191" s="757">
        <v>46312</v>
      </c>
      <c r="C3191" s="757" t="s">
        <v>106</v>
      </c>
      <c r="D3191" s="757" t="s">
        <v>189</v>
      </c>
      <c r="F3191" s="786"/>
      <c r="G3191" s="715" t="s">
        <v>84</v>
      </c>
      <c r="H3191" s="62" t="s">
        <v>12</v>
      </c>
      <c r="I3191" s="62">
        <v>3</v>
      </c>
      <c r="J3191" s="62">
        <v>1</v>
      </c>
      <c r="K3191" s="494">
        <v>0</v>
      </c>
      <c r="L3191" s="497">
        <f t="shared" si="694"/>
        <v>4</v>
      </c>
      <c r="M3191" s="61"/>
    </row>
    <row r="3192" spans="2:13" ht="16.5" hidden="1" thickBot="1" x14ac:dyDescent="0.3">
      <c r="B3192" s="757">
        <v>46312</v>
      </c>
      <c r="C3192" s="757" t="s">
        <v>106</v>
      </c>
      <c r="D3192" s="757" t="s">
        <v>189</v>
      </c>
      <c r="F3192" s="883"/>
      <c r="G3192" s="640" t="s">
        <v>17</v>
      </c>
      <c r="H3192" s="641" t="s">
        <v>105</v>
      </c>
      <c r="I3192" s="641">
        <v>95</v>
      </c>
      <c r="J3192" s="641">
        <v>30</v>
      </c>
      <c r="K3192" s="642">
        <v>0</v>
      </c>
      <c r="L3192" s="640">
        <f t="shared" si="694"/>
        <v>125</v>
      </c>
      <c r="M3192" s="61"/>
    </row>
    <row r="3193" spans="2:13" ht="15.75" hidden="1" x14ac:dyDescent="0.25">
      <c r="B3193" s="757">
        <v>46312</v>
      </c>
      <c r="C3193" s="757" t="s">
        <v>106</v>
      </c>
      <c r="D3193" s="757" t="s">
        <v>189</v>
      </c>
      <c r="F3193" s="786">
        <v>46314</v>
      </c>
      <c r="G3193" s="575" t="s">
        <v>118</v>
      </c>
      <c r="H3193" s="194" t="s">
        <v>106</v>
      </c>
      <c r="I3193" s="258">
        <v>1</v>
      </c>
      <c r="J3193" s="258">
        <v>0</v>
      </c>
      <c r="K3193" s="538">
        <v>215</v>
      </c>
      <c r="L3193" s="575">
        <f t="shared" si="694"/>
        <v>216</v>
      </c>
      <c r="M3193" s="61"/>
    </row>
    <row r="3194" spans="2:13" ht="15.75" hidden="1" x14ac:dyDescent="0.25">
      <c r="B3194" s="757">
        <v>46312</v>
      </c>
      <c r="C3194" s="757" t="s">
        <v>106</v>
      </c>
      <c r="D3194" s="757" t="s">
        <v>189</v>
      </c>
      <c r="F3194" s="786"/>
      <c r="G3194" s="575" t="s">
        <v>16</v>
      </c>
      <c r="H3194" s="194" t="s">
        <v>15</v>
      </c>
      <c r="I3194" s="62">
        <v>0</v>
      </c>
      <c r="J3194" s="62">
        <v>0</v>
      </c>
      <c r="K3194" s="494">
        <v>0</v>
      </c>
      <c r="L3194" s="497">
        <f t="shared" si="694"/>
        <v>0</v>
      </c>
      <c r="M3194" s="61"/>
    </row>
    <row r="3195" spans="2:13" ht="15.75" hidden="1" x14ac:dyDescent="0.25">
      <c r="B3195" s="757">
        <v>46312</v>
      </c>
      <c r="C3195" s="757" t="s">
        <v>106</v>
      </c>
      <c r="D3195" s="757" t="s">
        <v>189</v>
      </c>
      <c r="F3195" s="786"/>
      <c r="G3195" s="575" t="s">
        <v>180</v>
      </c>
      <c r="H3195" s="194" t="s">
        <v>12</v>
      </c>
      <c r="I3195" s="62">
        <v>0</v>
      </c>
      <c r="J3195" s="62">
        <v>0</v>
      </c>
      <c r="K3195" s="494">
        <v>59</v>
      </c>
      <c r="L3195" s="497">
        <f t="shared" si="694"/>
        <v>59</v>
      </c>
      <c r="M3195" s="61"/>
    </row>
    <row r="3196" spans="2:13" ht="15.75" hidden="1" x14ac:dyDescent="0.25">
      <c r="B3196" s="757">
        <v>46312</v>
      </c>
      <c r="C3196" s="757" t="s">
        <v>106</v>
      </c>
      <c r="D3196" s="757" t="s">
        <v>189</v>
      </c>
      <c r="F3196" s="786"/>
      <c r="G3196" s="497" t="s">
        <v>222</v>
      </c>
      <c r="H3196" s="60" t="s">
        <v>12</v>
      </c>
      <c r="I3196" s="62">
        <v>31</v>
      </c>
      <c r="J3196" s="62">
        <v>3</v>
      </c>
      <c r="K3196" s="494">
        <v>0</v>
      </c>
      <c r="L3196" s="497">
        <f t="shared" si="694"/>
        <v>34</v>
      </c>
      <c r="M3196" s="61"/>
    </row>
    <row r="3197" spans="2:13" ht="15.75" hidden="1" x14ac:dyDescent="0.25">
      <c r="B3197" s="757">
        <v>46312</v>
      </c>
      <c r="C3197" s="757" t="s">
        <v>106</v>
      </c>
      <c r="D3197" s="757" t="s">
        <v>189</v>
      </c>
      <c r="F3197" s="779"/>
      <c r="G3197" s="497" t="s">
        <v>25</v>
      </c>
      <c r="H3197" s="60" t="s">
        <v>105</v>
      </c>
      <c r="I3197" s="62">
        <v>35</v>
      </c>
      <c r="J3197" s="62">
        <v>2</v>
      </c>
      <c r="K3197" s="494">
        <v>0</v>
      </c>
      <c r="L3197" s="497">
        <f t="shared" si="694"/>
        <v>37</v>
      </c>
      <c r="M3197" s="61"/>
    </row>
    <row r="3198" spans="2:13" ht="15.75" hidden="1" x14ac:dyDescent="0.25">
      <c r="B3198" s="757">
        <v>46312</v>
      </c>
      <c r="C3198" s="757" t="s">
        <v>106</v>
      </c>
      <c r="D3198" s="757" t="s">
        <v>189</v>
      </c>
      <c r="F3198" s="890" t="s">
        <v>40</v>
      </c>
      <c r="G3198" s="890"/>
      <c r="H3198" s="890"/>
      <c r="I3198" s="99">
        <f>SUM(I3188:I3197)</f>
        <v>215</v>
      </c>
      <c r="J3198" s="99">
        <f t="shared" ref="J3198:K3198" si="695">SUM(J3188:J3197)</f>
        <v>68</v>
      </c>
      <c r="K3198" s="99">
        <f t="shared" si="695"/>
        <v>274</v>
      </c>
      <c r="L3198" s="99">
        <f>SUM(L3188:L3197)</f>
        <v>557</v>
      </c>
      <c r="M3198" s="512"/>
    </row>
    <row r="3199" spans="2:13" ht="15.75" hidden="1" x14ac:dyDescent="0.25">
      <c r="B3199" s="762">
        <v>46312</v>
      </c>
      <c r="C3199" s="762" t="s">
        <v>105</v>
      </c>
      <c r="D3199" s="762" t="s">
        <v>13</v>
      </c>
      <c r="F3199" s="889">
        <v>46312</v>
      </c>
      <c r="G3199" s="497" t="s">
        <v>16</v>
      </c>
      <c r="H3199" s="60" t="s">
        <v>127</v>
      </c>
      <c r="I3199" s="60">
        <v>14</v>
      </c>
      <c r="J3199" s="60">
        <v>17</v>
      </c>
      <c r="K3199" s="494">
        <v>0</v>
      </c>
      <c r="L3199" s="497">
        <f t="shared" ref="L3199:L3206" si="696">SUM(I3199:K3199)</f>
        <v>31</v>
      </c>
      <c r="M3199" s="61"/>
    </row>
    <row r="3200" spans="2:13" ht="15.75" hidden="1" x14ac:dyDescent="0.25">
      <c r="B3200" s="762">
        <v>46312</v>
      </c>
      <c r="C3200" s="762" t="s">
        <v>105</v>
      </c>
      <c r="D3200" s="762" t="s">
        <v>13</v>
      </c>
      <c r="F3200" s="889"/>
      <c r="G3200" s="497" t="s">
        <v>25</v>
      </c>
      <c r="H3200" s="60" t="s">
        <v>105</v>
      </c>
      <c r="I3200" s="60">
        <v>4</v>
      </c>
      <c r="J3200" s="60">
        <v>1</v>
      </c>
      <c r="K3200" s="494">
        <v>0</v>
      </c>
      <c r="L3200" s="497">
        <f t="shared" si="696"/>
        <v>5</v>
      </c>
      <c r="M3200" s="61"/>
    </row>
    <row r="3201" spans="2:13" ht="15.75" hidden="1" x14ac:dyDescent="0.25">
      <c r="B3201" s="762">
        <v>46312</v>
      </c>
      <c r="C3201" s="762" t="s">
        <v>105</v>
      </c>
      <c r="D3201" s="762" t="s">
        <v>13</v>
      </c>
      <c r="F3201" s="889"/>
      <c r="G3201" s="497" t="s">
        <v>84</v>
      </c>
      <c r="H3201" s="60" t="s">
        <v>12</v>
      </c>
      <c r="I3201" s="60">
        <v>4</v>
      </c>
      <c r="J3201" s="60">
        <v>0</v>
      </c>
      <c r="K3201" s="494">
        <v>0</v>
      </c>
      <c r="L3201" s="497">
        <f t="shared" si="696"/>
        <v>4</v>
      </c>
      <c r="M3201" s="61"/>
    </row>
    <row r="3202" spans="2:13" ht="15.75" hidden="1" x14ac:dyDescent="0.25">
      <c r="B3202" s="762">
        <v>46312</v>
      </c>
      <c r="C3202" s="762" t="s">
        <v>105</v>
      </c>
      <c r="D3202" s="762" t="s">
        <v>13</v>
      </c>
      <c r="F3202" s="889"/>
      <c r="G3202" s="497" t="s">
        <v>17</v>
      </c>
      <c r="H3202" s="60" t="s">
        <v>105</v>
      </c>
      <c r="I3202" s="60">
        <v>21</v>
      </c>
      <c r="J3202" s="60">
        <v>24</v>
      </c>
      <c r="K3202" s="494">
        <v>0</v>
      </c>
      <c r="L3202" s="497">
        <f t="shared" si="696"/>
        <v>45</v>
      </c>
      <c r="M3202" s="61"/>
    </row>
    <row r="3203" spans="2:13" ht="15.75" hidden="1" x14ac:dyDescent="0.25">
      <c r="B3203" s="762">
        <v>46312</v>
      </c>
      <c r="C3203" s="762" t="s">
        <v>105</v>
      </c>
      <c r="D3203" s="762" t="s">
        <v>13</v>
      </c>
      <c r="F3203" s="882">
        <v>46314</v>
      </c>
      <c r="G3203" s="497" t="s">
        <v>118</v>
      </c>
      <c r="H3203" s="194" t="s">
        <v>106</v>
      </c>
      <c r="I3203" s="258">
        <v>185</v>
      </c>
      <c r="J3203" s="258">
        <v>25</v>
      </c>
      <c r="K3203" s="538">
        <v>0</v>
      </c>
      <c r="L3203" s="575">
        <f t="shared" si="696"/>
        <v>210</v>
      </c>
      <c r="M3203" s="61"/>
    </row>
    <row r="3204" spans="2:13" ht="15.75" hidden="1" x14ac:dyDescent="0.25">
      <c r="B3204" s="762">
        <v>46312</v>
      </c>
      <c r="C3204" s="762" t="s">
        <v>105</v>
      </c>
      <c r="D3204" s="762" t="s">
        <v>13</v>
      </c>
      <c r="F3204" s="882"/>
      <c r="G3204" s="575" t="s">
        <v>16</v>
      </c>
      <c r="H3204" s="194" t="s">
        <v>15</v>
      </c>
      <c r="I3204" s="62">
        <v>142</v>
      </c>
      <c r="J3204" s="62">
        <v>58</v>
      </c>
      <c r="K3204" s="494">
        <v>0</v>
      </c>
      <c r="L3204" s="497">
        <f t="shared" si="696"/>
        <v>200</v>
      </c>
      <c r="M3204" s="61"/>
    </row>
    <row r="3205" spans="2:13" ht="15.75" hidden="1" x14ac:dyDescent="0.25">
      <c r="B3205" s="762">
        <v>46312</v>
      </c>
      <c r="C3205" s="762" t="s">
        <v>105</v>
      </c>
      <c r="D3205" s="762" t="s">
        <v>13</v>
      </c>
      <c r="F3205" s="882"/>
      <c r="G3205" s="575" t="s">
        <v>180</v>
      </c>
      <c r="H3205" s="194" t="s">
        <v>22</v>
      </c>
      <c r="I3205" s="62">
        <v>0</v>
      </c>
      <c r="J3205" s="62">
        <v>0</v>
      </c>
      <c r="K3205" s="494">
        <v>19</v>
      </c>
      <c r="L3205" s="497">
        <f t="shared" si="696"/>
        <v>19</v>
      </c>
      <c r="M3205" s="61"/>
    </row>
    <row r="3206" spans="2:13" ht="15.75" hidden="1" x14ac:dyDescent="0.25">
      <c r="B3206" s="762">
        <v>46312</v>
      </c>
      <c r="C3206" s="762" t="s">
        <v>105</v>
      </c>
      <c r="D3206" s="762" t="s">
        <v>13</v>
      </c>
      <c r="F3206" s="761"/>
      <c r="G3206" s="575" t="s">
        <v>223</v>
      </c>
      <c r="H3206" s="194" t="s">
        <v>12</v>
      </c>
      <c r="I3206" s="62">
        <v>0</v>
      </c>
      <c r="J3206" s="62">
        <v>0</v>
      </c>
      <c r="K3206" s="494">
        <v>12</v>
      </c>
      <c r="L3206" s="497">
        <f t="shared" si="696"/>
        <v>12</v>
      </c>
      <c r="M3206" s="61"/>
    </row>
    <row r="3207" spans="2:13" ht="15.75" hidden="1" x14ac:dyDescent="0.25">
      <c r="B3207" s="762">
        <v>46312</v>
      </c>
      <c r="C3207" s="762" t="s">
        <v>105</v>
      </c>
      <c r="D3207" s="762" t="s">
        <v>13</v>
      </c>
      <c r="F3207" s="890" t="s">
        <v>40</v>
      </c>
      <c r="G3207" s="890"/>
      <c r="H3207" s="890"/>
      <c r="I3207" s="99">
        <f>SUM(I3199:I3206)</f>
        <v>370</v>
      </c>
      <c r="J3207" s="99">
        <f t="shared" ref="J3207:L3207" si="697">SUM(J3199:J3206)</f>
        <v>125</v>
      </c>
      <c r="K3207" s="99">
        <f t="shared" si="697"/>
        <v>31</v>
      </c>
      <c r="L3207" s="99">
        <f t="shared" si="697"/>
        <v>526</v>
      </c>
      <c r="M3207" s="512"/>
    </row>
    <row r="3208" spans="2:13" ht="15.75" hidden="1" x14ac:dyDescent="0.25">
      <c r="B3208" s="765">
        <v>46314</v>
      </c>
      <c r="C3208" s="765" t="s">
        <v>105</v>
      </c>
      <c r="D3208" s="765" t="s">
        <v>13</v>
      </c>
      <c r="F3208" s="770">
        <v>46314</v>
      </c>
      <c r="G3208" s="497" t="s">
        <v>118</v>
      </c>
      <c r="H3208" s="194" t="s">
        <v>106</v>
      </c>
      <c r="I3208" s="258">
        <v>22</v>
      </c>
      <c r="J3208" s="258">
        <v>12</v>
      </c>
      <c r="K3208" s="538">
        <v>0</v>
      </c>
      <c r="L3208" s="575">
        <f t="shared" ref="L3208:L3213" si="698">SUM(I3208:K3208)</f>
        <v>34</v>
      </c>
      <c r="M3208" s="61"/>
    </row>
    <row r="3209" spans="2:13" ht="15.75" hidden="1" x14ac:dyDescent="0.25">
      <c r="B3209" s="765">
        <v>46314</v>
      </c>
      <c r="C3209" s="765" t="s">
        <v>105</v>
      </c>
      <c r="D3209" s="765" t="s">
        <v>13</v>
      </c>
      <c r="F3209" s="771"/>
      <c r="G3209" s="575" t="s">
        <v>16</v>
      </c>
      <c r="H3209" s="194" t="s">
        <v>15</v>
      </c>
      <c r="I3209" s="62">
        <v>9</v>
      </c>
      <c r="J3209" s="62">
        <v>17</v>
      </c>
      <c r="K3209" s="494">
        <v>0</v>
      </c>
      <c r="L3209" s="497">
        <f t="shared" si="698"/>
        <v>26</v>
      </c>
      <c r="M3209" s="61"/>
    </row>
    <row r="3210" spans="2:13" ht="15.75" hidden="1" x14ac:dyDescent="0.25">
      <c r="B3210" s="765">
        <v>46314</v>
      </c>
      <c r="C3210" s="765" t="s">
        <v>105</v>
      </c>
      <c r="D3210" s="765" t="s">
        <v>13</v>
      </c>
      <c r="F3210" s="771"/>
      <c r="G3210" s="575" t="s">
        <v>225</v>
      </c>
      <c r="H3210" s="194" t="s">
        <v>105</v>
      </c>
      <c r="I3210" s="62">
        <v>84</v>
      </c>
      <c r="J3210" s="62">
        <v>27</v>
      </c>
      <c r="K3210" s="494">
        <v>0</v>
      </c>
      <c r="L3210" s="497">
        <f t="shared" si="698"/>
        <v>111</v>
      </c>
      <c r="M3210" s="61"/>
    </row>
    <row r="3211" spans="2:13" ht="15.75" hidden="1" x14ac:dyDescent="0.25">
      <c r="B3211" s="765">
        <v>46314</v>
      </c>
      <c r="C3211" s="765" t="s">
        <v>105</v>
      </c>
      <c r="D3211" s="765" t="s">
        <v>13</v>
      </c>
      <c r="F3211" s="771"/>
      <c r="G3211" s="575" t="s">
        <v>109</v>
      </c>
      <c r="H3211" s="194" t="s">
        <v>22</v>
      </c>
      <c r="I3211" s="62">
        <v>3</v>
      </c>
      <c r="J3211" s="62">
        <v>0</v>
      </c>
      <c r="K3211" s="494">
        <v>0</v>
      </c>
      <c r="L3211" s="497">
        <f t="shared" si="698"/>
        <v>3</v>
      </c>
      <c r="M3211" s="61"/>
    </row>
    <row r="3212" spans="2:13" ht="15.75" hidden="1" x14ac:dyDescent="0.25">
      <c r="B3212" s="765">
        <v>46314</v>
      </c>
      <c r="C3212" s="765" t="s">
        <v>105</v>
      </c>
      <c r="D3212" s="765" t="s">
        <v>13</v>
      </c>
      <c r="F3212" s="771"/>
      <c r="G3212" s="575" t="s">
        <v>180</v>
      </c>
      <c r="H3212" s="194" t="s">
        <v>22</v>
      </c>
      <c r="I3212" s="62">
        <v>69</v>
      </c>
      <c r="J3212" s="62">
        <v>0</v>
      </c>
      <c r="K3212" s="494">
        <v>0</v>
      </c>
      <c r="L3212" s="497">
        <f t="shared" si="698"/>
        <v>69</v>
      </c>
      <c r="M3212" s="61"/>
    </row>
    <row r="3213" spans="2:13" ht="15.75" hidden="1" x14ac:dyDescent="0.25">
      <c r="B3213" s="765">
        <v>46314</v>
      </c>
      <c r="C3213" s="765" t="s">
        <v>105</v>
      </c>
      <c r="D3213" s="765" t="s">
        <v>13</v>
      </c>
      <c r="F3213" s="772"/>
      <c r="G3213" s="575" t="s">
        <v>223</v>
      </c>
      <c r="H3213" s="194" t="s">
        <v>12</v>
      </c>
      <c r="I3213" s="62">
        <v>164</v>
      </c>
      <c r="J3213" s="62">
        <v>5</v>
      </c>
      <c r="K3213" s="494">
        <v>0</v>
      </c>
      <c r="L3213" s="497">
        <f t="shared" si="698"/>
        <v>169</v>
      </c>
      <c r="M3213" s="61"/>
    </row>
    <row r="3214" spans="2:13" ht="15.75" hidden="1" x14ac:dyDescent="0.25">
      <c r="B3214" s="765">
        <v>46314</v>
      </c>
      <c r="C3214" s="765" t="s">
        <v>105</v>
      </c>
      <c r="D3214" s="765" t="s">
        <v>13</v>
      </c>
      <c r="F3214" s="721">
        <v>46315</v>
      </c>
      <c r="G3214" s="575" t="s">
        <v>17</v>
      </c>
      <c r="H3214" s="194" t="s">
        <v>106</v>
      </c>
      <c r="I3214" s="62">
        <v>13</v>
      </c>
      <c r="J3214" s="62">
        <v>4</v>
      </c>
      <c r="K3214" s="494">
        <v>63</v>
      </c>
      <c r="L3214" s="497">
        <v>0</v>
      </c>
      <c r="M3214" s="61"/>
    </row>
    <row r="3215" spans="2:13" ht="15.75" hidden="1" x14ac:dyDescent="0.25">
      <c r="B3215" s="765">
        <v>46314</v>
      </c>
      <c r="C3215" s="765" t="s">
        <v>105</v>
      </c>
      <c r="D3215" s="765" t="s">
        <v>13</v>
      </c>
      <c r="F3215" s="890" t="s">
        <v>40</v>
      </c>
      <c r="G3215" s="890"/>
      <c r="H3215" s="890"/>
      <c r="I3215" s="99">
        <f>SUM(I3208:I3214)</f>
        <v>364</v>
      </c>
      <c r="J3215" s="99">
        <f t="shared" ref="J3215:K3215" si="699">SUM(J3208:J3214)</f>
        <v>65</v>
      </c>
      <c r="K3215" s="99">
        <f t="shared" si="699"/>
        <v>63</v>
      </c>
      <c r="L3215" s="99">
        <f>SUM(I3215:K3215)</f>
        <v>492</v>
      </c>
      <c r="M3215" s="512"/>
    </row>
    <row r="3216" spans="2:13" ht="15.75" hidden="1" x14ac:dyDescent="0.25">
      <c r="B3216" s="766">
        <v>46314</v>
      </c>
      <c r="C3216" s="766" t="s">
        <v>106</v>
      </c>
      <c r="D3216" s="766" t="s">
        <v>189</v>
      </c>
      <c r="F3216" s="893">
        <v>46314</v>
      </c>
      <c r="G3216" s="60" t="s">
        <v>16</v>
      </c>
      <c r="H3216" s="60" t="s">
        <v>15</v>
      </c>
      <c r="I3216" s="62">
        <v>1</v>
      </c>
      <c r="J3216" s="62">
        <v>4</v>
      </c>
      <c r="K3216" s="494">
        <v>0</v>
      </c>
      <c r="L3216" s="497">
        <f t="shared" ref="L3216:L3222" si="700">SUM(I3216:K3216)</f>
        <v>5</v>
      </c>
      <c r="M3216" s="61"/>
    </row>
    <row r="3217" spans="2:13" ht="15.75" hidden="1" x14ac:dyDescent="0.25">
      <c r="B3217" s="766">
        <v>46314</v>
      </c>
      <c r="C3217" s="766" t="s">
        <v>106</v>
      </c>
      <c r="D3217" s="766" t="s">
        <v>189</v>
      </c>
      <c r="F3217" s="893"/>
      <c r="G3217" s="60" t="s">
        <v>25</v>
      </c>
      <c r="H3217" s="60" t="s">
        <v>105</v>
      </c>
      <c r="I3217" s="62">
        <v>9</v>
      </c>
      <c r="J3217" s="62">
        <v>16</v>
      </c>
      <c r="K3217" s="494">
        <v>0</v>
      </c>
      <c r="L3217" s="497">
        <f t="shared" si="700"/>
        <v>25</v>
      </c>
      <c r="M3217" s="61"/>
    </row>
    <row r="3218" spans="2:13" ht="15.75" hidden="1" x14ac:dyDescent="0.25">
      <c r="B3218" s="766">
        <v>46314</v>
      </c>
      <c r="C3218" s="766" t="s">
        <v>106</v>
      </c>
      <c r="D3218" s="766" t="s">
        <v>189</v>
      </c>
      <c r="F3218" s="894">
        <v>46315</v>
      </c>
      <c r="G3218" s="60" t="s">
        <v>16</v>
      </c>
      <c r="H3218" s="60" t="s">
        <v>15</v>
      </c>
      <c r="I3218" s="62">
        <v>135</v>
      </c>
      <c r="J3218" s="62">
        <v>60</v>
      </c>
      <c r="K3218" s="494">
        <v>1</v>
      </c>
      <c r="L3218" s="497">
        <f t="shared" si="700"/>
        <v>196</v>
      </c>
      <c r="M3218" s="61"/>
    </row>
    <row r="3219" spans="2:13" ht="15.75" hidden="1" x14ac:dyDescent="0.25">
      <c r="B3219" s="766">
        <v>46314</v>
      </c>
      <c r="C3219" s="766" t="s">
        <v>106</v>
      </c>
      <c r="D3219" s="766" t="s">
        <v>189</v>
      </c>
      <c r="F3219" s="894"/>
      <c r="G3219" s="60" t="s">
        <v>17</v>
      </c>
      <c r="H3219" s="60" t="s">
        <v>106</v>
      </c>
      <c r="I3219" s="62">
        <v>100</v>
      </c>
      <c r="J3219" s="62">
        <v>35</v>
      </c>
      <c r="K3219" s="494">
        <v>0</v>
      </c>
      <c r="L3219" s="497">
        <f t="shared" si="700"/>
        <v>135</v>
      </c>
      <c r="M3219" s="61"/>
    </row>
    <row r="3220" spans="2:13" ht="15.75" hidden="1" x14ac:dyDescent="0.25">
      <c r="B3220" s="766">
        <v>46314</v>
      </c>
      <c r="C3220" s="766" t="s">
        <v>106</v>
      </c>
      <c r="D3220" s="766" t="s">
        <v>189</v>
      </c>
      <c r="F3220" s="894"/>
      <c r="G3220" s="60" t="s">
        <v>212</v>
      </c>
      <c r="H3220" s="60" t="s">
        <v>12</v>
      </c>
      <c r="I3220" s="62">
        <v>1</v>
      </c>
      <c r="J3220" s="62">
        <v>0</v>
      </c>
      <c r="K3220" s="494">
        <v>73</v>
      </c>
      <c r="L3220" s="497">
        <f t="shared" si="700"/>
        <v>74</v>
      </c>
      <c r="M3220" s="61"/>
    </row>
    <row r="3221" spans="2:13" ht="15.75" hidden="1" x14ac:dyDescent="0.25">
      <c r="B3221" s="766">
        <v>46314</v>
      </c>
      <c r="C3221" s="766" t="s">
        <v>106</v>
      </c>
      <c r="D3221" s="766" t="s">
        <v>189</v>
      </c>
      <c r="F3221" s="894"/>
      <c r="G3221" s="60" t="s">
        <v>14</v>
      </c>
      <c r="H3221" s="60" t="s">
        <v>105</v>
      </c>
      <c r="I3221" s="62">
        <v>0</v>
      </c>
      <c r="J3221" s="62">
        <v>1</v>
      </c>
      <c r="K3221" s="494">
        <v>116</v>
      </c>
      <c r="L3221" s="497">
        <f t="shared" si="700"/>
        <v>117</v>
      </c>
      <c r="M3221" s="61"/>
    </row>
    <row r="3222" spans="2:13" ht="15.75" hidden="1" x14ac:dyDescent="0.25">
      <c r="B3222" s="766">
        <v>46314</v>
      </c>
      <c r="C3222" s="766" t="s">
        <v>106</v>
      </c>
      <c r="D3222" s="766" t="s">
        <v>189</v>
      </c>
      <c r="F3222" s="767">
        <v>46316</v>
      </c>
      <c r="G3222" s="60" t="s">
        <v>118</v>
      </c>
      <c r="H3222" s="60" t="s">
        <v>105</v>
      </c>
      <c r="I3222" s="62">
        <v>0</v>
      </c>
      <c r="J3222" s="62">
        <v>0</v>
      </c>
      <c r="K3222" s="494">
        <v>57</v>
      </c>
      <c r="L3222" s="497">
        <f t="shared" si="700"/>
        <v>57</v>
      </c>
      <c r="M3222" s="61"/>
    </row>
    <row r="3223" spans="2:13" ht="15.75" hidden="1" x14ac:dyDescent="0.25">
      <c r="B3223" s="766">
        <v>46314</v>
      </c>
      <c r="C3223" s="766" t="s">
        <v>106</v>
      </c>
      <c r="D3223" s="766" t="s">
        <v>189</v>
      </c>
      <c r="F3223" s="890" t="s">
        <v>40</v>
      </c>
      <c r="G3223" s="890"/>
      <c r="H3223" s="890"/>
      <c r="I3223" s="99">
        <f>SUM(I3216:I3222)</f>
        <v>246</v>
      </c>
      <c r="J3223" s="99">
        <f>SUM(J3216:J3222)</f>
        <v>116</v>
      </c>
      <c r="K3223" s="99">
        <f>SUM(K3216:K3222)</f>
        <v>247</v>
      </c>
      <c r="L3223" s="99">
        <f>SUM(L3216:L3222)</f>
        <v>609</v>
      </c>
      <c r="M3223" s="512"/>
    </row>
    <row r="3224" spans="2:13" ht="15.75" x14ac:dyDescent="0.25">
      <c r="B3224" s="768">
        <v>46315</v>
      </c>
      <c r="C3224" s="768" t="s">
        <v>105</v>
      </c>
      <c r="D3224" s="768" t="s">
        <v>13</v>
      </c>
      <c r="F3224" s="830">
        <v>46315</v>
      </c>
      <c r="G3224" s="60" t="s">
        <v>16</v>
      </c>
      <c r="H3224" s="60" t="s">
        <v>15</v>
      </c>
      <c r="I3224" s="62"/>
      <c r="J3224" s="62"/>
      <c r="K3224" s="494"/>
      <c r="L3224" s="497">
        <f t="shared" ref="L3224:L3231" si="701">SUM(I3224:K3224)</f>
        <v>0</v>
      </c>
      <c r="M3224" s="61"/>
    </row>
    <row r="3225" spans="2:13" ht="15.75" x14ac:dyDescent="0.25">
      <c r="B3225" s="768">
        <v>46315</v>
      </c>
      <c r="C3225" s="768" t="s">
        <v>105</v>
      </c>
      <c r="D3225" s="768" t="s">
        <v>13</v>
      </c>
      <c r="F3225" s="831"/>
      <c r="G3225" s="60" t="s">
        <v>25</v>
      </c>
      <c r="H3225" s="60" t="s">
        <v>105</v>
      </c>
      <c r="I3225" s="62"/>
      <c r="J3225" s="62"/>
      <c r="K3225" s="494"/>
      <c r="L3225" s="497">
        <f t="shared" si="701"/>
        <v>0</v>
      </c>
      <c r="M3225" s="61"/>
    </row>
    <row r="3226" spans="2:13" ht="15.75" x14ac:dyDescent="0.25">
      <c r="B3226" s="768">
        <v>46315</v>
      </c>
      <c r="C3226" s="768" t="s">
        <v>105</v>
      </c>
      <c r="D3226" s="768" t="s">
        <v>13</v>
      </c>
      <c r="F3226" s="831"/>
      <c r="G3226" s="60" t="s">
        <v>16</v>
      </c>
      <c r="H3226" s="60" t="s">
        <v>15</v>
      </c>
      <c r="I3226" s="62"/>
      <c r="J3226" s="62"/>
      <c r="K3226" s="494"/>
      <c r="L3226" s="497">
        <f t="shared" si="701"/>
        <v>0</v>
      </c>
      <c r="M3226" s="61"/>
    </row>
    <row r="3227" spans="2:13" ht="15.75" x14ac:dyDescent="0.25">
      <c r="B3227" s="768">
        <v>46315</v>
      </c>
      <c r="C3227" s="768" t="s">
        <v>105</v>
      </c>
      <c r="D3227" s="768" t="s">
        <v>13</v>
      </c>
      <c r="F3227" s="831"/>
      <c r="G3227" s="60" t="s">
        <v>17</v>
      </c>
      <c r="H3227" s="60" t="s">
        <v>106</v>
      </c>
      <c r="I3227" s="62"/>
      <c r="J3227" s="62"/>
      <c r="K3227" s="494"/>
      <c r="L3227" s="497">
        <f t="shared" si="701"/>
        <v>0</v>
      </c>
      <c r="M3227" s="61"/>
    </row>
    <row r="3228" spans="2:13" ht="15.75" x14ac:dyDescent="0.25">
      <c r="B3228" s="768">
        <v>46315</v>
      </c>
      <c r="C3228" s="768" t="s">
        <v>105</v>
      </c>
      <c r="D3228" s="768" t="s">
        <v>13</v>
      </c>
      <c r="F3228" s="831"/>
      <c r="G3228" s="60" t="s">
        <v>212</v>
      </c>
      <c r="H3228" s="60" t="s">
        <v>12</v>
      </c>
      <c r="I3228" s="62"/>
      <c r="J3228" s="62"/>
      <c r="K3228" s="494"/>
      <c r="L3228" s="497">
        <f t="shared" si="701"/>
        <v>0</v>
      </c>
      <c r="M3228" s="61"/>
    </row>
    <row r="3229" spans="2:13" ht="15.75" x14ac:dyDescent="0.25">
      <c r="B3229" s="768">
        <v>46315</v>
      </c>
      <c r="C3229" s="768" t="s">
        <v>105</v>
      </c>
      <c r="D3229" s="768" t="s">
        <v>13</v>
      </c>
      <c r="F3229" s="832"/>
      <c r="G3229" s="60" t="s">
        <v>14</v>
      </c>
      <c r="H3229" s="60" t="s">
        <v>105</v>
      </c>
      <c r="I3229" s="62"/>
      <c r="J3229" s="62"/>
      <c r="K3229" s="494"/>
      <c r="L3229" s="497">
        <f t="shared" si="701"/>
        <v>0</v>
      </c>
      <c r="M3229" s="61"/>
    </row>
    <row r="3230" spans="2:13" ht="15.75" x14ac:dyDescent="0.25">
      <c r="B3230" s="768">
        <v>46315</v>
      </c>
      <c r="C3230" s="768" t="s">
        <v>105</v>
      </c>
      <c r="D3230" s="768" t="s">
        <v>13</v>
      </c>
      <c r="F3230" s="891">
        <v>46316</v>
      </c>
      <c r="G3230" s="60" t="s">
        <v>118</v>
      </c>
      <c r="H3230" s="60" t="s">
        <v>105</v>
      </c>
      <c r="I3230" s="62"/>
      <c r="J3230" s="62"/>
      <c r="K3230" s="494"/>
      <c r="L3230" s="497">
        <f t="shared" si="701"/>
        <v>0</v>
      </c>
      <c r="M3230" s="61"/>
    </row>
    <row r="3231" spans="2:13" ht="15.75" x14ac:dyDescent="0.25">
      <c r="B3231" s="768">
        <v>46315</v>
      </c>
      <c r="C3231" s="768" t="s">
        <v>105</v>
      </c>
      <c r="D3231" s="768" t="s">
        <v>13</v>
      </c>
      <c r="F3231" s="892"/>
      <c r="G3231" s="60" t="s">
        <v>16</v>
      </c>
      <c r="H3231" s="60" t="s">
        <v>83</v>
      </c>
      <c r="I3231" s="62"/>
      <c r="J3231" s="62"/>
      <c r="K3231" s="494"/>
      <c r="L3231" s="497">
        <f t="shared" si="701"/>
        <v>0</v>
      </c>
      <c r="M3231" s="61"/>
    </row>
    <row r="3232" spans="2:13" ht="15.75" x14ac:dyDescent="0.25">
      <c r="B3232" s="768">
        <v>46315</v>
      </c>
      <c r="C3232" s="768" t="s">
        <v>105</v>
      </c>
      <c r="D3232" s="768" t="s">
        <v>13</v>
      </c>
      <c r="F3232" s="890" t="s">
        <v>40</v>
      </c>
      <c r="G3232" s="890"/>
      <c r="H3232" s="890"/>
      <c r="I3232" s="99">
        <f>SUM(I3224:I3230)</f>
        <v>0</v>
      </c>
      <c r="J3232" s="99">
        <f t="shared" ref="J3232:L3232" si="702">SUM(J3224:J3230)</f>
        <v>0</v>
      </c>
      <c r="K3232" s="99">
        <f t="shared" si="702"/>
        <v>0</v>
      </c>
      <c r="L3232" s="99">
        <f t="shared" si="702"/>
        <v>0</v>
      </c>
      <c r="M3232" s="512"/>
    </row>
  </sheetData>
  <autoFilter ref="B6:M3232" xr:uid="{E19CE1B4-1952-4B87-873A-703AD1370BC3}">
    <filterColumn colId="0">
      <filters>
        <dateGroupItem year="2026" month="10" day="20" dateTimeGrouping="day"/>
      </filters>
    </filterColumn>
  </autoFilter>
  <mergeCells count="1194">
    <mergeCell ref="F2494:F2495"/>
    <mergeCell ref="F2295:F2298"/>
    <mergeCell ref="F2263:F2266"/>
    <mergeCell ref="F2110:H2110"/>
    <mergeCell ref="F2223:F2226"/>
    <mergeCell ref="F2227:H2227"/>
    <mergeCell ref="F2294:H2294"/>
    <mergeCell ref="F2288:F2291"/>
    <mergeCell ref="F3132:F3136"/>
    <mergeCell ref="F3137:F3139"/>
    <mergeCell ref="F3140:H3140"/>
    <mergeCell ref="F2262:H2262"/>
    <mergeCell ref="F2331:H2331"/>
    <mergeCell ref="F2209:F2212"/>
    <mergeCell ref="F2325:F2329"/>
    <mergeCell ref="F2199:F2201"/>
    <mergeCell ref="F2188:F2191"/>
    <mergeCell ref="F2198:H2198"/>
    <mergeCell ref="F2192:F2196"/>
    <mergeCell ref="F2249:F2252"/>
    <mergeCell ref="F2279:F2282"/>
    <mergeCell ref="F3125:F3126"/>
    <mergeCell ref="F3127:F3129"/>
    <mergeCell ref="F2228:F2232"/>
    <mergeCell ref="F2364:H2364"/>
    <mergeCell ref="F2347:H2347"/>
    <mergeCell ref="F2332:F2334"/>
    <mergeCell ref="F2335:F2338"/>
    <mergeCell ref="F2339:H2339"/>
    <mergeCell ref="F2425:H2425"/>
    <mergeCell ref="F2408:F2413"/>
    <mergeCell ref="F2417:H2417"/>
    <mergeCell ref="F1004:F1009"/>
    <mergeCell ref="F1017:F1018"/>
    <mergeCell ref="F1024:H1024"/>
    <mergeCell ref="F1020:F1021"/>
    <mergeCell ref="F1031:F1033"/>
    <mergeCell ref="F1070:H1070"/>
    <mergeCell ref="F1059:F1061"/>
    <mergeCell ref="F1062:F1063"/>
    <mergeCell ref="F1064:H1064"/>
    <mergeCell ref="F3007:F3009"/>
    <mergeCell ref="F3010:F3013"/>
    <mergeCell ref="F3015:H3015"/>
    <mergeCell ref="F2997:F3001"/>
    <mergeCell ref="F3002:F3005"/>
    <mergeCell ref="F3006:H3006"/>
    <mergeCell ref="F1116:H1116"/>
    <mergeCell ref="F1334:H1334"/>
    <mergeCell ref="F1341:F1344"/>
    <mergeCell ref="F1345:H1345"/>
    <mergeCell ref="F1495:H1495"/>
    <mergeCell ref="F1492:F1494"/>
    <mergeCell ref="F1500:H1500"/>
    <mergeCell ref="F1496:F1499"/>
    <mergeCell ref="F1487:F1489"/>
    <mergeCell ref="F1490:H1490"/>
    <mergeCell ref="F1547:F1548"/>
    <mergeCell ref="F1549:H1549"/>
    <mergeCell ref="F1561:F1564"/>
    <mergeCell ref="F1565:H1565"/>
    <mergeCell ref="F1584:F1588"/>
    <mergeCell ref="F1589:H1589"/>
    <mergeCell ref="F1550:F1552"/>
    <mergeCell ref="F1556:H1556"/>
    <mergeCell ref="F1571:F1572"/>
    <mergeCell ref="F1573:F1574"/>
    <mergeCell ref="F1576:F1579"/>
    <mergeCell ref="F1583:H1583"/>
    <mergeCell ref="F1580:F1582"/>
    <mergeCell ref="F1566:F1568"/>
    <mergeCell ref="F1569:H1569"/>
    <mergeCell ref="F1560:H1560"/>
    <mergeCell ref="F1558:F1559"/>
    <mergeCell ref="F1538:H1538"/>
    <mergeCell ref="F1539:F1540"/>
    <mergeCell ref="F1542:H1542"/>
    <mergeCell ref="F1543:F1546"/>
    <mergeCell ref="F1304:H1304"/>
    <mergeCell ref="F1995:H1995"/>
    <mergeCell ref="F1714:H1714"/>
    <mergeCell ref="F1732:H1732"/>
    <mergeCell ref="F1730:F1731"/>
    <mergeCell ref="F1721:H1721"/>
    <mergeCell ref="F1719:F1720"/>
    <mergeCell ref="F1716:F1717"/>
    <mergeCell ref="F1591:F1593"/>
    <mergeCell ref="F1617:H1617"/>
    <mergeCell ref="F1611:F1612"/>
    <mergeCell ref="F1613:F1616"/>
    <mergeCell ref="F1642:F1648"/>
    <mergeCell ref="F1649:H1649"/>
    <mergeCell ref="F1637:F1640"/>
    <mergeCell ref="F1641:H1641"/>
    <mergeCell ref="F1610:H1610"/>
    <mergeCell ref="F1595:F1598"/>
    <mergeCell ref="F1599:H1599"/>
    <mergeCell ref="F1608:F1609"/>
    <mergeCell ref="F1600:F1605"/>
    <mergeCell ref="F1606:H1606"/>
    <mergeCell ref="F1632:F1636"/>
    <mergeCell ref="F1624:F1630"/>
    <mergeCell ref="F1631:H1631"/>
    <mergeCell ref="F1594:H1594"/>
    <mergeCell ref="F1618:F1622"/>
    <mergeCell ref="F1623:H1623"/>
    <mergeCell ref="F1744:H1744"/>
    <mergeCell ref="F1745:F1746"/>
    <mergeCell ref="F1747:H1747"/>
    <mergeCell ref="F1760:F1761"/>
    <mergeCell ref="F2048:F2050"/>
    <mergeCell ref="F2051:F2053"/>
    <mergeCell ref="F1799:H1799"/>
    <mergeCell ref="F1790:F1793"/>
    <mergeCell ref="F1740:H1740"/>
    <mergeCell ref="F1733:F1739"/>
    <mergeCell ref="F1725:F1726"/>
    <mergeCell ref="F1727:F1728"/>
    <mergeCell ref="F1710:H1710"/>
    <mergeCell ref="F1650:F1656"/>
    <mergeCell ref="F1678:F1683"/>
    <mergeCell ref="F1686:H1686"/>
    <mergeCell ref="F1684:F1685"/>
    <mergeCell ref="F1698:H1698"/>
    <mergeCell ref="F1692:F1697"/>
    <mergeCell ref="F1677:H1677"/>
    <mergeCell ref="F1671:F1675"/>
    <mergeCell ref="F1707:H1707"/>
    <mergeCell ref="F1657:H1657"/>
    <mergeCell ref="F1699:F1704"/>
    <mergeCell ref="F1705:F1706"/>
    <mergeCell ref="F1687:F1690"/>
    <mergeCell ref="F1691:H1691"/>
    <mergeCell ref="F1658:F1661"/>
    <mergeCell ref="F1662:F1663"/>
    <mergeCell ref="F1664:H1664"/>
    <mergeCell ref="F1665:F1669"/>
    <mergeCell ref="F1670:H1670"/>
    <mergeCell ref="F1794:H1794"/>
    <mergeCell ref="F1954:H1954"/>
    <mergeCell ref="F1835:F1838"/>
    <mergeCell ref="F2054:H2054"/>
    <mergeCell ref="F1329:F1333"/>
    <mergeCell ref="F1328:H1328"/>
    <mergeCell ref="F1323:F1326"/>
    <mergeCell ref="F1575:H1575"/>
    <mergeCell ref="F1708:F1709"/>
    <mergeCell ref="F1712:F1713"/>
    <mergeCell ref="F1553:F1555"/>
    <mergeCell ref="F1762:F1766"/>
    <mergeCell ref="F1867:H1867"/>
    <mergeCell ref="F1795:F1798"/>
    <mergeCell ref="F1914:H1914"/>
    <mergeCell ref="F1909:F1913"/>
    <mergeCell ref="F1820:F1822"/>
    <mergeCell ref="F1823:H1823"/>
    <mergeCell ref="F1718:H1718"/>
    <mergeCell ref="F1729:H1729"/>
    <mergeCell ref="F1722:F1723"/>
    <mergeCell ref="F1724:H1724"/>
    <mergeCell ref="F1314:F1317"/>
    <mergeCell ref="F1322:H1322"/>
    <mergeCell ref="F1305:F1307"/>
    <mergeCell ref="F1308:H1308"/>
    <mergeCell ref="F1319:F1321"/>
    <mergeCell ref="F1318:H1318"/>
    <mergeCell ref="F1361:F1363"/>
    <mergeCell ref="F1534:F1535"/>
    <mergeCell ref="F1536:F1537"/>
    <mergeCell ref="F1523:F1526"/>
    <mergeCell ref="F1528:H1528"/>
    <mergeCell ref="F1514:F1516"/>
    <mergeCell ref="F1517:H1517"/>
    <mergeCell ref="F1501:F1505"/>
    <mergeCell ref="F1506:H1506"/>
    <mergeCell ref="F1529:F1532"/>
    <mergeCell ref="F1533:H1533"/>
    <mergeCell ref="F1522:H1522"/>
    <mergeCell ref="F1519:F1520"/>
    <mergeCell ref="F1513:H1513"/>
    <mergeCell ref="F1510:F1512"/>
    <mergeCell ref="F1509:H1509"/>
    <mergeCell ref="F1157:F1159"/>
    <mergeCell ref="F1160:H1160"/>
    <mergeCell ref="F1044:H1044"/>
    <mergeCell ref="F1038:F1043"/>
    <mergeCell ref="F1146:H1146"/>
    <mergeCell ref="F1088:H1088"/>
    <mergeCell ref="F1071:F1073"/>
    <mergeCell ref="F1074:F1075"/>
    <mergeCell ref="F1076:H1076"/>
    <mergeCell ref="F1104:H1104"/>
    <mergeCell ref="F1099:F1101"/>
    <mergeCell ref="F1206:F1209"/>
    <mergeCell ref="F1210:H1210"/>
    <mergeCell ref="F1155:F1156"/>
    <mergeCell ref="F1161:F1164"/>
    <mergeCell ref="F1205:H1205"/>
    <mergeCell ref="F1201:F1203"/>
    <mergeCell ref="F1193:F1195"/>
    <mergeCell ref="F1196:H1196"/>
    <mergeCell ref="F1189:F1191"/>
    <mergeCell ref="F1192:H1192"/>
    <mergeCell ref="F1197:F1199"/>
    <mergeCell ref="F1200:H1200"/>
    <mergeCell ref="F1184:F1187"/>
    <mergeCell ref="F1188:H1188"/>
    <mergeCell ref="F1179:F1182"/>
    <mergeCell ref="F1183:H1183"/>
    <mergeCell ref="F1169:F1172"/>
    <mergeCell ref="F1173:H1173"/>
    <mergeCell ref="F1168:H1168"/>
    <mergeCell ref="F1165:F1167"/>
    <mergeCell ref="F1178:H1178"/>
    <mergeCell ref="F1037:H1037"/>
    <mergeCell ref="F993:F997"/>
    <mergeCell ref="F998:H998"/>
    <mergeCell ref="F959:H959"/>
    <mergeCell ref="F999:F1000"/>
    <mergeCell ref="F1125:F1128"/>
    <mergeCell ref="F1129:F1130"/>
    <mergeCell ref="F1089:F1091"/>
    <mergeCell ref="F1092:H1092"/>
    <mergeCell ref="F1077:F1081"/>
    <mergeCell ref="F1082:H1082"/>
    <mergeCell ref="F1132:F1138"/>
    <mergeCell ref="F1025:F1029"/>
    <mergeCell ref="F1019:H1019"/>
    <mergeCell ref="F1011:F1015"/>
    <mergeCell ref="F1154:H1154"/>
    <mergeCell ref="F1065:F1069"/>
    <mergeCell ref="F1083:F1086"/>
    <mergeCell ref="F1105:F1109"/>
    <mergeCell ref="F1110:H1110"/>
    <mergeCell ref="F1093:F1097"/>
    <mergeCell ref="F1098:H1098"/>
    <mergeCell ref="F1117:F1123"/>
    <mergeCell ref="F1034:F1036"/>
    <mergeCell ref="F1140:F1142"/>
    <mergeCell ref="F1131:H1131"/>
    <mergeCell ref="F1143:F1145"/>
    <mergeCell ref="F1147:F1150"/>
    <mergeCell ref="F1151:F1153"/>
    <mergeCell ref="F1139:H1139"/>
    <mergeCell ref="F1001:F1002"/>
    <mergeCell ref="F1003:H1003"/>
    <mergeCell ref="F604:F606"/>
    <mergeCell ref="F607:H607"/>
    <mergeCell ref="F1124:H1124"/>
    <mergeCell ref="F1111:F1113"/>
    <mergeCell ref="F1114:F1115"/>
    <mergeCell ref="F764:F770"/>
    <mergeCell ref="F1058:H1058"/>
    <mergeCell ref="F1052:H1052"/>
    <mergeCell ref="F1045:F1046"/>
    <mergeCell ref="F1047:F1051"/>
    <mergeCell ref="F1053:F1057"/>
    <mergeCell ref="F984:F988"/>
    <mergeCell ref="F990:F991"/>
    <mergeCell ref="F992:H992"/>
    <mergeCell ref="F909:F914"/>
    <mergeCell ref="F917:H917"/>
    <mergeCell ref="F915:F916"/>
    <mergeCell ref="F758:F762"/>
    <mergeCell ref="F826:H826"/>
    <mergeCell ref="F829:F834"/>
    <mergeCell ref="F879:F884"/>
    <mergeCell ref="F871:F874"/>
    <mergeCell ref="F875:F877"/>
    <mergeCell ref="F878:H878"/>
    <mergeCell ref="F850:H850"/>
    <mergeCell ref="F865:F869"/>
    <mergeCell ref="F870:H870"/>
    <mergeCell ref="F864:H864"/>
    <mergeCell ref="F1102:F1103"/>
    <mergeCell ref="F951:F955"/>
    <mergeCell ref="F857:H857"/>
    <mergeCell ref="F941:H941"/>
    <mergeCell ref="F629:H629"/>
    <mergeCell ref="F639:F642"/>
    <mergeCell ref="F956:F958"/>
    <mergeCell ref="F902:F906"/>
    <mergeCell ref="F893:F895"/>
    <mergeCell ref="F562:F565"/>
    <mergeCell ref="F566:H566"/>
    <mergeCell ref="F652:F654"/>
    <mergeCell ref="F686:H686"/>
    <mergeCell ref="F694:F695"/>
    <mergeCell ref="F696:F699"/>
    <mergeCell ref="F677:H677"/>
    <mergeCell ref="F669:F676"/>
    <mergeCell ref="F735:F737"/>
    <mergeCell ref="F738:F741"/>
    <mergeCell ref="F742:H742"/>
    <mergeCell ref="F763:H763"/>
    <mergeCell ref="F756:F757"/>
    <mergeCell ref="F722:H722"/>
    <mergeCell ref="F728:H728"/>
    <mergeCell ref="F701:F707"/>
    <mergeCell ref="F687:F691"/>
    <mergeCell ref="F693:H693"/>
    <mergeCell ref="F678:F680"/>
    <mergeCell ref="F708:H708"/>
    <mergeCell ref="F700:H700"/>
    <mergeCell ref="F715:F717"/>
    <mergeCell ref="F714:H714"/>
    <mergeCell ref="F771:H771"/>
    <mergeCell ref="F709:F712"/>
    <mergeCell ref="F750:F753"/>
    <mergeCell ref="F755:H755"/>
    <mergeCell ref="F743:F748"/>
    <mergeCell ref="F643:H643"/>
    <mergeCell ref="F929:F931"/>
    <mergeCell ref="F924:H924"/>
    <mergeCell ref="F918:F922"/>
    <mergeCell ref="F855:F856"/>
    <mergeCell ref="F851:F854"/>
    <mergeCell ref="F844:F845"/>
    <mergeCell ref="F846:F849"/>
    <mergeCell ref="F781:F782"/>
    <mergeCell ref="F815:F818"/>
    <mergeCell ref="F843:H843"/>
    <mergeCell ref="F827:F828"/>
    <mergeCell ref="F836:F842"/>
    <mergeCell ref="F783:F785"/>
    <mergeCell ref="F786:H786"/>
    <mergeCell ref="F793:H793"/>
    <mergeCell ref="F819:H819"/>
    <mergeCell ref="F807:F811"/>
    <mergeCell ref="F801:F802"/>
    <mergeCell ref="F835:H835"/>
    <mergeCell ref="F820:F825"/>
    <mergeCell ref="F794:F798"/>
    <mergeCell ref="F800:H800"/>
    <mergeCell ref="F812:H812"/>
    <mergeCell ref="F803:F805"/>
    <mergeCell ref="F806:H806"/>
    <mergeCell ref="F858:F861"/>
    <mergeCell ref="F862:F863"/>
    <mergeCell ref="F541:F544"/>
    <mergeCell ref="F475:H475"/>
    <mergeCell ref="F508:F510"/>
    <mergeCell ref="F511:H511"/>
    <mergeCell ref="F526:F529"/>
    <mergeCell ref="F525:H525"/>
    <mergeCell ref="F681:H681"/>
    <mergeCell ref="F561:H561"/>
    <mergeCell ref="F576:F581"/>
    <mergeCell ref="F558:F560"/>
    <mergeCell ref="F557:H557"/>
    <mergeCell ref="F634:H634"/>
    <mergeCell ref="F664:H664"/>
    <mergeCell ref="F659:F663"/>
    <mergeCell ref="F1022:F1023"/>
    <mergeCell ref="F601:H601"/>
    <mergeCell ref="F602:F603"/>
    <mergeCell ref="F960:F963"/>
    <mergeCell ref="F964:F966"/>
    <mergeCell ref="F967:H967"/>
    <mergeCell ref="F1010:H1010"/>
    <mergeCell ref="F772:F778"/>
    <mergeCell ref="F780:H780"/>
    <mergeCell ref="F787:F792"/>
    <mergeCell ref="F813:F814"/>
    <mergeCell ref="F938:F940"/>
    <mergeCell ref="F932:H932"/>
    <mergeCell ref="F897:F900"/>
    <mergeCell ref="F901:H901"/>
    <mergeCell ref="F896:H896"/>
    <mergeCell ref="F613:F614"/>
    <mergeCell ref="F622:F628"/>
    <mergeCell ref="F387:F389"/>
    <mergeCell ref="F392:F394"/>
    <mergeCell ref="F407:F408"/>
    <mergeCell ref="F409:F410"/>
    <mergeCell ref="F411:H411"/>
    <mergeCell ref="F395:H395"/>
    <mergeCell ref="F412:F416"/>
    <mergeCell ref="F423:F426"/>
    <mergeCell ref="F734:H734"/>
    <mergeCell ref="F615:H615"/>
    <mergeCell ref="F616:F620"/>
    <mergeCell ref="F621:H621"/>
    <mergeCell ref="F633"/>
    <mergeCell ref="F658:H658"/>
    <mergeCell ref="F644:F650"/>
    <mergeCell ref="F668:H668"/>
    <mergeCell ref="F549:H549"/>
    <mergeCell ref="F729:F732"/>
    <mergeCell ref="F550:F555"/>
    <mergeCell ref="F583:F587"/>
    <mergeCell ref="F588:H588"/>
    <mergeCell ref="F608:F612"/>
    <mergeCell ref="F573:F574"/>
    <mergeCell ref="F582:H582"/>
    <mergeCell ref="F432:H432"/>
    <mergeCell ref="F439:H439"/>
    <mergeCell ref="F546:F548"/>
    <mergeCell ref="F682:F685"/>
    <mergeCell ref="F655:F657"/>
    <mergeCell ref="F651:H651"/>
    <mergeCell ref="F596:H596"/>
    <mergeCell ref="F597:F600"/>
    <mergeCell ref="F352:H352"/>
    <mergeCell ref="F359:F362"/>
    <mergeCell ref="F363:H363"/>
    <mergeCell ref="F339:H339"/>
    <mergeCell ref="F635:F638"/>
    <mergeCell ref="F630:F632"/>
    <mergeCell ref="F589:F594"/>
    <mergeCell ref="F567:F572"/>
    <mergeCell ref="F575:H575"/>
    <mergeCell ref="F545:H545"/>
    <mergeCell ref="F534:H534"/>
    <mergeCell ref="F464:F466"/>
    <mergeCell ref="F467:F468"/>
    <mergeCell ref="F463:H463"/>
    <mergeCell ref="F470:F474"/>
    <mergeCell ref="F459:F462"/>
    <mergeCell ref="F504:F506"/>
    <mergeCell ref="F492:F495"/>
    <mergeCell ref="F496:H496"/>
    <mergeCell ref="F480:F484"/>
    <mergeCell ref="F485:H485"/>
    <mergeCell ref="F497:F500"/>
    <mergeCell ref="F501:H501"/>
    <mergeCell ref="F540:H540"/>
    <mergeCell ref="F417:H417"/>
    <mergeCell ref="F502:F503"/>
    <mergeCell ref="F507:H507"/>
    <mergeCell ref="F518:H518"/>
    <mergeCell ref="F491:H491"/>
    <mergeCell ref="F535:F538"/>
    <mergeCell ref="F530:H530"/>
    <mergeCell ref="F531:F533"/>
    <mergeCell ref="F205:F206"/>
    <mergeCell ref="F218:H218"/>
    <mergeCell ref="F250:H250"/>
    <mergeCell ref="F238:H238"/>
    <mergeCell ref="F232:F234"/>
    <mergeCell ref="F236:F237"/>
    <mergeCell ref="F207:H207"/>
    <mergeCell ref="F219:F220"/>
    <mergeCell ref="F221:H221"/>
    <mergeCell ref="F310:H310"/>
    <mergeCell ref="F327:F329"/>
    <mergeCell ref="F289:H289"/>
    <mergeCell ref="F285:H285"/>
    <mergeCell ref="F290:F292"/>
    <mergeCell ref="F315:F317"/>
    <mergeCell ref="F214:F217"/>
    <mergeCell ref="F231:H231"/>
    <mergeCell ref="F306:F309"/>
    <mergeCell ref="F265:F268"/>
    <mergeCell ref="F293:H293"/>
    <mergeCell ref="F335:F338"/>
    <mergeCell ref="F193:F195"/>
    <mergeCell ref="F196:H196"/>
    <mergeCell ref="F208:F210"/>
    <mergeCell ref="F211:F212"/>
    <mergeCell ref="F427:H427"/>
    <mergeCell ref="F344:H344"/>
    <mergeCell ref="F340:F343"/>
    <mergeCell ref="F347:H347"/>
    <mergeCell ref="F382:H382"/>
    <mergeCell ref="F378:F381"/>
    <mergeCell ref="F358:H358"/>
    <mergeCell ref="F353:F356"/>
    <mergeCell ref="F364:F368"/>
    <mergeCell ref="F371:H371"/>
    <mergeCell ref="F372:F373"/>
    <mergeCell ref="F377:H377"/>
    <mergeCell ref="F374:F375"/>
    <mergeCell ref="F345:F346"/>
    <mergeCell ref="F348:F351"/>
    <mergeCell ref="F298:F300"/>
    <mergeCell ref="F301:H301"/>
    <mergeCell ref="F305:H305"/>
    <mergeCell ref="F302:F304"/>
    <mergeCell ref="F323:H323"/>
    <mergeCell ref="F311:F313"/>
    <mergeCell ref="F314:H314"/>
    <mergeCell ref="F320:F322"/>
    <mergeCell ref="F331:H331"/>
    <mergeCell ref="F324:F325"/>
    <mergeCell ref="F326:H326"/>
    <mergeCell ref="F319:H319"/>
    <mergeCell ref="F70:H70"/>
    <mergeCell ref="F65:H65"/>
    <mergeCell ref="F92:H92"/>
    <mergeCell ref="F87:F91"/>
    <mergeCell ref="F66:F68"/>
    <mergeCell ref="F78:F80"/>
    <mergeCell ref="F82:H82"/>
    <mergeCell ref="F83:F85"/>
    <mergeCell ref="F86:H86"/>
    <mergeCell ref="F77:H77"/>
    <mergeCell ref="F128:H128"/>
    <mergeCell ref="F162:F165"/>
    <mergeCell ref="F98:F99"/>
    <mergeCell ref="F71:F76"/>
    <mergeCell ref="F167:F170"/>
    <mergeCell ref="F140:F141"/>
    <mergeCell ref="F160:H160"/>
    <mergeCell ref="F129:F131"/>
    <mergeCell ref="F138:F139"/>
    <mergeCell ref="F113:H113"/>
    <mergeCell ref="F119:F120"/>
    <mergeCell ref="F121:F122"/>
    <mergeCell ref="F146:H146"/>
    <mergeCell ref="F93:F95"/>
    <mergeCell ref="F97:H97"/>
    <mergeCell ref="F108:F110"/>
    <mergeCell ref="F147:F149"/>
    <mergeCell ref="F156:H156"/>
    <mergeCell ref="F152:F154"/>
    <mergeCell ref="F151:H151"/>
    <mergeCell ref="F111:F112"/>
    <mergeCell ref="F101:H101"/>
    <mergeCell ref="B2:D4"/>
    <mergeCell ref="F7:F9"/>
    <mergeCell ref="F11:F13"/>
    <mergeCell ref="F17:F19"/>
    <mergeCell ref="F26:F29"/>
    <mergeCell ref="F21:F24"/>
    <mergeCell ref="F15:H15"/>
    <mergeCell ref="F10:H10"/>
    <mergeCell ref="F20:H20"/>
    <mergeCell ref="F25:H25"/>
    <mergeCell ref="F31:H31"/>
    <mergeCell ref="F36:H36"/>
    <mergeCell ref="F32:F35"/>
    <mergeCell ref="F43:H43"/>
    <mergeCell ref="F44:F47"/>
    <mergeCell ref="F59:F63"/>
    <mergeCell ref="F37:F42"/>
    <mergeCell ref="F49:F51"/>
    <mergeCell ref="F48:H48"/>
    <mergeCell ref="F52:H52"/>
    <mergeCell ref="F53:F57"/>
    <mergeCell ref="F58:H58"/>
    <mergeCell ref="F4:M4"/>
    <mergeCell ref="F187:F189"/>
    <mergeCell ref="F124:F125"/>
    <mergeCell ref="F143:F145"/>
    <mergeCell ref="F186:H186"/>
    <mergeCell ref="F178:F181"/>
    <mergeCell ref="F182:H182"/>
    <mergeCell ref="F294:F296"/>
    <mergeCell ref="F297:H297"/>
    <mergeCell ref="F260:H260"/>
    <mergeCell ref="F270:F274"/>
    <mergeCell ref="F275:H275"/>
    <mergeCell ref="F280:F284"/>
    <mergeCell ref="F286:F288"/>
    <mergeCell ref="F279:H279"/>
    <mergeCell ref="F132:H132"/>
    <mergeCell ref="F264:H264"/>
    <mergeCell ref="F251:F254"/>
    <mergeCell ref="F255:H255"/>
    <mergeCell ref="F246:F249"/>
    <mergeCell ref="F245:H245"/>
    <mergeCell ref="F256:F259"/>
    <mergeCell ref="F261:F263"/>
    <mergeCell ref="F171:H171"/>
    <mergeCell ref="F172:F174"/>
    <mergeCell ref="F177:H177"/>
    <mergeCell ref="F239:F244"/>
    <mergeCell ref="F235:H235"/>
    <mergeCell ref="F213:H213"/>
    <mergeCell ref="F197:F200"/>
    <mergeCell ref="F269:H269"/>
    <mergeCell ref="F276:F278"/>
    <mergeCell ref="F227:F230"/>
    <mergeCell ref="F102:F106"/>
    <mergeCell ref="F107:H107"/>
    <mergeCell ref="F142:H142"/>
    <mergeCell ref="F175:F176"/>
    <mergeCell ref="F166:H166"/>
    <mergeCell ref="F157:F159"/>
    <mergeCell ref="F428:F431"/>
    <mergeCell ref="F476:F478"/>
    <mergeCell ref="F479:H479"/>
    <mergeCell ref="F512:F517"/>
    <mergeCell ref="F519:F523"/>
    <mergeCell ref="F446:F451"/>
    <mergeCell ref="F453:F457"/>
    <mergeCell ref="F469:H469"/>
    <mergeCell ref="F452:H452"/>
    <mergeCell ref="F422:H422"/>
    <mergeCell ref="F123:H123"/>
    <mergeCell ref="F114:F115"/>
    <mergeCell ref="F116:F117"/>
    <mergeCell ref="F118:H118"/>
    <mergeCell ref="F126:F127"/>
    <mergeCell ref="F202:F204"/>
    <mergeCell ref="F201:H201"/>
    <mergeCell ref="F190:F191"/>
    <mergeCell ref="F192:H192"/>
    <mergeCell ref="F183:F185"/>
    <mergeCell ref="F133:F135"/>
    <mergeCell ref="F137:H137"/>
    <mergeCell ref="F222:F225"/>
    <mergeCell ref="F226:H226"/>
    <mergeCell ref="F486:F489"/>
    <mergeCell ref="F458:H458"/>
    <mergeCell ref="F334:H334"/>
    <mergeCell ref="F332:F333"/>
    <mergeCell ref="F383:F386"/>
    <mergeCell ref="F404:F405"/>
    <mergeCell ref="F406:H406"/>
    <mergeCell ref="F396:F399"/>
    <mergeCell ref="F400:H400"/>
    <mergeCell ref="F401:F403"/>
    <mergeCell ref="F445:H445"/>
    <mergeCell ref="F433:F438"/>
    <mergeCell ref="F390:H390"/>
    <mergeCell ref="F440:F444"/>
    <mergeCell ref="F418:F421"/>
    <mergeCell ref="F1030:H1030"/>
    <mergeCell ref="F723:F727"/>
    <mergeCell ref="F718:F721"/>
    <mergeCell ref="F749:H749"/>
    <mergeCell ref="F892:H892"/>
    <mergeCell ref="F886:F890"/>
    <mergeCell ref="F885:H885"/>
    <mergeCell ref="F978:F979"/>
    <mergeCell ref="F983:H983"/>
    <mergeCell ref="F981:F982"/>
    <mergeCell ref="F908:H908"/>
    <mergeCell ref="F925:F928"/>
    <mergeCell ref="F968:F973"/>
    <mergeCell ref="F974:F975"/>
    <mergeCell ref="F977:H977"/>
    <mergeCell ref="F942:F944"/>
    <mergeCell ref="F945:F948"/>
    <mergeCell ref="F950:H950"/>
    <mergeCell ref="F933:F937"/>
    <mergeCell ref="F1211:F1214"/>
    <mergeCell ref="F1215:H1215"/>
    <mergeCell ref="F1220:F1224"/>
    <mergeCell ref="F1225:H1225"/>
    <mergeCell ref="F1238:F1240"/>
    <mergeCell ref="F1242:H1242"/>
    <mergeCell ref="F1226:F1230"/>
    <mergeCell ref="F1231:H1231"/>
    <mergeCell ref="F1237:H1237"/>
    <mergeCell ref="F1219:H1219"/>
    <mergeCell ref="F1267:H1267"/>
    <mergeCell ref="F1261:H1261"/>
    <mergeCell ref="F1232:F1234"/>
    <mergeCell ref="F1262:F1265"/>
    <mergeCell ref="F1174:F1176"/>
    <mergeCell ref="F1288:F1292"/>
    <mergeCell ref="F1293:H1293"/>
    <mergeCell ref="F1276:F1279"/>
    <mergeCell ref="F1282:H1282"/>
    <mergeCell ref="F1280:F1281"/>
    <mergeCell ref="F1252:F1254"/>
    <mergeCell ref="F1271:H1271"/>
    <mergeCell ref="F1258:F1259"/>
    <mergeCell ref="F1256:F1257"/>
    <mergeCell ref="F1255:H1255"/>
    <mergeCell ref="F1268:F1270"/>
    <mergeCell ref="F1283:F1286"/>
    <mergeCell ref="F1287:H1287"/>
    <mergeCell ref="F1272:F1274"/>
    <mergeCell ref="F1275:H1275"/>
    <mergeCell ref="F1216:F1218"/>
    <mergeCell ref="F1247:F1249"/>
    <mergeCell ref="F1251:H1251"/>
    <mergeCell ref="F1243:F1245"/>
    <mergeCell ref="F1246:H1246"/>
    <mergeCell ref="F1309:F1312"/>
    <mergeCell ref="F1313:H1313"/>
    <mergeCell ref="F1294:F1296"/>
    <mergeCell ref="F1335:F1339"/>
    <mergeCell ref="F1340:H1340"/>
    <mergeCell ref="F1425:H1425"/>
    <mergeCell ref="F1421:F1422"/>
    <mergeCell ref="F1414:H1414"/>
    <mergeCell ref="F1409:F1413"/>
    <mergeCell ref="F1400:F1402"/>
    <mergeCell ref="F1403:H1403"/>
    <mergeCell ref="F1388:F1391"/>
    <mergeCell ref="F1392:H1392"/>
    <mergeCell ref="F1382:F1385"/>
    <mergeCell ref="F1386:H1386"/>
    <mergeCell ref="F1393:F1397"/>
    <mergeCell ref="F1399:H1399"/>
    <mergeCell ref="F1408:H1408"/>
    <mergeCell ref="F1405:F1406"/>
    <mergeCell ref="F1415:F1418"/>
    <mergeCell ref="F1419:H1419"/>
    <mergeCell ref="F1365:H1365"/>
    <mergeCell ref="F1351:H1351"/>
    <mergeCell ref="F1346:F1350"/>
    <mergeCell ref="F1360:H1360"/>
    <mergeCell ref="F1352:F1354"/>
    <mergeCell ref="F1355:H1355"/>
    <mergeCell ref="F1372:F1374"/>
    <mergeCell ref="F1356:F1358"/>
    <mergeCell ref="F1298:H1298"/>
    <mergeCell ref="F1481:H1481"/>
    <mergeCell ref="F1470:F1473"/>
    <mergeCell ref="F1474:H1474"/>
    <mergeCell ref="F1430:H1430"/>
    <mergeCell ref="F1431:F1434"/>
    <mergeCell ref="F1435:H1435"/>
    <mergeCell ref="F1447:H1447"/>
    <mergeCell ref="F1445:F1446"/>
    <mergeCell ref="F1437:F1438"/>
    <mergeCell ref="F1440:H1440"/>
    <mergeCell ref="F1486:H1486"/>
    <mergeCell ref="F1482:F1485"/>
    <mergeCell ref="F1475:F1477"/>
    <mergeCell ref="F1478:H1478"/>
    <mergeCell ref="F1467:F1468"/>
    <mergeCell ref="F1469:H1469"/>
    <mergeCell ref="F1462:F1464"/>
    <mergeCell ref="F1465:H1465"/>
    <mergeCell ref="F1455:F1460"/>
    <mergeCell ref="F1371:H1371"/>
    <mergeCell ref="F1367:F1370"/>
    <mergeCell ref="F1461:H1461"/>
    <mergeCell ref="F1454:H1454"/>
    <mergeCell ref="F1449:F1453"/>
    <mergeCell ref="F1441:F1442"/>
    <mergeCell ref="F1444:H1444"/>
    <mergeCell ref="F1377:F1380"/>
    <mergeCell ref="F1381:H1381"/>
    <mergeCell ref="F1375:H1375"/>
    <mergeCell ref="F1426:F1429"/>
    <mergeCell ref="F1299:F1303"/>
    <mergeCell ref="F1824:F1827"/>
    <mergeCell ref="F1828:H1828"/>
    <mergeCell ref="F1767:H1767"/>
    <mergeCell ref="F1748:F1750"/>
    <mergeCell ref="F1751:F1752"/>
    <mergeCell ref="F1786:F1788"/>
    <mergeCell ref="F1789:H1789"/>
    <mergeCell ref="F1753:H1753"/>
    <mergeCell ref="F1785:H1785"/>
    <mergeCell ref="F1782:F1784"/>
    <mergeCell ref="F1781:H1781"/>
    <mergeCell ref="F1768:F1770"/>
    <mergeCell ref="F1771:H1771"/>
    <mergeCell ref="F1756:F1758"/>
    <mergeCell ref="F1759:H1759"/>
    <mergeCell ref="F1754:F1755"/>
    <mergeCell ref="F1778:F1779"/>
    <mergeCell ref="F1772:F1776"/>
    <mergeCell ref="F1777:H1777"/>
    <mergeCell ref="F1741:F1743"/>
    <mergeCell ref="F1810:F1813"/>
    <mergeCell ref="F1814:H1814"/>
    <mergeCell ref="F1800:F1803"/>
    <mergeCell ref="F1804:H1804"/>
    <mergeCell ref="F1903:F1904"/>
    <mergeCell ref="F1905:F1907"/>
    <mergeCell ref="F1805:F1808"/>
    <mergeCell ref="F1809:H1809"/>
    <mergeCell ref="F1908:H1908"/>
    <mergeCell ref="F1868:F1871"/>
    <mergeCell ref="F1829:F1833"/>
    <mergeCell ref="F1834:H1834"/>
    <mergeCell ref="F1840:F1844"/>
    <mergeCell ref="F1862:H1862"/>
    <mergeCell ref="F1857:F1858"/>
    <mergeCell ref="F1859:F1861"/>
    <mergeCell ref="F1846:F1850"/>
    <mergeCell ref="F1851:H1851"/>
    <mergeCell ref="F1852:F1855"/>
    <mergeCell ref="F1856:H1856"/>
    <mergeCell ref="F1839:H1839"/>
    <mergeCell ref="F1845:H1845"/>
    <mergeCell ref="F1872:H1872"/>
    <mergeCell ref="F1874:H1874"/>
    <mergeCell ref="F1815:F1818"/>
    <mergeCell ref="F1819:H1819"/>
    <mergeCell ref="F1896:H1896"/>
    <mergeCell ref="F1881:F1886"/>
    <mergeCell ref="F1887:H1887"/>
    <mergeCell ref="F1880:H1880"/>
    <mergeCell ref="F1897:F1899"/>
    <mergeCell ref="F1863:F1866"/>
    <mergeCell ref="F1981:F1982"/>
    <mergeCell ref="F1987:H1987"/>
    <mergeCell ref="F1875:F1876"/>
    <mergeCell ref="F1877:F1879"/>
    <mergeCell ref="F1973:F1974"/>
    <mergeCell ref="F1975:H1975"/>
    <mergeCell ref="F1983:F1986"/>
    <mergeCell ref="F1989:F1994"/>
    <mergeCell ref="F1977:F1978"/>
    <mergeCell ref="F1968:F1971"/>
    <mergeCell ref="F1915:F1919"/>
    <mergeCell ref="F1920:H1920"/>
    <mergeCell ref="F1923:F1924"/>
    <mergeCell ref="F1926:H1926"/>
    <mergeCell ref="F1936:F1940"/>
    <mergeCell ref="F1942:H1942"/>
    <mergeCell ref="F1943:F1947"/>
    <mergeCell ref="F1949:H1949"/>
    <mergeCell ref="F1950:F1951"/>
    <mergeCell ref="F1935:H1935"/>
    <mergeCell ref="F1980:H1980"/>
    <mergeCell ref="F1961:F1964"/>
    <mergeCell ref="F1967:H1967"/>
    <mergeCell ref="F1900:H1900"/>
    <mergeCell ref="F1902:H1902"/>
    <mergeCell ref="F1888:F1893"/>
    <mergeCell ref="F1894:H1894"/>
    <mergeCell ref="F1965:F1966"/>
    <mergeCell ref="F1930:F1932"/>
    <mergeCell ref="F1933:F1934"/>
    <mergeCell ref="F1960:H1960"/>
    <mergeCell ref="F1956:F1958"/>
    <mergeCell ref="F1997:F2002"/>
    <mergeCell ref="F2003:H2003"/>
    <mergeCell ref="F2038:H2038"/>
    <mergeCell ref="F2039:F2043"/>
    <mergeCell ref="F2138:H2138"/>
    <mergeCell ref="F2123:F2126"/>
    <mergeCell ref="F2127:F2128"/>
    <mergeCell ref="F2129:H2129"/>
    <mergeCell ref="F2031:F2035"/>
    <mergeCell ref="F2036:F2037"/>
    <mergeCell ref="F2021:F2025"/>
    <mergeCell ref="F2030:H2030"/>
    <mergeCell ref="F2026:F2029"/>
    <mergeCell ref="F2020:H2020"/>
    <mergeCell ref="F2018:F2019"/>
    <mergeCell ref="F2122:H2122"/>
    <mergeCell ref="F2114:F2115"/>
    <mergeCell ref="F2116:H2116"/>
    <mergeCell ref="F2111:F2113"/>
    <mergeCell ref="F2014:F2017"/>
    <mergeCell ref="F2096:H2096"/>
    <mergeCell ref="F2093:F2094"/>
    <mergeCell ref="F2044:F2046"/>
    <mergeCell ref="F2047:H2047"/>
    <mergeCell ref="F2013:H2013"/>
    <mergeCell ref="F2004:F2008"/>
    <mergeCell ref="F2009:F2011"/>
    <mergeCell ref="F2097:F2099"/>
    <mergeCell ref="F2102:H2102"/>
    <mergeCell ref="F2100:F2101"/>
    <mergeCell ref="F2080:F2084"/>
    <mergeCell ref="F2055:F2059"/>
    <mergeCell ref="F2060:F2062"/>
    <mergeCell ref="F2063:H2063"/>
    <mergeCell ref="F2072:F2074"/>
    <mergeCell ref="F2075:F2078"/>
    <mergeCell ref="F2079:H2079"/>
    <mergeCell ref="F2309:H2309"/>
    <mergeCell ref="F2303:F2304"/>
    <mergeCell ref="F2305:F2308"/>
    <mergeCell ref="F2271:F2274"/>
    <mergeCell ref="F2103:F2109"/>
    <mergeCell ref="F2146:H2146"/>
    <mergeCell ref="F2143:F2145"/>
    <mergeCell ref="F2139:F2142"/>
    <mergeCell ref="F2130:F2136"/>
    <mergeCell ref="F2117:F2121"/>
    <mergeCell ref="F2270:H2270"/>
    <mergeCell ref="F2169:H2169"/>
    <mergeCell ref="F2157:F2159"/>
    <mergeCell ref="F2163:H2163"/>
    <mergeCell ref="F2161:F2162"/>
    <mergeCell ref="F2147:F2154"/>
    <mergeCell ref="F2156:H2156"/>
    <mergeCell ref="F2182:F2186"/>
    <mergeCell ref="F2171:F2172"/>
    <mergeCell ref="F2173:F2175"/>
    <mergeCell ref="F2176:H2176"/>
    <mergeCell ref="F2187:H2187"/>
    <mergeCell ref="F2256:F2258"/>
    <mergeCell ref="F2259:F2261"/>
    <mergeCell ref="F2283:F2286"/>
    <mergeCell ref="F2087:H2087"/>
    <mergeCell ref="F2064:F2067"/>
    <mergeCell ref="F2068:F2070"/>
    <mergeCell ref="F2071:H2071"/>
    <mergeCell ref="F2310:F2313"/>
    <mergeCell ref="F2319:F2323"/>
    <mergeCell ref="F2324:H2324"/>
    <mergeCell ref="F2315:H2315"/>
    <mergeCell ref="F2242:F2246"/>
    <mergeCell ref="F2234:H2234"/>
    <mergeCell ref="F2202:F2204"/>
    <mergeCell ref="F2220:F2222"/>
    <mergeCell ref="F2248:H2248"/>
    <mergeCell ref="F2235:F2237"/>
    <mergeCell ref="F2241:H2241"/>
    <mergeCell ref="F2238:F2240"/>
    <mergeCell ref="F2165:F2168"/>
    <mergeCell ref="F2275:F2277"/>
    <mergeCell ref="F2287:H2287"/>
    <mergeCell ref="F2206:F2208"/>
    <mergeCell ref="F2213:H2213"/>
    <mergeCell ref="F2219:H2219"/>
    <mergeCell ref="F2214:F2218"/>
    <mergeCell ref="F2177:F2181"/>
    <mergeCell ref="F2255:H2255"/>
    <mergeCell ref="F2253:F2254"/>
    <mergeCell ref="F2205:H2205"/>
    <mergeCell ref="F2316:F2318"/>
    <mergeCell ref="F2302:H2302"/>
    <mergeCell ref="F2299:F2300"/>
    <mergeCell ref="F2278:H2278"/>
    <mergeCell ref="F2085:F2086"/>
    <mergeCell ref="F2088:F2092"/>
    <mergeCell ref="F2414:F2416"/>
    <mergeCell ref="F2381:F2383"/>
    <mergeCell ref="F2384:F2387"/>
    <mergeCell ref="F2388:H2388"/>
    <mergeCell ref="F2407:H2407"/>
    <mergeCell ref="F2399:F2400"/>
    <mergeCell ref="F2418:F2419"/>
    <mergeCell ref="F2373:F2377"/>
    <mergeCell ref="F2378:F2379"/>
    <mergeCell ref="F2365:F2367"/>
    <mergeCell ref="F2368:F2371"/>
    <mergeCell ref="F2372:H2372"/>
    <mergeCell ref="F2340:F2343"/>
    <mergeCell ref="F2344:F2346"/>
    <mergeCell ref="F2348:F2350"/>
    <mergeCell ref="F2355:H2355"/>
    <mergeCell ref="F2356:F2361"/>
    <mergeCell ref="F2362:F2363"/>
    <mergeCell ref="F2351:F2354"/>
    <mergeCell ref="F2267:F2269"/>
    <mergeCell ref="F2480:F2481"/>
    <mergeCell ref="F2482:F2485"/>
    <mergeCell ref="F2472:F2475"/>
    <mergeCell ref="F2479:H2479"/>
    <mergeCell ref="F2477:F2478"/>
    <mergeCell ref="F2463:F2467"/>
    <mergeCell ref="F2471:H2471"/>
    <mergeCell ref="F2432:F2433"/>
    <mergeCell ref="F2497:F2500"/>
    <mergeCell ref="F2501:F2502"/>
    <mergeCell ref="F2503:H2503"/>
    <mergeCell ref="F2496:H2496"/>
    <mergeCell ref="F2487:F2493"/>
    <mergeCell ref="F2486:H2486"/>
    <mergeCell ref="F2380:H2380"/>
    <mergeCell ref="F2453:F2456"/>
    <mergeCell ref="F2457:F2461"/>
    <mergeCell ref="F2462:H2462"/>
    <mergeCell ref="F2435:F2437"/>
    <mergeCell ref="F2443:H2443"/>
    <mergeCell ref="F2438:F2442"/>
    <mergeCell ref="F2468:F2469"/>
    <mergeCell ref="F2444:F2449"/>
    <mergeCell ref="F2450:F2451"/>
    <mergeCell ref="F2452:H2452"/>
    <mergeCell ref="F2434:H2434"/>
    <mergeCell ref="F2426:F2431"/>
    <mergeCell ref="F2401:F2405"/>
    <mergeCell ref="F2389:F2393"/>
    <mergeCell ref="F2394:F2397"/>
    <mergeCell ref="F2398:H2398"/>
    <mergeCell ref="F2420:F2424"/>
    <mergeCell ref="F2531:H2531"/>
    <mergeCell ref="F2523:F2528"/>
    <mergeCell ref="F2529:F2530"/>
    <mergeCell ref="F2549:F2551"/>
    <mergeCell ref="F2556:H2556"/>
    <mergeCell ref="F2552:F2554"/>
    <mergeCell ref="F2615:F2617"/>
    <mergeCell ref="F2618:F2622"/>
    <mergeCell ref="F2623:H2623"/>
    <mergeCell ref="F2513:H2513"/>
    <mergeCell ref="F2504:F2508"/>
    <mergeCell ref="F2509:F2512"/>
    <mergeCell ref="F2532:F2536"/>
    <mergeCell ref="F2537:F2539"/>
    <mergeCell ref="F2540:H2540"/>
    <mergeCell ref="F2567:F2570"/>
    <mergeCell ref="F2576:H2576"/>
    <mergeCell ref="F2571:F2573"/>
    <mergeCell ref="F2557:F2562"/>
    <mergeCell ref="F2563:F2565"/>
    <mergeCell ref="F2566:H2566"/>
    <mergeCell ref="F2548:H2548"/>
    <mergeCell ref="F2541:F2545"/>
    <mergeCell ref="F2546:F2547"/>
    <mergeCell ref="F2522:H2522"/>
    <mergeCell ref="F2518:F2521"/>
    <mergeCell ref="F2514:F2517"/>
    <mergeCell ref="F2588:F2589"/>
    <mergeCell ref="F2591:F2595"/>
    <mergeCell ref="F2596:H2596"/>
    <mergeCell ref="F2577:F2583"/>
    <mergeCell ref="F2587:H2587"/>
    <mergeCell ref="F2585:F2586"/>
    <mergeCell ref="F2612:F2613"/>
    <mergeCell ref="F2614:H2614"/>
    <mergeCell ref="F2604:F2611"/>
    <mergeCell ref="F2598:F2602"/>
    <mergeCell ref="F2603:H2603"/>
    <mergeCell ref="F2664:F2669"/>
    <mergeCell ref="F2670:F2671"/>
    <mergeCell ref="F2672:H2672"/>
    <mergeCell ref="F2712:F2715"/>
    <mergeCell ref="F2717:F2719"/>
    <mergeCell ref="F2720:H2720"/>
    <mergeCell ref="F2709:F2710"/>
    <mergeCell ref="F2711:H2711"/>
    <mergeCell ref="F2703:F2707"/>
    <mergeCell ref="F2624:F2631"/>
    <mergeCell ref="F2632:F2633"/>
    <mergeCell ref="F2634:H2634"/>
    <mergeCell ref="F2640:F2642"/>
    <mergeCell ref="F2643:H2643"/>
    <mergeCell ref="F2654:F2657"/>
    <mergeCell ref="F2658:F2662"/>
    <mergeCell ref="F2663:H2663"/>
    <mergeCell ref="F2644:F2650"/>
    <mergeCell ref="F2651:F2652"/>
    <mergeCell ref="F2653:H2653"/>
    <mergeCell ref="F2635:F2639"/>
    <mergeCell ref="F2677:F2681"/>
    <mergeCell ref="F2682:H2682"/>
    <mergeCell ref="F2673:F2676"/>
    <mergeCell ref="F2862:H2862"/>
    <mergeCell ref="F2722:F2725"/>
    <mergeCell ref="F2693:F2697"/>
    <mergeCell ref="F2698:F2701"/>
    <mergeCell ref="F2702:H2702"/>
    <mergeCell ref="F2812:F2816"/>
    <mergeCell ref="F2820:H2820"/>
    <mergeCell ref="F2817:F2819"/>
    <mergeCell ref="F2683:F2689"/>
    <mergeCell ref="F2690:F2691"/>
    <mergeCell ref="F2692:H2692"/>
    <mergeCell ref="F2800:F2803"/>
    <mergeCell ref="F2811:H2811"/>
    <mergeCell ref="F2804:F2809"/>
    <mergeCell ref="F2796:F2798"/>
    <mergeCell ref="F2799:H2799"/>
    <mergeCell ref="F2750:H2750"/>
    <mergeCell ref="F2745:F2748"/>
    <mergeCell ref="F2751:F2755"/>
    <mergeCell ref="F2758:H2758"/>
    <mergeCell ref="F2756:F2757"/>
    <mergeCell ref="F2759:F2762"/>
    <mergeCell ref="F2769:H2769"/>
    <mergeCell ref="F2763:F2765"/>
    <mergeCell ref="F2766:F2768"/>
    <mergeCell ref="F2872:F2873"/>
    <mergeCell ref="F2829:H2829"/>
    <mergeCell ref="F2830:F2832"/>
    <mergeCell ref="F2838:H2838"/>
    <mergeCell ref="F2835:F2837"/>
    <mergeCell ref="F2833:F2834"/>
    <mergeCell ref="F2738:F2744"/>
    <mergeCell ref="F2728:F2733"/>
    <mergeCell ref="F2737:H2737"/>
    <mergeCell ref="F2734:F2736"/>
    <mergeCell ref="F2727:H2727"/>
    <mergeCell ref="F2770:F2774"/>
    <mergeCell ref="F2775:F2777"/>
    <mergeCell ref="F2778:H2778"/>
    <mergeCell ref="F2890:H2890"/>
    <mergeCell ref="F2880:F2887"/>
    <mergeCell ref="F2888:F2889"/>
    <mergeCell ref="F2848:F2850"/>
    <mergeCell ref="F2851:F2855"/>
    <mergeCell ref="F2856:H2856"/>
    <mergeCell ref="F2844:F2846"/>
    <mergeCell ref="F2847:H2847"/>
    <mergeCell ref="F2839:F2841"/>
    <mergeCell ref="F2842:F2843"/>
    <mergeCell ref="F2821:F2823"/>
    <mergeCell ref="F2824:F2826"/>
    <mergeCell ref="F2789:F2795"/>
    <mergeCell ref="F2779:F2782"/>
    <mergeCell ref="F2783:F2785"/>
    <mergeCell ref="F2786:F2787"/>
    <mergeCell ref="F2788:H2788"/>
    <mergeCell ref="F2858:F2861"/>
    <mergeCell ref="F2967:H2967"/>
    <mergeCell ref="F2863:F2868"/>
    <mergeCell ref="F2871:H2871"/>
    <mergeCell ref="F2869:F2870"/>
    <mergeCell ref="F2990:F2993"/>
    <mergeCell ref="F2996:H2996"/>
    <mergeCell ref="F2994:F2995"/>
    <mergeCell ref="F2974:F2975"/>
    <mergeCell ref="F2970:F2973"/>
    <mergeCell ref="F2953:F2956"/>
    <mergeCell ref="F2960:H2960"/>
    <mergeCell ref="F2958:F2959"/>
    <mergeCell ref="F2952:H2952"/>
    <mergeCell ref="F2944:F2946"/>
    <mergeCell ref="F2947:F2949"/>
    <mergeCell ref="F2918:F2922"/>
    <mergeCell ref="F2927:H2927"/>
    <mergeCell ref="F2923:F2926"/>
    <mergeCell ref="F2898:F2902"/>
    <mergeCell ref="F2906:H2906"/>
    <mergeCell ref="F2903:F2905"/>
    <mergeCell ref="F2987:H2987"/>
    <mergeCell ref="F2977:F2981"/>
    <mergeCell ref="F2982:F2986"/>
    <mergeCell ref="F2976:H2976"/>
    <mergeCell ref="F2968:F2969"/>
    <mergeCell ref="F2943:H2943"/>
    <mergeCell ref="F2936:F2940"/>
    <mergeCell ref="F2941:F2942"/>
    <mergeCell ref="F2935:H2935"/>
    <mergeCell ref="F2928:F2929"/>
    <mergeCell ref="F2879:H2879"/>
    <mergeCell ref="F3037:F3040"/>
    <mergeCell ref="F3041:F3043"/>
    <mergeCell ref="F3044:H3044"/>
    <mergeCell ref="F3056:F3059"/>
    <mergeCell ref="F3060:H3060"/>
    <mergeCell ref="F3160:F3163"/>
    <mergeCell ref="F3124:H3124"/>
    <mergeCell ref="F3028:F3031"/>
    <mergeCell ref="F3032:F3034"/>
    <mergeCell ref="F3036:H3036"/>
    <mergeCell ref="F3027:H3027"/>
    <mergeCell ref="F3016:F3021"/>
    <mergeCell ref="F3022:F3026"/>
    <mergeCell ref="F3105:F3109"/>
    <mergeCell ref="F3110:F3111"/>
    <mergeCell ref="F3112:F3113"/>
    <mergeCell ref="F2874:F2878"/>
    <mergeCell ref="F2930:F2933"/>
    <mergeCell ref="F2917:H2917"/>
    <mergeCell ref="F2907:F2910"/>
    <mergeCell ref="F2911:F2914"/>
    <mergeCell ref="F2915:F2916"/>
    <mergeCell ref="F2961:F2962"/>
    <mergeCell ref="F2964:F2966"/>
    <mergeCell ref="F2988:F2989"/>
    <mergeCell ref="F2891:F2892"/>
    <mergeCell ref="F2897:H2897"/>
    <mergeCell ref="F2893:F2895"/>
    <mergeCell ref="F3076:F3078"/>
    <mergeCell ref="F3085:H3085"/>
    <mergeCell ref="F3080:F3084"/>
    <mergeCell ref="F3096:F3100"/>
    <mergeCell ref="F3114:H3114"/>
    <mergeCell ref="F3104:H3104"/>
    <mergeCell ref="F3215:H3215"/>
    <mergeCell ref="F3208:F3213"/>
    <mergeCell ref="F3095:H3095"/>
    <mergeCell ref="F3087:F3092"/>
    <mergeCell ref="F3093:F3094"/>
    <mergeCell ref="F3045:F3046"/>
    <mergeCell ref="F3050:F3051"/>
    <mergeCell ref="F3052:H3052"/>
    <mergeCell ref="F3101:F3103"/>
    <mergeCell ref="F3075:H3075"/>
    <mergeCell ref="F3068:F3072"/>
    <mergeCell ref="F3061:F3063"/>
    <mergeCell ref="F3064:F3066"/>
    <mergeCell ref="F3067:H3067"/>
    <mergeCell ref="F3053:F3055"/>
    <mergeCell ref="F3131:H3131"/>
    <mergeCell ref="F3115:F3119"/>
    <mergeCell ref="F3120:F3123"/>
    <mergeCell ref="F3198:H3198"/>
    <mergeCell ref="F3188:F3192"/>
    <mergeCell ref="F3193:F3197"/>
    <mergeCell ref="F3179:F3183"/>
    <mergeCell ref="F3184:F3186"/>
    <mergeCell ref="F3187:H3187"/>
    <mergeCell ref="F3178:H3178"/>
    <mergeCell ref="F3168:F3173"/>
    <mergeCell ref="F3167:H3167"/>
    <mergeCell ref="F3232:H3232"/>
    <mergeCell ref="F3224:F3229"/>
    <mergeCell ref="F3230:F3231"/>
    <mergeCell ref="F3223:H3223"/>
    <mergeCell ref="F3216:F3217"/>
    <mergeCell ref="F3218:F3221"/>
    <mergeCell ref="F3199:F3202"/>
    <mergeCell ref="F3203:F3205"/>
    <mergeCell ref="F3207:H3207"/>
    <mergeCell ref="F3174:F3176"/>
    <mergeCell ref="F3164:F3166"/>
    <mergeCell ref="F3159:H3159"/>
    <mergeCell ref="F3149:F3155"/>
    <mergeCell ref="F3156:F3158"/>
    <mergeCell ref="F3141:F3144"/>
    <mergeCell ref="F3148:H3148"/>
    <mergeCell ref="F3145:F3147"/>
  </mergeCells>
  <phoneticPr fontId="2" type="noConversion"/>
  <conditionalFormatting sqref="C2615:C2623">
    <cfRule type="uniqueValues" dxfId="1" priority="9"/>
  </conditionalFormatting>
  <conditionalFormatting sqref="C2936:D2943 C3007:D3015 C3045:D3052 C3076:D3085">
    <cfRule type="timePeriod" dxfId="0" priority="6" timePeriod="yesterday">
      <formula>FLOOR(C2936,1)=TODAY()-1</formula>
    </cfRule>
  </conditionalFormatting>
  <pageMargins left="0.7" right="0.7" top="0.75" bottom="0.75" header="0.3" footer="0.3"/>
  <pageSetup paperSize="9" orientation="portrait" r:id="rId1"/>
  <ignoredErrors>
    <ignoredError sqref="I23:L30 L10" formula="1"/>
    <ignoredError sqref="I31:L31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Tình trạng cấp NVL</vt:lpstr>
      <vt:lpstr>Kết quả cấp NVL</vt:lpstr>
      <vt:lpstr>'Kết quả cấp NVL'!Print_Area</vt:lpstr>
      <vt:lpstr>'Tình trạng cấp NVL'!Print_Area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Tuấn (VF-KSX-NMHP)</dc:creator>
  <cp:lastModifiedBy>Phạm Tiến Tài (FVN-KSX-NMVFHP)</cp:lastModifiedBy>
  <cp:lastPrinted>2026-10-08T05:28:55Z</cp:lastPrinted>
  <dcterms:created xsi:type="dcterms:W3CDTF">2026-03-12T21:06:16Z</dcterms:created>
  <dcterms:modified xsi:type="dcterms:W3CDTF">2026-10-20T09:53:55Z</dcterms:modified>
</cp:coreProperties>
</file>