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4974\QuangAnhPhung\Documents\ACTUARY NĂM 3\2_FRM 1\Excel\"/>
    </mc:Choice>
  </mc:AlternateContent>
  <xr:revisionPtr revIDLastSave="0" documentId="13_ncr:1_{D6274583-CDBC-467C-A85A-550164CAF013}" xr6:coauthVersionLast="47" xr6:coauthVersionMax="47" xr10:uidLastSave="{00000000-0000-0000-0000-000000000000}"/>
  <bookViews>
    <workbookView xWindow="-98" yWindow="-98" windowWidth="19396" windowHeight="11475" tabRatio="792" xr2:uid="{00000000-000D-0000-FFFF-FFFF00000000}"/>
  </bookViews>
  <sheets>
    <sheet name="IRR" sheetId="3" r:id="rId1"/>
    <sheet name="KGR_VND" sheetId="18" r:id="rId2"/>
    <sheet name="KGR_USD" sheetId="19" r:id="rId3"/>
    <sheet name="KSR +Results" sheetId="20" r:id="rId4"/>
    <sheet name="Sheet1" sheetId="15" r:id="rId5"/>
    <sheet name="Sheet2" sheetId="16" r:id="rId6"/>
  </sheets>
  <externalReferences>
    <externalReference r:id="rId7"/>
    <externalReference r:id="rId8"/>
    <externalReference r:id="rId9"/>
    <externalReference r:id="rId10"/>
  </externalReferences>
  <definedNames>
    <definedName name="_AMO_UniqueIdentifier" hidden="1">"'bff25908-9f5f-48a5-8478-b2b7baa162b3'"</definedName>
    <definedName name="_xlnm._FilterDatabase" localSheetId="0" hidden="1">IRR!$A$3:$H$73</definedName>
    <definedName name="Approach">[1]Parameters!$C$353:$C$355</definedName>
    <definedName name="Check">#REF!</definedName>
    <definedName name="DataDT">'[2]Main menu'!$KI$20</definedName>
    <definedName name="Group">[1]Parameters!$C$318:$C$319</definedName>
    <definedName name="ReportingDT">'[2]Main menu'!$KI$18</definedName>
    <definedName name="Temp">'[3]Data requirement'!$H$1</definedName>
    <definedName name="underlying">'[4]RRTDĐT-Dữ liệu &amp; Vốn'!$S$2:$X$2</definedName>
    <definedName name="YesNo">[1]Parameters!$C$316:$C$317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3" l="1"/>
  <c r="K90" i="3"/>
  <c r="J90" i="3"/>
  <c r="J92" i="3"/>
  <c r="K102" i="3" l="1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1" i="3"/>
  <c r="K92" i="3"/>
  <c r="K93" i="3"/>
  <c r="K94" i="3"/>
  <c r="K95" i="3"/>
  <c r="K96" i="3"/>
  <c r="K97" i="3"/>
  <c r="K98" i="3"/>
  <c r="K99" i="3"/>
  <c r="K100" i="3"/>
  <c r="K101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4" i="3"/>
  <c r="I200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J91" i="3" s="1"/>
  <c r="I92" i="3"/>
  <c r="I93" i="3"/>
  <c r="I94" i="3"/>
  <c r="I95" i="3"/>
  <c r="I96" i="3"/>
  <c r="I97" i="3"/>
  <c r="I98" i="3"/>
  <c r="I99" i="3"/>
  <c r="I100" i="3"/>
  <c r="I101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4" i="3"/>
  <c r="C7" i="19" l="1"/>
  <c r="B7" i="19"/>
  <c r="C6" i="19"/>
  <c r="B6" i="19"/>
  <c r="B5" i="19"/>
  <c r="C7" i="18"/>
  <c r="B7" i="18"/>
  <c r="C6" i="18"/>
  <c r="B6" i="18"/>
  <c r="B5" i="18"/>
  <c r="B2" i="20" l="1"/>
  <c r="E18" i="19"/>
  <c r="G18" i="19" s="1"/>
  <c r="E12" i="19"/>
  <c r="G12" i="19" s="1"/>
  <c r="E17" i="19"/>
  <c r="G17" i="19" s="1"/>
  <c r="E13" i="19"/>
  <c r="G13" i="19" s="1"/>
  <c r="E6" i="19"/>
  <c r="G6" i="19" s="1"/>
  <c r="E14" i="19"/>
  <c r="G14" i="19" s="1"/>
  <c r="E7" i="19"/>
  <c r="G7" i="19" s="1"/>
  <c r="E15" i="19"/>
  <c r="G15" i="19" s="1"/>
  <c r="E8" i="19"/>
  <c r="E16" i="19"/>
  <c r="E9" i="19"/>
  <c r="G9" i="19" s="1"/>
  <c r="E5" i="19"/>
  <c r="G5" i="19" s="1"/>
  <c r="E10" i="19"/>
  <c r="G10" i="19" s="1"/>
  <c r="E19" i="19"/>
  <c r="G19" i="19" s="1"/>
  <c r="E11" i="19"/>
  <c r="G11" i="19" s="1"/>
  <c r="E6" i="18"/>
  <c r="G6" i="18" s="1"/>
  <c r="E14" i="18"/>
  <c r="E7" i="18"/>
  <c r="G7" i="18" s="1"/>
  <c r="E15" i="18"/>
  <c r="G15" i="18" s="1"/>
  <c r="E8" i="18"/>
  <c r="G8" i="18" s="1"/>
  <c r="E16" i="18"/>
  <c r="G16" i="18" s="1"/>
  <c r="E9" i="18"/>
  <c r="G9" i="18" s="1"/>
  <c r="E5" i="18"/>
  <c r="G5" i="18" s="1"/>
  <c r="E10" i="18"/>
  <c r="G10" i="18" s="1"/>
  <c r="E19" i="18"/>
  <c r="G19" i="18" s="1"/>
  <c r="E11" i="18"/>
  <c r="G11" i="18" s="1"/>
  <c r="E18" i="18"/>
  <c r="G18" i="18" s="1"/>
  <c r="E12" i="18"/>
  <c r="G12" i="18" s="1"/>
  <c r="E17" i="18"/>
  <c r="G17" i="18" s="1"/>
  <c r="E13" i="18"/>
  <c r="G13" i="18" s="1"/>
  <c r="F17" i="18"/>
  <c r="H17" i="18" s="1"/>
  <c r="F13" i="18"/>
  <c r="H13" i="18" s="1"/>
  <c r="F6" i="18"/>
  <c r="H6" i="18" s="1"/>
  <c r="F14" i="18"/>
  <c r="H14" i="18" s="1"/>
  <c r="F7" i="18"/>
  <c r="H7" i="18" s="1"/>
  <c r="F15" i="18"/>
  <c r="H15" i="18" s="1"/>
  <c r="F8" i="18"/>
  <c r="H8" i="18" s="1"/>
  <c r="F16" i="18"/>
  <c r="H16" i="18" s="1"/>
  <c r="F9" i="18"/>
  <c r="H9" i="18" s="1"/>
  <c r="F5" i="18"/>
  <c r="F10" i="18"/>
  <c r="H10" i="18" s="1"/>
  <c r="F19" i="18"/>
  <c r="H19" i="18" s="1"/>
  <c r="F11" i="18"/>
  <c r="H11" i="18" s="1"/>
  <c r="F18" i="18"/>
  <c r="H18" i="18" s="1"/>
  <c r="F12" i="18"/>
  <c r="H12" i="18" s="1"/>
  <c r="F19" i="19"/>
  <c r="H19" i="19" s="1"/>
  <c r="F11" i="19"/>
  <c r="H11" i="19" s="1"/>
  <c r="F18" i="19"/>
  <c r="H18" i="19" s="1"/>
  <c r="F12" i="19"/>
  <c r="H12" i="19" s="1"/>
  <c r="F17" i="19"/>
  <c r="H17" i="19" s="1"/>
  <c r="F13" i="19"/>
  <c r="H13" i="19" s="1"/>
  <c r="F6" i="19"/>
  <c r="H6" i="19" s="1"/>
  <c r="F14" i="19"/>
  <c r="H14" i="19" s="1"/>
  <c r="F7" i="19"/>
  <c r="H7" i="19" s="1"/>
  <c r="F15" i="19"/>
  <c r="H15" i="19" s="1"/>
  <c r="F8" i="19"/>
  <c r="H8" i="19" s="1"/>
  <c r="F16" i="19"/>
  <c r="H16" i="19" s="1"/>
  <c r="F9" i="19"/>
  <c r="H9" i="19" s="1"/>
  <c r="F5" i="19"/>
  <c r="H5" i="19" s="1"/>
  <c r="F10" i="19"/>
  <c r="H10" i="19" s="1"/>
  <c r="G14" i="18"/>
  <c r="J14" i="18" s="1"/>
  <c r="G16" i="19"/>
  <c r="J16" i="19" s="1"/>
  <c r="G8" i="19"/>
  <c r="J5" i="19" l="1"/>
  <c r="J13" i="19"/>
  <c r="J17" i="19"/>
  <c r="J10" i="18"/>
  <c r="J6" i="18"/>
  <c r="J15" i="19"/>
  <c r="J14" i="19"/>
  <c r="J10" i="19"/>
  <c r="J6" i="19"/>
  <c r="J9" i="19"/>
  <c r="J9" i="18"/>
  <c r="J12" i="19"/>
  <c r="J17" i="18"/>
  <c r="J8" i="19"/>
  <c r="J13" i="18"/>
  <c r="J8" i="18"/>
  <c r="J11" i="19"/>
  <c r="J7" i="19"/>
  <c r="J19" i="19"/>
  <c r="J16" i="18"/>
  <c r="J12" i="18"/>
  <c r="J18" i="18"/>
  <c r="J15" i="18"/>
  <c r="J11" i="18"/>
  <c r="J7" i="18"/>
  <c r="I12" i="19"/>
  <c r="J19" i="18"/>
  <c r="I18" i="19"/>
  <c r="J18" i="19"/>
  <c r="I12" i="18"/>
  <c r="I6" i="18"/>
  <c r="I8" i="18"/>
  <c r="I18" i="18"/>
  <c r="I11" i="18"/>
  <c r="I7" i="18"/>
  <c r="I9" i="18"/>
  <c r="I10" i="18"/>
  <c r="I15" i="18"/>
  <c r="I19" i="18"/>
  <c r="I13" i="18"/>
  <c r="I14" i="18"/>
  <c r="I17" i="18"/>
  <c r="I16" i="18"/>
  <c r="I5" i="19"/>
  <c r="I10" i="19"/>
  <c r="I11" i="19"/>
  <c r="I16" i="19"/>
  <c r="I8" i="19"/>
  <c r="I6" i="19"/>
  <c r="I13" i="19"/>
  <c r="I15" i="19"/>
  <c r="I17" i="19"/>
  <c r="I7" i="19"/>
  <c r="I19" i="19"/>
  <c r="I14" i="19"/>
  <c r="I9" i="19"/>
  <c r="H21" i="19"/>
  <c r="G21" i="19"/>
  <c r="H5" i="18"/>
  <c r="J5" i="18" s="1"/>
  <c r="F21" i="18"/>
  <c r="I5" i="18" l="1"/>
  <c r="K8" i="18"/>
  <c r="L8" i="18"/>
  <c r="K11" i="18"/>
  <c r="L11" i="18"/>
  <c r="L19" i="18"/>
  <c r="K19" i="18"/>
  <c r="L19" i="19"/>
  <c r="K11" i="19"/>
  <c r="L11" i="19"/>
  <c r="K19" i="19"/>
  <c r="K8" i="19"/>
  <c r="L8" i="19"/>
  <c r="A24" i="19"/>
  <c r="I21" i="19"/>
  <c r="B24" i="19" s="1"/>
  <c r="G21" i="18"/>
  <c r="A24" i="18" s="1"/>
  <c r="H21" i="18"/>
  <c r="B24" i="18" s="1"/>
  <c r="B26" i="19"/>
  <c r="M11" i="19" l="1"/>
  <c r="N19" i="19"/>
  <c r="M19" i="19"/>
  <c r="N19" i="18"/>
  <c r="M19" i="18"/>
  <c r="M8" i="19"/>
  <c r="N11" i="18"/>
  <c r="P21" i="18" s="1"/>
  <c r="M11" i="18"/>
  <c r="N8" i="18"/>
  <c r="M8" i="18"/>
  <c r="N8" i="19"/>
  <c r="N11" i="19"/>
  <c r="P21" i="19" l="1"/>
  <c r="Q21" i="19"/>
  <c r="Q21" i="18"/>
  <c r="O21" i="19"/>
  <c r="O21" i="18"/>
  <c r="C24" i="18" l="1"/>
  <c r="D24" i="18" s="1"/>
  <c r="B5" i="20" s="1"/>
  <c r="C24" i="19"/>
  <c r="D24" i="19" s="1"/>
  <c r="B8" i="20" s="1"/>
  <c r="B11" i="20" s="1"/>
</calcChain>
</file>

<file path=xl/sharedStrings.xml><?xml version="1.0" encoding="utf-8"?>
<sst xmlns="http://schemas.openxmlformats.org/spreadsheetml/2006/main" count="379" uniqueCount="120">
  <si>
    <t>USD</t>
  </si>
  <si>
    <t>COUNTERPARTY_TYPE</t>
  </si>
  <si>
    <t>BBB-</t>
  </si>
  <si>
    <t>Baa3</t>
  </si>
  <si>
    <t>B1</t>
  </si>
  <si>
    <t>Baa1</t>
  </si>
  <si>
    <t>B3</t>
  </si>
  <si>
    <t>B2</t>
  </si>
  <si>
    <t>Ba3</t>
  </si>
  <si>
    <t>Baa2</t>
  </si>
  <si>
    <t>Bond</t>
  </si>
  <si>
    <t>NET_POSITION</t>
  </si>
  <si>
    <t>COUPON_RATE</t>
  </si>
  <si>
    <t>MATURITY_DATE</t>
  </si>
  <si>
    <t>CURRENCY</t>
  </si>
  <si>
    <t>PRODUCT_TYPE</t>
  </si>
  <si>
    <t>EXTERNAL_CREDIT_RATING</t>
  </si>
  <si>
    <t>TRANSACTION_ID</t>
  </si>
  <si>
    <t>REPORT_DATE</t>
  </si>
  <si>
    <t>Unrated</t>
  </si>
  <si>
    <t>VND</t>
  </si>
  <si>
    <t>FX FORWARD</t>
  </si>
  <si>
    <t>FX Swap</t>
  </si>
  <si>
    <t>Counterparty type</t>
  </si>
  <si>
    <t>SOV1</t>
  </si>
  <si>
    <t>Description</t>
  </si>
  <si>
    <t>Chính phủ Việt Nam, Ủy ban nhân dân tỉnh, thành phố trực thuộc Trung ương</t>
  </si>
  <si>
    <t>Chính phủ, chính quyền địa phương của các nước phát hành</t>
  </si>
  <si>
    <t>SOV2</t>
  </si>
  <si>
    <t>Tổ chức tài chính quốc tế hoặc doanh nghiệp nhà nước phát hành</t>
  </si>
  <si>
    <t>FI1</t>
  </si>
  <si>
    <t>FI2</t>
  </si>
  <si>
    <t>Được ít nhất hai tổ chức xếp hạng tín nhiệm xếp hạng BBB- hoặc tương đương trở lên</t>
  </si>
  <si>
    <t>D</t>
  </si>
  <si>
    <t>SD</t>
  </si>
  <si>
    <t>RD</t>
  </si>
  <si>
    <t>R</t>
  </si>
  <si>
    <t>C</t>
  </si>
  <si>
    <t>CC</t>
  </si>
  <si>
    <t>Ca</t>
  </si>
  <si>
    <t>CCC-</t>
  </si>
  <si>
    <t>Caa3</t>
  </si>
  <si>
    <t>CCC</t>
  </si>
  <si>
    <t>Caa2</t>
  </si>
  <si>
    <t>CCC+</t>
  </si>
  <si>
    <t>Caa1</t>
  </si>
  <si>
    <t>B-</t>
  </si>
  <si>
    <t>B</t>
  </si>
  <si>
    <t>B+</t>
  </si>
  <si>
    <t>BB-</t>
  </si>
  <si>
    <t>BB</t>
  </si>
  <si>
    <t>Ba2</t>
  </si>
  <si>
    <t>BB+</t>
  </si>
  <si>
    <t>Ba1</t>
  </si>
  <si>
    <t>BBB</t>
  </si>
  <si>
    <t>BBB+</t>
  </si>
  <si>
    <t>A-</t>
  </si>
  <si>
    <t>A3</t>
  </si>
  <si>
    <t>A</t>
  </si>
  <si>
    <t>A2</t>
  </si>
  <si>
    <t>A+</t>
  </si>
  <si>
    <t>A1</t>
  </si>
  <si>
    <t>AA-</t>
  </si>
  <si>
    <t>Aa3</t>
  </si>
  <si>
    <t>AA</t>
  </si>
  <si>
    <t>Aa2</t>
  </si>
  <si>
    <t>AA+</t>
  </si>
  <si>
    <t>Aa1</t>
  </si>
  <si>
    <t>AAA</t>
  </si>
  <si>
    <t>Aaa</t>
  </si>
  <si>
    <t>Fitch</t>
  </si>
  <si>
    <t>Moody</t>
  </si>
  <si>
    <t>SP</t>
  </si>
  <si>
    <t>Order</t>
  </si>
  <si>
    <t>Time - to -maturity (year)</t>
  </si>
  <si>
    <t>Zone</t>
  </si>
  <si>
    <t>Net position</t>
  </si>
  <si>
    <t>%</t>
  </si>
  <si>
    <t>Long</t>
  </si>
  <si>
    <t>Short</t>
  </si>
  <si>
    <t>Tổng L</t>
  </si>
  <si>
    <t>Tổng S</t>
  </si>
  <si>
    <t>NWP</t>
  </si>
  <si>
    <t>Matched weighted position</t>
  </si>
  <si>
    <t>Unmatched weighted position</t>
  </si>
  <si>
    <t>Tổng (a)</t>
  </si>
  <si>
    <t>VD</t>
  </si>
  <si>
    <t>Sums of weighted position by zone</t>
  </si>
  <si>
    <t>Match weighted position by zone</t>
  </si>
  <si>
    <t>Unmatch weighted position by zone</t>
  </si>
  <si>
    <t>Matched weighted position between zones</t>
  </si>
  <si>
    <t>1/2</t>
  </si>
  <si>
    <t>2/3</t>
  </si>
  <si>
    <t>3/1</t>
  </si>
  <si>
    <t>(e)</t>
  </si>
  <si>
    <t>(f)</t>
  </si>
  <si>
    <t>(g)</t>
  </si>
  <si>
    <t>(b)</t>
  </si>
  <si>
    <t>(d)</t>
  </si>
  <si>
    <t>HD</t>
  </si>
  <si>
    <t>K(GMR)_VND</t>
  </si>
  <si>
    <t>(c )</t>
  </si>
  <si>
    <t>K(GMR)_USD</t>
  </si>
  <si>
    <t>(Maturity) (year)</t>
  </si>
  <si>
    <t>Weighting</t>
  </si>
  <si>
    <t>Weighted position</t>
  </si>
  <si>
    <t>&gt;=3% (Category 1)</t>
  </si>
  <si>
    <t>&lt;3% (Category 2)</t>
  </si>
  <si>
    <t>Phân nhóm lãi suất (lãi suất &gt;3%: category 1, lãi suất &lt;3%: category 2)</t>
  </si>
  <si>
    <t>KSR</t>
  </si>
  <si>
    <t>Calculation for KSR</t>
  </si>
  <si>
    <t>Calculation for KGR_VND</t>
  </si>
  <si>
    <t>Calculation for KGR_USD</t>
  </si>
  <si>
    <t>Total minimum capital requirement for interest rate risk</t>
  </si>
  <si>
    <t>K_IRR</t>
  </si>
  <si>
    <t>SWR for specific risk</t>
  </si>
  <si>
    <t>Proceeding data</t>
  </si>
  <si>
    <t>KGR_VND</t>
  </si>
  <si>
    <t>KGR_USD</t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</si>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</sst>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_(* #,##0.000000_);_(* \(#,##0.000000\);_(* &quot;-&quot;??_);_(@_)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4" borderId="0" applyFont="0" applyBorder="0"/>
    <xf numFmtId="9" fontId="5" fillId="0" borderId="0" applyFont="0" applyFill="0" applyBorder="0" applyAlignment="0" applyProtection="0"/>
    <xf numFmtId="165" fontId="3" fillId="5" borderId="1" applyFont="0" applyAlignment="0">
      <protection locked="0"/>
    </xf>
    <xf numFmtId="0" fontId="3" fillId="0" borderId="0"/>
    <xf numFmtId="0" fontId="6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vertical="center"/>
    </xf>
    <xf numFmtId="9" fontId="2" fillId="2" borderId="0" xfId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3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43" fontId="0" fillId="0" borderId="0" xfId="8" applyFont="1"/>
    <xf numFmtId="0" fontId="7" fillId="0" borderId="0" xfId="0" applyFont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9" fontId="0" fillId="0" borderId="10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3" xfId="0" applyBorder="1"/>
    <xf numFmtId="2" fontId="0" fillId="0" borderId="4" xfId="0" applyNumberFormat="1" applyBorder="1"/>
    <xf numFmtId="9" fontId="0" fillId="0" borderId="9" xfId="0" applyNumberFormat="1" applyBorder="1"/>
    <xf numFmtId="0" fontId="0" fillId="0" borderId="4" xfId="0" applyBorder="1"/>
    <xf numFmtId="10" fontId="0" fillId="0" borderId="9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9" xfId="0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/>
    <xf numFmtId="0" fontId="0" fillId="7" borderId="7" xfId="0" applyFill="1" applyBorder="1"/>
    <xf numFmtId="0" fontId="0" fillId="7" borderId="2" xfId="0" applyFill="1" applyBorder="1"/>
    <xf numFmtId="0" fontId="0" fillId="7" borderId="8" xfId="0" applyFill="1" applyBorder="1"/>
    <xf numFmtId="0" fontId="7" fillId="0" borderId="12" xfId="0" applyFont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7" borderId="10" xfId="0" applyFill="1" applyBorder="1"/>
    <xf numFmtId="0" fontId="7" fillId="7" borderId="10" xfId="0" applyFont="1" applyFill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14" fontId="9" fillId="2" borderId="0" xfId="5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7" fillId="8" borderId="1" xfId="0" applyFont="1" applyFill="1" applyBorder="1"/>
    <xf numFmtId="43" fontId="7" fillId="0" borderId="1" xfId="8" applyFont="1" applyBorder="1"/>
    <xf numFmtId="0" fontId="7" fillId="11" borderId="1" xfId="0" applyFont="1" applyFill="1" applyBorder="1" applyAlignment="1">
      <alignment horizontal="center" vertical="center"/>
    </xf>
    <xf numFmtId="43" fontId="7" fillId="0" borderId="1" xfId="8" applyFont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/>
    <xf numFmtId="0" fontId="7" fillId="12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4" fillId="10" borderId="13" xfId="0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43" fontId="7" fillId="0" borderId="0" xfId="8" applyFont="1" applyFill="1" applyBorder="1"/>
    <xf numFmtId="0" fontId="7" fillId="10" borderId="0" xfId="0" applyFont="1" applyFill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8" borderId="12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18" borderId="9" xfId="0" applyFont="1" applyFill="1" applyBorder="1" applyAlignment="1">
      <alignment horizontal="center" vertical="center" wrapText="1"/>
    </xf>
    <xf numFmtId="4" fontId="4" fillId="17" borderId="5" xfId="0" applyNumberFormat="1" applyFont="1" applyFill="1" applyBorder="1" applyAlignment="1">
      <alignment horizontal="center" vertical="center"/>
    </xf>
    <xf numFmtId="4" fontId="4" fillId="17" borderId="0" xfId="0" applyNumberFormat="1" applyFont="1" applyFill="1" applyAlignment="1">
      <alignment horizontal="center" vertical="center"/>
    </xf>
    <xf numFmtId="4" fontId="4" fillId="17" borderId="6" xfId="0" applyNumberFormat="1" applyFont="1" applyFill="1" applyBorder="1" applyAlignment="1">
      <alignment horizontal="center" vertical="center"/>
    </xf>
    <xf numFmtId="4" fontId="4" fillId="17" borderId="7" xfId="0" applyNumberFormat="1" applyFont="1" applyFill="1" applyBorder="1" applyAlignment="1">
      <alignment horizontal="center" vertical="center"/>
    </xf>
    <xf numFmtId="4" fontId="4" fillId="17" borderId="2" xfId="0" applyNumberFormat="1" applyFont="1" applyFill="1" applyBorder="1" applyAlignment="1">
      <alignment horizontal="center" vertical="center"/>
    </xf>
    <xf numFmtId="4" fontId="4" fillId="17" borderId="8" xfId="0" applyNumberFormat="1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8" borderId="12" xfId="0" applyFont="1" applyFill="1" applyBorder="1" applyAlignment="1">
      <alignment horizontal="center" vertical="center" wrapText="1"/>
    </xf>
    <xf numFmtId="0" fontId="7" fillId="18" borderId="14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0" fillId="0" borderId="13" xfId="0" quotePrefix="1" applyBorder="1" applyAlignment="1">
      <alignment horizontal="center" vertical="center"/>
    </xf>
    <xf numFmtId="43" fontId="10" fillId="20" borderId="1" xfId="0" applyNumberFormat="1" applyFont="1" applyFill="1" applyBorder="1" applyAlignment="1">
      <alignment horizontal="center"/>
    </xf>
    <xf numFmtId="166" fontId="2" fillId="0" borderId="13" xfId="8" applyNumberFormat="1" applyFont="1" applyFill="1" applyBorder="1" applyAlignment="1" applyProtection="1">
      <alignment horizontal="left" vertical="center" indent="1"/>
      <protection locked="0"/>
    </xf>
    <xf numFmtId="4" fontId="2" fillId="0" borderId="0" xfId="0" applyNumberFormat="1" applyFont="1" applyAlignment="1">
      <alignment vertical="center"/>
    </xf>
    <xf numFmtId="0" fontId="2" fillId="0" borderId="1" xfId="0" applyFont="1" applyFill="1" applyBorder="1" applyAlignment="1">
      <alignment vertical="center"/>
    </xf>
    <xf numFmtId="4" fontId="2" fillId="2" borderId="0" xfId="0" applyNumberFormat="1" applyFont="1" applyFill="1" applyAlignment="1">
      <alignment horizontal="center" vertical="center"/>
    </xf>
    <xf numFmtId="0" fontId="2" fillId="3" borderId="1" xfId="3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6" borderId="1" xfId="3" applyFont="1" applyFill="1" applyBorder="1" applyAlignment="1" applyProtection="1">
      <alignment horizontal="center" vertical="center"/>
      <protection locked="0"/>
    </xf>
    <xf numFmtId="14" fontId="2" fillId="6" borderId="1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14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164" fontId="2" fillId="6" borderId="1" xfId="8" applyNumberFormat="1" applyFont="1" applyFill="1" applyBorder="1" applyAlignment="1" applyProtection="1">
      <alignment horizontal="center" vertical="center"/>
      <protection locked="0"/>
    </xf>
    <xf numFmtId="164" fontId="2" fillId="6" borderId="1" xfId="8" applyNumberFormat="1" applyFont="1" applyFill="1" applyBorder="1" applyAlignment="1">
      <alignment horizontal="center" vertical="center"/>
    </xf>
    <xf numFmtId="0" fontId="2" fillId="11" borderId="1" xfId="3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 applyProtection="1">
      <alignment horizontal="center" vertical="center"/>
      <protection locked="0"/>
    </xf>
    <xf numFmtId="14" fontId="2" fillId="11" borderId="1" xfId="0" applyNumberFormat="1" applyFont="1" applyFill="1" applyBorder="1" applyAlignment="1">
      <alignment horizontal="center" vertical="center"/>
    </xf>
    <xf numFmtId="14" fontId="2" fillId="11" borderId="1" xfId="3" applyNumberFormat="1" applyFont="1" applyFill="1" applyBorder="1" applyAlignment="1" applyProtection="1">
      <alignment horizontal="center" vertical="center"/>
      <protection locked="0"/>
    </xf>
    <xf numFmtId="167" fontId="2" fillId="6" borderId="1" xfId="4" applyNumberFormat="1" applyFont="1" applyFill="1" applyBorder="1" applyAlignment="1" applyProtection="1">
      <alignment horizontal="center" vertical="center"/>
      <protection locked="0"/>
    </xf>
    <xf numFmtId="167" fontId="2" fillId="6" borderId="1" xfId="1" applyNumberFormat="1" applyFont="1" applyFill="1" applyBorder="1" applyAlignment="1" applyProtection="1">
      <alignment horizontal="center" vertical="center"/>
      <protection locked="0"/>
    </xf>
    <xf numFmtId="167" fontId="2" fillId="6" borderId="1" xfId="1" applyNumberFormat="1" applyFont="1" applyFill="1" applyBorder="1" applyAlignment="1">
      <alignment horizontal="center" vertical="center"/>
    </xf>
    <xf numFmtId="167" fontId="0" fillId="6" borderId="1" xfId="0" applyNumberFormat="1" applyFill="1" applyBorder="1"/>
    <xf numFmtId="4" fontId="2" fillId="2" borderId="0" xfId="0" applyNumberFormat="1" applyFont="1" applyFill="1" applyBorder="1" applyAlignment="1">
      <alignment horizontal="center" vertical="center"/>
    </xf>
    <xf numFmtId="166" fontId="2" fillId="0" borderId="4" xfId="8" applyNumberFormat="1" applyFont="1" applyFill="1" applyBorder="1" applyAlignment="1" applyProtection="1">
      <alignment horizontal="left" vertical="center" indent="1"/>
      <protection locked="0"/>
    </xf>
    <xf numFmtId="0" fontId="2" fillId="0" borderId="9" xfId="0" applyFont="1" applyFill="1" applyBorder="1" applyAlignment="1">
      <alignment vertical="center"/>
    </xf>
    <xf numFmtId="166" fontId="2" fillId="2" borderId="3" xfId="8" applyNumberFormat="1" applyFont="1" applyFill="1" applyBorder="1" applyAlignment="1" applyProtection="1">
      <alignment horizontal="left" vertical="center" indent="1"/>
      <protection locked="0"/>
    </xf>
    <xf numFmtId="0" fontId="2" fillId="2" borderId="1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6" fontId="2" fillId="2" borderId="5" xfId="8" applyNumberFormat="1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Border="1" applyAlignment="1">
      <alignment vertical="center"/>
    </xf>
    <xf numFmtId="4" fontId="2" fillId="2" borderId="5" xfId="0" applyNumberFormat="1" applyFont="1" applyFill="1" applyBorder="1" applyAlignment="1">
      <alignment horizontal="center" vertical="center"/>
    </xf>
  </cellXfs>
  <cellStyles count="9">
    <cellStyle name="Comma" xfId="8" builtinId="3"/>
    <cellStyle name="Comma 2" xfId="2" xr:uid="{00000000-0005-0000-0000-000000000000}"/>
    <cellStyle name="inputDate" xfId="5" xr:uid="{00000000-0005-0000-0000-000001000000}"/>
    <cellStyle name="Normal" xfId="0" builtinId="0"/>
    <cellStyle name="Normal 2" xfId="3" xr:uid="{00000000-0005-0000-0000-000003000000}"/>
    <cellStyle name="Normal 2 2" xfId="6" xr:uid="{00000000-0005-0000-0000-000004000000}"/>
    <cellStyle name="Normal 3" xfId="7" xr:uid="{00000000-0005-0000-0000-000005000000}"/>
    <cellStyle name="Percent 2" xfId="1" xr:uid="{00000000-0005-0000-0000-000006000000}"/>
    <cellStyle name="Percent 2 2" xfId="4" xr:uid="{00000000-0005-0000-0000-000007000000}"/>
  </cellStyles>
  <dxfs count="0"/>
  <tableStyles count="0" defaultTableStyle="TableStyleMedium2" defaultPivotStyle="PivotStyleLight16"/>
  <colors>
    <mruColors>
      <color rgb="FFFF0066"/>
      <color rgb="FFFF7C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666749</xdr:colOff>
      <xdr:row>0</xdr:row>
      <xdr:rowOff>164041</xdr:rowOff>
    </xdr:from>
    <xdr:to>
      <xdr:col>7</xdr:col>
      <xdr:colOff>1465791</xdr:colOff>
      <xdr:row>1</xdr:row>
      <xdr:rowOff>89958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B8B6DCA0-0EAF-2DC6-E9B2-687577C089C1}"/>
            </a:ext>
          </a:extLst>
        </xdr:cNvPr>
        <xdr:cNvSpPr/>
      </xdr:nvSpPr>
      <xdr:spPr>
        <a:xfrm>
          <a:off x="10514541" y="164041"/>
          <a:ext cx="799042" cy="95250"/>
        </a:xfrm>
        <a:prstGeom prst="lef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275166</xdr:colOff>
      <xdr:row>0</xdr:row>
      <xdr:rowOff>52917</xdr:rowOff>
    </xdr:from>
    <xdr:to>
      <xdr:col>7</xdr:col>
      <xdr:colOff>1434041</xdr:colOff>
      <xdr:row>1</xdr:row>
      <xdr:rowOff>100542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A127FF-586E-9B12-51F5-C4F8D05880EC}"/>
            </a:ext>
          </a:extLst>
        </xdr:cNvPr>
        <xdr:cNvSpPr txBox="1"/>
      </xdr:nvSpPr>
      <xdr:spPr>
        <a:xfrm>
          <a:off x="9122833" y="52917"/>
          <a:ext cx="2159000" cy="216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Fill data in grey</a:t>
          </a:r>
          <a:r>
            <a:rPr lang="en-US" sz="1100" b="1" baseline="0"/>
            <a:t> cells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User/AppData/Roaming/Skype/My%20Skype%20Received%20Files/QIS%205/OCQIS_WorkbookQIS5_5.0.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oamnguyen/AppData/Local/Temp/wz03d5/SEND%20TO%20CTBC%2018112019/CAR%20calculation%20tool%20-%20CTBC%20v1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uycng/Documents/SMBC%20Project/Tool/CAR%20calculation%20tool%20-%20SMBC%20v1%20-%20V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User/Desktop/QIS%20v0.8%20(Thuy)%20-%20V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FIRB Corporate agg"/>
      <sheetName val="FIRB Corporate"/>
      <sheetName val="FIRB Corporate DD"/>
      <sheetName val="FIRB Sovereign"/>
      <sheetName val="FIRB Bank"/>
      <sheetName val="FIRB SME Corporate agg"/>
      <sheetName val="FIRB SME Corporate"/>
      <sheetName val="FIRB SME Corporate DD"/>
      <sheetName val="FIRB Trading Book"/>
      <sheetName val="FIRB SL HVCRE agg"/>
      <sheetName val="FIRB SL HVCRE"/>
      <sheetName val="FIRB SL HVCRE DD"/>
      <sheetName val="FIRB SL Other agg"/>
      <sheetName val="FIRB SL Other"/>
      <sheetName val="FIRB SL Other DD"/>
      <sheetName val="IRB Other Retail"/>
      <sheetName val="IRB Retail Mortgage"/>
      <sheetName val="IRB Retail QRE"/>
      <sheetName val="IRB SME Retail"/>
      <sheetName val="AIRB Corporate agg"/>
      <sheetName val="AIRB Corporate"/>
      <sheetName val="AIRB Corporate DD"/>
      <sheetName val="AIRB Sovereign"/>
      <sheetName val="AIRB Bank"/>
      <sheetName val="AIRB SME Corporate agg"/>
      <sheetName val="AIRB SME Corporate"/>
      <sheetName val="AIRB SME Corporate DD"/>
      <sheetName val="AIRB Trading Book"/>
      <sheetName val="AIRB SL HVCRE agg"/>
      <sheetName val="AIRB SL HVCRE"/>
      <sheetName val="AIRB SL HVCRE DD"/>
      <sheetName val="AIRB SL Other agg"/>
      <sheetName val="AIRB SL Other"/>
      <sheetName val="AIRB SL Other DD"/>
      <sheetName val="IRB Equity"/>
      <sheetName val="IRB Equity memo"/>
      <sheetName val="IRB SL slotting"/>
      <sheetName val="IRB Receivables"/>
      <sheetName val="IRB Securitisation"/>
      <sheetName val="Operational risk"/>
    </sheetNames>
    <sheetDataSet>
      <sheetData sheetId="0"/>
      <sheetData sheetId="1"/>
      <sheetData sheetId="2"/>
      <sheetData sheetId="3">
        <row r="316">
          <cell r="C316" t="str">
            <v>Yes</v>
          </cell>
        </row>
        <row r="317">
          <cell r="C317" t="str">
            <v>No</v>
          </cell>
        </row>
        <row r="318">
          <cell r="C318">
            <v>1</v>
          </cell>
        </row>
        <row r="319">
          <cell r="C319">
            <v>2</v>
          </cell>
        </row>
        <row r="353">
          <cell r="C353" t="str">
            <v>RSA</v>
          </cell>
        </row>
        <row r="354">
          <cell r="C354" t="str">
            <v>FIRB</v>
          </cell>
        </row>
        <row r="355">
          <cell r="C355" t="str">
            <v>AIRB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Headers"/>
      <sheetName val="Capital Detail"/>
      <sheetName val="G042441_EN"/>
      <sheetName val="CR"/>
      <sheetName val="FX Risk"/>
      <sheetName val="IS"/>
      <sheetName val="G042541_EN"/>
      <sheetName val="G042441_VN"/>
      <sheetName val="G042541_VN"/>
      <sheetName val="Summary Chart"/>
      <sheetName val="Operational Risk"/>
      <sheetName val="General_IRR"/>
      <sheetName val="CCR_DERIVATIVES"/>
      <sheetName val="1.CreditRisk"/>
      <sheetName val="2.CreditRisk"/>
      <sheetName val="3.CreditRisk"/>
      <sheetName val="4.CreditRisk"/>
      <sheetName val="5.CreditRisk"/>
      <sheetName val="6.CCR_1"/>
      <sheetName val="7.CCR_2"/>
      <sheetName val="8.CCR_3"/>
      <sheetName val="CCR_REPO"/>
      <sheetName val="9.MR"/>
      <sheetName val="10.Summary"/>
      <sheetName val="SPOT_RATE"/>
      <sheetName val="GL_RECON"/>
      <sheetName val="Filename"/>
      <sheetName val="Other Assets"/>
      <sheetName val="Specific_IRR"/>
    </sheetNames>
    <sheetDataSet>
      <sheetData sheetId="0">
        <row r="18">
          <cell r="KI18" t="str">
            <v>20190630</v>
          </cell>
        </row>
        <row r="20">
          <cell r="KI20" t="str">
            <v>20190628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Results"/>
      <sheetName val="Report"/>
      <sheetName val="Temporary"/>
      <sheetName val="Data requirement"/>
    </sheetNames>
    <sheetDataSet>
      <sheetData sheetId="0" refreshError="1"/>
      <sheetData sheetId="1">
        <row r="5">
          <cell r="F5">
            <v>42970</v>
          </cell>
        </row>
      </sheetData>
      <sheetData sheetId="2">
        <row r="8">
          <cell r="C8" t="str">
            <v>Rủi ro tín dụng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Summary"/>
      <sheetName val="Current"/>
      <sheetName val="Capital"/>
      <sheetName val="CR - Retail"/>
      <sheetName val="CR - NPL"/>
      <sheetName val="CR - FI"/>
      <sheetName val="CR - Sovereign"/>
      <sheetName val="CR - Corporate"/>
      <sheetName val="Other on-balance sheet assets"/>
      <sheetName val="Operational risk"/>
      <sheetName val="RRTDĐT-Dữ liệu &amp; Vốn"/>
      <sheetName val="Repo-style transactions"/>
      <sheetName val="RRLS-Dữ liệu"/>
      <sheetName val="RRLS-Vốn RR cụ thể (VND)"/>
      <sheetName val="RRLS-Vốn RR chung (VND)"/>
      <sheetName val="RRLS-Vốn RR cụ thể (USD)"/>
      <sheetName val="RRLS-Vốn RR chung (USD)"/>
      <sheetName val="RRNH-Dữ liệu"/>
      <sheetName val="RRNH-Vốn"/>
      <sheetName val="RRGCP-Dữ liệu &amp; Vốn"/>
      <sheetName val="RRGHH-Dữ liệu"/>
      <sheetName val="RRGHH-Vốn"/>
      <sheetName val="Quyền chọn-Dữ liệu &amp; Vố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S2" t="str">
            <v>Lãi suất</v>
          </cell>
          <cell r="T2" t="str">
            <v>Ngoại hối (gồm Vàng tiêu chuẩn)</v>
          </cell>
          <cell r="U2" t="str">
            <v>Cổ phiếu, chứng chỉ quỹ, chứng quyền</v>
          </cell>
          <cell r="V2" t="str">
            <v>Kim loại quý (trừ vàng)</v>
          </cell>
          <cell r="W2" t="str">
            <v>Các hàng hóa khác</v>
          </cell>
          <cell r="X2" t="str">
            <v>Tín dụng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71"/>
  <sheetViews>
    <sheetView tabSelected="1" zoomScale="90" zoomScaleNormal="90" workbookViewId="0">
      <pane xSplit="1" topLeftCell="D1" activePane="topRight" state="frozen"/>
      <selection pane="topRight" activeCell="J5" sqref="J5"/>
    </sheetView>
  </sheetViews>
  <sheetFormatPr defaultColWidth="9.19921875" defaultRowHeight="13.15" x14ac:dyDescent="0.45"/>
  <cols>
    <col min="1" max="1" width="26.19921875" style="4" customWidth="1"/>
    <col min="2" max="2" width="20.796875" style="4" customWidth="1"/>
    <col min="3" max="3" width="29.796875" style="4" bestFit="1" customWidth="1"/>
    <col min="4" max="4" width="18.53125" style="4" bestFit="1" customWidth="1"/>
    <col min="5" max="5" width="14.53125" style="4" bestFit="1" customWidth="1"/>
    <col min="6" max="6" width="14" style="3" bestFit="1" customWidth="1"/>
    <col min="7" max="7" width="14" style="2" customWidth="1"/>
    <col min="8" max="8" width="20.796875" style="70" customWidth="1"/>
    <col min="9" max="9" width="12" style="109" customWidth="1"/>
    <col min="10" max="10" width="16.33203125" style="109" customWidth="1"/>
    <col min="11" max="11" width="16.19921875" style="71" customWidth="1"/>
    <col min="12" max="12" width="9.19921875" style="1"/>
    <col min="13" max="13" width="15.73046875" style="1" bestFit="1" customWidth="1"/>
    <col min="14" max="16384" width="9.19921875" style="1"/>
  </cols>
  <sheetData>
    <row r="1" spans="1:20" x14ac:dyDescent="0.45">
      <c r="A1" s="1"/>
      <c r="B1" s="1"/>
      <c r="D1" s="1"/>
      <c r="I1" s="81" t="s">
        <v>116</v>
      </c>
      <c r="J1" s="82"/>
      <c r="K1" s="83"/>
    </row>
    <row r="2" spans="1:20" x14ac:dyDescent="0.45">
      <c r="A2" s="9" t="s">
        <v>18</v>
      </c>
      <c r="B2" s="53">
        <v>43708</v>
      </c>
      <c r="D2" s="1"/>
      <c r="I2" s="84"/>
      <c r="J2" s="85"/>
      <c r="K2" s="86"/>
    </row>
    <row r="3" spans="1:20" ht="50.65" customHeight="1" x14ac:dyDescent="0.45">
      <c r="A3" s="7" t="s">
        <v>17</v>
      </c>
      <c r="B3" s="8" t="s">
        <v>1</v>
      </c>
      <c r="C3" s="8" t="s">
        <v>16</v>
      </c>
      <c r="D3" s="12" t="s">
        <v>15</v>
      </c>
      <c r="E3" s="12" t="s">
        <v>14</v>
      </c>
      <c r="F3" s="12" t="s">
        <v>13</v>
      </c>
      <c r="G3" s="12" t="s">
        <v>12</v>
      </c>
      <c r="H3" s="12" t="s">
        <v>11</v>
      </c>
      <c r="I3" s="69" t="s">
        <v>74</v>
      </c>
      <c r="J3" s="67" t="s">
        <v>115</v>
      </c>
      <c r="K3" s="68" t="s">
        <v>108</v>
      </c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45">
      <c r="A4" s="6"/>
      <c r="B4" s="110"/>
      <c r="C4" s="110"/>
      <c r="D4" s="112" t="s">
        <v>21</v>
      </c>
      <c r="E4" s="120" t="s">
        <v>20</v>
      </c>
      <c r="F4" s="113">
        <v>43740</v>
      </c>
      <c r="G4" s="126"/>
      <c r="H4" s="118">
        <v>735000000</v>
      </c>
      <c r="I4" s="106">
        <f>IF(H4="","",(F4-$B$2)/360)</f>
        <v>8.8888888888888892E-2</v>
      </c>
      <c r="J4" s="108" t="str">
        <f>IF(H4="","",IF(B4="SOV1",0,IF(B4="SOV2",IF(0&lt;C4&lt;=4,0,IF(C4&lt;=10,IF(I4&lt;0.5,0.25%,IF(I4&lt;=2,1,1.6%)),IF(C4&lt;=16,8%,IF(C4&lt;=18,12%)))),IF(OR(B4="FI1",B4="FI2"),IF(I4&lt;0.5,0.25%,IF(I4&lt;=2,1,1.6%)),IF(B4="",IF(11&lt;=C4&lt;=13,8%,IF(C4&gt;13,12%,"No SR")))))))</f>
        <v>No SR</v>
      </c>
      <c r="K4" s="108">
        <f>IF(H4="","",IF(OR(D4="FX FORWARD",D4="FX Swap"),2,IF(D4="Bond",IF(G4&gt;3%,1,2))))</f>
        <v>2</v>
      </c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45">
      <c r="A5" s="5"/>
      <c r="B5" s="110"/>
      <c r="C5" s="110"/>
      <c r="D5" s="114" t="s">
        <v>21</v>
      </c>
      <c r="E5" s="121" t="s">
        <v>0</v>
      </c>
      <c r="F5" s="115">
        <v>43740</v>
      </c>
      <c r="G5" s="127"/>
      <c r="H5" s="118">
        <v>-737000000</v>
      </c>
      <c r="I5" s="106">
        <f t="shared" ref="I5:I68" si="0">IF(H5="","",(F5-$B$2)/360)</f>
        <v>8.8888888888888892E-2</v>
      </c>
      <c r="J5" s="108" t="str">
        <f t="shared" ref="J5:J68" si="1">IF(H5="","",IF(B5="SOV1",0,IF(B5="SOV2",IF(0&lt;C5&lt;=4,0,IF(C5&lt;=10,IF(I5&lt;0.5,0.25%,IF(I5&lt;=2,1,1.6%)),IF(C5&lt;=16,8%,IF(C5&lt;=18,12%)))),IF(OR(B5="FI1",B5="FI2"),IF(I5&lt;0.5,0.25%,IF(I5&lt;=2,1,1.6%)),IF(B5="",IF(11&lt;=C5&lt;=13,8%,IF(C5&gt;13,12%,"No SR")))))))</f>
        <v>No SR</v>
      </c>
      <c r="K5" s="108">
        <f t="shared" ref="K5:K68" si="2">IF(H5="","",IF(OR(D5="FX FORWARD",D5="FX Swap"),2,IF(D5="Bond",IF(G5&gt;3%,1,2))))</f>
        <v>2</v>
      </c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45">
      <c r="A6" s="5"/>
      <c r="B6" s="110"/>
      <c r="C6" s="110"/>
      <c r="D6" s="114" t="s">
        <v>21</v>
      </c>
      <c r="E6" s="121" t="s">
        <v>20</v>
      </c>
      <c r="F6" s="115">
        <v>43743</v>
      </c>
      <c r="G6" s="127"/>
      <c r="H6" s="118">
        <v>1364000000</v>
      </c>
      <c r="I6" s="106">
        <f t="shared" si="0"/>
        <v>9.7222222222222224E-2</v>
      </c>
      <c r="J6" s="108" t="str">
        <f t="shared" si="1"/>
        <v>No SR</v>
      </c>
      <c r="K6" s="108">
        <f t="shared" si="2"/>
        <v>2</v>
      </c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45">
      <c r="A7" s="5"/>
      <c r="B7" s="110"/>
      <c r="C7" s="110"/>
      <c r="D7" s="114" t="s">
        <v>21</v>
      </c>
      <c r="E7" s="121" t="s">
        <v>0</v>
      </c>
      <c r="F7" s="115">
        <v>43743</v>
      </c>
      <c r="G7" s="127"/>
      <c r="H7" s="118">
        <v>-1368000000</v>
      </c>
      <c r="I7" s="106">
        <f t="shared" si="0"/>
        <v>9.7222222222222224E-2</v>
      </c>
      <c r="J7" s="108" t="str">
        <f t="shared" si="1"/>
        <v>No SR</v>
      </c>
      <c r="K7" s="108">
        <f t="shared" si="2"/>
        <v>2</v>
      </c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45">
      <c r="A8" s="6"/>
      <c r="B8" s="110"/>
      <c r="C8" s="110"/>
      <c r="D8" s="114" t="s">
        <v>21</v>
      </c>
      <c r="E8" s="121" t="s">
        <v>20</v>
      </c>
      <c r="F8" s="115">
        <v>43747</v>
      </c>
      <c r="G8" s="127"/>
      <c r="H8" s="118">
        <v>1102000000</v>
      </c>
      <c r="I8" s="106">
        <f t="shared" si="0"/>
        <v>0.10833333333333334</v>
      </c>
      <c r="J8" s="108" t="str">
        <f t="shared" si="1"/>
        <v>No SR</v>
      </c>
      <c r="K8" s="108">
        <f t="shared" si="2"/>
        <v>2</v>
      </c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45">
      <c r="A9" s="5"/>
      <c r="B9" s="110"/>
      <c r="C9" s="110"/>
      <c r="D9" s="114" t="s">
        <v>21</v>
      </c>
      <c r="E9" s="121" t="s">
        <v>0</v>
      </c>
      <c r="F9" s="115">
        <v>43747</v>
      </c>
      <c r="G9" s="127"/>
      <c r="H9" s="118">
        <v>-1105000000</v>
      </c>
      <c r="I9" s="106">
        <f t="shared" si="0"/>
        <v>0.10833333333333334</v>
      </c>
      <c r="J9" s="108" t="str">
        <f t="shared" si="1"/>
        <v>No SR</v>
      </c>
      <c r="K9" s="108">
        <f t="shared" si="2"/>
        <v>2</v>
      </c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45">
      <c r="A10" s="5"/>
      <c r="B10" s="110"/>
      <c r="C10" s="110"/>
      <c r="D10" s="114" t="s">
        <v>21</v>
      </c>
      <c r="E10" s="121" t="s">
        <v>20</v>
      </c>
      <c r="F10" s="115">
        <v>43756</v>
      </c>
      <c r="G10" s="127"/>
      <c r="H10" s="118">
        <v>1308000000</v>
      </c>
      <c r="I10" s="106">
        <f t="shared" si="0"/>
        <v>0.13333333333333333</v>
      </c>
      <c r="J10" s="108" t="str">
        <f t="shared" si="1"/>
        <v>No SR</v>
      </c>
      <c r="K10" s="108">
        <f t="shared" si="2"/>
        <v>2</v>
      </c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45">
      <c r="A11" s="10"/>
      <c r="B11" s="110"/>
      <c r="C11" s="110"/>
      <c r="D11" s="116" t="s">
        <v>21</v>
      </c>
      <c r="E11" s="122" t="s">
        <v>0</v>
      </c>
      <c r="F11" s="117">
        <v>43756</v>
      </c>
      <c r="G11" s="128"/>
      <c r="H11" s="119">
        <v>-1311000000</v>
      </c>
      <c r="I11" s="106">
        <f t="shared" si="0"/>
        <v>0.13333333333333333</v>
      </c>
      <c r="J11" s="108" t="str">
        <f t="shared" si="1"/>
        <v>No SR</v>
      </c>
      <c r="K11" s="108">
        <f t="shared" si="2"/>
        <v>2</v>
      </c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45">
      <c r="A12" s="5"/>
      <c r="B12" s="110"/>
      <c r="C12" s="110"/>
      <c r="D12" s="114" t="s">
        <v>21</v>
      </c>
      <c r="E12" s="114" t="s">
        <v>0</v>
      </c>
      <c r="F12" s="115">
        <v>43854</v>
      </c>
      <c r="G12" s="127"/>
      <c r="H12" s="118">
        <v>834000000</v>
      </c>
      <c r="I12" s="106">
        <f t="shared" si="0"/>
        <v>0.40555555555555556</v>
      </c>
      <c r="J12" s="108" t="str">
        <f t="shared" si="1"/>
        <v>No SR</v>
      </c>
      <c r="K12" s="108">
        <f t="shared" si="2"/>
        <v>2</v>
      </c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45">
      <c r="A13" s="10"/>
      <c r="B13" s="110"/>
      <c r="C13" s="110"/>
      <c r="D13" s="116" t="s">
        <v>21</v>
      </c>
      <c r="E13" s="116" t="s">
        <v>20</v>
      </c>
      <c r="F13" s="117">
        <v>43854</v>
      </c>
      <c r="G13" s="128"/>
      <c r="H13" s="119">
        <v>-837000000</v>
      </c>
      <c r="I13" s="106">
        <f t="shared" si="0"/>
        <v>0.40555555555555556</v>
      </c>
      <c r="J13" s="108" t="str">
        <f t="shared" si="1"/>
        <v>No SR</v>
      </c>
      <c r="K13" s="108">
        <f t="shared" si="2"/>
        <v>2</v>
      </c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45">
      <c r="A14" s="5"/>
      <c r="B14" s="110"/>
      <c r="C14" s="110"/>
      <c r="D14" s="114" t="s">
        <v>21</v>
      </c>
      <c r="E14" s="114" t="s">
        <v>0</v>
      </c>
      <c r="F14" s="115">
        <v>43764</v>
      </c>
      <c r="G14" s="127"/>
      <c r="H14" s="118">
        <v>1479000000</v>
      </c>
      <c r="I14" s="106">
        <f t="shared" si="0"/>
        <v>0.15555555555555556</v>
      </c>
      <c r="J14" s="108" t="str">
        <f t="shared" si="1"/>
        <v>No SR</v>
      </c>
      <c r="K14" s="108">
        <f t="shared" si="2"/>
        <v>2</v>
      </c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45">
      <c r="A15" s="5"/>
      <c r="B15" s="110"/>
      <c r="C15" s="110"/>
      <c r="D15" s="114" t="s">
        <v>21</v>
      </c>
      <c r="E15" s="114" t="s">
        <v>20</v>
      </c>
      <c r="F15" s="115">
        <v>43764</v>
      </c>
      <c r="G15" s="127"/>
      <c r="H15" s="118">
        <v>-1488000000</v>
      </c>
      <c r="I15" s="106">
        <f t="shared" si="0"/>
        <v>0.15555555555555556</v>
      </c>
      <c r="J15" s="108" t="str">
        <f t="shared" si="1"/>
        <v>No SR</v>
      </c>
      <c r="K15" s="108">
        <f t="shared" si="2"/>
        <v>2</v>
      </c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45">
      <c r="A16" s="6"/>
      <c r="B16" s="110"/>
      <c r="C16" s="110"/>
      <c r="D16" s="112" t="s">
        <v>21</v>
      </c>
      <c r="E16" s="112" t="s">
        <v>0</v>
      </c>
      <c r="F16" s="113">
        <v>43745</v>
      </c>
      <c r="G16" s="126"/>
      <c r="H16" s="118">
        <v>13985000000</v>
      </c>
      <c r="I16" s="106">
        <f t="shared" si="0"/>
        <v>0.10277777777777777</v>
      </c>
      <c r="J16" s="108" t="str">
        <f t="shared" si="1"/>
        <v>No SR</v>
      </c>
      <c r="K16" s="108">
        <f t="shared" si="2"/>
        <v>2</v>
      </c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45">
      <c r="A17" s="5"/>
      <c r="B17" s="110"/>
      <c r="C17" s="110"/>
      <c r="D17" s="114" t="s">
        <v>21</v>
      </c>
      <c r="E17" s="114" t="s">
        <v>20</v>
      </c>
      <c r="F17" s="115">
        <v>43745</v>
      </c>
      <c r="G17" s="127"/>
      <c r="H17" s="118">
        <v>-14070000000</v>
      </c>
      <c r="I17" s="106">
        <f t="shared" si="0"/>
        <v>0.10277777777777777</v>
      </c>
      <c r="J17" s="108" t="str">
        <f t="shared" si="1"/>
        <v>No SR</v>
      </c>
      <c r="K17" s="108">
        <f t="shared" si="2"/>
        <v>2</v>
      </c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45">
      <c r="A18" s="5"/>
      <c r="B18" s="110"/>
      <c r="C18" s="110"/>
      <c r="D18" s="114" t="s">
        <v>21</v>
      </c>
      <c r="E18" s="114" t="s">
        <v>0</v>
      </c>
      <c r="F18" s="123">
        <v>44871</v>
      </c>
      <c r="G18" s="127"/>
      <c r="H18" s="118">
        <v>485000000</v>
      </c>
      <c r="I18" s="106">
        <f t="shared" si="0"/>
        <v>3.2305555555555556</v>
      </c>
      <c r="J18" s="108" t="str">
        <f t="shared" si="1"/>
        <v>No SR</v>
      </c>
      <c r="K18" s="108">
        <f t="shared" si="2"/>
        <v>2</v>
      </c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45">
      <c r="A19" s="10"/>
      <c r="B19" s="110"/>
      <c r="C19" s="110"/>
      <c r="D19" s="116" t="s">
        <v>21</v>
      </c>
      <c r="E19" s="116" t="s">
        <v>20</v>
      </c>
      <c r="F19" s="124">
        <v>44871</v>
      </c>
      <c r="G19" s="128"/>
      <c r="H19" s="119">
        <v>-488000000</v>
      </c>
      <c r="I19" s="106">
        <f t="shared" si="0"/>
        <v>3.2305555555555556</v>
      </c>
      <c r="J19" s="108" t="str">
        <f t="shared" si="1"/>
        <v>No SR</v>
      </c>
      <c r="K19" s="108">
        <f t="shared" si="2"/>
        <v>2</v>
      </c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45">
      <c r="A20" s="5"/>
      <c r="B20" s="110"/>
      <c r="C20" s="110"/>
      <c r="D20" s="114" t="s">
        <v>21</v>
      </c>
      <c r="E20" s="114" t="s">
        <v>0</v>
      </c>
      <c r="F20" s="115">
        <v>43874</v>
      </c>
      <c r="G20" s="127"/>
      <c r="H20" s="118">
        <v>672000000</v>
      </c>
      <c r="I20" s="106">
        <f t="shared" si="0"/>
        <v>0.46111111111111114</v>
      </c>
      <c r="J20" s="108" t="str">
        <f t="shared" si="1"/>
        <v>No SR</v>
      </c>
      <c r="K20" s="108">
        <f t="shared" si="2"/>
        <v>2</v>
      </c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45">
      <c r="A21" s="10"/>
      <c r="B21" s="110"/>
      <c r="C21" s="110"/>
      <c r="D21" s="116" t="s">
        <v>21</v>
      </c>
      <c r="E21" s="116" t="s">
        <v>20</v>
      </c>
      <c r="F21" s="117">
        <v>43874</v>
      </c>
      <c r="G21" s="128"/>
      <c r="H21" s="119">
        <v>-677000000</v>
      </c>
      <c r="I21" s="106">
        <f t="shared" si="0"/>
        <v>0.46111111111111114</v>
      </c>
      <c r="J21" s="108" t="str">
        <f t="shared" si="1"/>
        <v>No SR</v>
      </c>
      <c r="K21" s="108">
        <f t="shared" si="2"/>
        <v>2</v>
      </c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45">
      <c r="A22" s="5"/>
      <c r="B22" s="110"/>
      <c r="C22" s="110"/>
      <c r="D22" s="114" t="s">
        <v>21</v>
      </c>
      <c r="E22" s="114" t="s">
        <v>0</v>
      </c>
      <c r="F22" s="115">
        <v>43798</v>
      </c>
      <c r="G22" s="127"/>
      <c r="H22" s="118">
        <v>343000000</v>
      </c>
      <c r="I22" s="106">
        <f t="shared" si="0"/>
        <v>0.25</v>
      </c>
      <c r="J22" s="108" t="str">
        <f t="shared" si="1"/>
        <v>No SR</v>
      </c>
      <c r="K22" s="108">
        <f t="shared" si="2"/>
        <v>2</v>
      </c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45">
      <c r="A23" s="10"/>
      <c r="B23" s="110"/>
      <c r="C23" s="110"/>
      <c r="D23" s="116" t="s">
        <v>21</v>
      </c>
      <c r="E23" s="116" t="s">
        <v>20</v>
      </c>
      <c r="F23" s="117">
        <v>43798</v>
      </c>
      <c r="G23" s="128"/>
      <c r="H23" s="119">
        <v>-347000000</v>
      </c>
      <c r="I23" s="106">
        <f t="shared" si="0"/>
        <v>0.25</v>
      </c>
      <c r="J23" s="108" t="str">
        <f t="shared" si="1"/>
        <v>No SR</v>
      </c>
      <c r="K23" s="108">
        <f t="shared" si="2"/>
        <v>2</v>
      </c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45">
      <c r="A24" s="6"/>
      <c r="B24" s="110"/>
      <c r="C24" s="110"/>
      <c r="D24" s="114" t="s">
        <v>21</v>
      </c>
      <c r="E24" s="114" t="s">
        <v>0</v>
      </c>
      <c r="F24" s="115">
        <v>43773</v>
      </c>
      <c r="G24" s="127"/>
      <c r="H24" s="118">
        <v>16485000000</v>
      </c>
      <c r="I24" s="106">
        <f t="shared" si="0"/>
        <v>0.18055555555555555</v>
      </c>
      <c r="J24" s="108" t="str">
        <f t="shared" si="1"/>
        <v>No SR</v>
      </c>
      <c r="K24" s="108">
        <f t="shared" si="2"/>
        <v>2</v>
      </c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45">
      <c r="A25" s="5"/>
      <c r="B25" s="110"/>
      <c r="C25" s="110"/>
      <c r="D25" s="114" t="s">
        <v>21</v>
      </c>
      <c r="E25" s="114" t="s">
        <v>20</v>
      </c>
      <c r="F25" s="115">
        <v>43773</v>
      </c>
      <c r="G25" s="127"/>
      <c r="H25" s="118">
        <v>-16598000000</v>
      </c>
      <c r="I25" s="106">
        <f t="shared" si="0"/>
        <v>0.18055555555555555</v>
      </c>
      <c r="J25" s="108" t="str">
        <f t="shared" si="1"/>
        <v>No SR</v>
      </c>
      <c r="K25" s="108">
        <f t="shared" si="2"/>
        <v>2</v>
      </c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45">
      <c r="A26" s="6"/>
      <c r="B26" s="110"/>
      <c r="C26" s="110"/>
      <c r="D26" s="112" t="s">
        <v>21</v>
      </c>
      <c r="E26" s="112" t="s">
        <v>0</v>
      </c>
      <c r="F26" s="113">
        <v>43775</v>
      </c>
      <c r="G26" s="126"/>
      <c r="H26" s="118">
        <v>7997000000</v>
      </c>
      <c r="I26" s="106">
        <f t="shared" si="0"/>
        <v>0.18611111111111112</v>
      </c>
      <c r="J26" s="108" t="str">
        <f t="shared" si="1"/>
        <v>No SR</v>
      </c>
      <c r="K26" s="108">
        <f t="shared" si="2"/>
        <v>2</v>
      </c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45">
      <c r="A27" s="5"/>
      <c r="B27" s="110"/>
      <c r="C27" s="110"/>
      <c r="D27" s="114" t="s">
        <v>21</v>
      </c>
      <c r="E27" s="114" t="s">
        <v>20</v>
      </c>
      <c r="F27" s="115">
        <v>43775</v>
      </c>
      <c r="G27" s="127"/>
      <c r="H27" s="118">
        <v>-8091000000</v>
      </c>
      <c r="I27" s="106">
        <f t="shared" si="0"/>
        <v>0.18611111111111112</v>
      </c>
      <c r="J27" s="108" t="str">
        <f t="shared" si="1"/>
        <v>No SR</v>
      </c>
      <c r="K27" s="108">
        <f t="shared" si="2"/>
        <v>2</v>
      </c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45">
      <c r="A28" s="5"/>
      <c r="B28" s="110"/>
      <c r="C28" s="110"/>
      <c r="D28" s="114" t="s">
        <v>21</v>
      </c>
      <c r="E28" s="120" t="s">
        <v>20</v>
      </c>
      <c r="F28" s="115">
        <v>43902</v>
      </c>
      <c r="G28" s="127"/>
      <c r="H28" s="118">
        <v>367000000</v>
      </c>
      <c r="I28" s="106">
        <f t="shared" si="0"/>
        <v>0.53888888888888886</v>
      </c>
      <c r="J28" s="108" t="str">
        <f t="shared" si="1"/>
        <v>No SR</v>
      </c>
      <c r="K28" s="108">
        <f t="shared" si="2"/>
        <v>2</v>
      </c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45">
      <c r="A29" s="10"/>
      <c r="B29" s="110"/>
      <c r="C29" s="110"/>
      <c r="D29" s="116" t="s">
        <v>21</v>
      </c>
      <c r="E29" s="121" t="s">
        <v>0</v>
      </c>
      <c r="F29" s="117">
        <v>43902</v>
      </c>
      <c r="G29" s="128"/>
      <c r="H29" s="119">
        <v>-368000000</v>
      </c>
      <c r="I29" s="106">
        <f t="shared" si="0"/>
        <v>0.53888888888888886</v>
      </c>
      <c r="J29" s="108" t="str">
        <f t="shared" si="1"/>
        <v>No SR</v>
      </c>
      <c r="K29" s="108">
        <f t="shared" si="2"/>
        <v>2</v>
      </c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45">
      <c r="A30" s="6"/>
      <c r="B30" s="110"/>
      <c r="C30" s="110"/>
      <c r="D30" s="112" t="s">
        <v>21</v>
      </c>
      <c r="E30" s="121" t="s">
        <v>20</v>
      </c>
      <c r="F30" s="113">
        <v>43816</v>
      </c>
      <c r="G30" s="127"/>
      <c r="H30" s="118">
        <v>945000000</v>
      </c>
      <c r="I30" s="106">
        <f t="shared" si="0"/>
        <v>0.3</v>
      </c>
      <c r="J30" s="108" t="str">
        <f t="shared" si="1"/>
        <v>No SR</v>
      </c>
      <c r="K30" s="108">
        <f t="shared" si="2"/>
        <v>2</v>
      </c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45">
      <c r="A31" s="5"/>
      <c r="B31" s="110"/>
      <c r="C31" s="110"/>
      <c r="D31" s="114" t="s">
        <v>21</v>
      </c>
      <c r="E31" s="121" t="s">
        <v>0</v>
      </c>
      <c r="F31" s="115">
        <v>43816</v>
      </c>
      <c r="G31" s="127"/>
      <c r="H31" s="118">
        <v>-953000000</v>
      </c>
      <c r="I31" s="106">
        <f t="shared" si="0"/>
        <v>0.3</v>
      </c>
      <c r="J31" s="108" t="str">
        <f t="shared" si="1"/>
        <v>No SR</v>
      </c>
      <c r="K31" s="108">
        <f t="shared" si="2"/>
        <v>2</v>
      </c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45">
      <c r="A32" s="6"/>
      <c r="B32" s="110"/>
      <c r="C32" s="110"/>
      <c r="D32" s="112" t="s">
        <v>21</v>
      </c>
      <c r="E32" s="121" t="s">
        <v>20</v>
      </c>
      <c r="F32" s="113">
        <v>43787</v>
      </c>
      <c r="G32" s="126"/>
      <c r="H32" s="118">
        <v>10315000000</v>
      </c>
      <c r="I32" s="106">
        <f t="shared" si="0"/>
        <v>0.21944444444444444</v>
      </c>
      <c r="J32" s="108" t="str">
        <f t="shared" si="1"/>
        <v>No SR</v>
      </c>
      <c r="K32" s="108">
        <f t="shared" si="2"/>
        <v>2</v>
      </c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45">
      <c r="A33" s="5"/>
      <c r="B33" s="110"/>
      <c r="C33" s="110"/>
      <c r="D33" s="114" t="s">
        <v>21</v>
      </c>
      <c r="E33" s="121" t="s">
        <v>0</v>
      </c>
      <c r="F33" s="115">
        <v>43787</v>
      </c>
      <c r="G33" s="127"/>
      <c r="H33" s="118">
        <v>-10355000000</v>
      </c>
      <c r="I33" s="106">
        <f t="shared" si="0"/>
        <v>0.21944444444444444</v>
      </c>
      <c r="J33" s="108" t="str">
        <f t="shared" si="1"/>
        <v>No SR</v>
      </c>
      <c r="K33" s="108">
        <f t="shared" si="2"/>
        <v>2</v>
      </c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45">
      <c r="A34" s="5"/>
      <c r="B34" s="110"/>
      <c r="C34" s="110"/>
      <c r="D34" s="114" t="s">
        <v>21</v>
      </c>
      <c r="E34" s="121" t="s">
        <v>20</v>
      </c>
      <c r="F34" s="123">
        <v>45251</v>
      </c>
      <c r="G34" s="127"/>
      <c r="H34" s="118">
        <v>23190000000</v>
      </c>
      <c r="I34" s="106">
        <f t="shared" si="0"/>
        <v>4.2861111111111114</v>
      </c>
      <c r="J34" s="108" t="str">
        <f t="shared" si="1"/>
        <v>No SR</v>
      </c>
      <c r="K34" s="108">
        <f t="shared" si="2"/>
        <v>2</v>
      </c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45">
      <c r="A35" s="10"/>
      <c r="B35" s="110"/>
      <c r="C35" s="110"/>
      <c r="D35" s="116" t="s">
        <v>21</v>
      </c>
      <c r="E35" s="122" t="s">
        <v>0</v>
      </c>
      <c r="F35" s="124">
        <v>45251</v>
      </c>
      <c r="G35" s="128"/>
      <c r="H35" s="119">
        <v>-23360000000</v>
      </c>
      <c r="I35" s="106">
        <f t="shared" si="0"/>
        <v>4.2861111111111114</v>
      </c>
      <c r="J35" s="108" t="str">
        <f t="shared" si="1"/>
        <v>No SR</v>
      </c>
      <c r="K35" s="108">
        <f t="shared" si="2"/>
        <v>2</v>
      </c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45">
      <c r="A36" s="6"/>
      <c r="B36" s="110"/>
      <c r="C36" s="110"/>
      <c r="D36" s="112" t="s">
        <v>21</v>
      </c>
      <c r="E36" s="114" t="s">
        <v>0</v>
      </c>
      <c r="F36" s="113">
        <v>43824</v>
      </c>
      <c r="G36" s="127"/>
      <c r="H36" s="118">
        <v>2786000000</v>
      </c>
      <c r="I36" s="106">
        <f t="shared" si="0"/>
        <v>0.32222222222222224</v>
      </c>
      <c r="J36" s="108" t="str">
        <f t="shared" si="1"/>
        <v>No SR</v>
      </c>
      <c r="K36" s="108">
        <f t="shared" si="2"/>
        <v>2</v>
      </c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45">
      <c r="A37" s="5"/>
      <c r="B37" s="110"/>
      <c r="C37" s="110"/>
      <c r="D37" s="114" t="s">
        <v>21</v>
      </c>
      <c r="E37" s="114" t="s">
        <v>20</v>
      </c>
      <c r="F37" s="115">
        <v>43824</v>
      </c>
      <c r="G37" s="127"/>
      <c r="H37" s="118">
        <v>-2805000000</v>
      </c>
      <c r="I37" s="106">
        <f t="shared" si="0"/>
        <v>0.32222222222222224</v>
      </c>
      <c r="J37" s="108" t="str">
        <f t="shared" si="1"/>
        <v>No SR</v>
      </c>
      <c r="K37" s="108">
        <f t="shared" si="2"/>
        <v>2</v>
      </c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45">
      <c r="A38" s="5"/>
      <c r="B38" s="110"/>
      <c r="C38" s="110"/>
      <c r="D38" s="114" t="s">
        <v>21</v>
      </c>
      <c r="E38" s="114" t="s">
        <v>0</v>
      </c>
      <c r="F38" s="115">
        <v>43832</v>
      </c>
      <c r="G38" s="127"/>
      <c r="H38" s="118">
        <v>847000000</v>
      </c>
      <c r="I38" s="106">
        <f t="shared" si="0"/>
        <v>0.34444444444444444</v>
      </c>
      <c r="J38" s="108" t="str">
        <f t="shared" si="1"/>
        <v>No SR</v>
      </c>
      <c r="K38" s="108">
        <f t="shared" si="2"/>
        <v>2</v>
      </c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45">
      <c r="A39" s="5"/>
      <c r="B39" s="110"/>
      <c r="C39" s="110"/>
      <c r="D39" s="114" t="s">
        <v>21</v>
      </c>
      <c r="E39" s="114" t="s">
        <v>20</v>
      </c>
      <c r="F39" s="115">
        <v>43832</v>
      </c>
      <c r="G39" s="127"/>
      <c r="H39" s="118">
        <v>-853000000</v>
      </c>
      <c r="I39" s="106">
        <f t="shared" si="0"/>
        <v>0.34444444444444444</v>
      </c>
      <c r="J39" s="108" t="str">
        <f t="shared" si="1"/>
        <v>No SR</v>
      </c>
      <c r="K39" s="108">
        <f t="shared" si="2"/>
        <v>2</v>
      </c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45">
      <c r="A40" s="5"/>
      <c r="B40" s="110"/>
      <c r="C40" s="110"/>
      <c r="D40" s="114" t="s">
        <v>21</v>
      </c>
      <c r="E40" s="114" t="s">
        <v>0</v>
      </c>
      <c r="F40" s="115">
        <v>43801</v>
      </c>
      <c r="G40" s="127"/>
      <c r="H40" s="118">
        <v>6103000000</v>
      </c>
      <c r="I40" s="106">
        <f t="shared" si="0"/>
        <v>0.25833333333333336</v>
      </c>
      <c r="J40" s="108" t="str">
        <f t="shared" si="1"/>
        <v>No SR</v>
      </c>
      <c r="K40" s="108">
        <f t="shared" si="2"/>
        <v>2</v>
      </c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45">
      <c r="A41" s="10"/>
      <c r="B41" s="110"/>
      <c r="C41" s="110"/>
      <c r="D41" s="116" t="s">
        <v>21</v>
      </c>
      <c r="E41" s="116" t="s">
        <v>20</v>
      </c>
      <c r="F41" s="117">
        <v>43801</v>
      </c>
      <c r="G41" s="128"/>
      <c r="H41" s="119">
        <v>-6110000000</v>
      </c>
      <c r="I41" s="106">
        <f t="shared" si="0"/>
        <v>0.25833333333333336</v>
      </c>
      <c r="J41" s="108" t="str">
        <f t="shared" si="1"/>
        <v>No SR</v>
      </c>
      <c r="K41" s="108">
        <f t="shared" si="2"/>
        <v>2</v>
      </c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45">
      <c r="A42" s="5"/>
      <c r="B42" s="110"/>
      <c r="C42" s="110"/>
      <c r="D42" s="114" t="s">
        <v>21</v>
      </c>
      <c r="E42" s="114" t="s">
        <v>0</v>
      </c>
      <c r="F42" s="115">
        <v>43836</v>
      </c>
      <c r="G42" s="127"/>
      <c r="H42" s="118">
        <v>908000000</v>
      </c>
      <c r="I42" s="106">
        <f t="shared" si="0"/>
        <v>0.35555555555555557</v>
      </c>
      <c r="J42" s="108" t="str">
        <f t="shared" si="1"/>
        <v>No SR</v>
      </c>
      <c r="K42" s="108">
        <f t="shared" si="2"/>
        <v>2</v>
      </c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45">
      <c r="A43" s="10"/>
      <c r="B43" s="110"/>
      <c r="C43" s="110"/>
      <c r="D43" s="116" t="s">
        <v>21</v>
      </c>
      <c r="E43" s="116" t="s">
        <v>20</v>
      </c>
      <c r="F43" s="117">
        <v>43836</v>
      </c>
      <c r="G43" s="128"/>
      <c r="H43" s="119">
        <v>-913000000</v>
      </c>
      <c r="I43" s="106">
        <f t="shared" si="0"/>
        <v>0.35555555555555557</v>
      </c>
      <c r="J43" s="108" t="str">
        <f t="shared" si="1"/>
        <v>No SR</v>
      </c>
      <c r="K43" s="108">
        <f t="shared" si="2"/>
        <v>2</v>
      </c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45">
      <c r="A44" s="5"/>
      <c r="B44" s="110"/>
      <c r="C44" s="110"/>
      <c r="D44" s="114" t="s">
        <v>21</v>
      </c>
      <c r="E44" s="114" t="s">
        <v>0</v>
      </c>
      <c r="F44" s="115">
        <v>43808</v>
      </c>
      <c r="G44" s="127"/>
      <c r="H44" s="118">
        <v>11595000000</v>
      </c>
      <c r="I44" s="106">
        <f t="shared" si="0"/>
        <v>0.27777777777777779</v>
      </c>
      <c r="J44" s="108" t="str">
        <f t="shared" si="1"/>
        <v>No SR</v>
      </c>
      <c r="K44" s="108">
        <f t="shared" si="2"/>
        <v>2</v>
      </c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45">
      <c r="A45" s="5"/>
      <c r="B45" s="110"/>
      <c r="C45" s="110"/>
      <c r="D45" s="114" t="s">
        <v>21</v>
      </c>
      <c r="E45" s="114" t="s">
        <v>20</v>
      </c>
      <c r="F45" s="115">
        <v>43808</v>
      </c>
      <c r="G45" s="127"/>
      <c r="H45" s="118">
        <v>-11650000000</v>
      </c>
      <c r="I45" s="106">
        <f t="shared" si="0"/>
        <v>0.27777777777777779</v>
      </c>
      <c r="J45" s="108" t="str">
        <f t="shared" si="1"/>
        <v>No SR</v>
      </c>
      <c r="K45" s="108">
        <f t="shared" si="2"/>
        <v>2</v>
      </c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45">
      <c r="A46" s="5"/>
      <c r="B46" s="110"/>
      <c r="C46" s="110"/>
      <c r="D46" s="114" t="s">
        <v>21</v>
      </c>
      <c r="E46" s="114" t="s">
        <v>0</v>
      </c>
      <c r="F46" s="115">
        <v>43840</v>
      </c>
      <c r="G46" s="127"/>
      <c r="H46" s="118">
        <v>517000000</v>
      </c>
      <c r="I46" s="106">
        <f t="shared" si="0"/>
        <v>0.36666666666666664</v>
      </c>
      <c r="J46" s="108" t="str">
        <f t="shared" si="1"/>
        <v>No SR</v>
      </c>
      <c r="K46" s="108">
        <f t="shared" si="2"/>
        <v>2</v>
      </c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45">
      <c r="A47" s="5"/>
      <c r="B47" s="110"/>
      <c r="C47" s="110"/>
      <c r="D47" s="114" t="s">
        <v>21</v>
      </c>
      <c r="E47" s="114" t="s">
        <v>20</v>
      </c>
      <c r="F47" s="115">
        <v>43840</v>
      </c>
      <c r="G47" s="127"/>
      <c r="H47" s="118">
        <v>-519000000</v>
      </c>
      <c r="I47" s="106">
        <f t="shared" si="0"/>
        <v>0.36666666666666664</v>
      </c>
      <c r="J47" s="108" t="str">
        <f t="shared" si="1"/>
        <v>No SR</v>
      </c>
      <c r="K47" s="108">
        <f t="shared" si="2"/>
        <v>2</v>
      </c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45">
      <c r="A48" s="5"/>
      <c r="B48" s="110"/>
      <c r="C48" s="110"/>
      <c r="D48" s="114" t="s">
        <v>21</v>
      </c>
      <c r="E48" s="114" t="s">
        <v>0</v>
      </c>
      <c r="F48" s="115">
        <v>43934</v>
      </c>
      <c r="G48" s="127"/>
      <c r="H48" s="118">
        <v>337000000</v>
      </c>
      <c r="I48" s="106">
        <f t="shared" si="0"/>
        <v>0.62777777777777777</v>
      </c>
      <c r="J48" s="108" t="str">
        <f t="shared" si="1"/>
        <v>No SR</v>
      </c>
      <c r="K48" s="108">
        <f t="shared" si="2"/>
        <v>2</v>
      </c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45">
      <c r="A49" s="5"/>
      <c r="B49" s="110"/>
      <c r="C49" s="110"/>
      <c r="D49" s="114" t="s">
        <v>21</v>
      </c>
      <c r="E49" s="112" t="s">
        <v>20</v>
      </c>
      <c r="F49" s="115">
        <v>43934</v>
      </c>
      <c r="G49" s="127"/>
      <c r="H49" s="118">
        <v>-336000000</v>
      </c>
      <c r="I49" s="106">
        <f t="shared" si="0"/>
        <v>0.62777777777777777</v>
      </c>
      <c r="J49" s="108" t="str">
        <f t="shared" si="1"/>
        <v>No SR</v>
      </c>
      <c r="K49" s="108">
        <f t="shared" si="2"/>
        <v>2</v>
      </c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45">
      <c r="A50" s="5"/>
      <c r="B50" s="110"/>
      <c r="C50" s="110"/>
      <c r="D50" s="114" t="s">
        <v>21</v>
      </c>
      <c r="E50" s="114" t="s">
        <v>0</v>
      </c>
      <c r="F50" s="115">
        <v>43850</v>
      </c>
      <c r="G50" s="127"/>
      <c r="H50" s="118">
        <v>54000000</v>
      </c>
      <c r="I50" s="106">
        <f t="shared" si="0"/>
        <v>0.39444444444444443</v>
      </c>
      <c r="J50" s="108" t="str">
        <f t="shared" si="1"/>
        <v>No SR</v>
      </c>
      <c r="K50" s="108">
        <f t="shared" si="2"/>
        <v>2</v>
      </c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45">
      <c r="A51" s="5"/>
      <c r="B51" s="110"/>
      <c r="C51" s="110"/>
      <c r="D51" s="114" t="s">
        <v>21</v>
      </c>
      <c r="E51" s="114" t="s">
        <v>20</v>
      </c>
      <c r="F51" s="115">
        <v>43850</v>
      </c>
      <c r="G51" s="127"/>
      <c r="H51" s="118">
        <v>-55000000</v>
      </c>
      <c r="I51" s="106">
        <f t="shared" si="0"/>
        <v>0.39444444444444443</v>
      </c>
      <c r="J51" s="108" t="str">
        <f t="shared" si="1"/>
        <v>No SR</v>
      </c>
      <c r="K51" s="108">
        <f t="shared" si="2"/>
        <v>2</v>
      </c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45">
      <c r="A52" s="5"/>
      <c r="B52" s="110"/>
      <c r="C52" s="110"/>
      <c r="D52" s="114" t="s">
        <v>21</v>
      </c>
      <c r="E52" s="114" t="s">
        <v>0</v>
      </c>
      <c r="F52" s="115">
        <v>43822</v>
      </c>
      <c r="G52" s="127"/>
      <c r="H52" s="118">
        <v>46380000000</v>
      </c>
      <c r="I52" s="106">
        <f t="shared" si="0"/>
        <v>0.31666666666666665</v>
      </c>
      <c r="J52" s="108" t="str">
        <f t="shared" si="1"/>
        <v>No SR</v>
      </c>
      <c r="K52" s="108">
        <f t="shared" si="2"/>
        <v>2</v>
      </c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45">
      <c r="A53" s="5"/>
      <c r="B53" s="110"/>
      <c r="C53" s="110"/>
      <c r="D53" s="114" t="s">
        <v>21</v>
      </c>
      <c r="E53" s="114" t="s">
        <v>20</v>
      </c>
      <c r="F53" s="115">
        <v>43822</v>
      </c>
      <c r="G53" s="127"/>
      <c r="H53" s="118">
        <v>-46600000000</v>
      </c>
      <c r="I53" s="106">
        <f t="shared" si="0"/>
        <v>0.31666666666666665</v>
      </c>
      <c r="J53" s="108" t="str">
        <f t="shared" si="1"/>
        <v>No SR</v>
      </c>
      <c r="K53" s="108">
        <f t="shared" si="2"/>
        <v>2</v>
      </c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45">
      <c r="A54" s="5"/>
      <c r="B54" s="110"/>
      <c r="C54" s="110"/>
      <c r="D54" s="114" t="s">
        <v>21</v>
      </c>
      <c r="E54" s="114" t="s">
        <v>0</v>
      </c>
      <c r="F54" s="115">
        <v>43857</v>
      </c>
      <c r="G54" s="127"/>
      <c r="H54" s="118">
        <v>208000000</v>
      </c>
      <c r="I54" s="106">
        <f t="shared" si="0"/>
        <v>0.41388888888888886</v>
      </c>
      <c r="J54" s="108" t="str">
        <f t="shared" si="1"/>
        <v>No SR</v>
      </c>
      <c r="K54" s="108">
        <f t="shared" si="2"/>
        <v>2</v>
      </c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45">
      <c r="A55" s="5"/>
      <c r="B55" s="110"/>
      <c r="C55" s="110"/>
      <c r="D55" s="114" t="s">
        <v>21</v>
      </c>
      <c r="E55" s="114" t="s">
        <v>20</v>
      </c>
      <c r="F55" s="115">
        <v>43857</v>
      </c>
      <c r="G55" s="127"/>
      <c r="H55" s="118">
        <v>-208000000</v>
      </c>
      <c r="I55" s="106">
        <f t="shared" si="0"/>
        <v>0.41388888888888886</v>
      </c>
      <c r="J55" s="108" t="str">
        <f t="shared" si="1"/>
        <v>No SR</v>
      </c>
      <c r="K55" s="108">
        <f t="shared" si="2"/>
        <v>2</v>
      </c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45">
      <c r="A56" s="5"/>
      <c r="B56" s="110"/>
      <c r="C56" s="110"/>
      <c r="D56" s="114" t="s">
        <v>21</v>
      </c>
      <c r="E56" s="114" t="s">
        <v>0</v>
      </c>
      <c r="F56" s="115">
        <v>43864</v>
      </c>
      <c r="G56" s="127"/>
      <c r="H56" s="118">
        <v>1225000000</v>
      </c>
      <c r="I56" s="106">
        <f t="shared" si="0"/>
        <v>0.43333333333333335</v>
      </c>
      <c r="J56" s="108" t="str">
        <f t="shared" si="1"/>
        <v>No SR</v>
      </c>
      <c r="K56" s="108">
        <f t="shared" si="2"/>
        <v>2</v>
      </c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45">
      <c r="A57" s="10"/>
      <c r="B57" s="110"/>
      <c r="C57" s="110"/>
      <c r="D57" s="116" t="s">
        <v>21</v>
      </c>
      <c r="E57" s="116" t="s">
        <v>20</v>
      </c>
      <c r="F57" s="117">
        <v>43864</v>
      </c>
      <c r="G57" s="128"/>
      <c r="H57" s="119">
        <v>-1222000000</v>
      </c>
      <c r="I57" s="106">
        <f t="shared" si="0"/>
        <v>0.43333333333333335</v>
      </c>
      <c r="J57" s="108" t="str">
        <f t="shared" si="1"/>
        <v>No SR</v>
      </c>
      <c r="K57" s="108">
        <f t="shared" si="2"/>
        <v>2</v>
      </c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45">
      <c r="A58" s="5"/>
      <c r="B58" s="110"/>
      <c r="C58" s="110"/>
      <c r="D58" s="114" t="s">
        <v>21</v>
      </c>
      <c r="E58" s="114" t="s">
        <v>0</v>
      </c>
      <c r="F58" s="115">
        <v>43867</v>
      </c>
      <c r="G58" s="127"/>
      <c r="H58" s="118">
        <v>434000000</v>
      </c>
      <c r="I58" s="106">
        <f t="shared" si="0"/>
        <v>0.44166666666666665</v>
      </c>
      <c r="J58" s="108" t="str">
        <f t="shared" si="1"/>
        <v>No SR</v>
      </c>
      <c r="K58" s="108">
        <f t="shared" si="2"/>
        <v>2</v>
      </c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45">
      <c r="A59" s="5"/>
      <c r="B59" s="110"/>
      <c r="C59" s="110"/>
      <c r="D59" s="114" t="s">
        <v>21</v>
      </c>
      <c r="E59" s="114" t="s">
        <v>20</v>
      </c>
      <c r="F59" s="115">
        <v>43867</v>
      </c>
      <c r="G59" s="127"/>
      <c r="H59" s="118">
        <v>-434000000</v>
      </c>
      <c r="I59" s="106">
        <f t="shared" si="0"/>
        <v>0.44166666666666665</v>
      </c>
      <c r="J59" s="108" t="str">
        <f t="shared" si="1"/>
        <v>No SR</v>
      </c>
      <c r="K59" s="108">
        <f t="shared" si="2"/>
        <v>2</v>
      </c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45">
      <c r="A60" s="5"/>
      <c r="B60" s="110"/>
      <c r="C60" s="110"/>
      <c r="D60" s="114" t="s">
        <v>21</v>
      </c>
      <c r="E60" s="114" t="s">
        <v>0</v>
      </c>
      <c r="F60" s="115">
        <v>43836</v>
      </c>
      <c r="G60" s="127"/>
      <c r="H60" s="118">
        <v>24146000000</v>
      </c>
      <c r="I60" s="106">
        <f t="shared" si="0"/>
        <v>0.35555555555555557</v>
      </c>
      <c r="J60" s="108" t="str">
        <f t="shared" si="1"/>
        <v>No SR</v>
      </c>
      <c r="K60" s="108">
        <f t="shared" si="2"/>
        <v>2</v>
      </c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45">
      <c r="A61" s="10"/>
      <c r="B61" s="110"/>
      <c r="C61" s="110"/>
      <c r="D61" s="116" t="s">
        <v>21</v>
      </c>
      <c r="E61" s="116" t="s">
        <v>20</v>
      </c>
      <c r="F61" s="117">
        <v>43836</v>
      </c>
      <c r="G61" s="128"/>
      <c r="H61" s="119">
        <v>-24303000000</v>
      </c>
      <c r="I61" s="106">
        <f t="shared" si="0"/>
        <v>0.35555555555555557</v>
      </c>
      <c r="J61" s="108" t="str">
        <f t="shared" si="1"/>
        <v>No SR</v>
      </c>
      <c r="K61" s="108">
        <f t="shared" si="2"/>
        <v>2</v>
      </c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45">
      <c r="A62" s="5"/>
      <c r="B62" s="110"/>
      <c r="C62" s="110"/>
      <c r="D62" s="114" t="s">
        <v>21</v>
      </c>
      <c r="E62" s="114" t="s">
        <v>0</v>
      </c>
      <c r="F62" s="115">
        <v>43871</v>
      </c>
      <c r="G62" s="127"/>
      <c r="H62" s="118">
        <v>521000000</v>
      </c>
      <c r="I62" s="106">
        <f t="shared" si="0"/>
        <v>0.45277777777777778</v>
      </c>
      <c r="J62" s="108" t="str">
        <f t="shared" si="1"/>
        <v>No SR</v>
      </c>
      <c r="K62" s="108">
        <f t="shared" si="2"/>
        <v>2</v>
      </c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45">
      <c r="A63" s="10"/>
      <c r="B63" s="110"/>
      <c r="C63" s="110"/>
      <c r="D63" s="116" t="s">
        <v>21</v>
      </c>
      <c r="E63" s="116" t="s">
        <v>20</v>
      </c>
      <c r="F63" s="117">
        <v>43871</v>
      </c>
      <c r="G63" s="128"/>
      <c r="H63" s="119">
        <v>-523000000</v>
      </c>
      <c r="I63" s="106">
        <f t="shared" si="0"/>
        <v>0.45277777777777778</v>
      </c>
      <c r="J63" s="108" t="str">
        <f t="shared" si="1"/>
        <v>No SR</v>
      </c>
      <c r="K63" s="108">
        <f t="shared" si="2"/>
        <v>2</v>
      </c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45">
      <c r="A64" s="5"/>
      <c r="B64" s="110"/>
      <c r="C64" s="110"/>
      <c r="D64" s="114" t="s">
        <v>21</v>
      </c>
      <c r="E64" s="114" t="s">
        <v>0</v>
      </c>
      <c r="F64" s="115">
        <v>43965</v>
      </c>
      <c r="G64" s="127"/>
      <c r="H64" s="118">
        <v>885000000</v>
      </c>
      <c r="I64" s="106">
        <f t="shared" si="0"/>
        <v>0.71388888888888891</v>
      </c>
      <c r="J64" s="108" t="str">
        <f t="shared" si="1"/>
        <v>No SR</v>
      </c>
      <c r="K64" s="108">
        <f t="shared" si="2"/>
        <v>2</v>
      </c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45">
      <c r="A65" s="10"/>
      <c r="B65" s="110"/>
      <c r="C65" s="110"/>
      <c r="D65" s="116" t="s">
        <v>21</v>
      </c>
      <c r="E65" s="116" t="s">
        <v>20</v>
      </c>
      <c r="F65" s="117">
        <v>43965</v>
      </c>
      <c r="G65" s="128"/>
      <c r="H65" s="119">
        <v>-888000000</v>
      </c>
      <c r="I65" s="106">
        <f t="shared" si="0"/>
        <v>0.71388888888888891</v>
      </c>
      <c r="J65" s="108" t="str">
        <f t="shared" si="1"/>
        <v>No SR</v>
      </c>
      <c r="K65" s="108">
        <f t="shared" si="2"/>
        <v>2</v>
      </c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45">
      <c r="A66" s="5"/>
      <c r="B66" s="110"/>
      <c r="C66" s="110"/>
      <c r="D66" s="114" t="s">
        <v>21</v>
      </c>
      <c r="E66" s="114" t="s">
        <v>0</v>
      </c>
      <c r="F66" s="115">
        <v>43851</v>
      </c>
      <c r="G66" s="127"/>
      <c r="H66" s="118">
        <v>27828000000</v>
      </c>
      <c r="I66" s="106">
        <f t="shared" si="0"/>
        <v>0.3972222222222222</v>
      </c>
      <c r="J66" s="108" t="str">
        <f t="shared" si="1"/>
        <v>No SR</v>
      </c>
      <c r="K66" s="108">
        <f t="shared" si="2"/>
        <v>2</v>
      </c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45">
      <c r="A67" s="5"/>
      <c r="B67" s="110"/>
      <c r="C67" s="110"/>
      <c r="D67" s="114" t="s">
        <v>21</v>
      </c>
      <c r="E67" s="114" t="s">
        <v>20</v>
      </c>
      <c r="F67" s="115">
        <v>43851</v>
      </c>
      <c r="G67" s="127"/>
      <c r="H67" s="118">
        <v>-27912000000</v>
      </c>
      <c r="I67" s="106">
        <f t="shared" si="0"/>
        <v>0.3972222222222222</v>
      </c>
      <c r="J67" s="108" t="str">
        <f t="shared" si="1"/>
        <v>No SR</v>
      </c>
      <c r="K67" s="108">
        <f t="shared" si="2"/>
        <v>2</v>
      </c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45">
      <c r="A68" s="5"/>
      <c r="B68" s="110"/>
      <c r="C68" s="110"/>
      <c r="D68" s="114" t="s">
        <v>21</v>
      </c>
      <c r="E68" s="114" t="s">
        <v>0</v>
      </c>
      <c r="F68" s="115">
        <v>43829</v>
      </c>
      <c r="G68" s="127"/>
      <c r="H68" s="118">
        <v>11595000000</v>
      </c>
      <c r="I68" s="106">
        <f t="shared" si="0"/>
        <v>0.33611111111111114</v>
      </c>
      <c r="J68" s="108" t="str">
        <f t="shared" si="1"/>
        <v>No SR</v>
      </c>
      <c r="K68" s="108">
        <f t="shared" si="2"/>
        <v>2</v>
      </c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45">
      <c r="A69" s="5"/>
      <c r="B69" s="110"/>
      <c r="C69" s="110"/>
      <c r="D69" s="114" t="s">
        <v>21</v>
      </c>
      <c r="E69" s="114" t="s">
        <v>20</v>
      </c>
      <c r="F69" s="115">
        <v>43829</v>
      </c>
      <c r="G69" s="127"/>
      <c r="H69" s="118">
        <v>-11665000000</v>
      </c>
      <c r="I69" s="106">
        <f t="shared" ref="I69:I132" si="3">IF(H69="","",(F69-$B$2)/360)</f>
        <v>0.33611111111111114</v>
      </c>
      <c r="J69" s="108" t="str">
        <f t="shared" ref="J69:J132" si="4">IF(H69="","",IF(B69="SOV1",0,IF(B69="SOV2",IF(0&lt;C69&lt;=4,0,IF(C69&lt;=10,IF(I69&lt;0.5,0.25%,IF(I69&lt;=2,1,1.6%)),IF(C69&lt;=16,8%,IF(C69&lt;=18,12%)))),IF(OR(B69="FI1",B69="FI2"),IF(I69&lt;0.5,0.25%,IF(I69&lt;=2,1,1.6%)),IF(B69="",IF(11&lt;=C69&lt;=13,8%,IF(C69&gt;13,12%,"No SR")))))))</f>
        <v>No SR</v>
      </c>
      <c r="K69" s="108">
        <f t="shared" ref="K69:K132" si="5">IF(H69="","",IF(OR(D69="FX FORWARD",D69="FX Swap"),2,IF(D69="Bond",IF(G69&gt;3%,1,2))))</f>
        <v>2</v>
      </c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45">
      <c r="A70" s="5"/>
      <c r="B70" s="110"/>
      <c r="C70" s="110"/>
      <c r="D70" s="114" t="s">
        <v>21</v>
      </c>
      <c r="E70" s="114" t="s">
        <v>0</v>
      </c>
      <c r="F70" s="115">
        <v>43873</v>
      </c>
      <c r="G70" s="127"/>
      <c r="H70" s="118">
        <v>10109000000</v>
      </c>
      <c r="I70" s="106">
        <f t="shared" si="3"/>
        <v>0.45833333333333331</v>
      </c>
      <c r="J70" s="108" t="str">
        <f t="shared" si="4"/>
        <v>No SR</v>
      </c>
      <c r="K70" s="108">
        <f t="shared" si="5"/>
        <v>2</v>
      </c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45">
      <c r="A71" s="5"/>
      <c r="B71" s="110"/>
      <c r="C71" s="110"/>
      <c r="D71" s="114" t="s">
        <v>21</v>
      </c>
      <c r="E71" s="114" t="s">
        <v>20</v>
      </c>
      <c r="F71" s="115">
        <v>43873</v>
      </c>
      <c r="G71" s="127"/>
      <c r="H71" s="118">
        <v>-10139000000</v>
      </c>
      <c r="I71" s="106">
        <f t="shared" si="3"/>
        <v>0.45833333333333331</v>
      </c>
      <c r="J71" s="108" t="str">
        <f t="shared" si="4"/>
        <v>No SR</v>
      </c>
      <c r="K71" s="108">
        <f t="shared" si="5"/>
        <v>2</v>
      </c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45">
      <c r="A72" s="5"/>
      <c r="B72" s="110"/>
      <c r="C72" s="110"/>
      <c r="D72" s="114" t="s">
        <v>21</v>
      </c>
      <c r="E72" s="114" t="s">
        <v>0</v>
      </c>
      <c r="F72" s="115">
        <v>43734</v>
      </c>
      <c r="G72" s="127"/>
      <c r="H72" s="118">
        <v>13372000000</v>
      </c>
      <c r="I72" s="106">
        <f t="shared" si="3"/>
        <v>7.2222222222222215E-2</v>
      </c>
      <c r="J72" s="108" t="str">
        <f t="shared" si="4"/>
        <v>No SR</v>
      </c>
      <c r="K72" s="108">
        <f t="shared" si="5"/>
        <v>2</v>
      </c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45">
      <c r="A73" s="5"/>
      <c r="B73" s="110"/>
      <c r="C73" s="110"/>
      <c r="D73" s="114" t="s">
        <v>21</v>
      </c>
      <c r="E73" s="114" t="s">
        <v>20</v>
      </c>
      <c r="F73" s="115">
        <v>43734</v>
      </c>
      <c r="G73" s="127"/>
      <c r="H73" s="118">
        <v>-13441000000</v>
      </c>
      <c r="I73" s="106">
        <f t="shared" si="3"/>
        <v>7.2222222222222215E-2</v>
      </c>
      <c r="J73" s="108" t="str">
        <f t="shared" si="4"/>
        <v>No SR</v>
      </c>
      <c r="K73" s="108">
        <f t="shared" si="5"/>
        <v>2</v>
      </c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45">
      <c r="A74" s="5"/>
      <c r="B74" s="110"/>
      <c r="C74" s="110"/>
      <c r="D74" s="114" t="s">
        <v>21</v>
      </c>
      <c r="E74" s="114" t="s">
        <v>0</v>
      </c>
      <c r="F74" s="115">
        <v>43735</v>
      </c>
      <c r="G74" s="127"/>
      <c r="H74" s="118">
        <v>73056000000</v>
      </c>
      <c r="I74" s="106">
        <f t="shared" si="3"/>
        <v>7.4999999999999997E-2</v>
      </c>
      <c r="J74" s="108" t="str">
        <f t="shared" si="4"/>
        <v>No SR</v>
      </c>
      <c r="K74" s="108">
        <f t="shared" si="5"/>
        <v>2</v>
      </c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45">
      <c r="A75" s="5"/>
      <c r="B75" s="110"/>
      <c r="C75" s="110"/>
      <c r="D75" s="114" t="s">
        <v>21</v>
      </c>
      <c r="E75" s="114" t="s">
        <v>20</v>
      </c>
      <c r="F75" s="115">
        <v>43735</v>
      </c>
      <c r="G75" s="127"/>
      <c r="H75" s="118">
        <v>-73481000000</v>
      </c>
      <c r="I75" s="106">
        <f t="shared" si="3"/>
        <v>7.4999999999999997E-2</v>
      </c>
      <c r="J75" s="108" t="str">
        <f t="shared" si="4"/>
        <v>No SR</v>
      </c>
      <c r="K75" s="108">
        <f t="shared" si="5"/>
        <v>2</v>
      </c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45">
      <c r="A76" s="5"/>
      <c r="B76" s="110"/>
      <c r="C76" s="110"/>
      <c r="D76" s="114" t="s">
        <v>21</v>
      </c>
      <c r="E76" s="114" t="s">
        <v>0</v>
      </c>
      <c r="F76" s="115">
        <v>43739</v>
      </c>
      <c r="G76" s="127"/>
      <c r="H76" s="118">
        <v>91578000000</v>
      </c>
      <c r="I76" s="106">
        <f t="shared" si="3"/>
        <v>8.611111111111111E-2</v>
      </c>
      <c r="J76" s="108" t="str">
        <f t="shared" si="4"/>
        <v>No SR</v>
      </c>
      <c r="K76" s="108">
        <f t="shared" si="5"/>
        <v>2</v>
      </c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45">
      <c r="A77" s="5"/>
      <c r="B77" s="110"/>
      <c r="C77" s="110"/>
      <c r="D77" s="114" t="s">
        <v>21</v>
      </c>
      <c r="E77" s="114" t="s">
        <v>20</v>
      </c>
      <c r="F77" s="115">
        <v>43739</v>
      </c>
      <c r="G77" s="127"/>
      <c r="H77" s="118">
        <v>-91870000000</v>
      </c>
      <c r="I77" s="106">
        <f t="shared" si="3"/>
        <v>8.611111111111111E-2</v>
      </c>
      <c r="J77" s="108" t="str">
        <f t="shared" si="4"/>
        <v>No SR</v>
      </c>
      <c r="K77" s="108">
        <f t="shared" si="5"/>
        <v>2</v>
      </c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45">
      <c r="A78" s="6"/>
      <c r="B78" s="110"/>
      <c r="C78" s="110"/>
      <c r="D78" s="112" t="s">
        <v>21</v>
      </c>
      <c r="E78" s="112" t="s">
        <v>0</v>
      </c>
      <c r="F78" s="113">
        <v>43790</v>
      </c>
      <c r="G78" s="126"/>
      <c r="H78" s="118">
        <v>19641000000</v>
      </c>
      <c r="I78" s="106">
        <f t="shared" si="3"/>
        <v>0.22777777777777777</v>
      </c>
      <c r="J78" s="108" t="str">
        <f t="shared" si="4"/>
        <v>No SR</v>
      </c>
      <c r="K78" s="108">
        <f t="shared" si="5"/>
        <v>2</v>
      </c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45">
      <c r="A79" s="5"/>
      <c r="B79" s="110"/>
      <c r="C79" s="110"/>
      <c r="D79" s="114" t="s">
        <v>21</v>
      </c>
      <c r="E79" s="114" t="s">
        <v>20</v>
      </c>
      <c r="F79" s="123">
        <v>45982</v>
      </c>
      <c r="G79" s="127"/>
      <c r="H79" s="118">
        <v>-19862000000</v>
      </c>
      <c r="I79" s="106">
        <f t="shared" si="3"/>
        <v>6.3166666666666664</v>
      </c>
      <c r="J79" s="108" t="str">
        <f t="shared" si="4"/>
        <v>No SR</v>
      </c>
      <c r="K79" s="108">
        <f t="shared" si="5"/>
        <v>2</v>
      </c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45">
      <c r="A80" s="6"/>
      <c r="B80" s="110"/>
      <c r="C80" s="110"/>
      <c r="D80" s="112" t="s">
        <v>21</v>
      </c>
      <c r="E80" s="112" t="s">
        <v>0</v>
      </c>
      <c r="F80" s="125">
        <v>45997</v>
      </c>
      <c r="G80" s="126"/>
      <c r="H80" s="118">
        <v>45985000000</v>
      </c>
      <c r="I80" s="106">
        <f t="shared" si="3"/>
        <v>6.3583333333333334</v>
      </c>
      <c r="J80" s="108" t="str">
        <f t="shared" si="4"/>
        <v>No SR</v>
      </c>
      <c r="K80" s="108">
        <f t="shared" si="5"/>
        <v>2</v>
      </c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45">
      <c r="A81" s="5"/>
      <c r="B81" s="110"/>
      <c r="C81" s="110"/>
      <c r="D81" s="114" t="s">
        <v>21</v>
      </c>
      <c r="E81" s="114" t="s">
        <v>20</v>
      </c>
      <c r="F81" s="115">
        <v>43805</v>
      </c>
      <c r="G81" s="127"/>
      <c r="H81" s="118">
        <v>-46531000000</v>
      </c>
      <c r="I81" s="106">
        <f t="shared" si="3"/>
        <v>0.26944444444444443</v>
      </c>
      <c r="J81" s="108" t="str">
        <f t="shared" si="4"/>
        <v>No SR</v>
      </c>
      <c r="K81" s="108">
        <f t="shared" si="5"/>
        <v>2</v>
      </c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45">
      <c r="A82" s="6"/>
      <c r="B82" s="110"/>
      <c r="C82" s="110"/>
      <c r="D82" s="112" t="s">
        <v>21</v>
      </c>
      <c r="E82" s="112" t="s">
        <v>0</v>
      </c>
      <c r="F82" s="113">
        <v>43819</v>
      </c>
      <c r="G82" s="126"/>
      <c r="H82" s="118">
        <v>2875000000</v>
      </c>
      <c r="I82" s="106">
        <f t="shared" si="3"/>
        <v>0.30833333333333335</v>
      </c>
      <c r="J82" s="108" t="str">
        <f t="shared" si="4"/>
        <v>No SR</v>
      </c>
      <c r="K82" s="108">
        <f t="shared" si="5"/>
        <v>2</v>
      </c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45">
      <c r="A83" s="5"/>
      <c r="B83" s="110"/>
      <c r="C83" s="110"/>
      <c r="D83" s="114" t="s">
        <v>21</v>
      </c>
      <c r="E83" s="114" t="s">
        <v>20</v>
      </c>
      <c r="F83" s="115">
        <v>43819</v>
      </c>
      <c r="G83" s="127"/>
      <c r="H83" s="118">
        <v>-2897000000</v>
      </c>
      <c r="I83" s="106">
        <f t="shared" si="3"/>
        <v>0.30833333333333335</v>
      </c>
      <c r="J83" s="108" t="str">
        <f t="shared" si="4"/>
        <v>No SR</v>
      </c>
      <c r="K83" s="108">
        <f t="shared" si="5"/>
        <v>2</v>
      </c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45">
      <c r="A84" s="6"/>
      <c r="B84" s="110"/>
      <c r="C84" s="110"/>
      <c r="D84" s="112" t="s">
        <v>21</v>
      </c>
      <c r="E84" s="112" t="s">
        <v>0</v>
      </c>
      <c r="F84" s="113">
        <v>43853</v>
      </c>
      <c r="G84" s="126"/>
      <c r="H84" s="118">
        <v>29312000000</v>
      </c>
      <c r="I84" s="106">
        <f t="shared" si="3"/>
        <v>0.40277777777777779</v>
      </c>
      <c r="J84" s="108" t="str">
        <f t="shared" si="4"/>
        <v>No SR</v>
      </c>
      <c r="K84" s="108">
        <f t="shared" si="5"/>
        <v>2</v>
      </c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45">
      <c r="A85" s="5"/>
      <c r="B85" s="110"/>
      <c r="C85" s="110"/>
      <c r="D85" s="114" t="s">
        <v>21</v>
      </c>
      <c r="E85" s="114" t="s">
        <v>20</v>
      </c>
      <c r="F85" s="115">
        <v>43853</v>
      </c>
      <c r="G85" s="127"/>
      <c r="H85" s="118">
        <v>-29348000000</v>
      </c>
      <c r="I85" s="106">
        <f t="shared" si="3"/>
        <v>0.40277777777777779</v>
      </c>
      <c r="J85" s="108" t="str">
        <f t="shared" si="4"/>
        <v>No SR</v>
      </c>
      <c r="K85" s="108">
        <f t="shared" si="5"/>
        <v>2</v>
      </c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45">
      <c r="A86" s="6"/>
      <c r="B86" s="110"/>
      <c r="C86" s="110"/>
      <c r="D86" s="112" t="s">
        <v>21</v>
      </c>
      <c r="E86" s="112" t="s">
        <v>0</v>
      </c>
      <c r="F86" s="113">
        <v>43882</v>
      </c>
      <c r="G86" s="126"/>
      <c r="H86" s="118">
        <v>7699000000</v>
      </c>
      <c r="I86" s="106">
        <f t="shared" si="3"/>
        <v>0.48333333333333334</v>
      </c>
      <c r="J86" s="108" t="str">
        <f t="shared" si="4"/>
        <v>No SR</v>
      </c>
      <c r="K86" s="108">
        <f t="shared" si="5"/>
        <v>2</v>
      </c>
      <c r="L86" s="13"/>
      <c r="M86" s="13"/>
      <c r="N86" s="13"/>
      <c r="O86" s="13"/>
      <c r="P86" s="13"/>
      <c r="Q86" s="13"/>
      <c r="R86" s="13"/>
      <c r="S86" s="13"/>
      <c r="T86" s="13"/>
    </row>
    <row r="87" spans="1:20" x14ac:dyDescent="0.45">
      <c r="A87" s="5"/>
      <c r="B87" s="110"/>
      <c r="C87" s="110"/>
      <c r="D87" s="114" t="s">
        <v>21</v>
      </c>
      <c r="E87" s="114" t="s">
        <v>20</v>
      </c>
      <c r="F87" s="115">
        <v>43882</v>
      </c>
      <c r="G87" s="127"/>
      <c r="H87" s="118">
        <v>-7722000000</v>
      </c>
      <c r="I87" s="106">
        <f t="shared" si="3"/>
        <v>0.48333333333333334</v>
      </c>
      <c r="J87" s="108" t="str">
        <f t="shared" si="4"/>
        <v>No SR</v>
      </c>
      <c r="K87" s="108">
        <f t="shared" si="5"/>
        <v>2</v>
      </c>
      <c r="L87" s="13"/>
      <c r="M87" s="13"/>
      <c r="N87" s="13"/>
      <c r="O87" s="13"/>
      <c r="P87" s="13"/>
      <c r="Q87" s="13"/>
      <c r="R87" s="13"/>
      <c r="S87" s="13"/>
      <c r="T87" s="13"/>
    </row>
    <row r="88" spans="1:20" x14ac:dyDescent="0.45">
      <c r="A88" s="10"/>
      <c r="B88" s="110"/>
      <c r="C88" s="110"/>
      <c r="D88" s="116" t="s">
        <v>22</v>
      </c>
      <c r="E88" s="116" t="s">
        <v>0</v>
      </c>
      <c r="F88" s="117">
        <v>43725</v>
      </c>
      <c r="G88" s="128"/>
      <c r="H88" s="119">
        <v>81165000000</v>
      </c>
      <c r="I88" s="106">
        <f t="shared" si="3"/>
        <v>4.7222222222222221E-2</v>
      </c>
      <c r="J88" s="108" t="str">
        <f t="shared" si="4"/>
        <v>No SR</v>
      </c>
      <c r="K88" s="108">
        <f t="shared" si="5"/>
        <v>2</v>
      </c>
      <c r="L88" s="13"/>
      <c r="M88" s="13"/>
      <c r="N88" s="13"/>
      <c r="O88" s="13"/>
      <c r="P88" s="13"/>
      <c r="Q88" s="13"/>
      <c r="R88" s="13"/>
      <c r="S88" s="13"/>
      <c r="T88" s="13"/>
    </row>
    <row r="89" spans="1:20" x14ac:dyDescent="0.45">
      <c r="A89" s="10"/>
      <c r="B89" s="110"/>
      <c r="C89" s="110"/>
      <c r="D89" s="116" t="s">
        <v>22</v>
      </c>
      <c r="E89" s="116" t="s">
        <v>20</v>
      </c>
      <c r="F89" s="117">
        <v>43725</v>
      </c>
      <c r="G89" s="128"/>
      <c r="H89" s="119">
        <v>-81337000000</v>
      </c>
      <c r="I89" s="106">
        <f t="shared" si="3"/>
        <v>4.7222222222222221E-2</v>
      </c>
      <c r="J89" s="108" t="str">
        <f t="shared" si="4"/>
        <v>No SR</v>
      </c>
      <c r="K89" s="108">
        <f t="shared" si="5"/>
        <v>2</v>
      </c>
      <c r="L89" s="13"/>
      <c r="M89" s="13"/>
      <c r="N89" s="13"/>
      <c r="O89" s="13"/>
      <c r="P89" s="13"/>
      <c r="Q89" s="13"/>
      <c r="R89" s="13"/>
      <c r="S89" s="13"/>
      <c r="T89" s="13"/>
    </row>
    <row r="90" spans="1:20" ht="14.25" x14ac:dyDescent="0.45">
      <c r="A90" s="10"/>
      <c r="B90" s="110" t="s">
        <v>28</v>
      </c>
      <c r="C90" s="110">
        <v>18</v>
      </c>
      <c r="D90" s="112" t="s">
        <v>10</v>
      </c>
      <c r="E90" s="112" t="s">
        <v>20</v>
      </c>
      <c r="F90" s="117">
        <v>45823</v>
      </c>
      <c r="G90" s="129">
        <v>7.2999999999999995E-2</v>
      </c>
      <c r="H90" s="119">
        <v>149089000000</v>
      </c>
      <c r="I90" s="106">
        <f t="shared" si="3"/>
        <v>5.875</v>
      </c>
      <c r="J90" s="108">
        <f t="shared" si="4"/>
        <v>0.12</v>
      </c>
      <c r="K90" s="108">
        <f t="shared" si="5"/>
        <v>1</v>
      </c>
      <c r="L90" s="13"/>
      <c r="M90" s="13"/>
      <c r="N90" s="13"/>
      <c r="O90" s="13"/>
      <c r="P90" s="13"/>
      <c r="Q90" s="13"/>
      <c r="R90" s="13"/>
      <c r="S90" s="13"/>
      <c r="T90" s="13"/>
    </row>
    <row r="91" spans="1:20" ht="14.25" x14ac:dyDescent="0.45">
      <c r="A91" s="10"/>
      <c r="B91" s="110" t="s">
        <v>30</v>
      </c>
      <c r="C91" s="110">
        <v>10</v>
      </c>
      <c r="D91" s="112" t="s">
        <v>10</v>
      </c>
      <c r="E91" s="112" t="s">
        <v>20</v>
      </c>
      <c r="F91" s="117">
        <v>45458</v>
      </c>
      <c r="G91" s="129">
        <v>0.11</v>
      </c>
      <c r="H91" s="119">
        <v>165000000000</v>
      </c>
      <c r="I91" s="106">
        <f t="shared" si="3"/>
        <v>4.8611111111111107</v>
      </c>
      <c r="J91" s="108">
        <f t="shared" si="4"/>
        <v>1.6E-2</v>
      </c>
      <c r="K91" s="108">
        <f t="shared" si="5"/>
        <v>1</v>
      </c>
      <c r="L91" s="13"/>
      <c r="M91" s="13"/>
      <c r="N91" s="13"/>
      <c r="O91" s="13"/>
      <c r="P91" s="13"/>
      <c r="Q91" s="13"/>
      <c r="R91" s="13"/>
      <c r="S91" s="13"/>
      <c r="T91" s="13"/>
    </row>
    <row r="92" spans="1:20" x14ac:dyDescent="0.45">
      <c r="A92" s="10"/>
      <c r="B92" s="110"/>
      <c r="C92" s="110"/>
      <c r="D92" s="116" t="s">
        <v>22</v>
      </c>
      <c r="E92" s="116" t="s">
        <v>0</v>
      </c>
      <c r="F92" s="117">
        <v>43738</v>
      </c>
      <c r="G92" s="128"/>
      <c r="H92" s="119">
        <v>150735000000</v>
      </c>
      <c r="I92" s="106">
        <f t="shared" si="3"/>
        <v>8.3333333333333329E-2</v>
      </c>
      <c r="J92" s="108" t="str">
        <f t="shared" si="4"/>
        <v>No SR</v>
      </c>
      <c r="K92" s="108">
        <f t="shared" si="5"/>
        <v>2</v>
      </c>
      <c r="L92" s="13"/>
      <c r="M92" s="13"/>
      <c r="N92" s="13"/>
      <c r="O92" s="13"/>
      <c r="P92" s="13"/>
      <c r="Q92" s="13"/>
      <c r="R92" s="13"/>
      <c r="S92" s="13"/>
      <c r="T92" s="13"/>
    </row>
    <row r="93" spans="1:20" x14ac:dyDescent="0.45">
      <c r="A93" s="10"/>
      <c r="B93" s="110"/>
      <c r="C93" s="110"/>
      <c r="D93" s="116" t="s">
        <v>22</v>
      </c>
      <c r="E93" s="116" t="s">
        <v>20</v>
      </c>
      <c r="F93" s="117">
        <v>43738</v>
      </c>
      <c r="G93" s="128"/>
      <c r="H93" s="119">
        <v>-151210000000</v>
      </c>
      <c r="I93" s="106">
        <f t="shared" si="3"/>
        <v>8.3333333333333329E-2</v>
      </c>
      <c r="J93" s="108" t="str">
        <f t="shared" si="4"/>
        <v>No SR</v>
      </c>
      <c r="K93" s="108">
        <f t="shared" si="5"/>
        <v>2</v>
      </c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45">
      <c r="A94" s="10"/>
      <c r="B94" s="110"/>
      <c r="C94" s="110"/>
      <c r="D94" s="116" t="s">
        <v>22</v>
      </c>
      <c r="E94" s="116" t="s">
        <v>0</v>
      </c>
      <c r="F94" s="117">
        <v>43711</v>
      </c>
      <c r="G94" s="128"/>
      <c r="H94" s="119">
        <v>115950000000</v>
      </c>
      <c r="I94" s="106">
        <f t="shared" si="3"/>
        <v>8.3333333333333332E-3</v>
      </c>
      <c r="J94" s="108" t="str">
        <f t="shared" si="4"/>
        <v>No SR</v>
      </c>
      <c r="K94" s="108">
        <f t="shared" si="5"/>
        <v>2</v>
      </c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45">
      <c r="A95" s="10"/>
      <c r="B95" s="110"/>
      <c r="C95" s="110"/>
      <c r="D95" s="116" t="s">
        <v>22</v>
      </c>
      <c r="E95" s="116" t="s">
        <v>20</v>
      </c>
      <c r="F95" s="117">
        <v>43711</v>
      </c>
      <c r="G95" s="128"/>
      <c r="H95" s="119">
        <v>-116096000000</v>
      </c>
      <c r="I95" s="106">
        <f t="shared" si="3"/>
        <v>8.3333333333333332E-3</v>
      </c>
      <c r="J95" s="108" t="str">
        <f t="shared" si="4"/>
        <v>No SR</v>
      </c>
      <c r="K95" s="108">
        <f t="shared" si="5"/>
        <v>2</v>
      </c>
      <c r="L95" s="13"/>
      <c r="M95" s="13"/>
      <c r="N95" s="13"/>
      <c r="O95" s="13"/>
      <c r="P95" s="13"/>
      <c r="Q95" s="13"/>
      <c r="R95" s="13"/>
      <c r="S95" s="13"/>
      <c r="T95" s="13"/>
    </row>
    <row r="96" spans="1:20" x14ac:dyDescent="0.45">
      <c r="A96" s="10"/>
      <c r="B96" s="110"/>
      <c r="C96" s="110"/>
      <c r="D96" s="116" t="s">
        <v>22</v>
      </c>
      <c r="E96" s="116" t="s">
        <v>0</v>
      </c>
      <c r="F96" s="117">
        <v>43717</v>
      </c>
      <c r="G96" s="128"/>
      <c r="H96" s="119">
        <v>92760000000</v>
      </c>
      <c r="I96" s="106">
        <f t="shared" si="3"/>
        <v>2.5000000000000001E-2</v>
      </c>
      <c r="J96" s="108" t="str">
        <f t="shared" si="4"/>
        <v>No SR</v>
      </c>
      <c r="K96" s="108">
        <f t="shared" si="5"/>
        <v>2</v>
      </c>
      <c r="L96" s="13"/>
      <c r="M96" s="107"/>
      <c r="N96" s="13"/>
      <c r="O96" s="13"/>
      <c r="P96" s="13"/>
      <c r="Q96" s="13"/>
      <c r="R96" s="13"/>
      <c r="S96" s="13"/>
      <c r="T96" s="13"/>
    </row>
    <row r="97" spans="1:20" x14ac:dyDescent="0.45">
      <c r="A97" s="10"/>
      <c r="B97" s="110"/>
      <c r="C97" s="110"/>
      <c r="D97" s="116" t="s">
        <v>22</v>
      </c>
      <c r="E97" s="116" t="s">
        <v>20</v>
      </c>
      <c r="F97" s="117">
        <v>43717</v>
      </c>
      <c r="G97" s="128"/>
      <c r="H97" s="119">
        <v>-92924000000</v>
      </c>
      <c r="I97" s="106">
        <f t="shared" si="3"/>
        <v>2.5000000000000001E-2</v>
      </c>
      <c r="J97" s="108" t="str">
        <f t="shared" si="4"/>
        <v>No SR</v>
      </c>
      <c r="K97" s="108">
        <f t="shared" si="5"/>
        <v>2</v>
      </c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45">
      <c r="A98" s="10"/>
      <c r="B98" s="110"/>
      <c r="C98" s="110"/>
      <c r="D98" s="116" t="s">
        <v>22</v>
      </c>
      <c r="E98" s="116" t="s">
        <v>0</v>
      </c>
      <c r="F98" s="117">
        <v>43718</v>
      </c>
      <c r="G98" s="128"/>
      <c r="H98" s="119">
        <v>185520000000</v>
      </c>
      <c r="I98" s="106">
        <f t="shared" si="3"/>
        <v>2.7777777777777776E-2</v>
      </c>
      <c r="J98" s="108" t="str">
        <f t="shared" si="4"/>
        <v>No SR</v>
      </c>
      <c r="K98" s="108">
        <f t="shared" si="5"/>
        <v>2</v>
      </c>
      <c r="L98" s="13"/>
      <c r="M98" s="13"/>
      <c r="N98" s="13"/>
      <c r="O98" s="13"/>
      <c r="P98" s="13"/>
      <c r="Q98" s="13"/>
      <c r="R98" s="13"/>
      <c r="S98" s="13"/>
      <c r="T98" s="13"/>
    </row>
    <row r="99" spans="1:20" x14ac:dyDescent="0.45">
      <c r="A99" s="10"/>
      <c r="B99" s="110"/>
      <c r="C99" s="110"/>
      <c r="D99" s="116" t="s">
        <v>22</v>
      </c>
      <c r="E99" s="116" t="s">
        <v>20</v>
      </c>
      <c r="F99" s="117">
        <v>43718</v>
      </c>
      <c r="G99" s="128"/>
      <c r="H99" s="119">
        <v>-185915000000</v>
      </c>
      <c r="I99" s="106">
        <f t="shared" si="3"/>
        <v>2.7777777777777776E-2</v>
      </c>
      <c r="J99" s="108" t="str">
        <f t="shared" si="4"/>
        <v>No SR</v>
      </c>
      <c r="K99" s="108">
        <f t="shared" si="5"/>
        <v>2</v>
      </c>
      <c r="L99" s="13"/>
      <c r="M99" s="13"/>
      <c r="N99" s="13"/>
      <c r="O99" s="13"/>
      <c r="P99" s="13"/>
      <c r="Q99" s="13"/>
      <c r="R99" s="13"/>
      <c r="S99" s="13"/>
      <c r="T99" s="13"/>
    </row>
    <row r="100" spans="1:20" x14ac:dyDescent="0.45">
      <c r="A100" s="10"/>
      <c r="B100" s="110"/>
      <c r="C100" s="110"/>
      <c r="D100" s="116" t="s">
        <v>22</v>
      </c>
      <c r="E100" s="116" t="s">
        <v>0</v>
      </c>
      <c r="F100" s="117">
        <v>43712</v>
      </c>
      <c r="G100" s="128"/>
      <c r="H100" s="119">
        <v>115950000000</v>
      </c>
      <c r="I100" s="106">
        <f t="shared" si="3"/>
        <v>1.1111111111111112E-2</v>
      </c>
      <c r="J100" s="108" t="str">
        <f t="shared" si="4"/>
        <v>No SR</v>
      </c>
      <c r="K100" s="108">
        <f t="shared" si="5"/>
        <v>2</v>
      </c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45">
      <c r="A101" s="111"/>
      <c r="B101" s="110"/>
      <c r="C101" s="110"/>
      <c r="D101" s="116" t="s">
        <v>22</v>
      </c>
      <c r="E101" s="116" t="s">
        <v>20</v>
      </c>
      <c r="F101" s="117">
        <v>43712</v>
      </c>
      <c r="G101" s="128"/>
      <c r="H101" s="119">
        <v>-116100000000</v>
      </c>
      <c r="I101" s="131">
        <f t="shared" si="3"/>
        <v>1.1111111111111112E-2</v>
      </c>
      <c r="J101" s="132" t="str">
        <f t="shared" si="4"/>
        <v>No SR</v>
      </c>
      <c r="K101" s="132">
        <f t="shared" si="5"/>
        <v>2</v>
      </c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45">
      <c r="H102" s="130"/>
      <c r="I102" s="133" t="str">
        <f>IF(H102="","",(F102-$B$2)/360)</f>
        <v/>
      </c>
      <c r="J102" s="134" t="str">
        <f t="shared" si="4"/>
        <v/>
      </c>
      <c r="K102" s="135" t="str">
        <f t="shared" si="5"/>
        <v/>
      </c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45">
      <c r="H103" s="130"/>
      <c r="I103" s="136" t="str">
        <f t="shared" si="3"/>
        <v/>
      </c>
      <c r="J103" s="137" t="str">
        <f t="shared" si="4"/>
        <v/>
      </c>
      <c r="K103" s="71" t="str">
        <f t="shared" si="5"/>
        <v/>
      </c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45">
      <c r="H104" s="130"/>
      <c r="I104" s="136" t="str">
        <f t="shared" si="3"/>
        <v/>
      </c>
      <c r="J104" s="137" t="str">
        <f t="shared" si="4"/>
        <v/>
      </c>
      <c r="K104" s="71" t="str">
        <f t="shared" si="5"/>
        <v/>
      </c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45">
      <c r="H105" s="130"/>
      <c r="I105" s="136" t="str">
        <f t="shared" si="3"/>
        <v/>
      </c>
      <c r="J105" s="137" t="str">
        <f t="shared" si="4"/>
        <v/>
      </c>
      <c r="K105" s="71" t="str">
        <f t="shared" si="5"/>
        <v/>
      </c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45">
      <c r="H106" s="130"/>
      <c r="I106" s="136" t="str">
        <f t="shared" si="3"/>
        <v/>
      </c>
      <c r="J106" s="137" t="str">
        <f t="shared" si="4"/>
        <v/>
      </c>
      <c r="K106" s="71" t="str">
        <f t="shared" si="5"/>
        <v/>
      </c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45">
      <c r="H107" s="130"/>
      <c r="I107" s="136" t="str">
        <f t="shared" si="3"/>
        <v/>
      </c>
      <c r="J107" s="137" t="str">
        <f t="shared" si="4"/>
        <v/>
      </c>
      <c r="K107" s="71" t="str">
        <f t="shared" si="5"/>
        <v/>
      </c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45">
      <c r="H108" s="130"/>
      <c r="I108" s="136" t="str">
        <f t="shared" si="3"/>
        <v/>
      </c>
      <c r="J108" s="137" t="str">
        <f t="shared" si="4"/>
        <v/>
      </c>
      <c r="K108" s="71" t="str">
        <f t="shared" si="5"/>
        <v/>
      </c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45">
      <c r="H109" s="130"/>
      <c r="I109" s="136" t="str">
        <f t="shared" si="3"/>
        <v/>
      </c>
      <c r="J109" s="137" t="str">
        <f t="shared" si="4"/>
        <v/>
      </c>
      <c r="K109" s="71" t="str">
        <f t="shared" si="5"/>
        <v/>
      </c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45">
      <c r="H110" s="130"/>
      <c r="I110" s="136" t="str">
        <f t="shared" si="3"/>
        <v/>
      </c>
      <c r="J110" s="137" t="str">
        <f t="shared" si="4"/>
        <v/>
      </c>
      <c r="K110" s="71" t="str">
        <f t="shared" si="5"/>
        <v/>
      </c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45">
      <c r="H111" s="130"/>
      <c r="I111" s="136" t="str">
        <f t="shared" si="3"/>
        <v/>
      </c>
      <c r="J111" s="137" t="str">
        <f t="shared" si="4"/>
        <v/>
      </c>
      <c r="K111" s="71" t="str">
        <f t="shared" si="5"/>
        <v/>
      </c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45">
      <c r="H112" s="130"/>
      <c r="I112" s="136" t="str">
        <f t="shared" si="3"/>
        <v/>
      </c>
      <c r="J112" s="137" t="str">
        <f t="shared" si="4"/>
        <v/>
      </c>
      <c r="K112" s="71" t="str">
        <f t="shared" si="5"/>
        <v/>
      </c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8:20" x14ac:dyDescent="0.45">
      <c r="H113" s="130"/>
      <c r="I113" s="136" t="str">
        <f t="shared" si="3"/>
        <v/>
      </c>
      <c r="J113" s="137" t="str">
        <f t="shared" si="4"/>
        <v/>
      </c>
      <c r="K113" s="71" t="str">
        <f t="shared" si="5"/>
        <v/>
      </c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8:20" x14ac:dyDescent="0.45">
      <c r="H114" s="130"/>
      <c r="I114" s="136" t="str">
        <f t="shared" si="3"/>
        <v/>
      </c>
      <c r="J114" s="137" t="str">
        <f t="shared" si="4"/>
        <v/>
      </c>
      <c r="K114" s="71" t="str">
        <f t="shared" si="5"/>
        <v/>
      </c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8:20" x14ac:dyDescent="0.45">
      <c r="H115" s="130"/>
      <c r="I115" s="136" t="str">
        <f t="shared" si="3"/>
        <v/>
      </c>
      <c r="J115" s="137" t="str">
        <f t="shared" si="4"/>
        <v/>
      </c>
      <c r="K115" s="71" t="str">
        <f t="shared" si="5"/>
        <v/>
      </c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8:20" x14ac:dyDescent="0.45">
      <c r="H116" s="130"/>
      <c r="I116" s="136" t="str">
        <f t="shared" si="3"/>
        <v/>
      </c>
      <c r="J116" s="137" t="str">
        <f t="shared" si="4"/>
        <v/>
      </c>
      <c r="K116" s="71" t="str">
        <f t="shared" si="5"/>
        <v/>
      </c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8:20" x14ac:dyDescent="0.45">
      <c r="H117" s="130"/>
      <c r="I117" s="136" t="str">
        <f t="shared" si="3"/>
        <v/>
      </c>
      <c r="J117" s="137" t="str">
        <f t="shared" si="4"/>
        <v/>
      </c>
      <c r="K117" s="71" t="str">
        <f t="shared" si="5"/>
        <v/>
      </c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8:20" x14ac:dyDescent="0.45">
      <c r="H118" s="130"/>
      <c r="I118" s="136" t="str">
        <f t="shared" si="3"/>
        <v/>
      </c>
      <c r="J118" s="137" t="str">
        <f t="shared" si="4"/>
        <v/>
      </c>
      <c r="K118" s="71" t="str">
        <f t="shared" si="5"/>
        <v/>
      </c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8:20" x14ac:dyDescent="0.45">
      <c r="H119" s="130"/>
      <c r="I119" s="136" t="str">
        <f t="shared" si="3"/>
        <v/>
      </c>
      <c r="J119" s="137" t="str">
        <f t="shared" si="4"/>
        <v/>
      </c>
      <c r="K119" s="71" t="str">
        <f t="shared" si="5"/>
        <v/>
      </c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8:20" x14ac:dyDescent="0.45">
      <c r="H120" s="130"/>
      <c r="I120" s="136" t="str">
        <f t="shared" si="3"/>
        <v/>
      </c>
      <c r="J120" s="137" t="str">
        <f t="shared" si="4"/>
        <v/>
      </c>
      <c r="K120" s="71" t="str">
        <f t="shared" si="5"/>
        <v/>
      </c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8:20" x14ac:dyDescent="0.45">
      <c r="H121" s="130"/>
      <c r="I121" s="136" t="str">
        <f t="shared" si="3"/>
        <v/>
      </c>
      <c r="J121" s="137" t="str">
        <f t="shared" si="4"/>
        <v/>
      </c>
      <c r="K121" s="71" t="str">
        <f t="shared" si="5"/>
        <v/>
      </c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8:20" x14ac:dyDescent="0.45">
      <c r="H122" s="130"/>
      <c r="I122" s="136" t="str">
        <f t="shared" si="3"/>
        <v/>
      </c>
      <c r="J122" s="137" t="str">
        <f t="shared" si="4"/>
        <v/>
      </c>
      <c r="K122" s="71" t="str">
        <f t="shared" si="5"/>
        <v/>
      </c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8:20" x14ac:dyDescent="0.45">
      <c r="H123" s="130"/>
      <c r="I123" s="136" t="str">
        <f t="shared" si="3"/>
        <v/>
      </c>
      <c r="J123" s="137" t="str">
        <f t="shared" si="4"/>
        <v/>
      </c>
      <c r="K123" s="71" t="str">
        <f t="shared" si="5"/>
        <v/>
      </c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8:20" x14ac:dyDescent="0.45">
      <c r="H124" s="130"/>
      <c r="I124" s="136" t="str">
        <f t="shared" si="3"/>
        <v/>
      </c>
      <c r="J124" s="137" t="str">
        <f t="shared" si="4"/>
        <v/>
      </c>
      <c r="K124" s="71" t="str">
        <f t="shared" si="5"/>
        <v/>
      </c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8:20" x14ac:dyDescent="0.45">
      <c r="H125" s="130"/>
      <c r="I125" s="136" t="str">
        <f t="shared" si="3"/>
        <v/>
      </c>
      <c r="J125" s="137" t="str">
        <f t="shared" si="4"/>
        <v/>
      </c>
      <c r="K125" s="71" t="str">
        <f t="shared" si="5"/>
        <v/>
      </c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8:20" x14ac:dyDescent="0.45">
      <c r="H126" s="130"/>
      <c r="I126" s="136" t="str">
        <f t="shared" si="3"/>
        <v/>
      </c>
      <c r="J126" s="137" t="str">
        <f t="shared" si="4"/>
        <v/>
      </c>
      <c r="K126" s="71" t="str">
        <f t="shared" si="5"/>
        <v/>
      </c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8:20" x14ac:dyDescent="0.45">
      <c r="H127" s="130"/>
      <c r="I127" s="136" t="str">
        <f t="shared" si="3"/>
        <v/>
      </c>
      <c r="J127" s="137" t="str">
        <f t="shared" si="4"/>
        <v/>
      </c>
      <c r="K127" s="71" t="str">
        <f t="shared" si="5"/>
        <v/>
      </c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8:20" x14ac:dyDescent="0.45">
      <c r="H128" s="130"/>
      <c r="I128" s="136" t="str">
        <f t="shared" si="3"/>
        <v/>
      </c>
      <c r="J128" s="137" t="str">
        <f t="shared" si="4"/>
        <v/>
      </c>
      <c r="K128" s="71" t="str">
        <f t="shared" si="5"/>
        <v/>
      </c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8:20" x14ac:dyDescent="0.45">
      <c r="H129" s="130"/>
      <c r="I129" s="136" t="str">
        <f t="shared" si="3"/>
        <v/>
      </c>
      <c r="J129" s="137" t="str">
        <f t="shared" si="4"/>
        <v/>
      </c>
      <c r="K129" s="71" t="str">
        <f t="shared" si="5"/>
        <v/>
      </c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8:20" x14ac:dyDescent="0.45">
      <c r="H130" s="130"/>
      <c r="I130" s="136" t="str">
        <f t="shared" si="3"/>
        <v/>
      </c>
      <c r="J130" s="137" t="str">
        <f t="shared" si="4"/>
        <v/>
      </c>
      <c r="K130" s="71" t="str">
        <f t="shared" si="5"/>
        <v/>
      </c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8:20" x14ac:dyDescent="0.45">
      <c r="H131" s="130"/>
      <c r="I131" s="136" t="str">
        <f t="shared" si="3"/>
        <v/>
      </c>
      <c r="J131" s="137" t="str">
        <f t="shared" si="4"/>
        <v/>
      </c>
      <c r="K131" s="71" t="str">
        <f t="shared" si="5"/>
        <v/>
      </c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8:20" x14ac:dyDescent="0.45">
      <c r="H132" s="130"/>
      <c r="I132" s="136" t="str">
        <f t="shared" si="3"/>
        <v/>
      </c>
      <c r="J132" s="137" t="str">
        <f t="shared" si="4"/>
        <v/>
      </c>
      <c r="K132" s="71" t="str">
        <f t="shared" si="5"/>
        <v/>
      </c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8:20" x14ac:dyDescent="0.45">
      <c r="H133" s="130"/>
      <c r="I133" s="136" t="str">
        <f t="shared" ref="I133:I196" si="6">IF(H133="","",(F133-$B$2)/360)</f>
        <v/>
      </c>
      <c r="J133" s="137" t="str">
        <f t="shared" ref="J133:J196" si="7">IF(H133="","",IF(B133="SOV1",0,IF(B133="SOV2",IF(0&lt;C133&lt;=4,0,IF(C133&lt;=10,IF(I133&lt;0.5,0.25%,IF(I133&lt;=2,1,1.6%)),IF(C133&lt;=16,8%,IF(C133&lt;=18,12%)))),IF(OR(B133="FI1",B133="FI2"),IF(I133&lt;0.5,0.25%,IF(I133&lt;=2,1,1.6%)),IF(B133="",IF(11&lt;=C133&lt;=13,8%,IF(C133&gt;13,12%,"No SR")))))))</f>
        <v/>
      </c>
      <c r="K133" s="71" t="str">
        <f t="shared" ref="K133:K196" si="8">IF(H133="","",IF(OR(D133="FX FORWARD",D133="FX Swap"),2,IF(D133="Bond",IF(G133&gt;3%,1,2))))</f>
        <v/>
      </c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8:20" x14ac:dyDescent="0.45">
      <c r="H134" s="130"/>
      <c r="I134" s="136" t="str">
        <f t="shared" si="6"/>
        <v/>
      </c>
      <c r="J134" s="137" t="str">
        <f t="shared" si="7"/>
        <v/>
      </c>
      <c r="K134" s="71" t="str">
        <f t="shared" si="8"/>
        <v/>
      </c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8:20" x14ac:dyDescent="0.45">
      <c r="H135" s="130"/>
      <c r="I135" s="136" t="str">
        <f t="shared" si="6"/>
        <v/>
      </c>
      <c r="J135" s="137" t="str">
        <f t="shared" si="7"/>
        <v/>
      </c>
      <c r="K135" s="71" t="str">
        <f t="shared" si="8"/>
        <v/>
      </c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8:20" x14ac:dyDescent="0.45">
      <c r="H136" s="130"/>
      <c r="I136" s="136" t="str">
        <f t="shared" si="6"/>
        <v/>
      </c>
      <c r="J136" s="137" t="str">
        <f t="shared" si="7"/>
        <v/>
      </c>
      <c r="K136" s="71" t="str">
        <f t="shared" si="8"/>
        <v/>
      </c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8:20" x14ac:dyDescent="0.45">
      <c r="H137" s="130"/>
      <c r="I137" s="136" t="str">
        <f t="shared" si="6"/>
        <v/>
      </c>
      <c r="J137" s="137" t="str">
        <f t="shared" si="7"/>
        <v/>
      </c>
      <c r="K137" s="71" t="str">
        <f t="shared" si="8"/>
        <v/>
      </c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8:20" x14ac:dyDescent="0.45">
      <c r="H138" s="130"/>
      <c r="I138" s="136" t="str">
        <f t="shared" si="6"/>
        <v/>
      </c>
      <c r="J138" s="137" t="str">
        <f t="shared" si="7"/>
        <v/>
      </c>
      <c r="K138" s="71" t="str">
        <f t="shared" si="8"/>
        <v/>
      </c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8:20" x14ac:dyDescent="0.45">
      <c r="H139" s="130"/>
      <c r="I139" s="136" t="str">
        <f t="shared" si="6"/>
        <v/>
      </c>
      <c r="J139" s="137" t="str">
        <f t="shared" si="7"/>
        <v/>
      </c>
      <c r="K139" s="71" t="str">
        <f t="shared" si="8"/>
        <v/>
      </c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8:20" x14ac:dyDescent="0.45">
      <c r="H140" s="130"/>
      <c r="I140" s="136" t="str">
        <f t="shared" si="6"/>
        <v/>
      </c>
      <c r="J140" s="137" t="str">
        <f t="shared" si="7"/>
        <v/>
      </c>
      <c r="K140" s="71" t="str">
        <f t="shared" si="8"/>
        <v/>
      </c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8:20" x14ac:dyDescent="0.45">
      <c r="H141" s="130"/>
      <c r="I141" s="136" t="str">
        <f t="shared" si="6"/>
        <v/>
      </c>
      <c r="J141" s="137" t="str">
        <f t="shared" si="7"/>
        <v/>
      </c>
      <c r="K141" s="71" t="str">
        <f t="shared" si="8"/>
        <v/>
      </c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8:20" x14ac:dyDescent="0.45">
      <c r="H142" s="130"/>
      <c r="I142" s="136" t="str">
        <f t="shared" si="6"/>
        <v/>
      </c>
      <c r="J142" s="137" t="str">
        <f t="shared" si="7"/>
        <v/>
      </c>
      <c r="K142" s="71" t="str">
        <f t="shared" si="8"/>
        <v/>
      </c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8:20" x14ac:dyDescent="0.45">
      <c r="H143" s="130"/>
      <c r="I143" s="136" t="str">
        <f t="shared" si="6"/>
        <v/>
      </c>
      <c r="J143" s="137" t="str">
        <f t="shared" si="7"/>
        <v/>
      </c>
      <c r="K143" s="71" t="str">
        <f t="shared" si="8"/>
        <v/>
      </c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8:20" x14ac:dyDescent="0.45">
      <c r="H144" s="130"/>
      <c r="I144" s="136" t="str">
        <f t="shared" si="6"/>
        <v/>
      </c>
      <c r="J144" s="137" t="str">
        <f t="shared" si="7"/>
        <v/>
      </c>
      <c r="K144" s="71" t="str">
        <f t="shared" si="8"/>
        <v/>
      </c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8:20" x14ac:dyDescent="0.45">
      <c r="H145" s="130"/>
      <c r="I145" s="136" t="str">
        <f t="shared" si="6"/>
        <v/>
      </c>
      <c r="J145" s="137" t="str">
        <f t="shared" si="7"/>
        <v/>
      </c>
      <c r="K145" s="71" t="str">
        <f t="shared" si="8"/>
        <v/>
      </c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8:20" x14ac:dyDescent="0.45">
      <c r="H146" s="130"/>
      <c r="I146" s="136" t="str">
        <f t="shared" si="6"/>
        <v/>
      </c>
      <c r="J146" s="137" t="str">
        <f t="shared" si="7"/>
        <v/>
      </c>
      <c r="K146" s="71" t="str">
        <f t="shared" si="8"/>
        <v/>
      </c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8:20" x14ac:dyDescent="0.45">
      <c r="H147" s="130"/>
      <c r="I147" s="136" t="str">
        <f t="shared" si="6"/>
        <v/>
      </c>
      <c r="J147" s="137" t="str">
        <f t="shared" si="7"/>
        <v/>
      </c>
      <c r="K147" s="71" t="str">
        <f t="shared" si="8"/>
        <v/>
      </c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8:20" x14ac:dyDescent="0.45">
      <c r="H148" s="130"/>
      <c r="I148" s="136" t="str">
        <f t="shared" si="6"/>
        <v/>
      </c>
      <c r="J148" s="137" t="str">
        <f t="shared" si="7"/>
        <v/>
      </c>
      <c r="K148" s="71" t="str">
        <f t="shared" si="8"/>
        <v/>
      </c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8:20" x14ac:dyDescent="0.45">
      <c r="H149" s="130"/>
      <c r="I149" s="136" t="str">
        <f t="shared" si="6"/>
        <v/>
      </c>
      <c r="J149" s="137" t="str">
        <f t="shared" si="7"/>
        <v/>
      </c>
      <c r="K149" s="71" t="str">
        <f t="shared" si="8"/>
        <v/>
      </c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8:20" x14ac:dyDescent="0.45">
      <c r="H150" s="130"/>
      <c r="I150" s="136" t="str">
        <f t="shared" si="6"/>
        <v/>
      </c>
      <c r="J150" s="137" t="str">
        <f t="shared" si="7"/>
        <v/>
      </c>
      <c r="K150" s="71" t="str">
        <f t="shared" si="8"/>
        <v/>
      </c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8:20" x14ac:dyDescent="0.45">
      <c r="H151" s="130"/>
      <c r="I151" s="136" t="str">
        <f t="shared" si="6"/>
        <v/>
      </c>
      <c r="J151" s="137" t="str">
        <f t="shared" si="7"/>
        <v/>
      </c>
      <c r="K151" s="71" t="str">
        <f t="shared" si="8"/>
        <v/>
      </c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8:20" x14ac:dyDescent="0.45">
      <c r="H152" s="130"/>
      <c r="I152" s="136" t="str">
        <f t="shared" si="6"/>
        <v/>
      </c>
      <c r="J152" s="137" t="str">
        <f t="shared" si="7"/>
        <v/>
      </c>
      <c r="K152" s="71" t="str">
        <f t="shared" si="8"/>
        <v/>
      </c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8:20" x14ac:dyDescent="0.45">
      <c r="H153" s="130"/>
      <c r="I153" s="136" t="str">
        <f t="shared" si="6"/>
        <v/>
      </c>
      <c r="J153" s="137" t="str">
        <f t="shared" si="7"/>
        <v/>
      </c>
      <c r="K153" s="71" t="str">
        <f t="shared" si="8"/>
        <v/>
      </c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8:20" x14ac:dyDescent="0.45">
      <c r="H154" s="130"/>
      <c r="I154" s="136" t="str">
        <f t="shared" si="6"/>
        <v/>
      </c>
      <c r="J154" s="137" t="str">
        <f t="shared" si="7"/>
        <v/>
      </c>
      <c r="K154" s="71" t="str">
        <f t="shared" si="8"/>
        <v/>
      </c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8:20" x14ac:dyDescent="0.45">
      <c r="H155" s="130"/>
      <c r="I155" s="136" t="str">
        <f t="shared" si="6"/>
        <v/>
      </c>
      <c r="J155" s="137" t="str">
        <f t="shared" si="7"/>
        <v/>
      </c>
      <c r="K155" s="71" t="str">
        <f t="shared" si="8"/>
        <v/>
      </c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8:20" x14ac:dyDescent="0.45">
      <c r="H156" s="130"/>
      <c r="I156" s="136" t="str">
        <f t="shared" si="6"/>
        <v/>
      </c>
      <c r="J156" s="137" t="str">
        <f t="shared" si="7"/>
        <v/>
      </c>
      <c r="K156" s="71" t="str">
        <f t="shared" si="8"/>
        <v/>
      </c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8:20" x14ac:dyDescent="0.45">
      <c r="H157" s="130"/>
      <c r="I157" s="136" t="str">
        <f t="shared" si="6"/>
        <v/>
      </c>
      <c r="J157" s="137" t="str">
        <f t="shared" si="7"/>
        <v/>
      </c>
      <c r="K157" s="71" t="str">
        <f t="shared" si="8"/>
        <v/>
      </c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8:20" x14ac:dyDescent="0.45">
      <c r="H158" s="130"/>
      <c r="I158" s="136" t="str">
        <f t="shared" si="6"/>
        <v/>
      </c>
      <c r="J158" s="137" t="str">
        <f t="shared" si="7"/>
        <v/>
      </c>
      <c r="K158" s="71" t="str">
        <f t="shared" si="8"/>
        <v/>
      </c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8:20" x14ac:dyDescent="0.45">
      <c r="H159" s="130"/>
      <c r="I159" s="136" t="str">
        <f t="shared" si="6"/>
        <v/>
      </c>
      <c r="J159" s="137" t="str">
        <f t="shared" si="7"/>
        <v/>
      </c>
      <c r="K159" s="71" t="str">
        <f t="shared" si="8"/>
        <v/>
      </c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8:20" x14ac:dyDescent="0.45">
      <c r="H160" s="130"/>
      <c r="I160" s="136" t="str">
        <f t="shared" si="6"/>
        <v/>
      </c>
      <c r="J160" s="137" t="str">
        <f t="shared" si="7"/>
        <v/>
      </c>
      <c r="K160" s="71" t="str">
        <f t="shared" si="8"/>
        <v/>
      </c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8:20" x14ac:dyDescent="0.45">
      <c r="H161" s="130"/>
      <c r="I161" s="136" t="str">
        <f t="shared" si="6"/>
        <v/>
      </c>
      <c r="J161" s="137" t="str">
        <f t="shared" si="7"/>
        <v/>
      </c>
      <c r="K161" s="71" t="str">
        <f t="shared" si="8"/>
        <v/>
      </c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8:20" x14ac:dyDescent="0.45">
      <c r="H162" s="130"/>
      <c r="I162" s="136" t="str">
        <f t="shared" si="6"/>
        <v/>
      </c>
      <c r="J162" s="137" t="str">
        <f t="shared" si="7"/>
        <v/>
      </c>
      <c r="K162" s="71" t="str">
        <f t="shared" si="8"/>
        <v/>
      </c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8:20" x14ac:dyDescent="0.45">
      <c r="H163" s="130"/>
      <c r="I163" s="136" t="str">
        <f t="shared" si="6"/>
        <v/>
      </c>
      <c r="J163" s="137" t="str">
        <f t="shared" si="7"/>
        <v/>
      </c>
      <c r="K163" s="71" t="str">
        <f t="shared" si="8"/>
        <v/>
      </c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8:20" x14ac:dyDescent="0.45">
      <c r="H164" s="130"/>
      <c r="I164" s="136" t="str">
        <f t="shared" si="6"/>
        <v/>
      </c>
      <c r="J164" s="137" t="str">
        <f t="shared" si="7"/>
        <v/>
      </c>
      <c r="K164" s="71" t="str">
        <f t="shared" si="8"/>
        <v/>
      </c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8:20" x14ac:dyDescent="0.45">
      <c r="H165" s="130"/>
      <c r="I165" s="136" t="str">
        <f t="shared" si="6"/>
        <v/>
      </c>
      <c r="J165" s="137" t="str">
        <f t="shared" si="7"/>
        <v/>
      </c>
      <c r="K165" s="71" t="str">
        <f t="shared" si="8"/>
        <v/>
      </c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8:20" x14ac:dyDescent="0.45">
      <c r="H166" s="130"/>
      <c r="I166" s="136" t="str">
        <f t="shared" si="6"/>
        <v/>
      </c>
      <c r="J166" s="137" t="str">
        <f t="shared" si="7"/>
        <v/>
      </c>
      <c r="K166" s="71" t="str">
        <f t="shared" si="8"/>
        <v/>
      </c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8:20" x14ac:dyDescent="0.45">
      <c r="H167" s="130"/>
      <c r="I167" s="136" t="str">
        <f t="shared" si="6"/>
        <v/>
      </c>
      <c r="J167" s="137" t="str">
        <f t="shared" si="7"/>
        <v/>
      </c>
      <c r="K167" s="71" t="str">
        <f t="shared" si="8"/>
        <v/>
      </c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8:20" x14ac:dyDescent="0.45">
      <c r="H168" s="130"/>
      <c r="I168" s="136" t="str">
        <f t="shared" si="6"/>
        <v/>
      </c>
      <c r="J168" s="137" t="str">
        <f t="shared" si="7"/>
        <v/>
      </c>
      <c r="K168" s="71" t="str">
        <f t="shared" si="8"/>
        <v/>
      </c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8:20" x14ac:dyDescent="0.45">
      <c r="H169" s="130"/>
      <c r="I169" s="136" t="str">
        <f t="shared" si="6"/>
        <v/>
      </c>
      <c r="J169" s="137" t="str">
        <f t="shared" si="7"/>
        <v/>
      </c>
      <c r="K169" s="71" t="str">
        <f t="shared" si="8"/>
        <v/>
      </c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8:20" x14ac:dyDescent="0.45">
      <c r="H170" s="130"/>
      <c r="I170" s="136" t="str">
        <f t="shared" si="6"/>
        <v/>
      </c>
      <c r="J170" s="137" t="str">
        <f t="shared" si="7"/>
        <v/>
      </c>
      <c r="K170" s="71" t="str">
        <f t="shared" si="8"/>
        <v/>
      </c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8:20" x14ac:dyDescent="0.45">
      <c r="H171" s="130"/>
      <c r="I171" s="136" t="str">
        <f t="shared" si="6"/>
        <v/>
      </c>
      <c r="J171" s="137" t="str">
        <f t="shared" si="7"/>
        <v/>
      </c>
      <c r="K171" s="71" t="str">
        <f t="shared" si="8"/>
        <v/>
      </c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8:20" x14ac:dyDescent="0.45">
      <c r="H172" s="130"/>
      <c r="I172" s="136" t="str">
        <f t="shared" si="6"/>
        <v/>
      </c>
      <c r="J172" s="137" t="str">
        <f t="shared" si="7"/>
        <v/>
      </c>
      <c r="K172" s="71" t="str">
        <f t="shared" si="8"/>
        <v/>
      </c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8:20" x14ac:dyDescent="0.45">
      <c r="H173" s="130"/>
      <c r="I173" s="136" t="str">
        <f t="shared" si="6"/>
        <v/>
      </c>
      <c r="J173" s="137" t="str">
        <f t="shared" si="7"/>
        <v/>
      </c>
      <c r="K173" s="71" t="str">
        <f t="shared" si="8"/>
        <v/>
      </c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8:20" x14ac:dyDescent="0.45">
      <c r="H174" s="130"/>
      <c r="I174" s="136" t="str">
        <f t="shared" si="6"/>
        <v/>
      </c>
      <c r="J174" s="137" t="str">
        <f t="shared" si="7"/>
        <v/>
      </c>
      <c r="K174" s="71" t="str">
        <f t="shared" si="8"/>
        <v/>
      </c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8:20" x14ac:dyDescent="0.45">
      <c r="H175" s="130"/>
      <c r="I175" s="136" t="str">
        <f t="shared" si="6"/>
        <v/>
      </c>
      <c r="J175" s="137" t="str">
        <f t="shared" si="7"/>
        <v/>
      </c>
      <c r="K175" s="71" t="str">
        <f t="shared" si="8"/>
        <v/>
      </c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8:20" x14ac:dyDescent="0.45">
      <c r="H176" s="130"/>
      <c r="I176" s="136" t="str">
        <f t="shared" si="6"/>
        <v/>
      </c>
      <c r="J176" s="137" t="str">
        <f t="shared" si="7"/>
        <v/>
      </c>
      <c r="K176" s="71" t="str">
        <f t="shared" si="8"/>
        <v/>
      </c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8:20" x14ac:dyDescent="0.45">
      <c r="H177" s="130"/>
      <c r="I177" s="136" t="str">
        <f t="shared" si="6"/>
        <v/>
      </c>
      <c r="J177" s="137" t="str">
        <f t="shared" si="7"/>
        <v/>
      </c>
      <c r="K177" s="71" t="str">
        <f t="shared" si="8"/>
        <v/>
      </c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8:20" x14ac:dyDescent="0.45">
      <c r="H178" s="130"/>
      <c r="I178" s="136" t="str">
        <f t="shared" si="6"/>
        <v/>
      </c>
      <c r="J178" s="137" t="str">
        <f t="shared" si="7"/>
        <v/>
      </c>
      <c r="K178" s="71" t="str">
        <f t="shared" si="8"/>
        <v/>
      </c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8:20" x14ac:dyDescent="0.45">
      <c r="H179" s="130"/>
      <c r="I179" s="136" t="str">
        <f t="shared" si="6"/>
        <v/>
      </c>
      <c r="J179" s="137" t="str">
        <f t="shared" si="7"/>
        <v/>
      </c>
      <c r="K179" s="71" t="str">
        <f t="shared" si="8"/>
        <v/>
      </c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8:20" x14ac:dyDescent="0.45">
      <c r="H180" s="130"/>
      <c r="I180" s="136" t="str">
        <f t="shared" si="6"/>
        <v/>
      </c>
      <c r="J180" s="137" t="str">
        <f t="shared" si="7"/>
        <v/>
      </c>
      <c r="K180" s="71" t="str">
        <f t="shared" si="8"/>
        <v/>
      </c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8:20" x14ac:dyDescent="0.45">
      <c r="H181" s="130"/>
      <c r="I181" s="136" t="str">
        <f t="shared" si="6"/>
        <v/>
      </c>
      <c r="J181" s="137" t="str">
        <f t="shared" si="7"/>
        <v/>
      </c>
      <c r="K181" s="71" t="str">
        <f t="shared" si="8"/>
        <v/>
      </c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8:20" x14ac:dyDescent="0.45">
      <c r="H182" s="130"/>
      <c r="I182" s="136" t="str">
        <f t="shared" si="6"/>
        <v/>
      </c>
      <c r="J182" s="137" t="str">
        <f t="shared" si="7"/>
        <v/>
      </c>
      <c r="K182" s="71" t="str">
        <f t="shared" si="8"/>
        <v/>
      </c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8:20" x14ac:dyDescent="0.45">
      <c r="H183" s="130"/>
      <c r="I183" s="136" t="str">
        <f t="shared" si="6"/>
        <v/>
      </c>
      <c r="J183" s="137" t="str">
        <f t="shared" si="7"/>
        <v/>
      </c>
      <c r="K183" s="71" t="str">
        <f t="shared" si="8"/>
        <v/>
      </c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8:20" x14ac:dyDescent="0.45">
      <c r="H184" s="130"/>
      <c r="I184" s="136" t="str">
        <f t="shared" si="6"/>
        <v/>
      </c>
      <c r="J184" s="137" t="str">
        <f t="shared" si="7"/>
        <v/>
      </c>
      <c r="K184" s="71" t="str">
        <f t="shared" si="8"/>
        <v/>
      </c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8:20" x14ac:dyDescent="0.45">
      <c r="H185" s="130"/>
      <c r="I185" s="136" t="str">
        <f t="shared" si="6"/>
        <v/>
      </c>
      <c r="J185" s="137" t="str">
        <f t="shared" si="7"/>
        <v/>
      </c>
      <c r="K185" s="71" t="str">
        <f t="shared" si="8"/>
        <v/>
      </c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8:20" x14ac:dyDescent="0.45">
      <c r="H186" s="130"/>
      <c r="I186" s="136" t="str">
        <f t="shared" si="6"/>
        <v/>
      </c>
      <c r="J186" s="137" t="str">
        <f t="shared" si="7"/>
        <v/>
      </c>
      <c r="K186" s="71" t="str">
        <f t="shared" si="8"/>
        <v/>
      </c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8:20" x14ac:dyDescent="0.45">
      <c r="H187" s="130"/>
      <c r="I187" s="136" t="str">
        <f t="shared" si="6"/>
        <v/>
      </c>
      <c r="J187" s="137" t="str">
        <f t="shared" si="7"/>
        <v/>
      </c>
      <c r="K187" s="71" t="str">
        <f t="shared" si="8"/>
        <v/>
      </c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8:20" x14ac:dyDescent="0.45">
      <c r="H188" s="130"/>
      <c r="I188" s="136" t="str">
        <f t="shared" si="6"/>
        <v/>
      </c>
      <c r="J188" s="137" t="str">
        <f t="shared" si="7"/>
        <v/>
      </c>
      <c r="K188" s="71" t="str">
        <f t="shared" si="8"/>
        <v/>
      </c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8:20" x14ac:dyDescent="0.45">
      <c r="H189" s="130"/>
      <c r="I189" s="136" t="str">
        <f t="shared" si="6"/>
        <v/>
      </c>
      <c r="J189" s="137" t="str">
        <f t="shared" si="7"/>
        <v/>
      </c>
      <c r="K189" s="71" t="str">
        <f t="shared" si="8"/>
        <v/>
      </c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8:20" x14ac:dyDescent="0.45">
      <c r="H190" s="130"/>
      <c r="I190" s="136" t="str">
        <f t="shared" si="6"/>
        <v/>
      </c>
      <c r="J190" s="137" t="str">
        <f t="shared" si="7"/>
        <v/>
      </c>
      <c r="K190" s="71" t="str">
        <f t="shared" si="8"/>
        <v/>
      </c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8:20" x14ac:dyDescent="0.45">
      <c r="H191" s="130"/>
      <c r="I191" s="136" t="str">
        <f t="shared" si="6"/>
        <v/>
      </c>
      <c r="J191" s="137" t="str">
        <f t="shared" si="7"/>
        <v/>
      </c>
      <c r="K191" s="71" t="str">
        <f t="shared" si="8"/>
        <v/>
      </c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8:20" x14ac:dyDescent="0.45">
      <c r="H192" s="130"/>
      <c r="I192" s="136" t="str">
        <f t="shared" si="6"/>
        <v/>
      </c>
      <c r="J192" s="137" t="str">
        <f t="shared" si="7"/>
        <v/>
      </c>
      <c r="K192" s="71" t="str">
        <f t="shared" si="8"/>
        <v/>
      </c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8:20" x14ac:dyDescent="0.45">
      <c r="H193" s="130"/>
      <c r="I193" s="136" t="str">
        <f t="shared" si="6"/>
        <v/>
      </c>
      <c r="J193" s="137" t="str">
        <f t="shared" si="7"/>
        <v/>
      </c>
      <c r="K193" s="71" t="str">
        <f t="shared" si="8"/>
        <v/>
      </c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8:20" x14ac:dyDescent="0.45">
      <c r="H194" s="130"/>
      <c r="I194" s="136" t="str">
        <f t="shared" si="6"/>
        <v/>
      </c>
      <c r="J194" s="137" t="str">
        <f t="shared" si="7"/>
        <v/>
      </c>
      <c r="K194" s="71" t="str">
        <f t="shared" si="8"/>
        <v/>
      </c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8:20" x14ac:dyDescent="0.45">
      <c r="H195" s="130"/>
      <c r="I195" s="136" t="str">
        <f t="shared" si="6"/>
        <v/>
      </c>
      <c r="J195" s="137" t="str">
        <f t="shared" si="7"/>
        <v/>
      </c>
      <c r="K195" s="71" t="str">
        <f t="shared" si="8"/>
        <v/>
      </c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8:20" x14ac:dyDescent="0.45">
      <c r="H196" s="130"/>
      <c r="I196" s="136" t="str">
        <f t="shared" si="6"/>
        <v/>
      </c>
      <c r="J196" s="137" t="str">
        <f t="shared" si="7"/>
        <v/>
      </c>
      <c r="K196" s="71" t="str">
        <f t="shared" si="8"/>
        <v/>
      </c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8:20" x14ac:dyDescent="0.45">
      <c r="H197" s="130"/>
      <c r="I197" s="136" t="str">
        <f t="shared" ref="I197:I200" si="9">IF(H197="","",(F197-$B$2)/360)</f>
        <v/>
      </c>
      <c r="J197" s="137" t="str">
        <f t="shared" ref="J197:J200" si="10">IF(H197="","",IF(B197="SOV1",0,IF(B197="SOV2",IF(0&lt;C197&lt;=4,0,IF(C197&lt;=10,IF(I197&lt;0.5,0.25%,IF(I197&lt;=2,1,1.6%)),IF(C197&lt;=16,8%,IF(C197&lt;=18,12%)))),IF(OR(B197="FI1",B197="FI2"),IF(I197&lt;0.5,0.25%,IF(I197&lt;=2,1,1.6%)),IF(B197="",IF(11&lt;=C197&lt;=13,8%,IF(C197&gt;13,12%,"No SR")))))))</f>
        <v/>
      </c>
      <c r="K197" s="71" t="str">
        <f t="shared" ref="K197:K200" si="11">IF(H197="","",IF(OR(D197="FX FORWARD",D197="FX Swap"),2,IF(D197="Bond",IF(G197&gt;3%,1,2))))</f>
        <v/>
      </c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8:20" x14ac:dyDescent="0.45">
      <c r="H198" s="130"/>
      <c r="I198" s="136" t="str">
        <f t="shared" si="9"/>
        <v/>
      </c>
      <c r="J198" s="137" t="str">
        <f t="shared" si="10"/>
        <v/>
      </c>
      <c r="K198" s="71" t="str">
        <f t="shared" si="11"/>
        <v/>
      </c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8:20" x14ac:dyDescent="0.45">
      <c r="H199" s="130"/>
      <c r="I199" s="136" t="str">
        <f t="shared" si="9"/>
        <v/>
      </c>
      <c r="J199" s="137" t="str">
        <f t="shared" si="10"/>
        <v/>
      </c>
      <c r="K199" s="71" t="str">
        <f t="shared" si="11"/>
        <v/>
      </c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8:20" x14ac:dyDescent="0.45">
      <c r="H200" s="130"/>
      <c r="I200" s="136" t="str">
        <f t="shared" si="9"/>
        <v/>
      </c>
      <c r="J200" s="137" t="str">
        <f t="shared" si="10"/>
        <v/>
      </c>
      <c r="K200" s="71" t="str">
        <f t="shared" si="11"/>
        <v/>
      </c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8:20" x14ac:dyDescent="0.45">
      <c r="H201" s="130"/>
      <c r="I201" s="138"/>
      <c r="J201" s="130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8:20" x14ac:dyDescent="0.45"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8:20" x14ac:dyDescent="0.45"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8:20" x14ac:dyDescent="0.45"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8:20" x14ac:dyDescent="0.45"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8:20" x14ac:dyDescent="0.45"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8:20" x14ac:dyDescent="0.45"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8:20" x14ac:dyDescent="0.45"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2:20" x14ac:dyDescent="0.45"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2:20" x14ac:dyDescent="0.45"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2:20" x14ac:dyDescent="0.45"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2:20" x14ac:dyDescent="0.45"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2:20" x14ac:dyDescent="0.45"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2:20" x14ac:dyDescent="0.45"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2:20" x14ac:dyDescent="0.45"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2:20" x14ac:dyDescent="0.45"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2:20" x14ac:dyDescent="0.45"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2:20" x14ac:dyDescent="0.45"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2:20" x14ac:dyDescent="0.45"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2:20" x14ac:dyDescent="0.45"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2:20" x14ac:dyDescent="0.45"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2:20" x14ac:dyDescent="0.45"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2:20" x14ac:dyDescent="0.45"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2:20" x14ac:dyDescent="0.45"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2:20" x14ac:dyDescent="0.45"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2:20" x14ac:dyDescent="0.45"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2:20" x14ac:dyDescent="0.45"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2:20" x14ac:dyDescent="0.45"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2:20" x14ac:dyDescent="0.45"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2:20" x14ac:dyDescent="0.45"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2:20" x14ac:dyDescent="0.45"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2:20" x14ac:dyDescent="0.45"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2:20" x14ac:dyDescent="0.45"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2:20" x14ac:dyDescent="0.45"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2:20" x14ac:dyDescent="0.45"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2:20" x14ac:dyDescent="0.45"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2:20" x14ac:dyDescent="0.45"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2:20" x14ac:dyDescent="0.45"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2:20" x14ac:dyDescent="0.45"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2:20" x14ac:dyDescent="0.45"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2:20" x14ac:dyDescent="0.45"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2:20" x14ac:dyDescent="0.45"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2:20" x14ac:dyDescent="0.45"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2:20" x14ac:dyDescent="0.45"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2:20" x14ac:dyDescent="0.45"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2:20" x14ac:dyDescent="0.45"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2:20" x14ac:dyDescent="0.45"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2:20" x14ac:dyDescent="0.45"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2:20" x14ac:dyDescent="0.45"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2:20" x14ac:dyDescent="0.45"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2:20" x14ac:dyDescent="0.45"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2:20" x14ac:dyDescent="0.45"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2:20" x14ac:dyDescent="0.45"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2:20" x14ac:dyDescent="0.45"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2:20" x14ac:dyDescent="0.45"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2:20" x14ac:dyDescent="0.45"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2:20" x14ac:dyDescent="0.45"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2:20" x14ac:dyDescent="0.45"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2:20" x14ac:dyDescent="0.45"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2:20" x14ac:dyDescent="0.45"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2:20" x14ac:dyDescent="0.45"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2:20" x14ac:dyDescent="0.45"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2:20" x14ac:dyDescent="0.45"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2:20" x14ac:dyDescent="0.45"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2:20" x14ac:dyDescent="0.45"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2:20" x14ac:dyDescent="0.45"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2:20" x14ac:dyDescent="0.45"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2:20" x14ac:dyDescent="0.45"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2:20" x14ac:dyDescent="0.45"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2:20" x14ac:dyDescent="0.45"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2:20" x14ac:dyDescent="0.45">
      <c r="L271" s="13"/>
      <c r="M271" s="13"/>
      <c r="N271" s="13"/>
      <c r="O271" s="13"/>
      <c r="P271" s="13"/>
      <c r="Q271" s="13"/>
      <c r="R271" s="13"/>
      <c r="S271" s="13"/>
      <c r="T271" s="13"/>
    </row>
  </sheetData>
  <autoFilter ref="A3:H73" xr:uid="{00000000-0009-0000-0000-000000000000}">
    <sortState xmlns:xlrd2="http://schemas.microsoft.com/office/spreadsheetml/2017/richdata2" ref="A4:H108">
      <sortCondition ref="A3:A73"/>
    </sortState>
  </autoFilter>
  <mergeCells count="1">
    <mergeCell ref="I1:K2"/>
  </mergeCells>
  <dataValidations disablePrompts="1" count="1">
    <dataValidation type="list" allowBlank="1" showInputMessage="1" showErrorMessage="1" sqref="E4:E61 E63:E73" xr:uid="{00000000-0002-0000-0000-000000000000}">
      <formula1>"VND,USD,AUD,CAD,CHF,CNY,DKK,EUR,GBP,HKD,JPY,NOK,NZD,SEK,SGD,THB,TWD"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6A30-970D-48F5-B6B4-9FE74DD6A563}">
  <sheetPr codeName="Sheet2"/>
  <dimension ref="A1:Q24"/>
  <sheetViews>
    <sheetView topLeftCell="B1" workbookViewId="0">
      <selection activeCell="E5" sqref="E5"/>
    </sheetView>
  </sheetViews>
  <sheetFormatPr defaultRowHeight="14.25" x14ac:dyDescent="0.45"/>
  <cols>
    <col min="1" max="1" width="12.3984375" customWidth="1"/>
    <col min="2" max="2" width="17" style="15" customWidth="1"/>
    <col min="3" max="3" width="13.73046875" style="15" customWidth="1"/>
    <col min="4" max="4" width="18.19921875" customWidth="1"/>
    <col min="5" max="5" width="10.1328125" customWidth="1"/>
    <col min="6" max="6" width="12.19921875" bestFit="1" customWidth="1"/>
    <col min="7" max="7" width="10.06640625" customWidth="1"/>
    <col min="10" max="10" width="11.86328125" customWidth="1"/>
    <col min="11" max="11" width="10.73046875" bestFit="1" customWidth="1"/>
    <col min="12" max="12" width="11.33203125" bestFit="1" customWidth="1"/>
    <col min="14" max="14" width="11.33203125" bestFit="1" customWidth="1"/>
    <col min="15" max="15" width="9.06640625" customWidth="1"/>
    <col min="17" max="17" width="10.73046875" bestFit="1" customWidth="1"/>
  </cols>
  <sheetData>
    <row r="1" spans="1:17" x14ac:dyDescent="0.45">
      <c r="A1" s="87" t="s">
        <v>111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</row>
    <row r="2" spans="1:17" s="14" customFormat="1" ht="58.15" customHeight="1" x14ac:dyDescent="0.45">
      <c r="A2" s="77"/>
      <c r="B2" s="89" t="s">
        <v>103</v>
      </c>
      <c r="C2" s="91"/>
      <c r="D2" s="79" t="s">
        <v>104</v>
      </c>
      <c r="E2" s="89" t="s">
        <v>76</v>
      </c>
      <c r="F2" s="91"/>
      <c r="G2" s="89" t="s">
        <v>105</v>
      </c>
      <c r="H2" s="91"/>
      <c r="I2" s="79" t="s">
        <v>83</v>
      </c>
      <c r="J2" s="78" t="s">
        <v>84</v>
      </c>
      <c r="K2" s="95" t="s">
        <v>87</v>
      </c>
      <c r="L2" s="96"/>
      <c r="M2" s="80" t="s">
        <v>88</v>
      </c>
      <c r="N2" s="79" t="s">
        <v>89</v>
      </c>
      <c r="O2" s="89" t="s">
        <v>90</v>
      </c>
      <c r="P2" s="90"/>
      <c r="Q2" s="91"/>
    </row>
    <row r="3" spans="1:17" x14ac:dyDescent="0.45">
      <c r="A3" s="45" t="s">
        <v>75</v>
      </c>
      <c r="B3" s="52" t="s">
        <v>106</v>
      </c>
      <c r="C3" s="55" t="s">
        <v>107</v>
      </c>
      <c r="D3" s="52" t="s">
        <v>77</v>
      </c>
      <c r="E3" s="37" t="s">
        <v>78</v>
      </c>
      <c r="F3" s="55" t="s">
        <v>79</v>
      </c>
      <c r="G3" s="56" t="s">
        <v>78</v>
      </c>
      <c r="H3" s="55" t="s">
        <v>79</v>
      </c>
      <c r="I3" s="52"/>
      <c r="J3" s="55"/>
      <c r="K3" s="56" t="s">
        <v>78</v>
      </c>
      <c r="L3" s="52" t="s">
        <v>79</v>
      </c>
      <c r="M3" s="52"/>
      <c r="N3" s="55"/>
      <c r="O3" s="57" t="s">
        <v>91</v>
      </c>
      <c r="P3" s="58" t="s">
        <v>92</v>
      </c>
      <c r="Q3" s="58" t="s">
        <v>93</v>
      </c>
    </row>
    <row r="4" spans="1:17" ht="14.25" hidden="1" customHeight="1" x14ac:dyDescent="0.45">
      <c r="A4" s="54"/>
      <c r="B4" s="23">
        <v>0</v>
      </c>
      <c r="C4" s="19">
        <v>0</v>
      </c>
      <c r="D4" s="23"/>
      <c r="E4" s="18"/>
      <c r="F4" s="19"/>
      <c r="G4" s="20"/>
      <c r="H4" s="19"/>
      <c r="I4" s="38"/>
      <c r="J4" s="35"/>
      <c r="K4" s="20"/>
      <c r="L4" s="23"/>
      <c r="M4" s="23"/>
      <c r="N4" s="19"/>
      <c r="O4" s="20"/>
      <c r="Q4" s="19"/>
    </row>
    <row r="5" spans="1:17" x14ac:dyDescent="0.45">
      <c r="A5" s="92">
        <v>1</v>
      </c>
      <c r="B5" s="46">
        <f>1/12</f>
        <v>8.3333333333333329E-2</v>
      </c>
      <c r="C5" s="33">
        <v>8.3333333333333329E-2</v>
      </c>
      <c r="D5" s="34">
        <v>0</v>
      </c>
      <c r="E5" s="32">
        <f>SUMIFS(IRR!$H$4:$H$1000,IRR!$E$4:$E$1000,"VND",IRR!$H$4:$H$1000,"&gt;0",IRR!$K$4:$K$1000,"=1",IRR!$I$4:$I$1000,"&gt;="&amp;B4,IRR!$I$4:$I$1000,"&lt;"&amp;B5)+SUMIFS(IRR!$H$4:$H$1000,IRR!$E$4:$E$1000,"VND",IRR!$H$4:$H$1000,"&gt;0",IRR!$K$4:$K$1000,"=2",IRR!$I$4:$I$1000,"&gt;="&amp;C4,IRR!$I$4:$I$1000,"&lt;"&amp;C5)</f>
        <v>0</v>
      </c>
      <c r="F5" s="35">
        <f>SUMIFS(IRR!$H$4:$H$1000,IRR!$E$4:$E$1000,"VND",IRR!$H$4:$H$1000,"&lt;0",IRR!$K$4:$K$1000,"=1",IRR!$I$4:$I$1000,"&gt;="&amp;B4,IRR!$I$4:$I$1000,"&lt;"&amp;B5)+SUMIFS(IRR!$H$4:$H$1000,IRR!$E$4:$E$1000,"VND",IRR!$H$4:$H$1000,"&lt;0",IRR!$K$4:$K$1000,"=2",IRR!$I$4:$I$1000,"&gt;="&amp;C4,IRR!$I$4:$I$1000,"&lt;"&amp;C5)</f>
        <v>-679294000000</v>
      </c>
      <c r="G5" s="32">
        <f>E5*$D5</f>
        <v>0</v>
      </c>
      <c r="H5" s="35">
        <f>F5*$D5</f>
        <v>0</v>
      </c>
      <c r="I5" s="38">
        <f>MIN(ABS(G5),ABS(H5))</f>
        <v>0</v>
      </c>
      <c r="J5" s="35">
        <f>ABS(G5)-ABS(H5)</f>
        <v>0</v>
      </c>
      <c r="K5" s="39"/>
      <c r="L5" s="49"/>
      <c r="M5" s="49"/>
      <c r="N5" s="40"/>
      <c r="O5" s="39"/>
      <c r="P5" s="41"/>
      <c r="Q5" s="40"/>
    </row>
    <row r="6" spans="1:17" x14ac:dyDescent="0.45">
      <c r="A6" s="93"/>
      <c r="B6" s="47">
        <f>1/4</f>
        <v>0.25</v>
      </c>
      <c r="C6" s="27">
        <f>1/4</f>
        <v>0.25</v>
      </c>
      <c r="D6" s="25">
        <v>2E-3</v>
      </c>
      <c r="E6" s="32">
        <f>SUMIFS(IRR!$H$4:$H$1000,IRR!$E$4:$E$1000,"VND",IRR!$H$4:$H$1000,"&gt;0",IRR!$K$4:$K$1000,"=1",IRR!$I$4:$I$1000,"&gt;="&amp;B5,IRR!$I$4:$I$1000,"&lt;"&amp;B6)+SUMIFS(IRR!$H$4:$H$1000,IRR!$E$4:$E$1000,"VND",IRR!$H$4:$H$1000,"&gt;0",IRR!$K$4:$K$1000,"=2",IRR!$I$4:$I$1000,"&gt;="&amp;C5,IRR!$I$4:$I$1000,"&lt;"&amp;C6)</f>
        <v>14824000000</v>
      </c>
      <c r="F6" s="35">
        <f>SUMIFS(IRR!$H$4:$H$1000,IRR!$E$4:$E$1000,"VND",IRR!$H$4:$H$1000,"&lt;0",IRR!$K$4:$K$1000,"=1",IRR!$I$4:$I$1000,"&gt;="&amp;B5,IRR!$I$4:$I$1000,"&lt;"&amp;B6)+SUMIFS(IRR!$H$4:$H$1000,IRR!$E$4:$E$1000,"VND",IRR!$H$4:$H$1000,"&lt;0",IRR!$K$4:$K$1000,"=2",IRR!$I$4:$I$1000,"&gt;="&amp;C5,IRR!$I$4:$I$1000,"&lt;"&amp;C6)</f>
        <v>-283327000000</v>
      </c>
      <c r="G6" s="20">
        <f t="shared" ref="G6:G19" si="0">E6*$D6</f>
        <v>29648000</v>
      </c>
      <c r="H6" s="19">
        <f t="shared" ref="H6:H19" si="1">F6*$D6</f>
        <v>-566654000</v>
      </c>
      <c r="I6" s="38">
        <f t="shared" ref="I6:I19" si="2">MIN(ABS(G6),ABS(H6))</f>
        <v>29648000</v>
      </c>
      <c r="J6" s="35">
        <f t="shared" ref="J6:J19" si="3">ABS(G6)-ABS(H6)</f>
        <v>-537006000</v>
      </c>
      <c r="K6" s="39"/>
      <c r="L6" s="49"/>
      <c r="M6" s="49"/>
      <c r="N6" s="40"/>
      <c r="O6" s="39"/>
      <c r="P6" s="41"/>
      <c r="Q6" s="40"/>
    </row>
    <row r="7" spans="1:17" x14ac:dyDescent="0.45">
      <c r="A7" s="93"/>
      <c r="B7" s="47">
        <f>1/2</f>
        <v>0.5</v>
      </c>
      <c r="C7" s="27">
        <f>1/2</f>
        <v>0.5</v>
      </c>
      <c r="D7" s="25">
        <v>4.0000000000000001E-3</v>
      </c>
      <c r="E7" s="32">
        <f>SUMIFS(IRR!$H$4:$H$1000,IRR!$E$4:$E$1000,"VND",IRR!$H$4:$H$1000,"&gt;0",IRR!$K$4:$K$1000,"=1",IRR!$I$4:$I$1000,"&gt;="&amp;B6,IRR!$I$4:$I$1000,"&lt;"&amp;B7)+SUMIFS(IRR!$H$4:$H$1000,IRR!$E$4:$E$1000,"VND",IRR!$H$4:$H$1000,"&gt;0",IRR!$K$4:$K$1000,"=2",IRR!$I$4:$I$1000,"&gt;="&amp;C6,IRR!$I$4:$I$1000,"&lt;"&amp;C7)</f>
        <v>945000000</v>
      </c>
      <c r="F7" s="35">
        <f>SUMIFS(IRR!$H$4:$H$1000,IRR!$E$4:$E$1000,"VND",IRR!$H$4:$H$1000,"&lt;0",IRR!$K$4:$K$1000,"=1",IRR!$I$4:$I$1000,"&gt;="&amp;B6,IRR!$I$4:$I$1000,"&lt;"&amp;B7)+SUMIFS(IRR!$H$4:$H$1000,IRR!$E$4:$E$1000,"VND",IRR!$H$4:$H$1000,"&lt;0",IRR!$K$4:$K$1000,"=2",IRR!$I$4:$I$1000,"&gt;="&amp;C6,IRR!$I$4:$I$1000,"&lt;"&amp;C7)</f>
        <v>-234270000000</v>
      </c>
      <c r="G7" s="20">
        <f t="shared" si="0"/>
        <v>3780000</v>
      </c>
      <c r="H7" s="19">
        <f t="shared" si="1"/>
        <v>-937080000</v>
      </c>
      <c r="I7" s="38">
        <f t="shared" si="2"/>
        <v>3780000</v>
      </c>
      <c r="J7" s="35">
        <f t="shared" si="3"/>
        <v>-933300000</v>
      </c>
      <c r="K7" s="39"/>
      <c r="L7" s="49"/>
      <c r="M7" s="50" t="s">
        <v>97</v>
      </c>
      <c r="N7" s="40"/>
      <c r="O7" s="39"/>
      <c r="P7" s="41"/>
      <c r="Q7" s="40"/>
    </row>
    <row r="8" spans="1:17" x14ac:dyDescent="0.45">
      <c r="A8" s="94"/>
      <c r="B8" s="48">
        <v>1</v>
      </c>
      <c r="C8" s="28">
        <v>1</v>
      </c>
      <c r="D8" s="26">
        <v>7.0000000000000001E-3</v>
      </c>
      <c r="E8" s="32">
        <f>SUMIFS(IRR!$H$4:$H$1000,IRR!$E$4:$E$1000,"VND",IRR!$H$4:$H$1000,"&gt;0",IRR!$K$4:$K$1000,"=1",IRR!$I$4:$I$1000,"&gt;="&amp;B7,IRR!$I$4:$I$1000,"&lt;"&amp;B8)+SUMIFS(IRR!$H$4:$H$1000,IRR!$E$4:$E$1000,"VND",IRR!$H$4:$H$1000,"&gt;0",IRR!$K$4:$K$1000,"=2",IRR!$I$4:$I$1000,"&gt;="&amp;C7,IRR!$I$4:$I$1000,"&lt;"&amp;C8)</f>
        <v>367000000</v>
      </c>
      <c r="F8" s="35">
        <f>SUMIFS(IRR!$H$4:$H$1000,IRR!$E$4:$E$1000,"VND",IRR!$H$4:$H$1000,"&lt;0",IRR!$K$4:$K$1000,"=1",IRR!$I$4:$I$1000,"&gt;="&amp;B7,IRR!$I$4:$I$1000,"&lt;"&amp;B8)+SUMIFS(IRR!$H$4:$H$1000,IRR!$E$4:$E$1000,"VND",IRR!$H$4:$H$1000,"&lt;0",IRR!$K$4:$K$1000,"=2",IRR!$I$4:$I$1000,"&gt;="&amp;C7,IRR!$I$4:$I$1000,"&lt;"&amp;C8)</f>
        <v>-1224000000</v>
      </c>
      <c r="G8" s="21">
        <f t="shared" si="0"/>
        <v>2569000</v>
      </c>
      <c r="H8" s="22">
        <f t="shared" si="1"/>
        <v>-8568000</v>
      </c>
      <c r="I8" s="38">
        <f t="shared" si="2"/>
        <v>2569000</v>
      </c>
      <c r="J8" s="35">
        <f t="shared" si="3"/>
        <v>-5999000</v>
      </c>
      <c r="K8" s="29">
        <f>SUMIF(J5:J8,"&gt;=0",J5:J8)</f>
        <v>0</v>
      </c>
      <c r="L8" s="31">
        <f>SUMIF(J5:J8,"&lt;0",J5:J8)</f>
        <v>-1476305000</v>
      </c>
      <c r="M8" s="51">
        <f>MIN(ABS(K8),ABS(L8))</f>
        <v>0</v>
      </c>
      <c r="N8" s="30">
        <f>ABS(K8)-ABS(L8)</f>
        <v>-1476305000</v>
      </c>
      <c r="O8" s="39"/>
      <c r="P8" s="41"/>
      <c r="Q8" s="40"/>
    </row>
    <row r="9" spans="1:17" x14ac:dyDescent="0.45">
      <c r="A9" s="92">
        <v>2</v>
      </c>
      <c r="B9" s="47">
        <v>2</v>
      </c>
      <c r="C9" s="27">
        <v>1.9</v>
      </c>
      <c r="D9" s="25">
        <v>1.2500000000000001E-2</v>
      </c>
      <c r="E9" s="32">
        <f>SUMIFS(IRR!$H$4:$H$1000,IRR!$E$4:$E$1000,"VND",IRR!$H$4:$H$1000,"&gt;0",IRR!$K$4:$K$1000,"=1",IRR!$I$4:$I$1000,"&gt;="&amp;B8,IRR!$I$4:$I$1000,"&lt;"&amp;B9)+SUMIFS(IRR!$H$4:$H$1000,IRR!$E$4:$E$1000,"VND",IRR!$H$4:$H$1000,"&gt;0",IRR!$K$4:$K$1000,"=2",IRR!$I$4:$I$1000,"&gt;="&amp;C8,IRR!$I$4:$I$1000,"&lt;"&amp;C9)</f>
        <v>0</v>
      </c>
      <c r="F9" s="35">
        <f>SUMIFS(IRR!$H$4:$H$1000,IRR!$E$4:$E$1000,"VND",IRR!$H$4:$H$1000,"&lt;0",IRR!$K$4:$K$1000,"=1",IRR!$I$4:$I$1000,"&gt;="&amp;B8,IRR!$I$4:$I$1000,"&lt;"&amp;B9)+SUMIFS(IRR!$H$4:$H$1000,IRR!$E$4:$E$1000,"VND",IRR!$H$4:$H$1000,"&lt;0",IRR!$K$4:$K$1000,"=2",IRR!$I$4:$I$1000,"&gt;="&amp;C8,IRR!$I$4:$I$1000,"&lt;"&amp;C9)</f>
        <v>0</v>
      </c>
      <c r="G9" s="20">
        <f t="shared" si="0"/>
        <v>0</v>
      </c>
      <c r="H9" s="19">
        <f t="shared" si="1"/>
        <v>0</v>
      </c>
      <c r="I9" s="38">
        <f t="shared" si="2"/>
        <v>0</v>
      </c>
      <c r="J9" s="35">
        <f t="shared" si="3"/>
        <v>0</v>
      </c>
      <c r="K9" s="39"/>
      <c r="L9" s="49"/>
      <c r="M9" s="49"/>
      <c r="N9" s="40"/>
      <c r="O9" s="39"/>
      <c r="P9" s="41"/>
      <c r="Q9" s="40"/>
    </row>
    <row r="10" spans="1:17" x14ac:dyDescent="0.45">
      <c r="A10" s="93"/>
      <c r="B10" s="47">
        <v>3</v>
      </c>
      <c r="C10" s="27">
        <v>2.8</v>
      </c>
      <c r="D10" s="25">
        <v>1.7500000000000002E-2</v>
      </c>
      <c r="E10" s="32">
        <f>SUMIFS(IRR!$H$4:$H$1000,IRR!$E$4:$E$1000,"VND",IRR!$H$4:$H$1000,"&gt;0",IRR!$K$4:$K$1000,"=1",IRR!$I$4:$I$1000,"&gt;="&amp;B9,IRR!$I$4:$I$1000,"&lt;"&amp;B10)+SUMIFS(IRR!$H$4:$H$1000,IRR!$E$4:$E$1000,"VND",IRR!$H$4:$H$1000,"&gt;0",IRR!$K$4:$K$1000,"=2",IRR!$I$4:$I$1000,"&gt;="&amp;C9,IRR!$I$4:$I$1000,"&lt;"&amp;C10)</f>
        <v>0</v>
      </c>
      <c r="F10" s="35">
        <f>SUMIFS(IRR!$H$4:$H$1000,IRR!$E$4:$E$1000,"VND",IRR!$H$4:$H$1000,"&lt;0",IRR!$K$4:$K$1000,"=1",IRR!$I$4:$I$1000,"&gt;="&amp;B9,IRR!$I$4:$I$1000,"&lt;"&amp;B10)+SUMIFS(IRR!$H$4:$H$1000,IRR!$E$4:$E$1000,"VND",IRR!$H$4:$H$1000,"&lt;0",IRR!$K$4:$K$1000,"=2",IRR!$I$4:$I$1000,"&gt;="&amp;C9,IRR!$I$4:$I$1000,"&lt;"&amp;C10)</f>
        <v>0</v>
      </c>
      <c r="G10" s="20">
        <f t="shared" si="0"/>
        <v>0</v>
      </c>
      <c r="H10" s="19">
        <f t="shared" si="1"/>
        <v>0</v>
      </c>
      <c r="I10" s="38">
        <f t="shared" si="2"/>
        <v>0</v>
      </c>
      <c r="J10" s="35">
        <f t="shared" si="3"/>
        <v>0</v>
      </c>
      <c r="K10" s="39"/>
      <c r="L10" s="49"/>
      <c r="M10" s="50" t="s">
        <v>101</v>
      </c>
      <c r="N10" s="40"/>
      <c r="O10" s="39"/>
      <c r="P10" s="41"/>
      <c r="Q10" s="40"/>
    </row>
    <row r="11" spans="1:17" x14ac:dyDescent="0.45">
      <c r="A11" s="94"/>
      <c r="B11" s="47">
        <v>4</v>
      </c>
      <c r="C11" s="27">
        <v>3.6</v>
      </c>
      <c r="D11" s="25">
        <v>2.2499999999999999E-2</v>
      </c>
      <c r="E11" s="32">
        <f>SUMIFS(IRR!$H$4:$H$1000,IRR!$E$4:$E$1000,"VND",IRR!$H$4:$H$1000,"&gt;0",IRR!$K$4:$K$1000,"=1",IRR!$I$4:$I$1000,"&gt;="&amp;B10,IRR!$I$4:$I$1000,"&lt;"&amp;B11)+SUMIFS(IRR!$H$4:$H$1000,IRR!$E$4:$E$1000,"VND",IRR!$H$4:$H$1000,"&gt;0",IRR!$K$4:$K$1000,"=2",IRR!$I$4:$I$1000,"&gt;="&amp;C10,IRR!$I$4:$I$1000,"&lt;"&amp;C11)</f>
        <v>0</v>
      </c>
      <c r="F11" s="35">
        <f>SUMIFS(IRR!$H$4:$H$1000,IRR!$E$4:$E$1000,"VND",IRR!$H$4:$H$1000,"&lt;0",IRR!$K$4:$K$1000,"=1",IRR!$I$4:$I$1000,"&gt;="&amp;B10,IRR!$I$4:$I$1000,"&lt;"&amp;B11)+SUMIFS(IRR!$H$4:$H$1000,IRR!$E$4:$E$1000,"VND",IRR!$H$4:$H$1000,"&lt;0",IRR!$K$4:$K$1000,"=2",IRR!$I$4:$I$1000,"&gt;="&amp;C10,IRR!$I$4:$I$1000,"&lt;"&amp;C11)</f>
        <v>-488000000</v>
      </c>
      <c r="G11" s="20">
        <f t="shared" si="0"/>
        <v>0</v>
      </c>
      <c r="H11" s="19">
        <f t="shared" si="1"/>
        <v>-10980000</v>
      </c>
      <c r="I11" s="38">
        <f t="shared" si="2"/>
        <v>0</v>
      </c>
      <c r="J11" s="35">
        <f t="shared" si="3"/>
        <v>-10980000</v>
      </c>
      <c r="K11" s="29">
        <f>SUMIF(J9:J11,"&gt;=0",J9:J11)</f>
        <v>0</v>
      </c>
      <c r="L11" s="31">
        <f>SUMIF(J9:J11,"&lt;0",J9:J11)</f>
        <v>-10980000</v>
      </c>
      <c r="M11" s="51">
        <f>MIN(ABS(K11),ABS(L11))</f>
        <v>0</v>
      </c>
      <c r="N11" s="30">
        <f>ABS(K11)-ABS(L11)</f>
        <v>-10980000</v>
      </c>
      <c r="O11" s="39"/>
      <c r="P11" s="41"/>
      <c r="Q11" s="40"/>
    </row>
    <row r="12" spans="1:17" x14ac:dyDescent="0.45">
      <c r="A12" s="93">
        <v>3</v>
      </c>
      <c r="B12" s="46">
        <v>5</v>
      </c>
      <c r="C12" s="33">
        <v>4.3</v>
      </c>
      <c r="D12" s="36">
        <v>2.75E-2</v>
      </c>
      <c r="E12" s="32">
        <f>SUMIFS(IRR!$H$4:$H$1000,IRR!$E$4:$E$1000,"VND",IRR!$H$4:$H$1000,"&gt;0",IRR!$K$4:$K$1000,"=1",IRR!$I$4:$I$1000,"&gt;="&amp;B11,IRR!$I$4:$I$1000,"&lt;"&amp;B12)+SUMIFS(IRR!$H$4:$H$1000,IRR!$E$4:$E$1000,"VND",IRR!$H$4:$H$1000,"&gt;0",IRR!$K$4:$K$1000,"=2",IRR!$I$4:$I$1000,"&gt;="&amp;C11,IRR!$I$4:$I$1000,"&lt;"&amp;C12)</f>
        <v>188190000000</v>
      </c>
      <c r="F12" s="35">
        <f>SUMIFS(IRR!$H$4:$H$1000,IRR!$E$4:$E$1000,"VND",IRR!$H$4:$H$1000,"&lt;0",IRR!$K$4:$K$1000,"=1",IRR!$I$4:$I$1000,"&gt;="&amp;B11,IRR!$I$4:$I$1000,"&lt;"&amp;B12)+SUMIFS(IRR!$H$4:$H$1000,IRR!$E$4:$E$1000,"VND",IRR!$H$4:$H$1000,"&lt;0",IRR!$K$4:$K$1000,"=2",IRR!$I$4:$I$1000,"&gt;="&amp;C11,IRR!$I$4:$I$1000,"&lt;"&amp;C12)</f>
        <v>0</v>
      </c>
      <c r="G12" s="32">
        <f t="shared" si="0"/>
        <v>5175225000</v>
      </c>
      <c r="H12" s="35">
        <f t="shared" si="1"/>
        <v>0</v>
      </c>
      <c r="I12" s="38">
        <f t="shared" si="2"/>
        <v>0</v>
      </c>
      <c r="J12" s="35">
        <f t="shared" si="3"/>
        <v>5175225000</v>
      </c>
      <c r="K12" s="39"/>
      <c r="L12" s="49"/>
      <c r="M12" s="49"/>
      <c r="N12" s="40"/>
      <c r="O12" s="39"/>
      <c r="P12" s="41"/>
      <c r="Q12" s="40"/>
    </row>
    <row r="13" spans="1:17" x14ac:dyDescent="0.45">
      <c r="A13" s="93"/>
      <c r="B13" s="47">
        <v>7</v>
      </c>
      <c r="C13" s="27">
        <v>5.7</v>
      </c>
      <c r="D13" s="25">
        <v>3.2500000000000001E-2</v>
      </c>
      <c r="E13" s="32">
        <f>SUMIFS(IRR!$H$4:$H$1000,IRR!$E$4:$E$1000,"VND",IRR!$H$4:$H$1000,"&gt;0",IRR!$K$4:$K$1000,"=1",IRR!$I$4:$I$1000,"&gt;="&amp;B12,IRR!$I$4:$I$1000,"&lt;"&amp;B13)+SUMIFS(IRR!$H$4:$H$1000,IRR!$E$4:$E$1000,"VND",IRR!$H$4:$H$1000,"&gt;0",IRR!$K$4:$K$1000,"=2",IRR!$I$4:$I$1000,"&gt;="&amp;C12,IRR!$I$4:$I$1000,"&lt;"&amp;C13)</f>
        <v>149089000000</v>
      </c>
      <c r="F13" s="35">
        <f>SUMIFS(IRR!$H$4:$H$1000,IRR!$E$4:$E$1000,"VND",IRR!$H$4:$H$1000,"&lt;0",IRR!$K$4:$K$1000,"=1",IRR!$I$4:$I$1000,"&gt;="&amp;B12,IRR!$I$4:$I$1000,"&lt;"&amp;B13)+SUMIFS(IRR!$H$4:$H$1000,IRR!$E$4:$E$1000,"VND",IRR!$H$4:$H$1000,"&lt;0",IRR!$K$4:$K$1000,"=2",IRR!$I$4:$I$1000,"&gt;="&amp;C12,IRR!$I$4:$I$1000,"&lt;"&amp;C13)</f>
        <v>0</v>
      </c>
      <c r="G13" s="20">
        <f t="shared" si="0"/>
        <v>4845392500</v>
      </c>
      <c r="H13" s="19">
        <f t="shared" si="1"/>
        <v>0</v>
      </c>
      <c r="I13" s="38">
        <f t="shared" si="2"/>
        <v>0</v>
      </c>
      <c r="J13" s="35">
        <f t="shared" si="3"/>
        <v>4845392500</v>
      </c>
      <c r="K13" s="39"/>
      <c r="L13" s="49"/>
      <c r="M13" s="49"/>
      <c r="N13" s="40"/>
      <c r="O13" s="39"/>
      <c r="P13" s="41"/>
      <c r="Q13" s="40"/>
    </row>
    <row r="14" spans="1:17" x14ac:dyDescent="0.45">
      <c r="A14" s="93"/>
      <c r="B14" s="47">
        <v>10</v>
      </c>
      <c r="C14" s="27">
        <v>7.3</v>
      </c>
      <c r="D14" s="25">
        <v>3.7499999999999999E-2</v>
      </c>
      <c r="E14" s="32">
        <f>SUMIFS(IRR!$H$4:$H$1000,IRR!$E$4:$E$1000,"VND",IRR!$H$4:$H$1000,"&gt;0",IRR!$K$4:$K$1000,"=1",IRR!$I$4:$I$1000,"&gt;="&amp;B13,IRR!$I$4:$I$1000,"&lt;"&amp;B14)+SUMIFS(IRR!$H$4:$H$1000,IRR!$E$4:$E$1000,"VND",IRR!$H$4:$H$1000,"&gt;0",IRR!$K$4:$K$1000,"=2",IRR!$I$4:$I$1000,"&gt;="&amp;C13,IRR!$I$4:$I$1000,"&lt;"&amp;C14)</f>
        <v>0</v>
      </c>
      <c r="F14" s="35">
        <f>SUMIFS(IRR!$H$4:$H$1000,IRR!$E$4:$E$1000,"VND",IRR!$H$4:$H$1000,"&lt;0",IRR!$K$4:$K$1000,"=1",IRR!$I$4:$I$1000,"&gt;="&amp;B13,IRR!$I$4:$I$1000,"&lt;"&amp;B14)+SUMIFS(IRR!$H$4:$H$1000,IRR!$E$4:$E$1000,"VND",IRR!$H$4:$H$1000,"&lt;0",IRR!$K$4:$K$1000,"=2",IRR!$I$4:$I$1000,"&gt;="&amp;C13,IRR!$I$4:$I$1000,"&lt;"&amp;C14)</f>
        <v>-19862000000</v>
      </c>
      <c r="G14" s="20">
        <f t="shared" si="0"/>
        <v>0</v>
      </c>
      <c r="H14" s="19">
        <f t="shared" si="1"/>
        <v>-744825000</v>
      </c>
      <c r="I14" s="38">
        <f t="shared" si="2"/>
        <v>0</v>
      </c>
      <c r="J14" s="35">
        <f t="shared" si="3"/>
        <v>-744825000</v>
      </c>
      <c r="K14" s="39"/>
      <c r="L14" s="49"/>
      <c r="M14" s="49"/>
      <c r="N14" s="40"/>
      <c r="O14" s="39"/>
      <c r="P14" s="41"/>
      <c r="Q14" s="40"/>
    </row>
    <row r="15" spans="1:17" x14ac:dyDescent="0.45">
      <c r="A15" s="93"/>
      <c r="B15" s="47">
        <v>15</v>
      </c>
      <c r="C15" s="27">
        <v>9.3000000000000007</v>
      </c>
      <c r="D15" s="25">
        <v>4.4999999999999998E-2</v>
      </c>
      <c r="E15" s="32">
        <f>SUMIFS(IRR!$H$4:$H$1000,IRR!$E$4:$E$1000,"VND",IRR!$H$4:$H$1000,"&gt;0",IRR!$K$4:$K$1000,"=1",IRR!$I$4:$I$1000,"&gt;="&amp;B14,IRR!$I$4:$I$1000,"&lt;"&amp;B15)+SUMIFS(IRR!$H$4:$H$1000,IRR!$E$4:$E$1000,"VND",IRR!$H$4:$H$1000,"&gt;0",IRR!$K$4:$K$1000,"=2",IRR!$I$4:$I$1000,"&gt;="&amp;C14,IRR!$I$4:$I$1000,"&lt;"&amp;C15)</f>
        <v>0</v>
      </c>
      <c r="F15" s="35">
        <f>SUMIFS(IRR!$H$4:$H$1000,IRR!$E$4:$E$1000,"VND",IRR!$H$4:$H$1000,"&lt;0",IRR!$K$4:$K$1000,"=1",IRR!$I$4:$I$1000,"&gt;="&amp;B14,IRR!$I$4:$I$1000,"&lt;"&amp;B15)+SUMIFS(IRR!$H$4:$H$1000,IRR!$E$4:$E$1000,"VND",IRR!$H$4:$H$1000,"&lt;0",IRR!$K$4:$K$1000,"=2",IRR!$I$4:$I$1000,"&gt;="&amp;C14,IRR!$I$4:$I$1000,"&lt;"&amp;C15)</f>
        <v>0</v>
      </c>
      <c r="G15" s="20">
        <f t="shared" si="0"/>
        <v>0</v>
      </c>
      <c r="H15" s="19">
        <f t="shared" si="1"/>
        <v>0</v>
      </c>
      <c r="I15" s="38">
        <f t="shared" si="2"/>
        <v>0</v>
      </c>
      <c r="J15" s="35">
        <f t="shared" si="3"/>
        <v>0</v>
      </c>
      <c r="K15" s="39"/>
      <c r="L15" s="49"/>
      <c r="M15" s="49"/>
      <c r="N15" s="40"/>
      <c r="O15" s="39"/>
      <c r="P15" s="41"/>
      <c r="Q15" s="40"/>
    </row>
    <row r="16" spans="1:17" x14ac:dyDescent="0.45">
      <c r="A16" s="93"/>
      <c r="B16" s="47">
        <v>20</v>
      </c>
      <c r="C16" s="27">
        <v>10.6</v>
      </c>
      <c r="D16" s="25">
        <v>5.2499999999999998E-2</v>
      </c>
      <c r="E16" s="32">
        <f>SUMIFS(IRR!$H$4:$H$1000,IRR!$E$4:$E$1000,"VND",IRR!$H$4:$H$1000,"&gt;0",IRR!$K$4:$K$1000,"=1",IRR!$I$4:$I$1000,"&gt;="&amp;B15,IRR!$I$4:$I$1000,"&lt;"&amp;B16)+SUMIFS(IRR!$H$4:$H$1000,IRR!$E$4:$E$1000,"VND",IRR!$H$4:$H$1000,"&gt;0",IRR!$K$4:$K$1000,"=2",IRR!$I$4:$I$1000,"&gt;="&amp;C15,IRR!$I$4:$I$1000,"&lt;"&amp;C16)</f>
        <v>0</v>
      </c>
      <c r="F16" s="35">
        <f>SUMIFS(IRR!$H$4:$H$1000,IRR!$E$4:$E$1000,"VND",IRR!$H$4:$H$1000,"&lt;0",IRR!$K$4:$K$1000,"=1",IRR!$I$4:$I$1000,"&gt;="&amp;B15,IRR!$I$4:$I$1000,"&lt;"&amp;B16)+SUMIFS(IRR!$H$4:$H$1000,IRR!$E$4:$E$1000,"VND",IRR!$H$4:$H$1000,"&lt;0",IRR!$K$4:$K$1000,"=2",IRR!$I$4:$I$1000,"&gt;="&amp;C15,IRR!$I$4:$I$1000,"&lt;"&amp;C16)</f>
        <v>0</v>
      </c>
      <c r="G16" s="20">
        <f t="shared" si="0"/>
        <v>0</v>
      </c>
      <c r="H16" s="19">
        <f t="shared" si="1"/>
        <v>0</v>
      </c>
      <c r="I16" s="38">
        <f t="shared" si="2"/>
        <v>0</v>
      </c>
      <c r="J16" s="35">
        <f t="shared" si="3"/>
        <v>0</v>
      </c>
      <c r="K16" s="39"/>
      <c r="L16" s="49"/>
      <c r="M16" s="49"/>
      <c r="N16" s="40"/>
      <c r="O16" s="39"/>
      <c r="P16" s="41"/>
      <c r="Q16" s="40"/>
    </row>
    <row r="17" spans="1:17" x14ac:dyDescent="0.45">
      <c r="A17" s="93"/>
      <c r="B17" s="47"/>
      <c r="C17" s="27">
        <v>12</v>
      </c>
      <c r="D17" s="24">
        <v>0.06</v>
      </c>
      <c r="E17" s="20">
        <f>SUMIFS(IRR!$H$4:$H$1000,IRR!$E$4:$E$1000,"VND",IRR!$H$4:$H$1000,"&gt;0",IRR!$K$4:$K$1000,"=1",IRR!$I$4:$I$1000,"&gt;="&amp;$B$16)+SUMIFS(IRR!$H$4:$H$1000,IRR!$E$4:$E$1000,"VND",IRR!$H$4:$H$1000,"&gt;0",IRR!$K$4:$K$1000,"=2",IRR!$I$4:$I$1000,"&gt;="&amp;C16,IRR!$I$4:$I$1000,"&lt;"&amp;C17)</f>
        <v>0</v>
      </c>
      <c r="F17" s="19">
        <f>SUMIFS(IRR!$H$4:$H$1000,IRR!$E$4:$E$1000,"VND",IRR!$H$4:$H$1000,"&lt;0",IRR!$K$4:$K$1000,"=1",IRR!$I$4:$I$1000,"&gt;="&amp;$B$16)+SUMIFS(IRR!$H$4:$H$1000,IRR!$E$4:$E$1000,"VND",IRR!$H$4:$H$1000,"&lt;0",IRR!$K$4:$K$1000,"=2",IRR!$I$4:$I$1000,"&gt;="&amp;C16,IRR!$I$4:$I$1000,"&lt;"&amp;C17)</f>
        <v>0</v>
      </c>
      <c r="G17" s="20">
        <f t="shared" si="0"/>
        <v>0</v>
      </c>
      <c r="H17" s="19">
        <f t="shared" si="1"/>
        <v>0</v>
      </c>
      <c r="I17" s="38">
        <f t="shared" si="2"/>
        <v>0</v>
      </c>
      <c r="J17" s="35">
        <f t="shared" si="3"/>
        <v>0</v>
      </c>
      <c r="K17" s="39"/>
      <c r="L17" s="49"/>
      <c r="M17" s="49"/>
      <c r="N17" s="40"/>
      <c r="O17" s="39"/>
      <c r="P17" s="41"/>
      <c r="Q17" s="40"/>
    </row>
    <row r="18" spans="1:17" x14ac:dyDescent="0.45">
      <c r="A18" s="93"/>
      <c r="B18" s="47"/>
      <c r="C18" s="27">
        <v>20</v>
      </c>
      <c r="D18" s="24">
        <v>0.08</v>
      </c>
      <c r="E18" s="20">
        <f>SUMIFS(IRR!$H$4:$H$1000,IRR!$E$4:$E$1000,"VND",IRR!$H$4:$H$1000,"&gt;0",IRR!$K$4:$K$1000,"=1",IRR!$I$4:$I$1000,"&gt;="&amp;$B$16)+SUMIFS(IRR!$H$4:$H$1000,IRR!$E$4:$E$1000,"VND",IRR!$H$4:$H$1000,"&gt;0",IRR!$K$4:$K$1000,"=2",IRR!$I$4:$I$1000,"&gt;="&amp;C17,IRR!$I$4:$I$1000,"&lt;"&amp;C18)</f>
        <v>0</v>
      </c>
      <c r="F18" s="19">
        <f>SUMIFS(IRR!$H$4:$H$1000,IRR!$E$4:$E$1000,"VND",IRR!$H$4:$H$1000,"&lt;0",IRR!$K$4:$K$1000,"=1",IRR!$I$4:$I$1000,"&gt;="&amp;$B$16)+SUMIFS(IRR!$H$4:$H$1000,IRR!$E$4:$E$1000,"VND",IRR!$H$4:$H$1000,"&lt;0",IRR!$K$4:$K$1000,"=2",IRR!$I$4:$I$1000,"&gt;="&amp;C17,IRR!$I$4:$I$1000,"&lt;"&amp;C18)</f>
        <v>0</v>
      </c>
      <c r="G18" s="20">
        <f t="shared" si="0"/>
        <v>0</v>
      </c>
      <c r="H18" s="19">
        <f t="shared" si="1"/>
        <v>0</v>
      </c>
      <c r="I18" s="38">
        <f t="shared" si="2"/>
        <v>0</v>
      </c>
      <c r="J18" s="35">
        <f t="shared" si="3"/>
        <v>0</v>
      </c>
      <c r="K18" s="39"/>
      <c r="L18" s="49"/>
      <c r="M18" s="50" t="s">
        <v>98</v>
      </c>
      <c r="N18" s="40"/>
      <c r="O18" s="39"/>
      <c r="P18" s="41"/>
      <c r="Q18" s="40"/>
    </row>
    <row r="19" spans="1:17" x14ac:dyDescent="0.45">
      <c r="A19" s="94"/>
      <c r="B19" s="48"/>
      <c r="C19" s="28"/>
      <c r="D19" s="26">
        <v>0.125</v>
      </c>
      <c r="E19" s="21">
        <f>SUMIFS(IRR!$H$4:$H$1000,IRR!$E$4:$E$1000,"VND",IRR!$H$4:$H$1000,"&gt;0",IRR!$K$4:$K$1000,"=1",IRR!$I$4:$I$1000,"&gt;="&amp;$B$16)+SUMIFS(IRR!$H$4:$H$1000,IRR!$E$4:$E$1000,"VND",IRR!$H$4:$H$1000,"&gt;0",IRR!$K$4:$K$1000,"=2",IRR!$I$4:$I$1000,"&gt;="&amp;$C$18)</f>
        <v>0</v>
      </c>
      <c r="F19" s="22">
        <f>SUMIFS(IRR!$H$4:$H$1000,IRR!$E$4:$E$1000,"VND",IRR!$H$4:$H$1000,"&lt;0",IRR!$K$4:$K$1000,"=1",IRR!$I$4:$I$1000,"&gt;="&amp;$B$16)+SUMIFS(IRR!$H$4:$H$1000,IRR!$E$4:$E$1000,"VND",IRR!$H$4:$H$1000,"&lt;0",IRR!$K$4:$K$1000,"=2",IRR!$I$4:$I$1000,"&gt;="&amp;$C$18)</f>
        <v>0</v>
      </c>
      <c r="G19" s="21">
        <f t="shared" si="0"/>
        <v>0</v>
      </c>
      <c r="H19" s="22">
        <f t="shared" si="1"/>
        <v>0</v>
      </c>
      <c r="I19" s="38">
        <f t="shared" si="2"/>
        <v>0</v>
      </c>
      <c r="J19" s="35">
        <f t="shared" si="3"/>
        <v>0</v>
      </c>
      <c r="K19" s="29">
        <f>SUMIF(J12:J19,"&gt;=0",J12:J19)</f>
        <v>10020617500</v>
      </c>
      <c r="L19" s="31">
        <f>SUMIF(J12:J19,"&lt;0",J12:J19)</f>
        <v>-744825000</v>
      </c>
      <c r="M19" s="51">
        <f>MIN(ABS(K19),ABS(L19))</f>
        <v>744825000</v>
      </c>
      <c r="N19" s="30">
        <f>ABS(K19)-ABS(L19)</f>
        <v>9275792500</v>
      </c>
      <c r="O19" s="42"/>
      <c r="P19" s="43"/>
      <c r="Q19" s="44"/>
    </row>
    <row r="20" spans="1:17" x14ac:dyDescent="0.45">
      <c r="F20" s="17" t="s">
        <v>80</v>
      </c>
      <c r="G20" s="17" t="s">
        <v>81</v>
      </c>
      <c r="H20" s="17" t="s">
        <v>85</v>
      </c>
      <c r="O20" s="17" t="s">
        <v>94</v>
      </c>
      <c r="P20" s="17" t="s">
        <v>95</v>
      </c>
      <c r="Q20" s="17" t="s">
        <v>96</v>
      </c>
    </row>
    <row r="21" spans="1:17" x14ac:dyDescent="0.45">
      <c r="F21" s="17">
        <f>SUM(G5:G19)</f>
        <v>10056614500</v>
      </c>
      <c r="G21" s="17">
        <f>SUM(H5:H19)</f>
        <v>-2268107000</v>
      </c>
      <c r="H21" s="17">
        <f>SUM(I5:I19)</f>
        <v>35997000</v>
      </c>
      <c r="O21" s="17">
        <f>IF(N8*N11&lt;0,MIN(ABS(N8),ABS(N11)),0)</f>
        <v>0</v>
      </c>
      <c r="P21" s="17">
        <f>IF(N11*N19&lt;0,MIN(ABS(N11),ABS(N19)),0)</f>
        <v>10980000</v>
      </c>
      <c r="Q21" s="17">
        <f>IF(N8*N19&lt;0,MIN(ABS(N8),ABS(N19)),0)</f>
        <v>1476305000</v>
      </c>
    </row>
    <row r="22" spans="1:17" x14ac:dyDescent="0.45">
      <c r="G22" s="17"/>
      <c r="H22" s="17"/>
      <c r="I22" s="17"/>
      <c r="O22" s="17"/>
      <c r="P22" s="17"/>
      <c r="Q22" s="17"/>
    </row>
    <row r="23" spans="1:17" x14ac:dyDescent="0.45">
      <c r="A23" s="65" t="s">
        <v>82</v>
      </c>
      <c r="B23" s="65" t="s">
        <v>86</v>
      </c>
      <c r="C23" s="65" t="s">
        <v>99</v>
      </c>
      <c r="D23" s="66" t="s">
        <v>100</v>
      </c>
      <c r="E23" s="17"/>
    </row>
    <row r="24" spans="1:17" x14ac:dyDescent="0.45">
      <c r="A24" s="52">
        <f>ABS(F21+G21)</f>
        <v>7788507500</v>
      </c>
      <c r="B24" s="52">
        <f>H21*10%</f>
        <v>3599700</v>
      </c>
      <c r="C24" s="52">
        <f>40%*M8+30%*M11+30%*M19+40%*O21+40%*P21+100%*Q21</f>
        <v>1704144500</v>
      </c>
      <c r="D24" s="62">
        <f>A24+B24+C24</f>
        <v>9496251700</v>
      </c>
    </row>
  </sheetData>
  <mergeCells count="9">
    <mergeCell ref="A1:Q1"/>
    <mergeCell ref="O2:Q2"/>
    <mergeCell ref="A5:A8"/>
    <mergeCell ref="A9:A11"/>
    <mergeCell ref="A12:A19"/>
    <mergeCell ref="K2:L2"/>
    <mergeCell ref="B2:C2"/>
    <mergeCell ref="E2:F2"/>
    <mergeCell ref="G2:H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19BE-E5A0-45E5-B6D2-76E9619F8AD6}">
  <sheetPr codeName="Sheet3"/>
  <dimension ref="A1:Q26"/>
  <sheetViews>
    <sheetView topLeftCell="B12" workbookViewId="0">
      <selection activeCell="C24" sqref="C24"/>
    </sheetView>
  </sheetViews>
  <sheetFormatPr defaultRowHeight="14.25" x14ac:dyDescent="0.45"/>
  <cols>
    <col min="1" max="1" width="11.3984375" customWidth="1"/>
    <col min="2" max="2" width="19.265625" customWidth="1"/>
    <col min="3" max="3" width="15.3984375" customWidth="1"/>
    <col min="4" max="4" width="16.1328125" customWidth="1"/>
    <col min="5" max="5" width="11.59765625" bestFit="1" customWidth="1"/>
    <col min="10" max="10" width="10.33203125" customWidth="1"/>
    <col min="11" max="11" width="10.73046875" bestFit="1" customWidth="1"/>
  </cols>
  <sheetData>
    <row r="1" spans="1:17" x14ac:dyDescent="0.45">
      <c r="A1" s="97" t="s">
        <v>112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8"/>
    </row>
    <row r="2" spans="1:17" ht="57" customHeight="1" x14ac:dyDescent="0.45">
      <c r="A2" s="73"/>
      <c r="B2" s="99" t="s">
        <v>103</v>
      </c>
      <c r="C2" s="101"/>
      <c r="D2" s="75" t="s">
        <v>104</v>
      </c>
      <c r="E2" s="99" t="s">
        <v>76</v>
      </c>
      <c r="F2" s="101"/>
      <c r="G2" s="99" t="s">
        <v>105</v>
      </c>
      <c r="H2" s="101"/>
      <c r="I2" s="75" t="s">
        <v>83</v>
      </c>
      <c r="J2" s="74" t="s">
        <v>84</v>
      </c>
      <c r="K2" s="99" t="s">
        <v>87</v>
      </c>
      <c r="L2" s="101"/>
      <c r="M2" s="76" t="s">
        <v>88</v>
      </c>
      <c r="N2" s="75" t="s">
        <v>89</v>
      </c>
      <c r="O2" s="99" t="s">
        <v>90</v>
      </c>
      <c r="P2" s="100"/>
      <c r="Q2" s="101"/>
    </row>
    <row r="3" spans="1:17" x14ac:dyDescent="0.45">
      <c r="A3" s="45" t="s">
        <v>75</v>
      </c>
      <c r="B3" s="52" t="s">
        <v>106</v>
      </c>
      <c r="C3" s="55" t="s">
        <v>107</v>
      </c>
      <c r="D3" s="52" t="s">
        <v>77</v>
      </c>
      <c r="E3" s="37" t="s">
        <v>78</v>
      </c>
      <c r="F3" s="55" t="s">
        <v>79</v>
      </c>
      <c r="G3" s="56" t="s">
        <v>78</v>
      </c>
      <c r="H3" s="55" t="s">
        <v>79</v>
      </c>
      <c r="I3" s="52"/>
      <c r="J3" s="104" t="s">
        <v>119</v>
      </c>
      <c r="K3" s="56" t="s">
        <v>78</v>
      </c>
      <c r="L3" s="52" t="s">
        <v>79</v>
      </c>
      <c r="M3" s="52"/>
      <c r="N3" s="55"/>
      <c r="O3" s="57" t="s">
        <v>91</v>
      </c>
      <c r="P3" s="58" t="s">
        <v>92</v>
      </c>
      <c r="Q3" s="58" t="s">
        <v>93</v>
      </c>
    </row>
    <row r="4" spans="1:17" ht="14.25" hidden="1" customHeight="1" x14ac:dyDescent="0.45">
      <c r="A4" s="54"/>
      <c r="B4" s="23">
        <v>0</v>
      </c>
      <c r="C4" s="19">
        <v>0</v>
      </c>
      <c r="D4" s="23"/>
      <c r="E4" s="18"/>
      <c r="F4" s="19"/>
      <c r="G4" s="20"/>
      <c r="H4" s="19"/>
      <c r="I4" s="38"/>
      <c r="J4" s="35"/>
      <c r="K4" s="20"/>
      <c r="L4" s="23"/>
      <c r="M4" s="23"/>
      <c r="N4" s="19"/>
      <c r="O4" s="20"/>
      <c r="Q4" s="19"/>
    </row>
    <row r="5" spans="1:17" x14ac:dyDescent="0.45">
      <c r="A5" s="92">
        <v>1</v>
      </c>
      <c r="B5" s="46">
        <f>1/12</f>
        <v>8.3333333333333329E-2</v>
      </c>
      <c r="C5" s="33">
        <v>8.3333333333333329E-2</v>
      </c>
      <c r="D5" s="34">
        <v>0</v>
      </c>
      <c r="E5" s="32">
        <f>SUMIFS(IRR!$H$4:$H$1000,IRR!$E$4:$E$1000,"USD",IRR!$H$4:$H$1000,"&gt;0",IRR!$K$4:$K$1000,"=1",IRR!$I$4:$I$1000,"&gt;="&amp;B4,IRR!$I$4:$I$1000,"&lt;"&amp;B5)+SUMIFS(IRR!$H$4:$H$1000,IRR!$E$4:$E$1000,"USD",IRR!$H$4:$H$1000,"&gt;0",IRR!$K$4:$K$1000,"=2",IRR!$I$4:$I$1000,"&gt;="&amp;C4,IRR!$I$4:$I$1000,"&lt;"&amp;C5)</f>
        <v>677773000000</v>
      </c>
      <c r="F5" s="35">
        <f>SUMIFS(IRR!$H$4:$H$1000,IRR!$E$4:$E$1000,"USD",IRR!$H$4:$H$1000,"&lt;0",IRR!$K$4:$K$1000,"=1",IRR!$I$4:$I$1000,"&gt;="&amp;B4,IRR!$I$4:$I$1000,"&lt;"&amp;B5)+SUMIFS(IRR!$H$4:$H$1000,IRR!$E$4:$E$1000,"USD",IRR!$H$4:$H$1000,"&lt;0",IRR!$K$4:$K$1000,"=2",IRR!$I$4:$I$1000,"&gt;="&amp;C4,IRR!$I$4:$I$1000,"&lt;"&amp;C5)</f>
        <v>0</v>
      </c>
      <c r="G5" s="32">
        <f>E5*$D5</f>
        <v>0</v>
      </c>
      <c r="H5" s="35">
        <f>F5*$D5</f>
        <v>0</v>
      </c>
      <c r="I5" s="38">
        <f>MIN(ABS(G5),ABS(H5))</f>
        <v>0</v>
      </c>
      <c r="J5" s="35">
        <f>ABS(G5)-ABS(H5)</f>
        <v>0</v>
      </c>
      <c r="K5" s="39"/>
      <c r="L5" s="49"/>
      <c r="M5" s="49"/>
      <c r="N5" s="40"/>
      <c r="O5" s="39"/>
      <c r="P5" s="41"/>
      <c r="Q5" s="40"/>
    </row>
    <row r="6" spans="1:17" x14ac:dyDescent="0.45">
      <c r="A6" s="93"/>
      <c r="B6" s="47">
        <f>1/4</f>
        <v>0.25</v>
      </c>
      <c r="C6" s="27">
        <f>1/4</f>
        <v>0.25</v>
      </c>
      <c r="D6" s="25">
        <v>2E-3</v>
      </c>
      <c r="E6" s="32">
        <f>SUMIFS(IRR!$H$4:$H$1000,IRR!$E$4:$E$1000,"USD",IRR!$H$4:$H$1000,"&gt;0",IRR!$K$4:$K$1000,"=1",IRR!$I$4:$I$1000,"&gt;="&amp;B5,IRR!$I$4:$I$1000,"&lt;"&amp;B6)+SUMIFS(IRR!$H$4:$H$1000,IRR!$E$4:$E$1000,"USD",IRR!$H$4:$H$1000,"&gt;0",IRR!$K$4:$K$1000,"=2",IRR!$I$4:$I$1000,"&gt;="&amp;C5,IRR!$I$4:$I$1000,"&lt;"&amp;C6)</f>
        <v>301900000000</v>
      </c>
      <c r="F6" s="35">
        <f>SUMIFS(IRR!$H$4:$H$1000,IRR!$E$4:$E$1000,"USD",IRR!$H$4:$H$1000,"&lt;0",IRR!$K$4:$K$1000,"=1",IRR!$I$4:$I$1000,"&gt;="&amp;B5,IRR!$I$4:$I$1000,"&lt;"&amp;B6)+SUMIFS(IRR!$H$4:$H$1000,IRR!$E$4:$E$1000,"USD",IRR!$H$4:$H$1000,"&lt;0",IRR!$K$4:$K$1000,"=2",IRR!$I$4:$I$1000,"&gt;="&amp;C5,IRR!$I$4:$I$1000,"&lt;"&amp;C6)</f>
        <v>-14876000000</v>
      </c>
      <c r="G6" s="20">
        <f t="shared" ref="G6:H19" si="0">E6*$D6</f>
        <v>603800000</v>
      </c>
      <c r="H6" s="19">
        <f t="shared" si="0"/>
        <v>-29752000</v>
      </c>
      <c r="I6" s="38">
        <f t="shared" ref="I6:I19" si="1">MIN(ABS(G6),ABS(H6))</f>
        <v>29752000</v>
      </c>
      <c r="J6" s="35">
        <f t="shared" ref="J6:J19" si="2">ABS(G6)-ABS(H6)</f>
        <v>574048000</v>
      </c>
      <c r="K6" s="39"/>
      <c r="L6" s="49"/>
      <c r="M6" s="49"/>
      <c r="N6" s="40"/>
      <c r="O6" s="39"/>
      <c r="P6" s="41"/>
      <c r="Q6" s="40"/>
    </row>
    <row r="7" spans="1:17" x14ac:dyDescent="0.45">
      <c r="A7" s="93"/>
      <c r="B7" s="47">
        <f>1/2</f>
        <v>0.5</v>
      </c>
      <c r="C7" s="27">
        <f>1/2</f>
        <v>0.5</v>
      </c>
      <c r="D7" s="25">
        <v>4.0000000000000001E-3</v>
      </c>
      <c r="E7" s="32">
        <f>SUMIFS(IRR!$H$4:$H$1000,IRR!$E$4:$E$1000,"USD",IRR!$H$4:$H$1000,"&gt;0",IRR!$K$4:$K$1000,"=1",IRR!$I$4:$I$1000,"&gt;="&amp;B6,IRR!$I$4:$I$1000,"&lt;"&amp;B7)+SUMIFS(IRR!$H$4:$H$1000,IRR!$E$4:$E$1000,"USD",IRR!$H$4:$H$1000,"&gt;0",IRR!$K$4:$K$1000,"=2",IRR!$I$4:$I$1000,"&gt;="&amp;C6,IRR!$I$4:$I$1000,"&lt;"&amp;C7)</f>
        <v>186991000000</v>
      </c>
      <c r="F7" s="35">
        <f>SUMIFS(IRR!$H$4:$H$1000,IRR!$E$4:$E$1000,"USD",IRR!$H$4:$H$1000,"&lt;0",IRR!$K$4:$K$1000,"=1",IRR!$I$4:$I$1000,"&gt;="&amp;B6,IRR!$I$4:$I$1000,"&lt;"&amp;B7)+SUMIFS(IRR!$H$4:$H$1000,IRR!$E$4:$E$1000,"USD",IRR!$H$4:$H$1000,"&lt;0",IRR!$K$4:$K$1000,"=2",IRR!$I$4:$I$1000,"&gt;="&amp;C6,IRR!$I$4:$I$1000,"&lt;"&amp;C7)</f>
        <v>-953000000</v>
      </c>
      <c r="G7" s="20">
        <f t="shared" si="0"/>
        <v>747964000</v>
      </c>
      <c r="H7" s="19">
        <f t="shared" si="0"/>
        <v>-3812000</v>
      </c>
      <c r="I7" s="38">
        <f t="shared" si="1"/>
        <v>3812000</v>
      </c>
      <c r="J7" s="35">
        <f t="shared" si="2"/>
        <v>744152000</v>
      </c>
      <c r="K7" s="39"/>
      <c r="L7" s="49"/>
      <c r="M7" s="50" t="s">
        <v>97</v>
      </c>
      <c r="N7" s="40"/>
      <c r="O7" s="39"/>
      <c r="P7" s="41"/>
      <c r="Q7" s="40"/>
    </row>
    <row r="8" spans="1:17" x14ac:dyDescent="0.45">
      <c r="A8" s="94"/>
      <c r="B8" s="48">
        <v>1</v>
      </c>
      <c r="C8" s="28">
        <v>1</v>
      </c>
      <c r="D8" s="26">
        <v>7.0000000000000001E-3</v>
      </c>
      <c r="E8" s="32">
        <f>SUMIFS(IRR!$H$4:$H$1000,IRR!$E$4:$E$1000,"USD",IRR!$H$4:$H$1000,"&gt;0",IRR!$K$4:$K$1000,"=1",IRR!$I$4:$I$1000,"&gt;="&amp;B7,IRR!$I$4:$I$1000,"&lt;"&amp;B8)+SUMIFS(IRR!$H$4:$H$1000,IRR!$E$4:$E$1000,"USD",IRR!$H$4:$H$1000,"&gt;0",IRR!$K$4:$K$1000,"=2",IRR!$I$4:$I$1000,"&gt;="&amp;C7,IRR!$I$4:$I$1000,"&lt;"&amp;C8)</f>
        <v>1222000000</v>
      </c>
      <c r="F8" s="35">
        <f>SUMIFS(IRR!$H$4:$H$1000,IRR!$E$4:$E$1000,"USD",IRR!$H$4:$H$1000,"&lt;0",IRR!$K$4:$K$1000,"=1",IRR!$I$4:$I$1000,"&gt;="&amp;B7,IRR!$I$4:$I$1000,"&lt;"&amp;B8)+SUMIFS(IRR!$H$4:$H$1000,IRR!$E$4:$E$1000,"USD",IRR!$H$4:$H$1000,"&lt;0",IRR!$K$4:$K$1000,"=2",IRR!$I$4:$I$1000,"&gt;="&amp;C7,IRR!$I$4:$I$1000,"&lt;"&amp;C8)</f>
        <v>-368000000</v>
      </c>
      <c r="G8" s="21">
        <f t="shared" si="0"/>
        <v>8554000</v>
      </c>
      <c r="H8" s="22">
        <f t="shared" si="0"/>
        <v>-2576000</v>
      </c>
      <c r="I8" s="38">
        <f t="shared" si="1"/>
        <v>2576000</v>
      </c>
      <c r="J8" s="35">
        <f t="shared" si="2"/>
        <v>5978000</v>
      </c>
      <c r="K8" s="29">
        <f>SUMIF(J5:J8,"&gt;=0",J5:J8)</f>
        <v>1324178000</v>
      </c>
      <c r="L8" s="31">
        <f>SUMIF(J5:J8,"&lt;0",J5:J8)</f>
        <v>0</v>
      </c>
      <c r="M8" s="51">
        <f>MIN(ABS(K8),ABS(L8))</f>
        <v>0</v>
      </c>
      <c r="N8" s="30">
        <f>ABS(K8)-ABS(L8)</f>
        <v>1324178000</v>
      </c>
      <c r="O8" s="39"/>
      <c r="P8" s="41"/>
      <c r="Q8" s="40"/>
    </row>
    <row r="9" spans="1:17" x14ac:dyDescent="0.45">
      <c r="A9" s="92">
        <v>2</v>
      </c>
      <c r="B9" s="46">
        <v>2</v>
      </c>
      <c r="C9" s="33">
        <v>1.9</v>
      </c>
      <c r="D9" s="36">
        <v>1.2500000000000001E-2</v>
      </c>
      <c r="E9" s="32">
        <f>SUMIFS(IRR!$H$4:$H$1000,IRR!$E$4:$E$1000,"USD",IRR!$H$4:$H$1000,"&gt;0",IRR!$K$4:$K$1000,"=1",IRR!$I$4:$I$1000,"&gt;="&amp;B8,IRR!$I$4:$I$1000,"&lt;"&amp;B9)+SUMIFS(IRR!$H$4:$H$1000,IRR!$E$4:$E$1000,"USD",IRR!$H$4:$H$1000,"&gt;0",IRR!$K$4:$K$1000,"=2",IRR!$I$4:$I$1000,"&gt;="&amp;C8,IRR!$I$4:$I$1000,"&lt;"&amp;C9)</f>
        <v>0</v>
      </c>
      <c r="F9" s="35">
        <f>SUMIFS(IRR!$H$4:$H$1000,IRR!$E$4:$E$1000,"USD",IRR!$H$4:$H$1000,"&lt;0",IRR!$K$4:$K$1000,"=1",IRR!$I$4:$I$1000,"&gt;="&amp;B8,IRR!$I$4:$I$1000,"&lt;"&amp;B9)+SUMIFS(IRR!$H$4:$H$1000,IRR!$E$4:$E$1000,"USD",IRR!$H$4:$H$1000,"&lt;0",IRR!$K$4:$K$1000,"=2",IRR!$I$4:$I$1000,"&gt;="&amp;C8,IRR!$I$4:$I$1000,"&lt;"&amp;C9)</f>
        <v>0</v>
      </c>
      <c r="G9" s="20">
        <f t="shared" si="0"/>
        <v>0</v>
      </c>
      <c r="H9" s="19">
        <f t="shared" si="0"/>
        <v>0</v>
      </c>
      <c r="I9" s="38">
        <f t="shared" si="1"/>
        <v>0</v>
      </c>
      <c r="J9" s="35">
        <f t="shared" si="2"/>
        <v>0</v>
      </c>
      <c r="K9" s="39"/>
      <c r="L9" s="49"/>
      <c r="M9" s="49"/>
      <c r="N9" s="40"/>
      <c r="O9" s="39"/>
      <c r="P9" s="41"/>
      <c r="Q9" s="40"/>
    </row>
    <row r="10" spans="1:17" x14ac:dyDescent="0.45">
      <c r="A10" s="93"/>
      <c r="B10" s="47">
        <v>3</v>
      </c>
      <c r="C10" s="27">
        <v>2.8</v>
      </c>
      <c r="D10" s="25">
        <v>1.7500000000000002E-2</v>
      </c>
      <c r="E10" s="32">
        <f>SUMIFS(IRR!$H$4:$H$1000,IRR!$E$4:$E$1000,"USD",IRR!$H$4:$H$1000,"&gt;0",IRR!$K$4:$K$1000,"=1",IRR!$I$4:$I$1000,"&gt;="&amp;B9,IRR!$I$4:$I$1000,"&lt;"&amp;B10)+SUMIFS(IRR!$H$4:$H$1000,IRR!$E$4:$E$1000,"USD",IRR!$H$4:$H$1000,"&gt;0",IRR!$K$4:$K$1000,"=2",IRR!$I$4:$I$1000,"&gt;="&amp;C9,IRR!$I$4:$I$1000,"&lt;"&amp;C10)</f>
        <v>0</v>
      </c>
      <c r="F10" s="35">
        <f>SUMIFS(IRR!$H$4:$H$1000,IRR!$E$4:$E$1000,"USD",IRR!$H$4:$H$1000,"&lt;0",IRR!$K$4:$K$1000,"=1",IRR!$I$4:$I$1000,"&gt;="&amp;B9,IRR!$I$4:$I$1000,"&lt;"&amp;B10)+SUMIFS(IRR!$H$4:$H$1000,IRR!$E$4:$E$1000,"USD",IRR!$H$4:$H$1000,"&lt;0",IRR!$K$4:$K$1000,"=2",IRR!$I$4:$I$1000,"&gt;="&amp;C9,IRR!$I$4:$I$1000,"&lt;"&amp;C10)</f>
        <v>0</v>
      </c>
      <c r="G10" s="20">
        <f t="shared" si="0"/>
        <v>0</v>
      </c>
      <c r="H10" s="19">
        <f t="shared" si="0"/>
        <v>0</v>
      </c>
      <c r="I10" s="38">
        <f t="shared" si="1"/>
        <v>0</v>
      </c>
      <c r="J10" s="35">
        <f t="shared" si="2"/>
        <v>0</v>
      </c>
      <c r="K10" s="39"/>
      <c r="L10" s="49"/>
      <c r="M10" s="50" t="s">
        <v>101</v>
      </c>
      <c r="N10" s="40"/>
      <c r="O10" s="39"/>
      <c r="P10" s="41"/>
      <c r="Q10" s="40"/>
    </row>
    <row r="11" spans="1:17" x14ac:dyDescent="0.45">
      <c r="A11" s="94"/>
      <c r="B11" s="48">
        <v>4</v>
      </c>
      <c r="C11" s="28">
        <v>3.6</v>
      </c>
      <c r="D11" s="26">
        <v>2.2499999999999999E-2</v>
      </c>
      <c r="E11" s="32">
        <f>SUMIFS(IRR!$H$4:$H$1000,IRR!$E$4:$E$1000,"USD",IRR!$H$4:$H$1000,"&gt;0",IRR!$K$4:$K$1000,"=1",IRR!$I$4:$I$1000,"&gt;="&amp;B10,IRR!$I$4:$I$1000,"&lt;"&amp;B11)+SUMIFS(IRR!$H$4:$H$1000,IRR!$E$4:$E$1000,"USD",IRR!$H$4:$H$1000,"&gt;0",IRR!$K$4:$K$1000,"=2",IRR!$I$4:$I$1000,"&gt;="&amp;C10,IRR!$I$4:$I$1000,"&lt;"&amp;C11)</f>
        <v>485000000</v>
      </c>
      <c r="F11" s="35">
        <f>SUMIFS(IRR!$H$4:$H$1000,IRR!$E$4:$E$1000,"USD",IRR!$H$4:$H$1000,"&lt;0",IRR!$K$4:$K$1000,"=1",IRR!$I$4:$I$1000,"&gt;="&amp;B10,IRR!$I$4:$I$1000,"&lt;"&amp;B11)+SUMIFS(IRR!$H$4:$H$1000,IRR!$E$4:$E$1000,"USD",IRR!$H$4:$H$1000,"&lt;0",IRR!$K$4:$K$1000,"=2",IRR!$I$4:$I$1000,"&gt;="&amp;C10,IRR!$I$4:$I$1000,"&lt;"&amp;C11)</f>
        <v>0</v>
      </c>
      <c r="G11" s="20">
        <f t="shared" si="0"/>
        <v>10912500</v>
      </c>
      <c r="H11" s="19">
        <f t="shared" si="0"/>
        <v>0</v>
      </c>
      <c r="I11" s="38">
        <f t="shared" si="1"/>
        <v>0</v>
      </c>
      <c r="J11" s="35">
        <f t="shared" si="2"/>
        <v>10912500</v>
      </c>
      <c r="K11" s="29">
        <f>SUMIF(J9:J11,"&gt;=0",J9:J11)</f>
        <v>10912500</v>
      </c>
      <c r="L11" s="31">
        <f>SUMIF(J9:J11,"&lt;0",J9:J11)</f>
        <v>0</v>
      </c>
      <c r="M11" s="51">
        <f>MIN(ABS(K11),ABS(L11))</f>
        <v>0</v>
      </c>
      <c r="N11" s="30">
        <f>ABS(K11)-ABS(L11)</f>
        <v>10912500</v>
      </c>
      <c r="O11" s="39"/>
      <c r="P11" s="41"/>
      <c r="Q11" s="40"/>
    </row>
    <row r="12" spans="1:17" x14ac:dyDescent="0.45">
      <c r="A12" s="93">
        <v>3</v>
      </c>
      <c r="B12" s="47">
        <v>5</v>
      </c>
      <c r="C12" s="27">
        <v>4.3</v>
      </c>
      <c r="D12" s="25">
        <v>2.75E-2</v>
      </c>
      <c r="E12" s="32">
        <f>SUMIFS(IRR!$H$4:$H$1000,IRR!$E$4:$E$1000,"USD",IRR!$H$4:$H$1000,"&gt;0",IRR!$K$4:$K$1000,"=1",IRR!$I$4:$I$1000,"&gt;="&amp;B11,IRR!$I$4:$I$1000,"&lt;"&amp;B12)+SUMIFS(IRR!$H$4:$H$1000,IRR!$E$4:$E$1000,"USD",IRR!$H$4:$H$1000,"&gt;0",IRR!$K$4:$K$1000,"=2",IRR!$I$4:$I$1000,"&gt;="&amp;C11,IRR!$I$4:$I$1000,"&lt;"&amp;C12)</f>
        <v>0</v>
      </c>
      <c r="F12" s="35">
        <f>SUMIFS(IRR!$H$4:$H$1000,IRR!$E$4:$E$1000,"USD",IRR!$H$4:$H$1000,"&lt;0",IRR!$K$4:$K$1000,"=1",IRR!$I$4:$I$1000,"&gt;="&amp;B11,IRR!$I$4:$I$1000,"&lt;"&amp;B12)+SUMIFS(IRR!$H$4:$H$1000,IRR!$E$4:$E$1000,"USD",IRR!$H$4:$H$1000,"&lt;0",IRR!$K$4:$K$1000,"=2",IRR!$I$4:$I$1000,"&gt;="&amp;C11,IRR!$I$4:$I$1000,"&lt;"&amp;C12)</f>
        <v>-23360000000</v>
      </c>
      <c r="G12" s="32">
        <f t="shared" si="0"/>
        <v>0</v>
      </c>
      <c r="H12" s="35">
        <f t="shared" si="0"/>
        <v>-642400000</v>
      </c>
      <c r="I12" s="38">
        <f t="shared" si="1"/>
        <v>0</v>
      </c>
      <c r="J12" s="35">
        <f t="shared" si="2"/>
        <v>-642400000</v>
      </c>
      <c r="K12" s="39"/>
      <c r="L12" s="49"/>
      <c r="M12" s="49"/>
      <c r="N12" s="40"/>
      <c r="O12" s="39"/>
      <c r="P12" s="41"/>
      <c r="Q12" s="40"/>
    </row>
    <row r="13" spans="1:17" x14ac:dyDescent="0.45">
      <c r="A13" s="93"/>
      <c r="B13" s="47">
        <v>7</v>
      </c>
      <c r="C13" s="27">
        <v>5.7</v>
      </c>
      <c r="D13" s="25">
        <v>3.2500000000000001E-2</v>
      </c>
      <c r="E13" s="32">
        <f>SUMIFS(IRR!$H$4:$H$1000,IRR!$E$4:$E$1000,"USD",IRR!$H$4:$H$1000,"&gt;0",IRR!$K$4:$K$1000,"=1",IRR!$I$4:$I$1000,"&gt;="&amp;B12,IRR!$I$4:$I$1000,"&lt;"&amp;B13)+SUMIFS(IRR!$H$4:$H$1000,IRR!$E$4:$E$1000,"USD",IRR!$H$4:$H$1000,"&gt;0",IRR!$K$4:$K$1000,"=2",IRR!$I$4:$I$1000,"&gt;="&amp;C12,IRR!$I$4:$I$1000,"&lt;"&amp;C13)</f>
        <v>0</v>
      </c>
      <c r="F13" s="35">
        <f>SUMIFS(IRR!$H$4:$H$1000,IRR!$E$4:$E$1000,"USD",IRR!$H$4:$H$1000,"&lt;0",IRR!$K$4:$K$1000,"=1",IRR!$I$4:$I$1000,"&gt;="&amp;B12,IRR!$I$4:$I$1000,"&lt;"&amp;B13)+SUMIFS(IRR!$H$4:$H$1000,IRR!$E$4:$E$1000,"USD",IRR!$H$4:$H$1000,"&lt;0",IRR!$K$4:$K$1000,"=2",IRR!$I$4:$I$1000,"&gt;="&amp;C12,IRR!$I$4:$I$1000,"&lt;"&amp;C13)</f>
        <v>0</v>
      </c>
      <c r="G13" s="20">
        <f t="shared" si="0"/>
        <v>0</v>
      </c>
      <c r="H13" s="19">
        <f t="shared" si="0"/>
        <v>0</v>
      </c>
      <c r="I13" s="38">
        <f t="shared" si="1"/>
        <v>0</v>
      </c>
      <c r="J13" s="35">
        <f t="shared" si="2"/>
        <v>0</v>
      </c>
      <c r="K13" s="39"/>
      <c r="L13" s="49"/>
      <c r="M13" s="49"/>
      <c r="N13" s="40"/>
      <c r="O13" s="39"/>
      <c r="P13" s="41"/>
      <c r="Q13" s="40"/>
    </row>
    <row r="14" spans="1:17" x14ac:dyDescent="0.45">
      <c r="A14" s="93"/>
      <c r="B14" s="47">
        <v>10</v>
      </c>
      <c r="C14" s="27">
        <v>7.3</v>
      </c>
      <c r="D14" s="25">
        <v>3.7499999999999999E-2</v>
      </c>
      <c r="E14" s="32">
        <f>SUMIFS(IRR!$H$4:$H$1000,IRR!$E$4:$E$1000,"USD",IRR!$H$4:$H$1000,"&gt;0",IRR!$K$4:$K$1000,"=1",IRR!$I$4:$I$1000,"&gt;="&amp;B13,IRR!$I$4:$I$1000,"&lt;"&amp;B14)+SUMIFS(IRR!$H$4:$H$1000,IRR!$E$4:$E$1000,"USD",IRR!$H$4:$H$1000,"&gt;0",IRR!$K$4:$K$1000,"=2",IRR!$I$4:$I$1000,"&gt;="&amp;C13,IRR!$I$4:$I$1000,"&lt;"&amp;C14)</f>
        <v>45985000000</v>
      </c>
      <c r="F14" s="35">
        <f>SUMIFS(IRR!$H$4:$H$1000,IRR!$E$4:$E$1000,"USD",IRR!$H$4:$H$1000,"&lt;0",IRR!$K$4:$K$1000,"=1",IRR!$I$4:$I$1000,"&gt;="&amp;B13,IRR!$I$4:$I$1000,"&lt;"&amp;B14)+SUMIFS(IRR!$H$4:$H$1000,IRR!$E$4:$E$1000,"USD",IRR!$H$4:$H$1000,"&lt;0",IRR!$K$4:$K$1000,"=2",IRR!$I$4:$I$1000,"&gt;="&amp;C13,IRR!$I$4:$I$1000,"&lt;"&amp;C14)</f>
        <v>0</v>
      </c>
      <c r="G14" s="20">
        <f t="shared" si="0"/>
        <v>1724437500</v>
      </c>
      <c r="H14" s="19">
        <f t="shared" si="0"/>
        <v>0</v>
      </c>
      <c r="I14" s="38">
        <f t="shared" si="1"/>
        <v>0</v>
      </c>
      <c r="J14" s="35">
        <f t="shared" si="2"/>
        <v>1724437500</v>
      </c>
      <c r="K14" s="39"/>
      <c r="L14" s="49"/>
      <c r="M14" s="49"/>
      <c r="N14" s="40"/>
      <c r="O14" s="39"/>
      <c r="P14" s="41"/>
      <c r="Q14" s="40"/>
    </row>
    <row r="15" spans="1:17" x14ac:dyDescent="0.45">
      <c r="A15" s="93"/>
      <c r="B15" s="47">
        <v>15</v>
      </c>
      <c r="C15" s="27">
        <v>9.3000000000000007</v>
      </c>
      <c r="D15" s="25">
        <v>4.4999999999999998E-2</v>
      </c>
      <c r="E15" s="32">
        <f>SUMIFS(IRR!$H$4:$H$1000,IRR!$E$4:$E$1000,"USD",IRR!$H$4:$H$1000,"&gt;0",IRR!$K$4:$K$1000,"=1",IRR!$I$4:$I$1000,"&gt;="&amp;B14,IRR!$I$4:$I$1000,"&lt;"&amp;B15)+SUMIFS(IRR!$H$4:$H$1000,IRR!$E$4:$E$1000,"USD",IRR!$H$4:$H$1000,"&gt;0",IRR!$K$4:$K$1000,"=2",IRR!$I$4:$I$1000,"&gt;="&amp;C14,IRR!$I$4:$I$1000,"&lt;"&amp;C15)</f>
        <v>0</v>
      </c>
      <c r="F15" s="35">
        <f>SUMIFS(IRR!$H$4:$H$1000,IRR!$E$4:$E$1000,"USD",IRR!$H$4:$H$1000,"&lt;0",IRR!$K$4:$K$1000,"=1",IRR!$I$4:$I$1000,"&gt;="&amp;B14,IRR!$I$4:$I$1000,"&lt;"&amp;B15)+SUMIFS(IRR!$H$4:$H$1000,IRR!$E$4:$E$1000,"USD",IRR!$H$4:$H$1000,"&lt;0",IRR!$K$4:$K$1000,"=2",IRR!$I$4:$I$1000,"&gt;="&amp;C14,IRR!$I$4:$I$1000,"&lt;"&amp;C15)</f>
        <v>0</v>
      </c>
      <c r="G15" s="20">
        <f t="shared" si="0"/>
        <v>0</v>
      </c>
      <c r="H15" s="19">
        <f t="shared" si="0"/>
        <v>0</v>
      </c>
      <c r="I15" s="38">
        <f t="shared" si="1"/>
        <v>0</v>
      </c>
      <c r="J15" s="35">
        <f t="shared" si="2"/>
        <v>0</v>
      </c>
      <c r="K15" s="39"/>
      <c r="L15" s="49"/>
      <c r="M15" s="49"/>
      <c r="N15" s="40"/>
      <c r="O15" s="39"/>
      <c r="P15" s="41"/>
      <c r="Q15" s="40"/>
    </row>
    <row r="16" spans="1:17" x14ac:dyDescent="0.45">
      <c r="A16" s="93"/>
      <c r="B16" s="47">
        <v>20</v>
      </c>
      <c r="C16" s="27">
        <v>10.6</v>
      </c>
      <c r="D16" s="25">
        <v>5.2499999999999998E-2</v>
      </c>
      <c r="E16" s="32">
        <f>SUMIFS(IRR!$H$4:$H$1000,IRR!$E$4:$E$1000,"USD",IRR!$H$4:$H$1000,"&gt;0",IRR!$K$4:$K$1000,"=1",IRR!$I$4:$I$1000,"&gt;="&amp;B15,IRR!$I$4:$I$1000,"&lt;"&amp;B16)+SUMIFS(IRR!$H$4:$H$1000,IRR!$E$4:$E$1000,"USD",IRR!$H$4:$H$1000,"&gt;0",IRR!$K$4:$K$1000,"=2",IRR!$I$4:$I$1000,"&gt;="&amp;C15,IRR!$I$4:$I$1000,"&lt;"&amp;C16)</f>
        <v>0</v>
      </c>
      <c r="F16" s="35">
        <f>SUMIFS(IRR!$H$4:$H$1000,IRR!$E$4:$E$1000,"USD",IRR!$H$4:$H$1000,"&lt;0",IRR!$K$4:$K$1000,"=1",IRR!$I$4:$I$1000,"&gt;="&amp;B15,IRR!$I$4:$I$1000,"&lt;"&amp;B16)+SUMIFS(IRR!$H$4:$H$1000,IRR!$E$4:$E$1000,"USD",IRR!$H$4:$H$1000,"&lt;0",IRR!$K$4:$K$1000,"=2",IRR!$I$4:$I$1000,"&gt;="&amp;C15,IRR!$I$4:$I$1000,"&lt;"&amp;C16)</f>
        <v>0</v>
      </c>
      <c r="G16" s="20">
        <f t="shared" si="0"/>
        <v>0</v>
      </c>
      <c r="H16" s="19">
        <f t="shared" si="0"/>
        <v>0</v>
      </c>
      <c r="I16" s="38">
        <f t="shared" si="1"/>
        <v>0</v>
      </c>
      <c r="J16" s="35">
        <f t="shared" si="2"/>
        <v>0</v>
      </c>
      <c r="K16" s="39"/>
      <c r="L16" s="49"/>
      <c r="M16" s="49"/>
      <c r="N16" s="40"/>
      <c r="O16" s="39"/>
      <c r="P16" s="41"/>
      <c r="Q16" s="40"/>
    </row>
    <row r="17" spans="1:17" x14ac:dyDescent="0.45">
      <c r="A17" s="93"/>
      <c r="B17" s="47"/>
      <c r="C17" s="27">
        <v>12</v>
      </c>
      <c r="D17" s="24">
        <v>0.06</v>
      </c>
      <c r="E17" s="20">
        <f>SUMIFS(IRR!$H$4:$H$1000,IRR!$E$4:$E$1000,"USD",IRR!$H$4:$H$1000,"&gt;0",IRR!$K$4:$K$1000,"=1",IRR!$I$4:$I$1000,"&gt;="&amp;$B$16)+SUMIFS(IRR!$H$4:$H$1000,IRR!$E$4:$E$1000,"USD",IRR!$H$4:$H$1000,"&gt;0",IRR!$K$4:$K$1000,"=2",IRR!$I$4:$I$1000,"&gt;="&amp;C16,IRR!$I$4:$I$1000,"&lt;"&amp;C17)</f>
        <v>0</v>
      </c>
      <c r="F17" s="19">
        <f>SUMIFS(IRR!$H$4:$H$1000,IRR!$E$4:$E$1000,"USD",IRR!$H$4:$H$1000,"&lt;0",IRR!$K$4:$K$1000,"=1",IRR!$I$4:$I$1000,"&gt;="&amp;$B$16)+SUMIFS(IRR!$H$4:$H$1000,IRR!$E$4:$E$1000,"USD",IRR!$H$4:$H$1000,"&lt;0",IRR!$K$4:$K$1000,"=2",IRR!$I$4:$I$1000,"&gt;="&amp;C16,IRR!$I$4:$I$1000,"&lt;"&amp;C17)</f>
        <v>0</v>
      </c>
      <c r="G17" s="20">
        <f t="shared" si="0"/>
        <v>0</v>
      </c>
      <c r="H17" s="19">
        <f t="shared" si="0"/>
        <v>0</v>
      </c>
      <c r="I17" s="38">
        <f t="shared" si="1"/>
        <v>0</v>
      </c>
      <c r="J17" s="35">
        <f t="shared" si="2"/>
        <v>0</v>
      </c>
      <c r="K17" s="39"/>
      <c r="L17" s="49"/>
      <c r="M17" s="49"/>
      <c r="N17" s="40"/>
      <c r="O17" s="39"/>
      <c r="P17" s="41"/>
      <c r="Q17" s="40"/>
    </row>
    <row r="18" spans="1:17" x14ac:dyDescent="0.45">
      <c r="A18" s="93"/>
      <c r="B18" s="47"/>
      <c r="C18" s="27">
        <v>20</v>
      </c>
      <c r="D18" s="24">
        <v>0.08</v>
      </c>
      <c r="E18" s="20">
        <f>SUMIFS(IRR!$H$4:$H$1000,IRR!$E$4:$E$1000,"USD",IRR!$H$4:$H$1000,"&gt;0",IRR!$K$4:$K$1000,"=1",IRR!$I$4:$I$1000,"&gt;="&amp;$B$16)+SUMIFS(IRR!$H$4:$H$1000,IRR!$E$4:$E$1000,"USD",IRR!$H$4:$H$1000,"&gt;0",IRR!$K$4:$K$1000,"=2",IRR!$I$4:$I$1000,"&gt;="&amp;C17,IRR!$I$4:$I$1000,"&lt;"&amp;C18)</f>
        <v>0</v>
      </c>
      <c r="F18" s="19">
        <f>SUMIFS(IRR!$H$4:$H$1000,IRR!$E$4:$E$1000,"USD",IRR!$H$4:$H$1000,"&lt;0",IRR!$K$4:$K$1000,"=1",IRR!$I$4:$I$1000,"&gt;="&amp;$B$16)+SUMIFS(IRR!$H$4:$H$1000,IRR!$E$4:$E$1000,"USD",IRR!$H$4:$H$1000,"&lt;0",IRR!$K$4:$K$1000,"=2",IRR!$I$4:$I$1000,"&gt;="&amp;C17,IRR!$I$4:$I$1000,"&lt;"&amp;C18)</f>
        <v>0</v>
      </c>
      <c r="G18" s="20">
        <f t="shared" si="0"/>
        <v>0</v>
      </c>
      <c r="H18" s="19">
        <f t="shared" si="0"/>
        <v>0</v>
      </c>
      <c r="I18" s="38">
        <f t="shared" si="1"/>
        <v>0</v>
      </c>
      <c r="J18" s="35">
        <f t="shared" si="2"/>
        <v>0</v>
      </c>
      <c r="K18" s="39"/>
      <c r="L18" s="49"/>
      <c r="M18" s="50" t="s">
        <v>98</v>
      </c>
      <c r="N18" s="40"/>
      <c r="O18" s="39"/>
      <c r="P18" s="41"/>
      <c r="Q18" s="40"/>
    </row>
    <row r="19" spans="1:17" x14ac:dyDescent="0.45">
      <c r="A19" s="94"/>
      <c r="B19" s="48"/>
      <c r="C19" s="28"/>
      <c r="D19" s="26">
        <v>0.125</v>
      </c>
      <c r="E19" s="21">
        <f>SUMIFS(IRR!$H$4:$H$1000,IRR!$E$4:$E$1000,"USD",IRR!$H$4:$H$1000,"&gt;0",IRR!$K$4:$K$1000,"=1",IRR!$I$4:$I$1000,"&gt;="&amp;$B$16)+SUMIFS(IRR!$H$4:$H$1000,IRR!$E$4:$E$1000,"USD",IRR!$H$4:$H$1000,"&gt;0",IRR!$K$4:$K$1000,"=2",IRR!$I$4:$I$1000,"&gt;="&amp;$C$18)</f>
        <v>0</v>
      </c>
      <c r="F19" s="22">
        <f>SUMIFS(IRR!$H$4:$H$1000,IRR!$E$4:$E$1000,"USD",IRR!$H$4:$H$1000,"&lt;0",IRR!$K$4:$K$1000,"=1",IRR!$I$4:$I$1000,"&gt;="&amp;$B$16)+SUMIFS(IRR!$H$4:$H$1000,IRR!$E$4:$E$1000,"USD",IRR!$H$4:$H$1000,"&lt;0",IRR!$K$4:$K$1000,"=2",IRR!$I$4:$I$1000,"&gt;="&amp;$C$18)</f>
        <v>0</v>
      </c>
      <c r="G19" s="21">
        <f t="shared" si="0"/>
        <v>0</v>
      </c>
      <c r="H19" s="22">
        <f t="shared" si="0"/>
        <v>0</v>
      </c>
      <c r="I19" s="38">
        <f t="shared" si="1"/>
        <v>0</v>
      </c>
      <c r="J19" s="35">
        <f t="shared" si="2"/>
        <v>0</v>
      </c>
      <c r="K19" s="29">
        <f>SUMIF(J12:J19,"&gt;=0",J12:J19)</f>
        <v>1724437500</v>
      </c>
      <c r="L19" s="31">
        <f>SUMIF(J12:J19,"&lt;0",J12:J19)</f>
        <v>-642400000</v>
      </c>
      <c r="M19" s="51">
        <f>MIN(ABS(K19),ABS(L19))</f>
        <v>642400000</v>
      </c>
      <c r="N19" s="30">
        <f>ABS(K19)-ABS(L19)</f>
        <v>1082037500</v>
      </c>
      <c r="O19" s="42"/>
      <c r="P19" s="43"/>
      <c r="Q19" s="44"/>
    </row>
    <row r="20" spans="1:17" x14ac:dyDescent="0.45">
      <c r="B20" s="15"/>
      <c r="C20" s="15"/>
      <c r="G20" s="17" t="s">
        <v>80</v>
      </c>
      <c r="H20" s="17" t="s">
        <v>81</v>
      </c>
      <c r="I20" s="17" t="s">
        <v>85</v>
      </c>
      <c r="O20" s="17" t="s">
        <v>94</v>
      </c>
      <c r="P20" s="17" t="s">
        <v>95</v>
      </c>
      <c r="Q20" s="17" t="s">
        <v>96</v>
      </c>
    </row>
    <row r="21" spans="1:17" x14ac:dyDescent="0.45">
      <c r="B21" s="15"/>
      <c r="C21" s="15"/>
      <c r="G21" s="17">
        <f>SUM(G5:G19)</f>
        <v>3095668000</v>
      </c>
      <c r="H21" s="17">
        <f>SUM(H5:H19)</f>
        <v>-678540000</v>
      </c>
      <c r="I21" s="17">
        <f>SUM(I5:I19)</f>
        <v>36140000</v>
      </c>
      <c r="O21" s="17">
        <f>IF(N8*N11&lt;0,MIN(ABS(N8),ABS(N11)),0)</f>
        <v>0</v>
      </c>
      <c r="P21" s="17">
        <f>IF(N11*N19&lt;0,MIN(ABS(N11),ABS(N19)),0)</f>
        <v>0</v>
      </c>
      <c r="Q21" s="17">
        <f>IF(N8*N19&lt;0,MIN(ABS(N8),ABS(N19)),0)</f>
        <v>0</v>
      </c>
    </row>
    <row r="22" spans="1:17" x14ac:dyDescent="0.45">
      <c r="B22" s="15"/>
      <c r="C22" s="15"/>
      <c r="G22" s="17"/>
      <c r="H22" s="17"/>
      <c r="I22" s="17"/>
      <c r="O22" s="17"/>
      <c r="P22" s="17"/>
      <c r="Q22" s="17"/>
    </row>
    <row r="23" spans="1:17" x14ac:dyDescent="0.45">
      <c r="A23" s="63" t="s">
        <v>82</v>
      </c>
      <c r="B23" s="63" t="s">
        <v>86</v>
      </c>
      <c r="C23" s="63" t="s">
        <v>99</v>
      </c>
      <c r="D23" s="61" t="s">
        <v>102</v>
      </c>
      <c r="E23" s="17"/>
    </row>
    <row r="24" spans="1:17" x14ac:dyDescent="0.45">
      <c r="A24" s="52">
        <f>ABS(G21+H21)</f>
        <v>2417128000</v>
      </c>
      <c r="B24" s="52">
        <f>I21*10%</f>
        <v>3614000</v>
      </c>
      <c r="C24" s="52">
        <f>40%*M8+30%*M11+30%*M19+40%*O21+40%*P21+100%*Q21</f>
        <v>192720000</v>
      </c>
      <c r="D24" s="62">
        <f>A24+B24+C24</f>
        <v>2613462000</v>
      </c>
    </row>
    <row r="26" spans="1:17" x14ac:dyDescent="0.45">
      <c r="A26" s="17"/>
      <c r="B26" s="16">
        <f>G23+I23+P23</f>
        <v>0</v>
      </c>
    </row>
  </sheetData>
  <mergeCells count="9">
    <mergeCell ref="A1:Q1"/>
    <mergeCell ref="O2:Q2"/>
    <mergeCell ref="A5:A8"/>
    <mergeCell ref="A9:A11"/>
    <mergeCell ref="A12:A19"/>
    <mergeCell ref="K2:L2"/>
    <mergeCell ref="B2:C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BC3B-B9C7-4CBF-A03B-02B90E95470D}">
  <sheetPr codeName="Sheet4"/>
  <dimension ref="A1:B11"/>
  <sheetViews>
    <sheetView workbookViewId="0">
      <selection activeCell="C13" sqref="C13"/>
    </sheetView>
  </sheetViews>
  <sheetFormatPr defaultRowHeight="14.25" x14ac:dyDescent="0.45"/>
  <cols>
    <col min="1" max="1" width="16.59765625" customWidth="1"/>
    <col min="2" max="2" width="22.33203125" customWidth="1"/>
    <col min="3" max="3" width="19.1328125" customWidth="1"/>
    <col min="4" max="4" width="11.46484375" customWidth="1"/>
    <col min="5" max="5" width="14.59765625" customWidth="1"/>
    <col min="6" max="6" width="12.73046875" customWidth="1"/>
    <col min="7" max="7" width="16.265625" customWidth="1"/>
    <col min="8" max="8" width="9.06640625" customWidth="1"/>
  </cols>
  <sheetData>
    <row r="1" spans="1:2" x14ac:dyDescent="0.45">
      <c r="A1" s="102" t="s">
        <v>110</v>
      </c>
      <c r="B1" s="102"/>
    </row>
    <row r="2" spans="1:2" x14ac:dyDescent="0.45">
      <c r="A2" s="59" t="s">
        <v>109</v>
      </c>
      <c r="B2" s="60">
        <f>SUMPRODUCT(IRR!H4:H1000,IRR!J4:J1000)</f>
        <v>20530680000</v>
      </c>
    </row>
    <row r="3" spans="1:2" x14ac:dyDescent="0.45">
      <c r="A3" s="17"/>
      <c r="B3" s="72"/>
    </row>
    <row r="4" spans="1:2" x14ac:dyDescent="0.45">
      <c r="A4" s="102" t="s">
        <v>111</v>
      </c>
      <c r="B4" s="102"/>
    </row>
    <row r="5" spans="1:2" x14ac:dyDescent="0.45">
      <c r="A5" s="59" t="s">
        <v>117</v>
      </c>
      <c r="B5" s="60">
        <f>KGR_VND!D24</f>
        <v>9496251700</v>
      </c>
    </row>
    <row r="6" spans="1:2" x14ac:dyDescent="0.45">
      <c r="A6" s="17"/>
      <c r="B6" s="72"/>
    </row>
    <row r="7" spans="1:2" x14ac:dyDescent="0.45">
      <c r="A7" s="102" t="s">
        <v>112</v>
      </c>
      <c r="B7" s="102"/>
    </row>
    <row r="8" spans="1:2" x14ac:dyDescent="0.45">
      <c r="A8" s="59" t="s">
        <v>118</v>
      </c>
      <c r="B8" s="60">
        <f>KGR_USD!D24</f>
        <v>2613462000</v>
      </c>
    </row>
    <row r="9" spans="1:2" x14ac:dyDescent="0.45">
      <c r="A9" s="17"/>
      <c r="B9" s="72"/>
    </row>
    <row r="10" spans="1:2" ht="29.65" customHeight="1" x14ac:dyDescent="0.45">
      <c r="A10" s="103" t="s">
        <v>113</v>
      </c>
      <c r="B10" s="103"/>
    </row>
    <row r="11" spans="1:2" x14ac:dyDescent="0.45">
      <c r="A11" s="64" t="s">
        <v>114</v>
      </c>
      <c r="B11" s="105">
        <f>B2+B5+B8</f>
        <v>32640393700</v>
      </c>
    </row>
  </sheetData>
  <mergeCells count="4">
    <mergeCell ref="A1:B1"/>
    <mergeCell ref="A10:B10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209A-3613-4C94-8B70-7B58AA87B9BF}">
  <sheetPr codeName="Sheet5"/>
  <dimension ref="A1:B5"/>
  <sheetViews>
    <sheetView workbookViewId="0">
      <selection activeCell="A2" sqref="A2:F2"/>
    </sheetView>
  </sheetViews>
  <sheetFormatPr defaultRowHeight="14.25" x14ac:dyDescent="0.45"/>
  <cols>
    <col min="1" max="1" width="16.86328125" customWidth="1"/>
    <col min="2" max="2" width="17.6640625" customWidth="1"/>
  </cols>
  <sheetData>
    <row r="1" spans="1:2" x14ac:dyDescent="0.45">
      <c r="A1" t="s">
        <v>23</v>
      </c>
      <c r="B1" t="s">
        <v>25</v>
      </c>
    </row>
    <row r="2" spans="1:2" x14ac:dyDescent="0.45">
      <c r="A2" t="s">
        <v>24</v>
      </c>
      <c r="B2" t="s">
        <v>26</v>
      </c>
    </row>
    <row r="3" spans="1:2" x14ac:dyDescent="0.45">
      <c r="A3" t="s">
        <v>28</v>
      </c>
      <c r="B3" t="s">
        <v>27</v>
      </c>
    </row>
    <row r="4" spans="1:2" x14ac:dyDescent="0.45">
      <c r="A4" t="s">
        <v>30</v>
      </c>
      <c r="B4" t="s">
        <v>29</v>
      </c>
    </row>
    <row r="5" spans="1:2" x14ac:dyDescent="0.45">
      <c r="A5" t="s">
        <v>31</v>
      </c>
      <c r="B5" t="s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4A95-B9D5-41BD-91D2-61E665847C15}">
  <sheetPr codeName="Sheet6"/>
  <dimension ref="A1:D26"/>
  <sheetViews>
    <sheetView workbookViewId="0">
      <selection activeCell="B26" sqref="B26"/>
    </sheetView>
  </sheetViews>
  <sheetFormatPr defaultRowHeight="14.25" x14ac:dyDescent="0.45"/>
  <cols>
    <col min="1" max="1" width="7.33203125" customWidth="1"/>
    <col min="2" max="3" width="19.796875" bestFit="1" customWidth="1"/>
  </cols>
  <sheetData>
    <row r="1" spans="1:4" x14ac:dyDescent="0.45">
      <c r="A1" t="s">
        <v>73</v>
      </c>
      <c r="B1" t="s">
        <v>72</v>
      </c>
      <c r="C1" t="s">
        <v>71</v>
      </c>
      <c r="D1" t="s">
        <v>70</v>
      </c>
    </row>
    <row r="2" spans="1:4" x14ac:dyDescent="0.45">
      <c r="A2">
        <v>1</v>
      </c>
      <c r="B2" t="s">
        <v>68</v>
      </c>
      <c r="C2" t="s">
        <v>69</v>
      </c>
      <c r="D2" t="s">
        <v>68</v>
      </c>
    </row>
    <row r="3" spans="1:4" x14ac:dyDescent="0.45">
      <c r="A3">
        <v>2</v>
      </c>
      <c r="B3" t="s">
        <v>66</v>
      </c>
      <c r="C3" t="s">
        <v>67</v>
      </c>
      <c r="D3" t="s">
        <v>66</v>
      </c>
    </row>
    <row r="4" spans="1:4" x14ac:dyDescent="0.45">
      <c r="A4">
        <v>3</v>
      </c>
      <c r="B4" t="s">
        <v>64</v>
      </c>
      <c r="C4" t="s">
        <v>65</v>
      </c>
      <c r="D4" t="s">
        <v>64</v>
      </c>
    </row>
    <row r="5" spans="1:4" x14ac:dyDescent="0.45">
      <c r="A5">
        <v>4</v>
      </c>
      <c r="B5" t="s">
        <v>62</v>
      </c>
      <c r="C5" t="s">
        <v>63</v>
      </c>
      <c r="D5" t="s">
        <v>62</v>
      </c>
    </row>
    <row r="6" spans="1:4" x14ac:dyDescent="0.45">
      <c r="A6">
        <v>5</v>
      </c>
      <c r="B6" t="s">
        <v>60</v>
      </c>
      <c r="C6" t="s">
        <v>61</v>
      </c>
      <c r="D6" t="s">
        <v>60</v>
      </c>
    </row>
    <row r="7" spans="1:4" x14ac:dyDescent="0.45">
      <c r="A7">
        <v>6</v>
      </c>
      <c r="B7" t="s">
        <v>58</v>
      </c>
      <c r="C7" t="s">
        <v>59</v>
      </c>
      <c r="D7" t="s">
        <v>58</v>
      </c>
    </row>
    <row r="8" spans="1:4" x14ac:dyDescent="0.45">
      <c r="A8">
        <v>7</v>
      </c>
      <c r="B8" t="s">
        <v>56</v>
      </c>
      <c r="C8" t="s">
        <v>57</v>
      </c>
      <c r="D8" t="s">
        <v>56</v>
      </c>
    </row>
    <row r="9" spans="1:4" x14ac:dyDescent="0.45">
      <c r="A9">
        <v>8</v>
      </c>
      <c r="B9" t="s">
        <v>55</v>
      </c>
      <c r="C9" t="s">
        <v>5</v>
      </c>
      <c r="D9" t="s">
        <v>55</v>
      </c>
    </row>
    <row r="10" spans="1:4" x14ac:dyDescent="0.45">
      <c r="A10">
        <v>9</v>
      </c>
      <c r="B10" t="s">
        <v>54</v>
      </c>
      <c r="C10" t="s">
        <v>9</v>
      </c>
      <c r="D10" t="s">
        <v>54</v>
      </c>
    </row>
    <row r="11" spans="1:4" x14ac:dyDescent="0.45">
      <c r="A11">
        <v>10</v>
      </c>
      <c r="B11" t="s">
        <v>2</v>
      </c>
      <c r="C11" t="s">
        <v>3</v>
      </c>
      <c r="D11" t="s">
        <v>2</v>
      </c>
    </row>
    <row r="12" spans="1:4" x14ac:dyDescent="0.45">
      <c r="A12">
        <v>11</v>
      </c>
      <c r="B12" t="s">
        <v>52</v>
      </c>
      <c r="C12" t="s">
        <v>53</v>
      </c>
      <c r="D12" t="s">
        <v>52</v>
      </c>
    </row>
    <row r="13" spans="1:4" x14ac:dyDescent="0.45">
      <c r="A13">
        <v>12</v>
      </c>
      <c r="B13" t="s">
        <v>50</v>
      </c>
      <c r="C13" t="s">
        <v>51</v>
      </c>
      <c r="D13" t="s">
        <v>50</v>
      </c>
    </row>
    <row r="14" spans="1:4" x14ac:dyDescent="0.45">
      <c r="A14">
        <v>13</v>
      </c>
      <c r="B14" t="s">
        <v>49</v>
      </c>
      <c r="C14" t="s">
        <v>8</v>
      </c>
      <c r="D14" t="s">
        <v>49</v>
      </c>
    </row>
    <row r="15" spans="1:4" x14ac:dyDescent="0.45">
      <c r="A15">
        <v>14</v>
      </c>
      <c r="B15" t="s">
        <v>48</v>
      </c>
      <c r="C15" t="s">
        <v>4</v>
      </c>
      <c r="D15" t="s">
        <v>48</v>
      </c>
    </row>
    <row r="16" spans="1:4" x14ac:dyDescent="0.45">
      <c r="A16">
        <v>15</v>
      </c>
      <c r="B16" t="s">
        <v>47</v>
      </c>
      <c r="C16" t="s">
        <v>7</v>
      </c>
      <c r="D16" t="s">
        <v>47</v>
      </c>
    </row>
    <row r="17" spans="1:4" x14ac:dyDescent="0.45">
      <c r="A17">
        <v>16</v>
      </c>
      <c r="B17" t="s">
        <v>46</v>
      </c>
      <c r="C17" t="s">
        <v>6</v>
      </c>
      <c r="D17" t="s">
        <v>46</v>
      </c>
    </row>
    <row r="18" spans="1:4" x14ac:dyDescent="0.45">
      <c r="A18">
        <v>17</v>
      </c>
      <c r="B18" t="s">
        <v>44</v>
      </c>
      <c r="C18" t="s">
        <v>45</v>
      </c>
      <c r="D18" t="s">
        <v>44</v>
      </c>
    </row>
    <row r="19" spans="1:4" x14ac:dyDescent="0.45">
      <c r="A19">
        <v>17</v>
      </c>
      <c r="B19" t="s">
        <v>42</v>
      </c>
      <c r="C19" t="s">
        <v>43</v>
      </c>
      <c r="D19" t="s">
        <v>42</v>
      </c>
    </row>
    <row r="20" spans="1:4" x14ac:dyDescent="0.45">
      <c r="A20">
        <v>17</v>
      </c>
      <c r="B20" t="s">
        <v>40</v>
      </c>
      <c r="C20" t="s">
        <v>41</v>
      </c>
      <c r="D20" t="s">
        <v>40</v>
      </c>
    </row>
    <row r="21" spans="1:4" x14ac:dyDescent="0.45">
      <c r="A21">
        <v>17</v>
      </c>
      <c r="B21" s="11" t="s">
        <v>38</v>
      </c>
      <c r="C21" s="11" t="s">
        <v>39</v>
      </c>
      <c r="D21" s="11" t="s">
        <v>38</v>
      </c>
    </row>
    <row r="22" spans="1:4" x14ac:dyDescent="0.45">
      <c r="A22">
        <v>17</v>
      </c>
      <c r="B22" s="11" t="s">
        <v>37</v>
      </c>
      <c r="C22" s="11" t="s">
        <v>37</v>
      </c>
      <c r="D22" s="11" t="s">
        <v>37</v>
      </c>
    </row>
    <row r="23" spans="1:4" x14ac:dyDescent="0.45">
      <c r="A23">
        <v>17</v>
      </c>
      <c r="B23" s="11" t="s">
        <v>36</v>
      </c>
      <c r="C23" s="11"/>
      <c r="D23" s="11" t="s">
        <v>35</v>
      </c>
    </row>
    <row r="24" spans="1:4" x14ac:dyDescent="0.45">
      <c r="A24">
        <v>17</v>
      </c>
      <c r="B24" s="11" t="s">
        <v>34</v>
      </c>
      <c r="C24" s="11"/>
      <c r="D24" s="11" t="s">
        <v>33</v>
      </c>
    </row>
    <row r="25" spans="1:4" x14ac:dyDescent="0.45">
      <c r="A25">
        <v>17</v>
      </c>
      <c r="B25" s="11" t="s">
        <v>33</v>
      </c>
      <c r="C25" s="11"/>
      <c r="D25" s="11"/>
    </row>
    <row r="26" spans="1:4" x14ac:dyDescent="0.45">
      <c r="A26">
        <v>18</v>
      </c>
      <c r="B26" s="11" t="s">
        <v>19</v>
      </c>
      <c r="C26" s="11" t="s">
        <v>19</v>
      </c>
      <c r="D26" s="11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C1F81F7D9E7488ED9C84B8917317D" ma:contentTypeVersion="8" ma:contentTypeDescription="Create a new document." ma:contentTypeScope="" ma:versionID="658c8d717184ab91460dce4ab37ca419">
  <xsd:schema xmlns:xsd="http://www.w3.org/2001/XMLSchema" xmlns:xs="http://www.w3.org/2001/XMLSchema" xmlns:p="http://schemas.microsoft.com/office/2006/metadata/properties" xmlns:ns3="156f14a9-ad27-465c-beea-0400167b42e7" xmlns:ns4="c97abbac-8556-4a61-a3b4-2d7730bb058e" targetNamespace="http://schemas.microsoft.com/office/2006/metadata/properties" ma:root="true" ma:fieldsID="4d95b75efd7065c5ffa83723efaaca3a" ns3:_="" ns4:_="">
    <xsd:import namespace="156f14a9-ad27-465c-beea-0400167b42e7"/>
    <xsd:import namespace="c97abbac-8556-4a61-a3b4-2d7730bb05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f14a9-ad27-465c-beea-0400167b42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abbac-8556-4a61-a3b4-2d7730bb058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77C49B-D99A-46C1-B2CE-E6C379360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6f14a9-ad27-465c-beea-0400167b42e7"/>
    <ds:schemaRef ds:uri="c97abbac-8556-4a61-a3b4-2d7730bb0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B15B75-ABB6-4176-AD9A-5BED27BDD52E}">
  <ds:schemaRefs>
    <ds:schemaRef ds:uri="http://schemas.microsoft.com/office/2006/metadata/properties"/>
    <ds:schemaRef ds:uri="156f14a9-ad27-465c-beea-0400167b42e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c97abbac-8556-4a61-a3b4-2d7730bb058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B9899E-403F-41D8-930F-F1B3A14D2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IRR</vt:lpstr>
      <vt:lpstr>KGR_VND</vt:lpstr>
      <vt:lpstr>KGR_USD</vt:lpstr>
      <vt:lpstr>KSR +Results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Minh, Hoa (VN - Hanoi)</dc:creator>
  <cp:lastModifiedBy>Quang Anh Phung</cp:lastModifiedBy>
  <dcterms:created xsi:type="dcterms:W3CDTF">2019-11-21T07:23:15Z</dcterms:created>
  <dcterms:modified xsi:type="dcterms:W3CDTF">2023-03-21T09:37:18Z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0x010100C6CC1F81F7D9E7488ED9C84B8917317D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2023-02-07T14:07:24Z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1f064b57-c395-4398-a3f3-14c542752935</vt:lpwstr>
  </property>
  <property fmtid="{D5CDD505-2E9C-101B-9397-08002B2CF9AE}" pid="9" name="MSIP_Label_ea60d57e-af5b-4752-ac57-3e4f28ca11dc_ContentBits">
    <vt:lpwstr>0</vt:lpwstr>
  </property>
</Properties>
</file>